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2FB5F991-5774-4F0F-80F3-4A6673109BF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085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<sst xmlns="http://schemas.openxmlformats.org/spreadsheetml/2006/main" count="19512" uniqueCount="10264">
  <si>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</si>
  <si>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</si>
  <si>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</si>
  <si>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</si>
  <si>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经营活动产生的现金流量净额 累积 2022-12-31 (元)</t>
  </si>
  <si>
    <t>经营活动产生的现金流量净额 累积 2021-12-31 (元)</t>
  </si>
  <si>
    <t>经营活动产生的现金流量净额 累积 2020-12-31 (元)</t>
  </si>
  <si>
    <t>经营活动产生的现金流量净额 累积 2019-12-31 (元)</t>
  </si>
  <si>
    <t>经营活动产生的现金流量净额 累积 2018-12-31 (元)</t>
  </si>
  <si>
    <t>经营活动产生的现金流量净额 累积 2017-12-31 (元)</t>
  </si>
  <si>
    <t>经营活动产生的现金流量净额 累积 2016-12-31 (元)</t>
  </si>
  <si>
    <t>经营活动产生的现金流量净额 累积 2015-12-31 (元)</t>
  </si>
  <si>
    <t>经营活动产生的现金流量净额 累积 2014-12-31 (元)</t>
  </si>
  <si>
    <t>经营活动产生的现金流量净额 累积 2013-12-31 (元)</t>
  </si>
  <si>
    <t>经营活动产生的现金流量净额 累积 2012-12-31 (元)</t>
  </si>
  <si>
    <t>关注度</t>
  </si>
  <si>
    <t>理杏仁Url</t>
  </si>
  <si>
    <t>sh</t>
  </si>
  <si>
    <t>工商银行</t>
  </si>
  <si>
    <t>国有大型银行</t>
  </si>
  <si>
    <t>www.lixinger.com/analytics/company/sh/601398/601398/detail</t>
  </si>
  <si>
    <t>建设银行</t>
  </si>
  <si>
    <t>www.lixinger.com/analytics/company/sh/601939/601939/detail</t>
  </si>
  <si>
    <t>中国石油</t>
  </si>
  <si>
    <t>炼油化工</t>
  </si>
  <si>
    <t>www.lixinger.com/analytics/company/sh/601857/601857/detail</t>
  </si>
  <si>
    <t>农业银行</t>
  </si>
  <si>
    <t>www.lixinger.com/analytics/company/sh/601288/601288/detail</t>
  </si>
  <si>
    <t>中国人寿</t>
  </si>
  <si>
    <t>保险</t>
  </si>
  <si>
    <t>www.lixinger.com/analytics/company/sh/601628/601628/detail</t>
  </si>
  <si>
    <t>中国平安</t>
  </si>
  <si>
    <t>www.lixinger.com/analytics/company/sh/601318/601318/detail</t>
  </si>
  <si>
    <t>中国移动</t>
  </si>
  <si>
    <t>电信运营商</t>
  </si>
  <si>
    <t>www.lixinger.com/analytics/company/sh/600941/600941/detail</t>
  </si>
  <si>
    <t>中国石化</t>
  </si>
  <si>
    <t>www.lixinger.com/analytics/company/sh/600028/600028/detail</t>
  </si>
  <si>
    <t>中国海油</t>
  </si>
  <si>
    <t>www.lixinger.com/analytics/company/sh/600938/600938/detail</t>
  </si>
  <si>
    <t>中信银行</t>
  </si>
  <si>
    <t>股份制银行</t>
  </si>
  <si>
    <t>www.lixinger.com/analytics/company/sh/601998/601998/detail</t>
  </si>
  <si>
    <t>中国电信</t>
  </si>
  <si>
    <t>www.lixinger.com/analytics/company/sh/601728/601728/detail</t>
  </si>
  <si>
    <t>中国太保</t>
  </si>
  <si>
    <t>www.lixinger.com/analytics/company/sh/601601/601601/detail</t>
  </si>
  <si>
    <t>中国联通</t>
  </si>
  <si>
    <t>www.lixinger.com/analytics/company/sh/600050/600050/detail</t>
  </si>
  <si>
    <t>华夏银行</t>
  </si>
  <si>
    <t>www.lixinger.com/analytics/company/sh/600015/600015/detail</t>
  </si>
  <si>
    <t>光大银行</t>
  </si>
  <si>
    <t>www.lixinger.com/analytics/company/sh/601818/601818/detail</t>
  </si>
  <si>
    <t>中国神华</t>
  </si>
  <si>
    <t>动力煤</t>
  </si>
  <si>
    <t>www.lixinger.com/analytics/company/sh/601088/601088/detail</t>
  </si>
  <si>
    <t>上汽集团</t>
  </si>
  <si>
    <t>综合乘用车</t>
  </si>
  <si>
    <t>www.lixinger.com/analytics/company/sh/600104/600104/detail</t>
  </si>
  <si>
    <t>sz</t>
  </si>
  <si>
    <t>万科Ａ</t>
  </si>
  <si>
    <t>住宅开发</t>
  </si>
  <si>
    <t>www.lixinger.com/analytics/company/sz/000002/2/detail</t>
  </si>
  <si>
    <t>杭州银行</t>
  </si>
  <si>
    <t>城商行</t>
  </si>
  <si>
    <t>www.lixinger.com/analytics/company/sh/600926/600926/detail</t>
  </si>
  <si>
    <t>贵州茅台</t>
  </si>
  <si>
    <t>白酒</t>
  </si>
  <si>
    <t>www.lixinger.com/analytics/company/sh/600519/600519/detail</t>
  </si>
  <si>
    <t>新城控股</t>
  </si>
  <si>
    <t>商业地产</t>
  </si>
  <si>
    <t>www.lixinger.com/analytics/company/sh/601155/601155/detail</t>
  </si>
  <si>
    <t>新华保险</t>
  </si>
  <si>
    <t>www.lixinger.com/analytics/company/sh/601336/601336/detail</t>
  </si>
  <si>
    <t>中国银河</t>
  </si>
  <si>
    <t>证券</t>
  </si>
  <si>
    <t>www.lixinger.com/analytics/company/sh/601881/601881/detail</t>
  </si>
  <si>
    <t>海螺水泥</t>
  </si>
  <si>
    <t>水泥制造</t>
  </si>
  <si>
    <t>www.lixinger.com/analytics/company/sh/600585/600585/detail</t>
  </si>
  <si>
    <t>宁波银行</t>
  </si>
  <si>
    <t>www.lixinger.com/analytics/company/sz/002142/2142/detail</t>
  </si>
  <si>
    <t>广发证券</t>
  </si>
  <si>
    <t>www.lixinger.com/analytics/company/sz/000776/776/detail</t>
  </si>
  <si>
    <t>中国铁建</t>
  </si>
  <si>
    <t>基建市政工程</t>
  </si>
  <si>
    <t>www.lixinger.com/analytics/company/sh/601186/601186/detail</t>
  </si>
  <si>
    <t>保利发展</t>
  </si>
  <si>
    <t>www.lixinger.com/analytics/company/sh/600048/600048/detail</t>
  </si>
  <si>
    <t>美的集团</t>
  </si>
  <si>
    <t>空调</t>
  </si>
  <si>
    <t>www.lixinger.com/analytics/company/sz/000333/333/detail</t>
  </si>
  <si>
    <t>中国国航</t>
  </si>
  <si>
    <t>航空运输</t>
  </si>
  <si>
    <t>www.lixinger.com/analytics/company/sh/601111/601111/detail</t>
  </si>
  <si>
    <t>南方航空</t>
  </si>
  <si>
    <t>www.lixinger.com/analytics/company/sh/600029/600029/detail</t>
  </si>
  <si>
    <t>华能国际</t>
  </si>
  <si>
    <t>火力发电</t>
  </si>
  <si>
    <t>www.lixinger.com/analytics/company/sh/600011/600011/detail</t>
  </si>
  <si>
    <t>中国人保</t>
  </si>
  <si>
    <t>www.lixinger.com/analytics/company/sh/601319/601319/detail</t>
  </si>
  <si>
    <t>中信建投</t>
  </si>
  <si>
    <t>www.lixinger.com/analytics/company/sh/601066/601066/detail</t>
  </si>
  <si>
    <t>长江电力</t>
  </si>
  <si>
    <t>水力发电</t>
  </si>
  <si>
    <t>www.lixinger.com/analytics/company/sh/600900/600900/detail</t>
  </si>
  <si>
    <t>国泰君安</t>
  </si>
  <si>
    <t>www.lixinger.com/analytics/company/sh/601211/601211/detail</t>
  </si>
  <si>
    <t>光大证券</t>
  </si>
  <si>
    <t>www.lixinger.com/analytics/company/sh/601788/601788/detail</t>
  </si>
  <si>
    <t>国电电力</t>
  </si>
  <si>
    <t>www.lixinger.com/analytics/company/sh/600795/600795/detail</t>
  </si>
  <si>
    <t>中国广核</t>
  </si>
  <si>
    <t>核力发电</t>
  </si>
  <si>
    <t>www.lixinger.com/analytics/company/sz/003816/3816/detail</t>
  </si>
  <si>
    <t>中油资本</t>
  </si>
  <si>
    <t>金融控股</t>
  </si>
  <si>
    <t>www.lixinger.com/analytics/company/sz/000617/617/detail</t>
  </si>
  <si>
    <t>宝钢股份</t>
  </si>
  <si>
    <t>板材</t>
  </si>
  <si>
    <t>www.lixinger.com/analytics/company/sh/600019/600019/detail</t>
  </si>
  <si>
    <t>京东方Ｂ</t>
  </si>
  <si>
    <t>www.lixinger.com/analytics/company/sz/200725/200725/detail</t>
  </si>
  <si>
    <t>中国东航</t>
  </si>
  <si>
    <t>www.lixinger.com/analytics/company/sh/600115/600115/detail</t>
  </si>
  <si>
    <t>国信证券</t>
  </si>
  <si>
    <t>www.lixinger.com/analytics/company/sz/002736/2736/detail</t>
  </si>
  <si>
    <t>天茂集团</t>
  </si>
  <si>
    <t>www.lixinger.com/analytics/company/sz/000627/627/detail</t>
  </si>
  <si>
    <t>南京银行</t>
  </si>
  <si>
    <t>www.lixinger.com/analytics/company/sh/601009/601009/detail</t>
  </si>
  <si>
    <t>华发股份</t>
  </si>
  <si>
    <t>www.lixinger.com/analytics/company/sh/600325/600325/detail</t>
  </si>
  <si>
    <t>格力电器</t>
  </si>
  <si>
    <t>www.lixinger.com/analytics/company/sz/000651/651/detail</t>
  </si>
  <si>
    <t>邮储银行</t>
  </si>
  <si>
    <t>www.lixinger.com/analytics/company/sh/601658/601658/detail</t>
  </si>
  <si>
    <t>京东方Ａ</t>
  </si>
  <si>
    <t>面板</t>
  </si>
  <si>
    <t>www.lixinger.com/analytics/company/sz/000725/725/detail</t>
  </si>
  <si>
    <t>中国核电</t>
  </si>
  <si>
    <t>www.lixinger.com/analytics/company/sh/601985/601985/detail</t>
  </si>
  <si>
    <t>万华化学</t>
  </si>
  <si>
    <t>聚氨酯</t>
  </si>
  <si>
    <t>www.lixinger.com/analytics/company/sh/600309/600309/detail</t>
  </si>
  <si>
    <t>方正证券</t>
  </si>
  <si>
    <t>www.lixinger.com/analytics/company/sh/601901/601901/detail</t>
  </si>
  <si>
    <t>兖矿能源</t>
  </si>
  <si>
    <t>www.lixinger.com/analytics/company/sh/600188/600188/detail</t>
  </si>
  <si>
    <t>成都银行</t>
  </si>
  <si>
    <t>www.lixinger.com/analytics/company/sh/601838/601838/detail</t>
  </si>
  <si>
    <t>渝农商行</t>
  </si>
  <si>
    <t>农商行</t>
  </si>
  <si>
    <t>www.lixinger.com/analytics/company/sh/601077/601077/detail</t>
  </si>
  <si>
    <t>潍柴动力</t>
  </si>
  <si>
    <t>底盘与发动机系统</t>
  </si>
  <si>
    <t>www.lixinger.com/analytics/company/sz/000338/338/detail</t>
  </si>
  <si>
    <t>泰禾集团</t>
  </si>
  <si>
    <t>www.lixinger.com/analytics/company/sz/000732/732/detail</t>
  </si>
  <si>
    <t>五粮液</t>
  </si>
  <si>
    <t>www.lixinger.com/analytics/company/sz/000858/858/detail</t>
  </si>
  <si>
    <t>海通证券</t>
  </si>
  <si>
    <t>www.lixinger.com/analytics/company/sh/600837/600837/detail</t>
  </si>
  <si>
    <t>中国中车</t>
  </si>
  <si>
    <t>轨交设备</t>
  </si>
  <si>
    <t>www.lixinger.com/analytics/company/sh/601766/601766/detail</t>
  </si>
  <si>
    <t>中国中铁</t>
  </si>
  <si>
    <t>www.lixinger.com/analytics/company/sh/601390/601390/detail</t>
  </si>
  <si>
    <t>中煤能源</t>
  </si>
  <si>
    <t>www.lixinger.com/analytics/company/sh/601898/601898/detail</t>
  </si>
  <si>
    <t>中信证券</t>
  </si>
  <si>
    <t>www.lixinger.com/analytics/company/sh/600030/600030/detail</t>
  </si>
  <si>
    <t>大唐发电</t>
  </si>
  <si>
    <t>www.lixinger.com/analytics/company/sh/601991/601991/detail</t>
  </si>
  <si>
    <t>华电国际</t>
  </si>
  <si>
    <t>www.lixinger.com/analytics/company/sh/600027/600027/detail</t>
  </si>
  <si>
    <t>中远海控</t>
  </si>
  <si>
    <t>航运</t>
  </si>
  <si>
    <t>www.lixinger.com/analytics/company/sh/601919/601919/detail</t>
  </si>
  <si>
    <t>华泰证券</t>
  </si>
  <si>
    <t>www.lixinger.com/analytics/company/sh/601688/601688/detail</t>
  </si>
  <si>
    <t>国投电力</t>
  </si>
  <si>
    <t>www.lixinger.com/analytics/company/sh/600886/600886/detail</t>
  </si>
  <si>
    <t>北京银行</t>
  </si>
  <si>
    <t>www.lixinger.com/analytics/company/sh/601169/601169/detail</t>
  </si>
  <si>
    <t>渤海租赁</t>
  </si>
  <si>
    <t>租赁</t>
  </si>
  <si>
    <t>www.lixinger.com/analytics/company/sz/000415/415/detail</t>
  </si>
  <si>
    <t>绿地控股</t>
  </si>
  <si>
    <t>www.lixinger.com/analytics/company/sh/600606/600606/detail</t>
  </si>
  <si>
    <t>陕西煤业</t>
  </si>
  <si>
    <t>www.lixinger.com/analytics/company/sh/601225/601225/detail</t>
  </si>
  <si>
    <t>兴业证券</t>
  </si>
  <si>
    <t>www.lixinger.com/analytics/company/sh/601377/601377/detail</t>
  </si>
  <si>
    <t>温氏股份</t>
  </si>
  <si>
    <t>生猪养殖</t>
  </si>
  <si>
    <t>www.lixinger.com/analytics/company/sz/300498/300498/detail</t>
  </si>
  <si>
    <t>中国中冶</t>
  </si>
  <si>
    <t>其他专业工程</t>
  </si>
  <si>
    <t>www.lixinger.com/analytics/company/sh/601618/601618/detail</t>
  </si>
  <si>
    <t>蚂蚁集团</t>
  </si>
  <si>
    <t>www.lixinger.com/analytics/company/sh/688688/688688/detail</t>
  </si>
  <si>
    <t>恒力石化</t>
  </si>
  <si>
    <t>www.lixinger.com/analytics/company/sh/600346/600346/detail</t>
  </si>
  <si>
    <t>京沪高铁</t>
  </si>
  <si>
    <t>铁路运输</t>
  </si>
  <si>
    <t>www.lixinger.com/analytics/company/sh/601816/601816/detail</t>
  </si>
  <si>
    <t>华能水电</t>
  </si>
  <si>
    <t>www.lixinger.com/analytics/company/sh/600025/600025/detail</t>
  </si>
  <si>
    <t>阳光城</t>
  </si>
  <si>
    <t>www.lixinger.com/analytics/company/sz/000671/671/detail</t>
  </si>
  <si>
    <t>海尔智家</t>
  </si>
  <si>
    <t>冰洗</t>
  </si>
  <si>
    <t>www.lixinger.com/analytics/company/sh/600690/600690/detail</t>
  </si>
  <si>
    <t>大秦铁路</t>
  </si>
  <si>
    <t>www.lixinger.com/analytics/company/sh/601006/601006/detail</t>
  </si>
  <si>
    <t>比亚迪</t>
  </si>
  <si>
    <t>电动乘用车</t>
  </si>
  <si>
    <t>www.lixinger.com/analytics/company/sz/002594/2594/detail</t>
  </si>
  <si>
    <t>长城汽车</t>
  </si>
  <si>
    <t>www.lixinger.com/analytics/company/sh/601633/601633/detail</t>
  </si>
  <si>
    <t>招商蛇口</t>
  </si>
  <si>
    <t>www.lixinger.com/analytics/company/sz/001979/1979/detail</t>
  </si>
  <si>
    <t>*ST海航</t>
  </si>
  <si>
    <t>www.lixinger.com/analytics/company/sh/600221/600221/detail</t>
  </si>
  <si>
    <t>晨鸣Ｂ</t>
  </si>
  <si>
    <t>www.lixinger.com/analytics/company/sz/200488/200488/detail</t>
  </si>
  <si>
    <t>金龙鱼</t>
  </si>
  <si>
    <t>粮油加工</t>
  </si>
  <si>
    <t>www.lixinger.com/analytics/company/sz/300999/300999/detail</t>
  </si>
  <si>
    <t>宁德时代</t>
  </si>
  <si>
    <t>锂电池</t>
  </si>
  <si>
    <t>www.lixinger.com/analytics/company/sz/300750/300750/detail</t>
  </si>
  <si>
    <t>三一重工</t>
  </si>
  <si>
    <t>工程机械整机</t>
  </si>
  <si>
    <t>www.lixinger.com/analytics/company/sh/600031/600031/detail</t>
  </si>
  <si>
    <t>中国铝业</t>
  </si>
  <si>
    <t>铝</t>
  </si>
  <si>
    <t>www.lixinger.com/analytics/company/sh/601600/601600/detail</t>
  </si>
  <si>
    <t>晨鸣纸业</t>
  </si>
  <si>
    <t>大宗用纸</t>
  </si>
  <si>
    <t>www.lixinger.com/analytics/company/sz/000488/488/detail</t>
  </si>
  <si>
    <t>东方财富</t>
  </si>
  <si>
    <t>www.lixinger.com/analytics/company/sz/300059/300059/detail</t>
  </si>
  <si>
    <t>TCL科技</t>
  </si>
  <si>
    <t>www.lixinger.com/analytics/company/sz/000100/100/detail</t>
  </si>
  <si>
    <t>江阴银行</t>
  </si>
  <si>
    <t>www.lixinger.com/analytics/company/sz/002807/2807/detail</t>
  </si>
  <si>
    <t>建发股份</t>
  </si>
  <si>
    <t>原材料供应链服务</t>
  </si>
  <si>
    <t>www.lixinger.com/analytics/company/sh/600153/600153/detail</t>
  </si>
  <si>
    <t>中泰证券</t>
  </si>
  <si>
    <t>www.lixinger.com/analytics/company/sh/600918/600918/detail</t>
  </si>
  <si>
    <t>常熟银行</t>
  </si>
  <si>
    <t>www.lixinger.com/analytics/company/sh/601128/601128/detail</t>
  </si>
  <si>
    <t>华菱钢铁</t>
  </si>
  <si>
    <t>www.lixinger.com/analytics/company/sz/000932/932/detail</t>
  </si>
  <si>
    <t>紫金矿业</t>
  </si>
  <si>
    <t>铜</t>
  </si>
  <si>
    <t>www.lixinger.com/analytics/company/sh/601899/601899/detail</t>
  </si>
  <si>
    <t>中天金融</t>
  </si>
  <si>
    <t>www.lixinger.com/analytics/company/sz/000540/540/detail</t>
  </si>
  <si>
    <t>上海电气</t>
  </si>
  <si>
    <t>综合电力设备商</t>
  </si>
  <si>
    <t>www.lixinger.com/analytics/company/sh/601727/601727/detail</t>
  </si>
  <si>
    <t>东方证券</t>
  </si>
  <si>
    <t>www.lixinger.com/analytics/company/sh/600958/600958/detail</t>
  </si>
  <si>
    <t>中银证券</t>
  </si>
  <si>
    <t>www.lixinger.com/analytics/company/sh/601696/601696/detail</t>
  </si>
  <si>
    <t>大名城</t>
  </si>
  <si>
    <t>www.lixinger.com/analytics/company/sh/600094/600094/detail</t>
  </si>
  <si>
    <t>申万宏源</t>
  </si>
  <si>
    <t>www.lixinger.com/analytics/company/sz/000166/166/detail</t>
  </si>
  <si>
    <t>鞍钢股份</t>
  </si>
  <si>
    <t>www.lixinger.com/analytics/company/sz/000898/898/detail</t>
  </si>
  <si>
    <t>紫金银行</t>
  </si>
  <si>
    <t>www.lixinger.com/analytics/company/sh/601860/601860/detail</t>
  </si>
  <si>
    <t>牧原股份</t>
  </si>
  <si>
    <t>www.lixinger.com/analytics/company/sz/002714/2714/detail</t>
  </si>
  <si>
    <t>招商证券</t>
  </si>
  <si>
    <t>www.lixinger.com/analytics/company/sh/600999/600999/detail</t>
  </si>
  <si>
    <t>齐鲁银行</t>
  </si>
  <si>
    <t>www.lixinger.com/analytics/company/sh/601665/601665/detail</t>
  </si>
  <si>
    <t>河钢股份</t>
  </si>
  <si>
    <t>www.lixinger.com/analytics/company/sz/000709/709/detail</t>
  </si>
  <si>
    <t>华新水泥</t>
  </si>
  <si>
    <t>www.lixinger.com/analytics/company/sh/600801/600801/detail</t>
  </si>
  <si>
    <t>华域汽车</t>
  </si>
  <si>
    <t>车身附件及饰件</t>
  </si>
  <si>
    <t>www.lixinger.com/analytics/company/sh/600741/600741/detail</t>
  </si>
  <si>
    <t>金隅集团</t>
  </si>
  <si>
    <t>www.lixinger.com/analytics/company/sh/601992/601992/detail</t>
  </si>
  <si>
    <t>淮北矿业</t>
  </si>
  <si>
    <t>焦煤</t>
  </si>
  <si>
    <t>www.lixinger.com/analytics/company/sh/600985/600985/detail</t>
  </si>
  <si>
    <t>粤电力Ｂ</t>
  </si>
  <si>
    <t>www.lixinger.com/analytics/company/sz/200539/200539/detail</t>
  </si>
  <si>
    <t>中国电建</t>
  </si>
  <si>
    <t>www.lixinger.com/analytics/company/sh/601669/601669/detail</t>
  </si>
  <si>
    <t>顺丰控股</t>
  </si>
  <si>
    <t>快递</t>
  </si>
  <si>
    <t>www.lixinger.com/analytics/company/sz/002352/2352/detail</t>
  </si>
  <si>
    <t>浙能电力</t>
  </si>
  <si>
    <t>www.lixinger.com/analytics/company/sh/600023/600023/detail</t>
  </si>
  <si>
    <t>中远海发</t>
  </si>
  <si>
    <t>www.lixinger.com/analytics/company/sh/601866/601866/detail</t>
  </si>
  <si>
    <t>伊利股份</t>
  </si>
  <si>
    <t>乳品</t>
  </si>
  <si>
    <t>www.lixinger.com/analytics/company/sh/600887/600887/detail</t>
  </si>
  <si>
    <t>粤电力Ａ</t>
  </si>
  <si>
    <t>www.lixinger.com/analytics/company/sz/000539/539/detail</t>
  </si>
  <si>
    <t>江西铜业</t>
  </si>
  <si>
    <t>www.lixinger.com/analytics/company/sh/600362/600362/detail</t>
  </si>
  <si>
    <t>冀东水泥</t>
  </si>
  <si>
    <t>www.lixinger.com/analytics/company/sz/000401/401/detail</t>
  </si>
  <si>
    <t>中泰化学</t>
  </si>
  <si>
    <t>氯碱</t>
  </si>
  <si>
    <t>www.lixinger.com/analytics/company/sz/002092/2092/detail</t>
  </si>
  <si>
    <t>中南建设</t>
  </si>
  <si>
    <t>www.lixinger.com/analytics/company/sz/000961/961/detail</t>
  </si>
  <si>
    <t>隆基股份</t>
  </si>
  <si>
    <t>硅料硅片</t>
  </si>
  <si>
    <t>www.lixinger.com/analytics/company/sh/601012/601012/detail</t>
  </si>
  <si>
    <t>中芯国际</t>
  </si>
  <si>
    <t>集成电路制造</t>
  </si>
  <si>
    <t>www.lixinger.com/analytics/company/sh/688981/688981/detail</t>
  </si>
  <si>
    <t>信达地产</t>
  </si>
  <si>
    <t>www.lixinger.com/analytics/company/sh/600657/600657/detail</t>
  </si>
  <si>
    <t>中信特钢</t>
  </si>
  <si>
    <t>特钢</t>
  </si>
  <si>
    <t>www.lixinger.com/analytics/company/sz/000708/708/detail</t>
  </si>
  <si>
    <t>金地集团</t>
  </si>
  <si>
    <t>www.lixinger.com/analytics/company/sh/600383/600383/detail</t>
  </si>
  <si>
    <t>马钢股份</t>
  </si>
  <si>
    <t>www.lixinger.com/analytics/company/sh/600808/600808/detail</t>
  </si>
  <si>
    <t>广汇汽车</t>
  </si>
  <si>
    <t>汽车经销商</t>
  </si>
  <si>
    <t>www.lixinger.com/analytics/company/sh/600297/600297/detail</t>
  </si>
  <si>
    <t>东北证券</t>
  </si>
  <si>
    <t>www.lixinger.com/analytics/company/sz/000686/686/detail</t>
  </si>
  <si>
    <t>本钢板Ｂ</t>
  </si>
  <si>
    <t>www.lixinger.com/analytics/company/sz/200761/200761/detail</t>
  </si>
  <si>
    <t>海康威视</t>
  </si>
  <si>
    <t>安防设备</t>
  </si>
  <si>
    <t>www.lixinger.com/analytics/company/sz/002415/2415/detail</t>
  </si>
  <si>
    <t>山西焦煤</t>
  </si>
  <si>
    <t>www.lixinger.com/analytics/company/sz/000983/983/detail</t>
  </si>
  <si>
    <t>立讯精密</t>
  </si>
  <si>
    <t>消费电子零部件及组装</t>
  </si>
  <si>
    <t>www.lixinger.com/analytics/company/sz/002475/2475/detail</t>
  </si>
  <si>
    <t>中兴通讯</t>
  </si>
  <si>
    <t>通信网络设备及器件</t>
  </si>
  <si>
    <t>www.lixinger.com/analytics/company/sz/000063/63/detail</t>
  </si>
  <si>
    <t>蓝思科技</t>
  </si>
  <si>
    <t>www.lixinger.com/analytics/company/sz/300433/300433/detail</t>
  </si>
  <si>
    <t>沪农商行</t>
  </si>
  <si>
    <t>www.lixinger.com/analytics/company/sh/601825/601825/detail</t>
  </si>
  <si>
    <t>瑞茂通</t>
  </si>
  <si>
    <t>www.lixinger.com/analytics/company/sh/600180/600180/detail</t>
  </si>
  <si>
    <t>本钢板材</t>
  </si>
  <si>
    <t>www.lixinger.com/analytics/company/sz/000761/761/detail</t>
  </si>
  <si>
    <t>中海油服</t>
  </si>
  <si>
    <t>油田服务</t>
  </si>
  <si>
    <t>www.lixinger.com/analytics/company/sh/601808/601808/detail</t>
  </si>
  <si>
    <t>贵阳银行</t>
  </si>
  <si>
    <t>www.lixinger.com/analytics/company/sh/601997/601997/detail</t>
  </si>
  <si>
    <t>洋河股份</t>
  </si>
  <si>
    <t>www.lixinger.com/analytics/company/sz/002304/2304/detail</t>
  </si>
  <si>
    <t>财通证券</t>
  </si>
  <si>
    <t>www.lixinger.com/analytics/company/sh/601108/601108/detail</t>
  </si>
  <si>
    <t>浙江龙盛</t>
  </si>
  <si>
    <t>纺织化学制品</t>
  </si>
  <si>
    <t>www.lixinger.com/analytics/company/sh/600352/600352/detail</t>
  </si>
  <si>
    <t>海天味业</t>
  </si>
  <si>
    <t>调味发酵品</t>
  </si>
  <si>
    <t>www.lixinger.com/analytics/company/sh/603288/603288/detail</t>
  </si>
  <si>
    <t>福星股份</t>
  </si>
  <si>
    <t>www.lixinger.com/analytics/company/sz/000926/926/detail</t>
  </si>
  <si>
    <t>工业富联</t>
  </si>
  <si>
    <t>www.lixinger.com/analytics/company/sh/601138/601138/detail</t>
  </si>
  <si>
    <t>新钢股份</t>
  </si>
  <si>
    <t>www.lixinger.com/analytics/company/sh/600782/600782/detail</t>
  </si>
  <si>
    <t>中联重科</t>
  </si>
  <si>
    <t>www.lixinger.com/analytics/company/sz/000157/157/detail</t>
  </si>
  <si>
    <t>上港集团</t>
  </si>
  <si>
    <t>港口</t>
  </si>
  <si>
    <t>www.lixinger.com/analytics/company/sh/600018/600018/detail</t>
  </si>
  <si>
    <t>招港B</t>
  </si>
  <si>
    <t>www.lixinger.com/analytics/company/sz/201872/201872/detail</t>
  </si>
  <si>
    <t>三峡能源</t>
  </si>
  <si>
    <t>风力发电</t>
  </si>
  <si>
    <t>www.lixinger.com/analytics/company/sh/600905/600905/detail</t>
  </si>
  <si>
    <t>葛洲坝</t>
  </si>
  <si>
    <t>www.lixinger.com/analytics/company/sh/600068/600068/detail</t>
  </si>
  <si>
    <t>上海医药</t>
  </si>
  <si>
    <t>医药流通</t>
  </si>
  <si>
    <t>www.lixinger.com/analytics/company/sh/601607/601607/detail</t>
  </si>
  <si>
    <t>中国交建</t>
  </si>
  <si>
    <t>www.lixinger.com/analytics/company/sh/601800/601800/detail</t>
  </si>
  <si>
    <t>上海电力</t>
  </si>
  <si>
    <t>www.lixinger.com/analytics/company/sh/600021/600021/detail</t>
  </si>
  <si>
    <t>金风科技</t>
  </si>
  <si>
    <t>风电整机</t>
  </si>
  <si>
    <t>www.lixinger.com/analytics/company/sz/002202/2202/detail</t>
  </si>
  <si>
    <t>宁沪高速</t>
  </si>
  <si>
    <t>高速公路</t>
  </si>
  <si>
    <t>www.lixinger.com/analytics/company/sh/600377/600377/detail</t>
  </si>
  <si>
    <t>明阳智能</t>
  </si>
  <si>
    <t>www.lixinger.com/analytics/company/sh/601615/601615/detail</t>
  </si>
  <si>
    <t>泛海控股</t>
  </si>
  <si>
    <t>www.lixinger.com/analytics/company/sz/000046/46/detail</t>
  </si>
  <si>
    <t>招商港口</t>
  </si>
  <si>
    <t>www.lixinger.com/analytics/company/sz/001872/1872/detail</t>
  </si>
  <si>
    <t>山东高速</t>
  </si>
  <si>
    <t>www.lixinger.com/analytics/company/sh/600350/600350/detail</t>
  </si>
  <si>
    <t>歌尔股份</t>
  </si>
  <si>
    <t>www.lixinger.com/analytics/company/sz/002241/2241/detail</t>
  </si>
  <si>
    <t>桂冠电力</t>
  </si>
  <si>
    <t>www.lixinger.com/analytics/company/sh/600236/600236/detail</t>
  </si>
  <si>
    <t>瑞丰银行</t>
  </si>
  <si>
    <t>www.lixinger.com/analytics/company/sh/601528/601528/detail</t>
  </si>
  <si>
    <t>物产中大</t>
  </si>
  <si>
    <t>www.lixinger.com/analytics/company/sh/600704/600704/detail</t>
  </si>
  <si>
    <t>中远海能</t>
  </si>
  <si>
    <t>www.lixinger.com/analytics/company/sh/600026/600026/detail</t>
  </si>
  <si>
    <t>宇通客车</t>
  </si>
  <si>
    <t>商用载客车</t>
  </si>
  <si>
    <t>www.lixinger.com/analytics/company/sh/600066/600066/detail</t>
  </si>
  <si>
    <t>天合光能</t>
  </si>
  <si>
    <t>光伏电池组件</t>
  </si>
  <si>
    <t>www.lixinger.com/analytics/company/sh/688599/688599/detail</t>
  </si>
  <si>
    <t>东方盛虹</t>
  </si>
  <si>
    <t>www.lixinger.com/analytics/company/sz/000301/301/detail</t>
  </si>
  <si>
    <t>深圳能源</t>
  </si>
  <si>
    <t>www.lixinger.com/analytics/company/sz/000027/27/detail</t>
  </si>
  <si>
    <t>永泰能源</t>
  </si>
  <si>
    <t>www.lixinger.com/analytics/company/sh/600157/600157/detail</t>
  </si>
  <si>
    <t>徐工机械</t>
  </si>
  <si>
    <t>www.lixinger.com/analytics/company/sz/000425/425/detail</t>
  </si>
  <si>
    <t>福耀玻璃</t>
  </si>
  <si>
    <t>www.lixinger.com/analytics/company/sh/600660/600660/detail</t>
  </si>
  <si>
    <t>上海石化</t>
  </si>
  <si>
    <t>www.lixinger.com/analytics/company/sh/600688/600688/detail</t>
  </si>
  <si>
    <t>桐昆股份</t>
  </si>
  <si>
    <t>其他石化</t>
  </si>
  <si>
    <t>www.lixinger.com/analytics/company/sh/601233/601233/detail</t>
  </si>
  <si>
    <t>航发动力</t>
  </si>
  <si>
    <t>航空装备</t>
  </si>
  <si>
    <t>www.lixinger.com/analytics/company/sh/600893/600893/detail</t>
  </si>
  <si>
    <t>申能股份</t>
  </si>
  <si>
    <t>www.lixinger.com/analytics/company/sh/600642/600642/detail</t>
  </si>
  <si>
    <t>韵达股份</t>
  </si>
  <si>
    <t>www.lixinger.com/analytics/company/sz/002120/2120/detail</t>
  </si>
  <si>
    <t>白云山</t>
  </si>
  <si>
    <t>中药</t>
  </si>
  <si>
    <t>www.lixinger.com/analytics/company/sh/600332/600332/detail</t>
  </si>
  <si>
    <t>正泰电器</t>
  </si>
  <si>
    <t>配电设备</t>
  </si>
  <si>
    <t>www.lixinger.com/analytics/company/sh/601877/601877/detail</t>
  </si>
  <si>
    <t>中粮资本</t>
  </si>
  <si>
    <t>www.lixinger.com/analytics/company/sz/002423/2423/detail</t>
  </si>
  <si>
    <t>柳钢股份</t>
  </si>
  <si>
    <t>www.lixinger.com/analytics/company/sh/601003/601003/detail</t>
  </si>
  <si>
    <t>上海机场</t>
  </si>
  <si>
    <t>机场</t>
  </si>
  <si>
    <t>www.lixinger.com/analytics/company/sh/600009/600009/detail</t>
  </si>
  <si>
    <t>隧道股份</t>
  </si>
  <si>
    <t>www.lixinger.com/analytics/company/sh/600820/600820/detail</t>
  </si>
  <si>
    <t>圣农发展</t>
  </si>
  <si>
    <t>肉鸡养殖</t>
  </si>
  <si>
    <t>www.lixinger.com/analytics/company/sz/002299/2299/detail</t>
  </si>
  <si>
    <t>泸州老窖</t>
  </si>
  <si>
    <t>www.lixinger.com/analytics/company/sz/000568/568/detail</t>
  </si>
  <si>
    <t>福田汽车</t>
  </si>
  <si>
    <t>商用载货车</t>
  </si>
  <si>
    <t>www.lixinger.com/analytics/company/sh/600166/600166/detail</t>
  </si>
  <si>
    <t>国元证券</t>
  </si>
  <si>
    <t>www.lixinger.com/analytics/company/sz/000728/728/detail</t>
  </si>
  <si>
    <t>深天马Ａ</t>
  </si>
  <si>
    <t>www.lixinger.com/analytics/company/sz/000050/50/detail</t>
  </si>
  <si>
    <t>中国化学</t>
  </si>
  <si>
    <t>化学工程</t>
  </si>
  <si>
    <t>www.lixinger.com/analytics/company/sh/601117/601117/detail</t>
  </si>
  <si>
    <t>迈瑞医疗</t>
  </si>
  <si>
    <t>医疗设备</t>
  </si>
  <si>
    <t>www.lixinger.com/analytics/company/sz/300760/300760/detail</t>
  </si>
  <si>
    <t>世茂股份</t>
  </si>
  <si>
    <t>www.lixinger.com/analytics/company/sh/600823/600823/detail</t>
  </si>
  <si>
    <t>太平洋</t>
  </si>
  <si>
    <t>www.lixinger.com/analytics/company/sh/601099/601099/detail</t>
  </si>
  <si>
    <t>太阳纸业</t>
  </si>
  <si>
    <t>www.lixinger.com/analytics/company/sz/002078/2078/detail</t>
  </si>
  <si>
    <t>国电南瑞</t>
  </si>
  <si>
    <t>电网自动化设备</t>
  </si>
  <si>
    <t>www.lixinger.com/analytics/company/sh/600406/600406/detail</t>
  </si>
  <si>
    <t>江苏国信</t>
  </si>
  <si>
    <t>www.lixinger.com/analytics/company/sz/002608/2608/detail</t>
  </si>
  <si>
    <t>招商轮船</t>
  </si>
  <si>
    <t>www.lixinger.com/analytics/company/sh/601872/601872/detail</t>
  </si>
  <si>
    <t>闻泰科技</t>
  </si>
  <si>
    <t>www.lixinger.com/analytics/company/sh/600745/600745/detail</t>
  </si>
  <si>
    <t>上海建工</t>
  </si>
  <si>
    <t>房屋建设</t>
  </si>
  <si>
    <t>www.lixinger.com/analytics/company/sh/600170/600170/detail</t>
  </si>
  <si>
    <t>山东钢铁</t>
  </si>
  <si>
    <t>www.lixinger.com/analytics/company/sh/600022/600022/detail</t>
  </si>
  <si>
    <t>潞安环能</t>
  </si>
  <si>
    <t>www.lixinger.com/analytics/company/sh/601699/601699/detail</t>
  </si>
  <si>
    <t>新希望</t>
  </si>
  <si>
    <t>www.lixinger.com/analytics/company/sz/000876/876/detail</t>
  </si>
  <si>
    <t>招商银行</t>
  </si>
  <si>
    <t>www.lixinger.com/analytics/company/sh/600036/600036/detail</t>
  </si>
  <si>
    <t>双汇发展</t>
  </si>
  <si>
    <t>肉制品</t>
  </si>
  <si>
    <t>www.lixinger.com/analytics/company/sz/000895/895/detail</t>
  </si>
  <si>
    <t>方大炭素</t>
  </si>
  <si>
    <t>冶钢辅料</t>
  </si>
  <si>
    <t>www.lixinger.com/analytics/company/sh/600516/600516/detail</t>
  </si>
  <si>
    <t>国机汽车</t>
  </si>
  <si>
    <t>www.lixinger.com/analytics/company/sh/600335/600335/detail</t>
  </si>
  <si>
    <t>南钢股份</t>
  </si>
  <si>
    <t>www.lixinger.com/analytics/company/sh/600282/600282/detail</t>
  </si>
  <si>
    <t>长安Ｂ</t>
  </si>
  <si>
    <t>www.lixinger.com/analytics/company/sz/200625/200625/detail</t>
  </si>
  <si>
    <t>招商公路</t>
  </si>
  <si>
    <t>www.lixinger.com/analytics/company/sz/001965/1965/detail</t>
  </si>
  <si>
    <t>京能电力</t>
  </si>
  <si>
    <t>www.lixinger.com/analytics/company/sh/600578/600578/detail</t>
  </si>
  <si>
    <t>山东黄金</t>
  </si>
  <si>
    <t>黄金</t>
  </si>
  <si>
    <t>www.lixinger.com/analytics/company/sh/600547/600547/detail</t>
  </si>
  <si>
    <t>云天化</t>
  </si>
  <si>
    <t>磷肥及磷化工</t>
  </si>
  <si>
    <t>www.lixinger.com/analytics/company/sh/600096/600096/detail</t>
  </si>
  <si>
    <t>新潮能源</t>
  </si>
  <si>
    <t>油气开采</t>
  </si>
  <si>
    <t>www.lixinger.com/analytics/company/sh/600777/600777/detail</t>
  </si>
  <si>
    <t>鹏鼎控股</t>
  </si>
  <si>
    <t>印制电路板</t>
  </si>
  <si>
    <t>www.lixinger.com/analytics/company/sz/002938/2938/detail</t>
  </si>
  <si>
    <t>黑牡丹</t>
  </si>
  <si>
    <t>www.lixinger.com/analytics/company/sh/600510/600510/detail</t>
  </si>
  <si>
    <t>中利集团</t>
  </si>
  <si>
    <t>www.lixinger.com/analytics/company/sz/002309/2309/detail</t>
  </si>
  <si>
    <t>厦门象屿</t>
  </si>
  <si>
    <t>www.lixinger.com/analytics/company/sh/600057/600057/detail</t>
  </si>
  <si>
    <t>美凯龙</t>
  </si>
  <si>
    <t>商业物业经营</t>
  </si>
  <si>
    <t>www.lixinger.com/analytics/company/sh/601828/601828/detail</t>
  </si>
  <si>
    <t>现代投资</t>
  </si>
  <si>
    <t>www.lixinger.com/analytics/company/sz/000900/900/detail</t>
  </si>
  <si>
    <t>广汇能源</t>
  </si>
  <si>
    <t>油品石化贸易</t>
  </si>
  <si>
    <t>www.lixinger.com/analytics/company/sh/600256/600256/detail</t>
  </si>
  <si>
    <t>大悦城</t>
  </si>
  <si>
    <t>www.lixinger.com/analytics/company/sz/000031/31/detail</t>
  </si>
  <si>
    <t>铜陵有色</t>
  </si>
  <si>
    <t>www.lixinger.com/analytics/company/sz/000630/630/detail</t>
  </si>
  <si>
    <t>特变电工</t>
  </si>
  <si>
    <t>输变电设备</t>
  </si>
  <si>
    <t>www.lixinger.com/analytics/company/sh/600089/600089/detail</t>
  </si>
  <si>
    <t>传音控股</t>
  </si>
  <si>
    <t>品牌消费电子</t>
  </si>
  <si>
    <t>www.lixinger.com/analytics/company/sh/688036/688036/detail</t>
  </si>
  <si>
    <t>青岛啤酒</t>
  </si>
  <si>
    <t>啤酒</t>
  </si>
  <si>
    <t>www.lixinger.com/analytics/company/sh/600600/600600/detail</t>
  </si>
  <si>
    <t>无锡银行</t>
  </si>
  <si>
    <t>www.lixinger.com/analytics/company/sh/600908/600908/detail</t>
  </si>
  <si>
    <t>山西证券</t>
  </si>
  <si>
    <t>www.lixinger.com/analytics/company/sz/002500/2500/detail</t>
  </si>
  <si>
    <t>正邦科技</t>
  </si>
  <si>
    <t>www.lixinger.com/analytics/company/sz/002157/2157/detail</t>
  </si>
  <si>
    <t>均胜电子</t>
  </si>
  <si>
    <t>汽车电子电气系统</t>
  </si>
  <si>
    <t>www.lixinger.com/analytics/company/sh/600699/600699/detail</t>
  </si>
  <si>
    <t>内蒙华电</t>
  </si>
  <si>
    <t>www.lixinger.com/analytics/company/sh/600863/600863/detail</t>
  </si>
  <si>
    <t>长安汽车</t>
  </si>
  <si>
    <t>www.lixinger.com/analytics/company/sz/000625/625/detail</t>
  </si>
  <si>
    <t>西部矿业</t>
  </si>
  <si>
    <t>www.lixinger.com/analytics/company/sh/601168/601168/detail</t>
  </si>
  <si>
    <t>太钢不锈</t>
  </si>
  <si>
    <t>www.lixinger.com/analytics/company/sz/000825/825/detail</t>
  </si>
  <si>
    <t>财达证券</t>
  </si>
  <si>
    <t>www.lixinger.com/analytics/company/sh/600906/600906/detail</t>
  </si>
  <si>
    <t>蓝光发展</t>
  </si>
  <si>
    <t>www.lixinger.com/analytics/company/sh/600466/600466/detail</t>
  </si>
  <si>
    <t>国海证券</t>
  </si>
  <si>
    <t>www.lixinger.com/analytics/company/sz/000750/750/detail</t>
  </si>
  <si>
    <t>恒瑞医药</t>
  </si>
  <si>
    <t>化学制剂</t>
  </si>
  <si>
    <t>www.lixinger.com/analytics/company/sh/600276/600276/detail</t>
  </si>
  <si>
    <t>海航科技</t>
  </si>
  <si>
    <t>其他电子</t>
  </si>
  <si>
    <t>www.lixinger.com/analytics/company/sh/600751/600751/detail</t>
  </si>
  <si>
    <t>圆通速递</t>
  </si>
  <si>
    <t>www.lixinger.com/analytics/company/sh/600233/600233/detail</t>
  </si>
  <si>
    <t>国联证券</t>
  </si>
  <si>
    <t>www.lixinger.com/analytics/company/sh/601456/601456/detail</t>
  </si>
  <si>
    <t>南山铝业</t>
  </si>
  <si>
    <t>www.lixinger.com/analytics/company/sh/600219/600219/detail</t>
  </si>
  <si>
    <t>苏农银行</t>
  </si>
  <si>
    <t>www.lixinger.com/analytics/company/sh/603323/603323/detail</t>
  </si>
  <si>
    <t>内蒙一机</t>
  </si>
  <si>
    <t>地面兵装</t>
  </si>
  <si>
    <t>www.lixinger.com/analytics/company/sh/600967/600967/detail</t>
  </si>
  <si>
    <t>新天绿能</t>
  </si>
  <si>
    <t>www.lixinger.com/analytics/company/sh/600956/600956/detail</t>
  </si>
  <si>
    <t>华鲁恒升</t>
  </si>
  <si>
    <t>煤化工</t>
  </si>
  <si>
    <t>www.lixinger.com/analytics/company/sh/600426/600426/detail</t>
  </si>
  <si>
    <t>中船防务</t>
  </si>
  <si>
    <t>航海装备</t>
  </si>
  <si>
    <t>www.lixinger.com/analytics/company/sh/600685/600685/detail</t>
  </si>
  <si>
    <t>晶澳科技</t>
  </si>
  <si>
    <t>www.lixinger.com/analytics/company/sz/002459/2459/detail</t>
  </si>
  <si>
    <t>云铝股份</t>
  </si>
  <si>
    <t>www.lixinger.com/analytics/company/sz/000807/807/detail</t>
  </si>
  <si>
    <t>四川路桥</t>
  </si>
  <si>
    <t>www.lixinger.com/analytics/company/sh/600039/600039/detail</t>
  </si>
  <si>
    <t>中粮科技</t>
  </si>
  <si>
    <t>其他农产品加工</t>
  </si>
  <si>
    <t>www.lixinger.com/analytics/company/sz/000930/930/detail</t>
  </si>
  <si>
    <t>广州发展</t>
  </si>
  <si>
    <t>www.lixinger.com/analytics/company/sh/600098/600098/detail</t>
  </si>
  <si>
    <t>华安证券</t>
  </si>
  <si>
    <t>www.lixinger.com/analytics/company/sh/600909/600909/detail</t>
  </si>
  <si>
    <t>宝丰能源</t>
  </si>
  <si>
    <t>www.lixinger.com/analytics/company/sh/600989/600989/detail</t>
  </si>
  <si>
    <t>鄂尔多斯</t>
  </si>
  <si>
    <t>www.lixinger.com/analytics/company/sh/600295/600295/detail</t>
  </si>
  <si>
    <t>三聚环保</t>
  </si>
  <si>
    <t>大气治理</t>
  </si>
  <si>
    <t>www.lixinger.com/analytics/company/sz/300072/300072/detail</t>
  </si>
  <si>
    <t>中集集团</t>
  </si>
  <si>
    <t>金属制品</t>
  </si>
  <si>
    <t>www.lixinger.com/analytics/company/sz/000039/39/detail</t>
  </si>
  <si>
    <t>豫园股份</t>
  </si>
  <si>
    <t>www.lixinger.com/analytics/company/sh/600655/600655/detail</t>
  </si>
  <si>
    <t>华阳股份</t>
  </si>
  <si>
    <t>www.lixinger.com/analytics/company/sh/600348/600348/detail</t>
  </si>
  <si>
    <t>中原证券</t>
  </si>
  <si>
    <t>www.lixinger.com/analytics/company/sh/601375/601375/detail</t>
  </si>
  <si>
    <t>海澜之家</t>
  </si>
  <si>
    <t>非运动服装</t>
  </si>
  <si>
    <t>www.lixinger.com/analytics/company/sh/600398/600398/detail</t>
  </si>
  <si>
    <t>冀中能源</t>
  </si>
  <si>
    <t>www.lixinger.com/analytics/company/sz/000937/937/detail</t>
  </si>
  <si>
    <t>电投能源</t>
  </si>
  <si>
    <t>www.lixinger.com/analytics/company/sz/002128/2128/detail</t>
  </si>
  <si>
    <t>哈投股份</t>
  </si>
  <si>
    <t>www.lixinger.com/analytics/company/sh/600864/600864/detail</t>
  </si>
  <si>
    <t>春秋航空</t>
  </si>
  <si>
    <t>www.lixinger.com/analytics/company/sh/601021/601021/detail</t>
  </si>
  <si>
    <t>新集能源</t>
  </si>
  <si>
    <t>www.lixinger.com/analytics/company/sh/601918/601918/detail</t>
  </si>
  <si>
    <t>苏美达</t>
  </si>
  <si>
    <t>贸易</t>
  </si>
  <si>
    <t>www.lixinger.com/analytics/company/sh/600710/600710/detail</t>
  </si>
  <si>
    <t>分众传媒</t>
  </si>
  <si>
    <t>广告媒体</t>
  </si>
  <si>
    <t>www.lixinger.com/analytics/company/sz/002027/2027/detail</t>
  </si>
  <si>
    <t>越秀金控</t>
  </si>
  <si>
    <t>www.lixinger.com/analytics/company/sz/000987/987/detail</t>
  </si>
  <si>
    <t>中国通号</t>
  </si>
  <si>
    <t>www.lixinger.com/analytics/company/sh/688009/688009/detail</t>
  </si>
  <si>
    <t>首创环保</t>
  </si>
  <si>
    <t>水务及水治理</t>
  </si>
  <si>
    <t>www.lixinger.com/analytics/company/sh/600008/600008/detail</t>
  </si>
  <si>
    <t>东方集团</t>
  </si>
  <si>
    <t>综合</t>
  </si>
  <si>
    <t>www.lixinger.com/analytics/company/sh/600811/600811/detail</t>
  </si>
  <si>
    <t>碧水源</t>
  </si>
  <si>
    <t>www.lixinger.com/analytics/company/sz/300070/300070/detail</t>
  </si>
  <si>
    <t>中国外运</t>
  </si>
  <si>
    <t>跨境物流</t>
  </si>
  <si>
    <t>www.lixinger.com/analytics/company/sh/601598/601598/detail</t>
  </si>
  <si>
    <t>首钢股份</t>
  </si>
  <si>
    <t>www.lixinger.com/analytics/company/sz/000959/959/detail</t>
  </si>
  <si>
    <t>湖北能源</t>
  </si>
  <si>
    <t>电能综合服务</t>
  </si>
  <si>
    <t>www.lixinger.com/analytics/company/sz/000883/883/detail</t>
  </si>
  <si>
    <t>攀钢钒钛</t>
  </si>
  <si>
    <t>www.lixinger.com/analytics/company/sz/000629/629/detail</t>
  </si>
  <si>
    <t>香江控股</t>
  </si>
  <si>
    <t>www.lixinger.com/analytics/company/sh/600162/600162/detail</t>
  </si>
  <si>
    <t>三七互娱</t>
  </si>
  <si>
    <t>游戏</t>
  </si>
  <si>
    <t>www.lixinger.com/analytics/company/sz/002555/2555/detail</t>
  </si>
  <si>
    <t>欧菲光</t>
  </si>
  <si>
    <t>光学元件</t>
  </si>
  <si>
    <t>www.lixinger.com/analytics/company/sz/002456/2456/detail</t>
  </si>
  <si>
    <t>海大集团</t>
  </si>
  <si>
    <t>水产饲料</t>
  </si>
  <si>
    <t>www.lixinger.com/analytics/company/sz/002311/2311/detail</t>
  </si>
  <si>
    <t>中原高速</t>
  </si>
  <si>
    <t>www.lixinger.com/analytics/company/sh/600020/600020/detail</t>
  </si>
  <si>
    <t>山煤国际</t>
  </si>
  <si>
    <t>www.lixinger.com/analytics/company/sh/600546/600546/detail</t>
  </si>
  <si>
    <t>复星医药</t>
  </si>
  <si>
    <t>www.lixinger.com/analytics/company/sh/600196/600196/detail</t>
  </si>
  <si>
    <t>长电科技</t>
  </si>
  <si>
    <t>集成电路封测</t>
  </si>
  <si>
    <t>www.lixinger.com/analytics/company/sh/600584/600584/detail</t>
  </si>
  <si>
    <t>中科曙光</t>
  </si>
  <si>
    <t>其他计算机设备</t>
  </si>
  <si>
    <t>www.lixinger.com/analytics/company/sh/603019/603019/detail</t>
  </si>
  <si>
    <t>酒钢宏兴</t>
  </si>
  <si>
    <t>www.lixinger.com/analytics/company/sh/600307/600307/detail</t>
  </si>
  <si>
    <t>新兴铸管</t>
  </si>
  <si>
    <t>钢铁管材</t>
  </si>
  <si>
    <t>www.lixinger.com/analytics/company/sz/000778/778/detail</t>
  </si>
  <si>
    <t>上峰水泥</t>
  </si>
  <si>
    <t>www.lixinger.com/analytics/company/sz/000672/672/detail</t>
  </si>
  <si>
    <t>粤水电</t>
  </si>
  <si>
    <t>www.lixinger.com/analytics/company/sz/002060/2060/detail</t>
  </si>
  <si>
    <t>鲁西化工</t>
  </si>
  <si>
    <t>www.lixinger.com/analytics/company/sz/000830/830/detail</t>
  </si>
  <si>
    <t>中南传媒</t>
  </si>
  <si>
    <t>教育出版</t>
  </si>
  <si>
    <t>www.lixinger.com/analytics/company/sh/601098/601098/detail</t>
  </si>
  <si>
    <t>山西汾酒</t>
  </si>
  <si>
    <t>www.lixinger.com/analytics/company/sh/600809/600809/detail</t>
  </si>
  <si>
    <t>江铃Ｂ</t>
  </si>
  <si>
    <t>www.lixinger.com/analytics/company/sz/200550/200550/detail</t>
  </si>
  <si>
    <t>白云机场</t>
  </si>
  <si>
    <t>www.lixinger.com/analytics/company/sh/600004/600004/detail</t>
  </si>
  <si>
    <t>西部证券</t>
  </si>
  <si>
    <t>www.lixinger.com/analytics/company/sz/002673/2673/detail</t>
  </si>
  <si>
    <t>领益智造</t>
  </si>
  <si>
    <t>www.lixinger.com/analytics/company/sz/002600/2600/detail</t>
  </si>
  <si>
    <t>新华联</t>
  </si>
  <si>
    <t>www.lixinger.com/analytics/company/sz/000620/620/detail</t>
  </si>
  <si>
    <t>中材科技</t>
  </si>
  <si>
    <t>玻纤制造</t>
  </si>
  <si>
    <t>www.lixinger.com/analytics/company/sz/002080/2080/detail</t>
  </si>
  <si>
    <t>青岛港</t>
  </si>
  <si>
    <t>www.lixinger.com/analytics/company/sh/601298/601298/detail</t>
  </si>
  <si>
    <t>天地科技</t>
  </si>
  <si>
    <t>能源及重型设备</t>
  </si>
  <si>
    <t>www.lixinger.com/analytics/company/sh/600582/600582/detail</t>
  </si>
  <si>
    <t>*ST山航B</t>
  </si>
  <si>
    <t>www.lixinger.com/analytics/company/sz/200152/200152/detail</t>
  </si>
  <si>
    <t>海油发展</t>
  </si>
  <si>
    <t>www.lixinger.com/analytics/company/sh/600968/600968/detail</t>
  </si>
  <si>
    <t>中国中免</t>
  </si>
  <si>
    <t>旅游零售</t>
  </si>
  <si>
    <t>www.lixinger.com/analytics/company/sh/601888/601888/detail</t>
  </si>
  <si>
    <t>药明康德</t>
  </si>
  <si>
    <t>医疗研发外包</t>
  </si>
  <si>
    <t>www.lixinger.com/analytics/company/sh/603259/603259/detail</t>
  </si>
  <si>
    <t>中天科技</t>
  </si>
  <si>
    <t>通信线缆及配套</t>
  </si>
  <si>
    <t>www.lixinger.com/analytics/company/sh/600522/600522/detail</t>
  </si>
  <si>
    <t>*ST康美</t>
  </si>
  <si>
    <t>www.lixinger.com/analytics/company/sh/600518/600518/detail</t>
  </si>
  <si>
    <t>汇顶科技</t>
  </si>
  <si>
    <t>模拟芯片设计</t>
  </si>
  <si>
    <t>www.lixinger.com/analytics/company/sh/603160/603160/detail</t>
  </si>
  <si>
    <t>郑煤机</t>
  </si>
  <si>
    <t>www.lixinger.com/analytics/company/sh/601717/601717/detail</t>
  </si>
  <si>
    <t>华峰化学</t>
  </si>
  <si>
    <t>氨纶</t>
  </si>
  <si>
    <t>www.lixinger.com/analytics/company/sz/002064/2064/detail</t>
  </si>
  <si>
    <t>玲珑轮胎</t>
  </si>
  <si>
    <t>轮胎轮毂</t>
  </si>
  <si>
    <t>www.lixinger.com/analytics/company/sh/601966/601966/detail</t>
  </si>
  <si>
    <t>梅花生物</t>
  </si>
  <si>
    <t>www.lixinger.com/analytics/company/sh/600873/600873/detail</t>
  </si>
  <si>
    <t>三安光电</t>
  </si>
  <si>
    <t>LED</t>
  </si>
  <si>
    <t>www.lixinger.com/analytics/company/sh/600703/600703/detail</t>
  </si>
  <si>
    <t>东方明珠</t>
  </si>
  <si>
    <t>电视广播</t>
  </si>
  <si>
    <t>www.lixinger.com/analytics/company/sh/600637/600637/detail</t>
  </si>
  <si>
    <t>盐湖股份</t>
  </si>
  <si>
    <t>钾肥</t>
  </si>
  <si>
    <t>www.lixinger.com/analytics/company/sz/000792/792/detail</t>
  </si>
  <si>
    <t>电气风电</t>
  </si>
  <si>
    <t>www.lixinger.com/analytics/company/sh/688660/688660/detail</t>
  </si>
  <si>
    <t>中国巨石</t>
  </si>
  <si>
    <t>www.lixinger.com/analytics/company/sh/600176/600176/detail</t>
  </si>
  <si>
    <t>九州通</t>
  </si>
  <si>
    <t>www.lixinger.com/analytics/company/sh/600998/600998/detail</t>
  </si>
  <si>
    <t>雅戈尔</t>
  </si>
  <si>
    <t>www.lixinger.com/analytics/company/sh/600177/600177/detail</t>
  </si>
  <si>
    <t>三六零</t>
  </si>
  <si>
    <t>横向通用软件</t>
  </si>
  <si>
    <t>www.lixinger.com/analytics/company/sh/601360/601360/detail</t>
  </si>
  <si>
    <t>金发科技</t>
  </si>
  <si>
    <t>改性塑料</t>
  </si>
  <si>
    <t>www.lixinger.com/analytics/company/sh/600143/600143/detail</t>
  </si>
  <si>
    <t>江铃汽车</t>
  </si>
  <si>
    <t>www.lixinger.com/analytics/company/sz/000550/550/detail</t>
  </si>
  <si>
    <t>吉祥航空</t>
  </si>
  <si>
    <t>www.lixinger.com/analytics/company/sh/603885/603885/detail</t>
  </si>
  <si>
    <t>华锦股份</t>
  </si>
  <si>
    <t>www.lixinger.com/analytics/company/sz/000059/59/detail</t>
  </si>
  <si>
    <t>长江证券</t>
  </si>
  <si>
    <t>www.lixinger.com/analytics/company/sz/000783/783/detail</t>
  </si>
  <si>
    <t>福能股份</t>
  </si>
  <si>
    <t>www.lixinger.com/analytics/company/sh/600483/600483/detail</t>
  </si>
  <si>
    <t>晋控煤业</t>
  </si>
  <si>
    <t>www.lixinger.com/analytics/company/sh/601001/601001/detail</t>
  </si>
  <si>
    <t>天山股份</t>
  </si>
  <si>
    <t>www.lixinger.com/analytics/company/sz/000877/877/detail</t>
  </si>
  <si>
    <t>皖能电力</t>
  </si>
  <si>
    <t>www.lixinger.com/analytics/company/sz/000543/543/detail</t>
  </si>
  <si>
    <t>南玻Ｂ</t>
  </si>
  <si>
    <t>www.lixinger.com/analytics/company/sz/200012/200012/detail</t>
  </si>
  <si>
    <t>金融街</t>
  </si>
  <si>
    <t>www.lixinger.com/analytics/company/sz/000402/402/detail</t>
  </si>
  <si>
    <t>广州港</t>
  </si>
  <si>
    <t>www.lixinger.com/analytics/company/sh/601228/601228/detail</t>
  </si>
  <si>
    <t>纳思达</t>
  </si>
  <si>
    <t>数字芯片设计</t>
  </si>
  <si>
    <t>www.lixinger.com/analytics/company/sz/002180/2180/detail</t>
  </si>
  <si>
    <t>东山精密</t>
  </si>
  <si>
    <t>www.lixinger.com/analytics/company/sz/002384/2384/detail</t>
  </si>
  <si>
    <t>君正集团</t>
  </si>
  <si>
    <t>www.lixinger.com/analytics/company/sh/601216/601216/detail</t>
  </si>
  <si>
    <t>锦江酒店</t>
  </si>
  <si>
    <t>酒店</t>
  </si>
  <si>
    <t>www.lixinger.com/analytics/company/sh/600754/600754/detail</t>
  </si>
  <si>
    <t>吉电股份</t>
  </si>
  <si>
    <t>www.lixinger.com/analytics/company/sz/000875/875/detail</t>
  </si>
  <si>
    <t>百联股份</t>
  </si>
  <si>
    <t>多业态零售</t>
  </si>
  <si>
    <t>www.lixinger.com/analytics/company/sh/600827/600827/detail</t>
  </si>
  <si>
    <t>步长制药</t>
  </si>
  <si>
    <t>www.lixinger.com/analytics/company/sh/603858/603858/detail</t>
  </si>
  <si>
    <t>滨江集团</t>
  </si>
  <si>
    <t>www.lixinger.com/analytics/company/sz/002244/2244/detail</t>
  </si>
  <si>
    <t>江苏有线</t>
  </si>
  <si>
    <t>www.lixinger.com/analytics/company/sh/600959/600959/detail</t>
  </si>
  <si>
    <t>怡亚通</t>
  </si>
  <si>
    <t>中间产品及消费品供应链服务</t>
  </si>
  <si>
    <t>www.lixinger.com/analytics/company/sz/002183/2183/detail</t>
  </si>
  <si>
    <t>开滦股份</t>
  </si>
  <si>
    <t>焦炭</t>
  </si>
  <si>
    <t>www.lixinger.com/analytics/company/sh/600997/600997/detail</t>
  </si>
  <si>
    <t>东方日升</t>
  </si>
  <si>
    <t>www.lixinger.com/analytics/company/sz/300118/300118/detail</t>
  </si>
  <si>
    <t>中国重汽</t>
  </si>
  <si>
    <t>www.lixinger.com/analytics/company/sz/000951/951/detail</t>
  </si>
  <si>
    <t>华友钴业</t>
  </si>
  <si>
    <t>钴</t>
  </si>
  <si>
    <t>www.lixinger.com/analytics/company/sh/603799/603799/detail</t>
  </si>
  <si>
    <t>居然之家</t>
  </si>
  <si>
    <t>www.lixinger.com/analytics/company/sz/000785/785/detail</t>
  </si>
  <si>
    <t>安迪苏</t>
  </si>
  <si>
    <t>食品及饲料添加剂</t>
  </si>
  <si>
    <t>www.lixinger.com/analytics/company/sh/600299/600299/detail</t>
  </si>
  <si>
    <t>驰宏锌锗</t>
  </si>
  <si>
    <t>铅锌</t>
  </si>
  <si>
    <t>www.lixinger.com/analytics/company/sh/600497/600497/detail</t>
  </si>
  <si>
    <t>锦龙股份</t>
  </si>
  <si>
    <t>www.lixinger.com/analytics/company/sz/000712/712/detail</t>
  </si>
  <si>
    <t>白银有色</t>
  </si>
  <si>
    <t>白银</t>
  </si>
  <si>
    <t>www.lixinger.com/analytics/company/sh/601212/601212/detail</t>
  </si>
  <si>
    <t>中环股份</t>
  </si>
  <si>
    <t>www.lixinger.com/analytics/company/sz/002129/2129/detail</t>
  </si>
  <si>
    <t>建投能源</t>
  </si>
  <si>
    <t>www.lixinger.com/analytics/company/sz/000600/600/detail</t>
  </si>
  <si>
    <t>阳光电源</t>
  </si>
  <si>
    <t>逆变器</t>
  </si>
  <si>
    <t>www.lixinger.com/analytics/company/sz/300274/300274/detail</t>
  </si>
  <si>
    <t>中公教育</t>
  </si>
  <si>
    <t>培训教育</t>
  </si>
  <si>
    <t>www.lixinger.com/analytics/company/sz/002607/2607/detail</t>
  </si>
  <si>
    <t>晶科能源</t>
  </si>
  <si>
    <t>半导体材料</t>
  </si>
  <si>
    <t>www.lixinger.com/analytics/company/sh/688223/688223/detail</t>
  </si>
  <si>
    <t>世荣兆业</t>
  </si>
  <si>
    <t>www.lixinger.com/analytics/company/sz/002016/2016/detail</t>
  </si>
  <si>
    <t>秦港股份</t>
  </si>
  <si>
    <t>www.lixinger.com/analytics/company/sh/601326/601326/detail</t>
  </si>
  <si>
    <t>万年青</t>
  </si>
  <si>
    <t>www.lixinger.com/analytics/company/sz/000789/789/detail</t>
  </si>
  <si>
    <t>深圳燃气</t>
  </si>
  <si>
    <t>燃气</t>
  </si>
  <si>
    <t>www.lixinger.com/analytics/company/sh/601139/601139/detail</t>
  </si>
  <si>
    <t>环旭电子</t>
  </si>
  <si>
    <t>www.lixinger.com/analytics/company/sh/601231/601231/detail</t>
  </si>
  <si>
    <t>国盛金控</t>
  </si>
  <si>
    <t>www.lixinger.com/analytics/company/sz/002670/2670/detail</t>
  </si>
  <si>
    <t>立华股份</t>
  </si>
  <si>
    <t>www.lixinger.com/analytics/company/sz/300761/300761/detail</t>
  </si>
  <si>
    <t>光明乳业</t>
  </si>
  <si>
    <t>www.lixinger.com/analytics/company/sh/600597/600597/detail</t>
  </si>
  <si>
    <t>中国天楹</t>
  </si>
  <si>
    <t>固废治理</t>
  </si>
  <si>
    <t>www.lixinger.com/analytics/company/sz/000035/35/detail</t>
  </si>
  <si>
    <t>广深铁路</t>
  </si>
  <si>
    <t>www.lixinger.com/analytics/company/sh/601333/601333/detail</t>
  </si>
  <si>
    <t>凤凰传媒</t>
  </si>
  <si>
    <t>www.lixinger.com/analytics/company/sh/601928/601928/detail</t>
  </si>
  <si>
    <t>南玻Ａ</t>
  </si>
  <si>
    <t>玻璃制造</t>
  </si>
  <si>
    <t>www.lixinger.com/analytics/company/sz/000012/12/detail</t>
  </si>
  <si>
    <t>视源股份</t>
  </si>
  <si>
    <t>教育运营及其他</t>
  </si>
  <si>
    <t>www.lixinger.com/analytics/company/sz/002841/2841/detail</t>
  </si>
  <si>
    <t>通威股份</t>
  </si>
  <si>
    <t>www.lixinger.com/analytics/company/sh/600438/600438/detail</t>
  </si>
  <si>
    <t>华泰股份</t>
  </si>
  <si>
    <t>www.lixinger.com/analytics/company/sh/600308/600308/detail</t>
  </si>
  <si>
    <t>天齐锂业</t>
  </si>
  <si>
    <t>锂</t>
  </si>
  <si>
    <t>www.lixinger.com/analytics/company/sz/002466/2466/detail</t>
  </si>
  <si>
    <t>中文传媒</t>
  </si>
  <si>
    <t>大众出版</t>
  </si>
  <si>
    <t>www.lixinger.com/analytics/company/sh/600373/600373/detail</t>
  </si>
  <si>
    <t>*ST基础</t>
  </si>
  <si>
    <t>www.lixinger.com/analytics/company/sh/600515/600515/detail</t>
  </si>
  <si>
    <t>健康元</t>
  </si>
  <si>
    <t>www.lixinger.com/analytics/company/sh/600380/600380/detail</t>
  </si>
  <si>
    <t>第一创业</t>
  </si>
  <si>
    <t>www.lixinger.com/analytics/company/sz/002797/2797/detail</t>
  </si>
  <si>
    <t>公牛集团</t>
  </si>
  <si>
    <t>其他家居用品</t>
  </si>
  <si>
    <t>www.lixinger.com/analytics/company/sh/603195/603195/detail</t>
  </si>
  <si>
    <t>华利集团</t>
  </si>
  <si>
    <t>纺织鞋类制造</t>
  </si>
  <si>
    <t>www.lixinger.com/analytics/company/sz/300979/300979/detail</t>
  </si>
  <si>
    <t>三湘印象</t>
  </si>
  <si>
    <t>www.lixinger.com/analytics/company/sz/000863/863/detail</t>
  </si>
  <si>
    <t>同仁堂</t>
  </si>
  <si>
    <t>www.lixinger.com/analytics/company/sh/600085/600085/detail</t>
  </si>
  <si>
    <t>海王生物</t>
  </si>
  <si>
    <t>www.lixinger.com/analytics/company/sz/000078/78/detail</t>
  </si>
  <si>
    <t>新湖中宝</t>
  </si>
  <si>
    <t>www.lixinger.com/analytics/company/sh/600208/600208/detail</t>
  </si>
  <si>
    <t>湖北宜化</t>
  </si>
  <si>
    <t>www.lixinger.com/analytics/company/sz/000422/422/detail</t>
  </si>
  <si>
    <t>恒源煤电</t>
  </si>
  <si>
    <t>www.lixinger.com/analytics/company/sh/600971/600971/detail</t>
  </si>
  <si>
    <t>重庆水务</t>
  </si>
  <si>
    <t>www.lixinger.com/analytics/company/sh/601158/601158/detail</t>
  </si>
  <si>
    <t>金科股份</t>
  </si>
  <si>
    <t>www.lixinger.com/analytics/company/sz/000656/656/detail</t>
  </si>
  <si>
    <t>一致Ｂ</t>
  </si>
  <si>
    <t>www.lixinger.com/analytics/company/sz/200028/200028/detail</t>
  </si>
  <si>
    <t>粤高速Ｂ</t>
  </si>
  <si>
    <t>www.lixinger.com/analytics/company/sz/200429/200429/detail</t>
  </si>
  <si>
    <t>中金岭南</t>
  </si>
  <si>
    <t>www.lixinger.com/analytics/company/sz/000060/60/detail</t>
  </si>
  <si>
    <t>晋控电力</t>
  </si>
  <si>
    <t>www.lixinger.com/analytics/company/sz/000767/767/detail</t>
  </si>
  <si>
    <t>科伦药业</t>
  </si>
  <si>
    <t>www.lixinger.com/analytics/company/sz/002422/2422/detail</t>
  </si>
  <si>
    <t>东阳光</t>
  </si>
  <si>
    <t>www.lixinger.com/analytics/company/sh/600673/600673/detail</t>
  </si>
  <si>
    <t>中金黄金</t>
  </si>
  <si>
    <t>www.lixinger.com/analytics/company/sh/600489/600489/detail</t>
  </si>
  <si>
    <t>世纪华通</t>
  </si>
  <si>
    <t>www.lixinger.com/analytics/company/sz/002602/2602/detail</t>
  </si>
  <si>
    <t>彩虹股份</t>
  </si>
  <si>
    <t>www.lixinger.com/analytics/company/sh/600707/600707/detail</t>
  </si>
  <si>
    <t>欧派家居</t>
  </si>
  <si>
    <t>定制家居</t>
  </si>
  <si>
    <t>www.lixinger.com/analytics/company/sh/603833/603833/detail</t>
  </si>
  <si>
    <t>济川药业</t>
  </si>
  <si>
    <t>www.lixinger.com/analytics/company/sh/600566/600566/detail</t>
  </si>
  <si>
    <t>益生股份</t>
  </si>
  <si>
    <t>www.lixinger.com/analytics/company/sz/002458/2458/detail</t>
  </si>
  <si>
    <t>*ST松江</t>
  </si>
  <si>
    <t>www.lixinger.com/analytics/company/sh/600225/600225/detail</t>
  </si>
  <si>
    <t>顾家家居</t>
  </si>
  <si>
    <t>成品家居</t>
  </si>
  <si>
    <t>www.lixinger.com/analytics/company/sh/603816/603816/detail</t>
  </si>
  <si>
    <t>大族激光</t>
  </si>
  <si>
    <t>激光设备</t>
  </si>
  <si>
    <t>www.lixinger.com/analytics/company/sz/002008/2008/detail</t>
  </si>
  <si>
    <t>荣盛发展</t>
  </si>
  <si>
    <t>www.lixinger.com/analytics/company/sz/002146/2146/detail</t>
  </si>
  <si>
    <t>江苏国泰</t>
  </si>
  <si>
    <t>www.lixinger.com/analytics/company/sz/002091/2091/detail</t>
  </si>
  <si>
    <t>云南白药</t>
  </si>
  <si>
    <t>www.lixinger.com/analytics/company/sz/000538/538/detail</t>
  </si>
  <si>
    <t>新和成</t>
  </si>
  <si>
    <t>原料药</t>
  </si>
  <si>
    <t>www.lixinger.com/analytics/company/sz/002001/2001/detail</t>
  </si>
  <si>
    <t>锡业股份</t>
  </si>
  <si>
    <t>其他小金属</t>
  </si>
  <si>
    <t>www.lixinger.com/analytics/company/sz/000960/960/detail</t>
  </si>
  <si>
    <t>一汽解放</t>
  </si>
  <si>
    <t>www.lixinger.com/analytics/company/sz/000800/800/detail</t>
  </si>
  <si>
    <t>瑞康医药</t>
  </si>
  <si>
    <t>www.lixinger.com/analytics/company/sz/002589/2589/detail</t>
  </si>
  <si>
    <t>三钢闽光</t>
  </si>
  <si>
    <t>长材</t>
  </si>
  <si>
    <t>www.lixinger.com/analytics/company/sz/002110/2110/detail</t>
  </si>
  <si>
    <t>华邦健康</t>
  </si>
  <si>
    <t>www.lixinger.com/analytics/company/sz/002004/2004/detail</t>
  </si>
  <si>
    <t>爱尔眼科</t>
  </si>
  <si>
    <t>医院</t>
  </si>
  <si>
    <t>www.lixinger.com/analytics/company/sz/300015/300015/detail</t>
  </si>
  <si>
    <t>塔牌集团</t>
  </si>
  <si>
    <t>www.lixinger.com/analytics/company/sz/002233/2233/detail</t>
  </si>
  <si>
    <t>韶钢松山</t>
  </si>
  <si>
    <t>www.lixinger.com/analytics/company/sz/000717/717/detail</t>
  </si>
  <si>
    <t>西部建设</t>
  </si>
  <si>
    <t>水泥制品</t>
  </si>
  <si>
    <t>www.lixinger.com/analytics/company/sz/002302/2302/detail</t>
  </si>
  <si>
    <t>同方股份</t>
  </si>
  <si>
    <t>www.lixinger.com/analytics/company/sh/600100/600100/detail</t>
  </si>
  <si>
    <t>人福医药</t>
  </si>
  <si>
    <t>www.lixinger.com/analytics/company/sh/600079/600079/detail</t>
  </si>
  <si>
    <t>完美世界</t>
  </si>
  <si>
    <t>www.lixinger.com/analytics/company/sz/002624/2624/detail</t>
  </si>
  <si>
    <t>祁连山</t>
  </si>
  <si>
    <t>www.lixinger.com/analytics/company/sh/600720/600720/detail</t>
  </si>
  <si>
    <t>旗滨集团</t>
  </si>
  <si>
    <t>www.lixinger.com/analytics/company/sh/601636/601636/detail</t>
  </si>
  <si>
    <t>时代电气</t>
  </si>
  <si>
    <t>www.lixinger.com/analytics/company/sh/688187/688187/detail</t>
  </si>
  <si>
    <t>上海能源</t>
  </si>
  <si>
    <t>www.lixinger.com/analytics/company/sh/600508/600508/detail</t>
  </si>
  <si>
    <t>宁波华翔</t>
  </si>
  <si>
    <t>www.lixinger.com/analytics/company/sz/002048/2048/detail</t>
  </si>
  <si>
    <t>赛轮轮胎</t>
  </si>
  <si>
    <t>www.lixinger.com/analytics/company/sh/601058/601058/detail</t>
  </si>
  <si>
    <t>海信家电</t>
  </si>
  <si>
    <t>www.lixinger.com/analytics/company/sz/000921/921/detail</t>
  </si>
  <si>
    <t>龙佰集团</t>
  </si>
  <si>
    <t>钛白粉</t>
  </si>
  <si>
    <t>www.lixinger.com/analytics/company/sz/002601/2601/detail</t>
  </si>
  <si>
    <t>华东医药</t>
  </si>
  <si>
    <t>www.lixinger.com/analytics/company/sz/000963/963/detail</t>
  </si>
  <si>
    <t>国药一致</t>
  </si>
  <si>
    <t>www.lixinger.com/analytics/company/sz/000028/28/detail</t>
  </si>
  <si>
    <t>乐普医疗</t>
  </si>
  <si>
    <t>医疗耗材</t>
  </si>
  <si>
    <t>www.lixinger.com/analytics/company/sz/300003/300003/detail</t>
  </si>
  <si>
    <t>粤高速Ａ</t>
  </si>
  <si>
    <t>www.lixinger.com/analytics/company/sz/000429/429/detail</t>
  </si>
  <si>
    <t>北新建材</t>
  </si>
  <si>
    <t>其他建材</t>
  </si>
  <si>
    <t>www.lixinger.com/analytics/company/sz/000786/786/detail</t>
  </si>
  <si>
    <t>申通快递</t>
  </si>
  <si>
    <t>www.lixinger.com/analytics/company/sz/002468/2468/detail</t>
  </si>
  <si>
    <t>黔源电力</t>
  </si>
  <si>
    <t>www.lixinger.com/analytics/company/sz/002039/2039/detail</t>
  </si>
  <si>
    <t>*ST海航B</t>
  </si>
  <si>
    <t>www.lixinger.com/analytics/company/sh/900945/900945/detail</t>
  </si>
  <si>
    <t>华润三九</t>
  </si>
  <si>
    <t>www.lixinger.com/analytics/company/sz/000999/999/detail</t>
  </si>
  <si>
    <t>西安银行</t>
  </si>
  <si>
    <t>www.lixinger.com/analytics/company/sh/600928/600928/detail</t>
  </si>
  <si>
    <t>营口港</t>
  </si>
  <si>
    <t>www.lixinger.com/analytics/company/sh/600317/600317/detail</t>
  </si>
  <si>
    <t>中国卫通</t>
  </si>
  <si>
    <t>航天装备</t>
  </si>
  <si>
    <t>www.lixinger.com/analytics/company/sh/601698/601698/detail</t>
  </si>
  <si>
    <t>中国电影</t>
  </si>
  <si>
    <t>影视动漫制作</t>
  </si>
  <si>
    <t>www.lixinger.com/analytics/company/sh/600977/600977/detail</t>
  </si>
  <si>
    <t>长春高新</t>
  </si>
  <si>
    <t>其他生物制品</t>
  </si>
  <si>
    <t>www.lixinger.com/analytics/company/sz/000661/661/detail</t>
  </si>
  <si>
    <t>远东股份</t>
  </si>
  <si>
    <t>线缆部件及其他</t>
  </si>
  <si>
    <t>www.lixinger.com/analytics/company/sh/600869/600869/detail</t>
  </si>
  <si>
    <t>美锦能源</t>
  </si>
  <si>
    <t>www.lixinger.com/analytics/company/sz/000723/723/detail</t>
  </si>
  <si>
    <t>中国一重</t>
  </si>
  <si>
    <t>www.lixinger.com/analytics/company/sh/601106/601106/detail</t>
  </si>
  <si>
    <t>赣粤高速</t>
  </si>
  <si>
    <t>www.lixinger.com/analytics/company/sh/600269/600269/detail</t>
  </si>
  <si>
    <t>昊华能源</t>
  </si>
  <si>
    <t>www.lixinger.com/analytics/company/sh/601101/601101/detail</t>
  </si>
  <si>
    <t>中集车辆</t>
  </si>
  <si>
    <t>www.lixinger.com/analytics/company/sz/301039/301039/detail</t>
  </si>
  <si>
    <t>厦门钨业</t>
  </si>
  <si>
    <t>钨</t>
  </si>
  <si>
    <t>www.lixinger.com/analytics/company/sh/600549/600549/detail</t>
  </si>
  <si>
    <t>捷成股份</t>
  </si>
  <si>
    <t>www.lixinger.com/analytics/company/sz/300182/300182/detail</t>
  </si>
  <si>
    <t>宝新能源</t>
  </si>
  <si>
    <t>www.lixinger.com/analytics/company/sz/000690/690/detail</t>
  </si>
  <si>
    <t>华林证券</t>
  </si>
  <si>
    <t>www.lixinger.com/analytics/company/sz/002945/2945/detail</t>
  </si>
  <si>
    <t>三花智控</t>
  </si>
  <si>
    <t>家电零部件</t>
  </si>
  <si>
    <t>www.lixinger.com/analytics/company/sz/002050/2050/detail</t>
  </si>
  <si>
    <t>华孚时尚</t>
  </si>
  <si>
    <t>棉纺</t>
  </si>
  <si>
    <t>www.lixinger.com/analytics/company/sz/002042/2042/detail</t>
  </si>
  <si>
    <t>际华集团</t>
  </si>
  <si>
    <t>www.lixinger.com/analytics/company/sh/601718/601718/detail</t>
  </si>
  <si>
    <t>巨化股份</t>
  </si>
  <si>
    <t>氟化工</t>
  </si>
  <si>
    <t>www.lixinger.com/analytics/company/sh/600160/600160/detail</t>
  </si>
  <si>
    <t>兴蓉环境</t>
  </si>
  <si>
    <t>www.lixinger.com/analytics/company/sz/000598/598/detail</t>
  </si>
  <si>
    <t>天津港</t>
  </si>
  <si>
    <t>www.lixinger.com/analytics/company/sh/600717/600717/detail</t>
  </si>
  <si>
    <t>万达电影</t>
  </si>
  <si>
    <t>院线</t>
  </si>
  <si>
    <t>www.lixinger.com/analytics/company/sz/002739/2739/detail</t>
  </si>
  <si>
    <t>柳工</t>
  </si>
  <si>
    <t>www.lixinger.com/analytics/company/sz/000528/528/detail</t>
  </si>
  <si>
    <t>天能股份</t>
  </si>
  <si>
    <t>蓄电池及其他电池</t>
  </si>
  <si>
    <t>www.lixinger.com/analytics/company/sh/688819/688819/detail</t>
  </si>
  <si>
    <t>闰土股份</t>
  </si>
  <si>
    <t>www.lixinger.com/analytics/company/sz/002440/2440/detail</t>
  </si>
  <si>
    <t>四川成渝</t>
  </si>
  <si>
    <t>www.lixinger.com/analytics/company/sh/601107/601107/detail</t>
  </si>
  <si>
    <t>财信发展</t>
  </si>
  <si>
    <t>www.lixinger.com/analytics/company/sz/000838/838/detail</t>
  </si>
  <si>
    <t>新凤鸣</t>
  </si>
  <si>
    <t>涤纶</t>
  </si>
  <si>
    <t>www.lixinger.com/analytics/company/sh/603225/603225/detail</t>
  </si>
  <si>
    <t>太阳能</t>
  </si>
  <si>
    <t>光伏发电</t>
  </si>
  <si>
    <t>www.lixinger.com/analytics/company/sz/000591/591/detail</t>
  </si>
  <si>
    <t>皖通高速</t>
  </si>
  <si>
    <t>www.lixinger.com/analytics/company/sh/600012/600012/detail</t>
  </si>
  <si>
    <t>首旅酒店</t>
  </si>
  <si>
    <t>www.lixinger.com/analytics/company/sh/600258/600258/detail</t>
  </si>
  <si>
    <t>福建高速</t>
  </si>
  <si>
    <t>www.lixinger.com/analytics/company/sh/600033/600033/detail</t>
  </si>
  <si>
    <t>大北农</t>
  </si>
  <si>
    <t>畜禽饲料</t>
  </si>
  <si>
    <t>www.lixinger.com/analytics/company/sz/002385/2385/detail</t>
  </si>
  <si>
    <t>海信视像</t>
  </si>
  <si>
    <t>彩电</t>
  </si>
  <si>
    <t>www.lixinger.com/analytics/company/sh/600060/600060/detail</t>
  </si>
  <si>
    <t>陕天然气</t>
  </si>
  <si>
    <t>www.lixinger.com/analytics/company/sz/002267/2267/detail</t>
  </si>
  <si>
    <t>国药股份</t>
  </si>
  <si>
    <t>www.lixinger.com/analytics/company/sh/600511/600511/detail</t>
  </si>
  <si>
    <t>ST凯乐</t>
  </si>
  <si>
    <t>其他通信设备</t>
  </si>
  <si>
    <t>www.lixinger.com/analytics/company/sh/600260/600260/detail</t>
  </si>
  <si>
    <t>平煤股份</t>
  </si>
  <si>
    <t>www.lixinger.com/analytics/company/sh/601666/601666/detail</t>
  </si>
  <si>
    <t>丽珠集团</t>
  </si>
  <si>
    <t>www.lixinger.com/analytics/company/sz/000513/513/detail</t>
  </si>
  <si>
    <t>华天科技</t>
  </si>
  <si>
    <t>www.lixinger.com/analytics/company/sz/002185/2185/detail</t>
  </si>
  <si>
    <t>步步高</t>
  </si>
  <si>
    <t>超市</t>
  </si>
  <si>
    <t>www.lixinger.com/analytics/company/sz/002251/2251/detail</t>
  </si>
  <si>
    <t>金螳螂</t>
  </si>
  <si>
    <t>装修装饰</t>
  </si>
  <si>
    <t>www.lixinger.com/analytics/company/sz/002081/2081/detail</t>
  </si>
  <si>
    <t>华海药业</t>
  </si>
  <si>
    <t>www.lixinger.com/analytics/company/sh/600521/600521/detail</t>
  </si>
  <si>
    <t>铁建重工</t>
  </si>
  <si>
    <t>www.lixinger.com/analytics/company/sh/688425/688425/detail</t>
  </si>
  <si>
    <t>贵州轮胎</t>
  </si>
  <si>
    <t>www.lixinger.com/analytics/company/sz/000589/589/detail</t>
  </si>
  <si>
    <t>深高速</t>
  </si>
  <si>
    <t>www.lixinger.com/analytics/company/sh/600548/600548/detail</t>
  </si>
  <si>
    <t>电广传媒</t>
  </si>
  <si>
    <t>www.lixinger.com/analytics/company/sz/000917/917/detail</t>
  </si>
  <si>
    <t>盘江股份</t>
  </si>
  <si>
    <t>www.lixinger.com/analytics/company/sh/600395/600395/detail</t>
  </si>
  <si>
    <t>五矿资本</t>
  </si>
  <si>
    <t>www.lixinger.com/analytics/company/sh/600390/600390/detail</t>
  </si>
  <si>
    <t>民和股份</t>
  </si>
  <si>
    <t>www.lixinger.com/analytics/company/sz/002234/2234/detail</t>
  </si>
  <si>
    <t>中谷物流</t>
  </si>
  <si>
    <t>www.lixinger.com/analytics/company/sh/603565/603565/detail</t>
  </si>
  <si>
    <t>方大特钢</t>
  </si>
  <si>
    <t>www.lixinger.com/analytics/company/sh/600507/600507/detail</t>
  </si>
  <si>
    <t>苏泊尔</t>
  </si>
  <si>
    <t>厨房小家电</t>
  </si>
  <si>
    <t>www.lixinger.com/analytics/company/sz/002032/2032/detail</t>
  </si>
  <si>
    <t>格力地产</t>
  </si>
  <si>
    <t>www.lixinger.com/analytics/company/sh/600185/600185/detail</t>
  </si>
  <si>
    <t>首开股份</t>
  </si>
  <si>
    <t>www.lixinger.com/analytics/company/sh/600376/600376/detail</t>
  </si>
  <si>
    <t>三环集团</t>
  </si>
  <si>
    <t>被动元件</t>
  </si>
  <si>
    <t>www.lixinger.com/analytics/company/sz/300408/300408/detail</t>
  </si>
  <si>
    <t>大参林</t>
  </si>
  <si>
    <t>线下药店</t>
  </si>
  <si>
    <t>www.lixinger.com/analytics/company/sh/603233/603233/detail</t>
  </si>
  <si>
    <t>洛阳钼业</t>
  </si>
  <si>
    <t>钼</t>
  </si>
  <si>
    <t>www.lixinger.com/analytics/company/sh/603993/603993/detail</t>
  </si>
  <si>
    <t>紫光股份</t>
  </si>
  <si>
    <t>IT服务</t>
  </si>
  <si>
    <t>www.lixinger.com/analytics/company/sz/000938/938/detail</t>
  </si>
  <si>
    <t>生益科技</t>
  </si>
  <si>
    <t>www.lixinger.com/analytics/company/sh/600183/600183/detail</t>
  </si>
  <si>
    <t>爱施德</t>
  </si>
  <si>
    <t>专业连锁</t>
  </si>
  <si>
    <t>www.lixinger.com/analytics/company/sz/002416/2416/detail</t>
  </si>
  <si>
    <t>山东出版</t>
  </si>
  <si>
    <t>www.lixinger.com/analytics/company/sh/601019/601019/detail</t>
  </si>
  <si>
    <t>宏发股份</t>
  </si>
  <si>
    <t>www.lixinger.com/analytics/company/sh/600885/600885/detail</t>
  </si>
  <si>
    <t>太极实业</t>
  </si>
  <si>
    <t>www.lixinger.com/analytics/company/sh/600667/600667/detail</t>
  </si>
  <si>
    <t>天士力</t>
  </si>
  <si>
    <t>www.lixinger.com/analytics/company/sh/600535/600535/detail</t>
  </si>
  <si>
    <t>森马服饰</t>
  </si>
  <si>
    <t>www.lixinger.com/analytics/company/sz/002563/2563/detail</t>
  </si>
  <si>
    <t>法尔胜</t>
  </si>
  <si>
    <t>www.lixinger.com/analytics/company/sz/000890/890/detail</t>
  </si>
  <si>
    <t>养元饮品</t>
  </si>
  <si>
    <t>软饮料</t>
  </si>
  <si>
    <t>www.lixinger.com/analytics/company/sh/603156/603156/detail</t>
  </si>
  <si>
    <t>东航物流</t>
  </si>
  <si>
    <t>www.lixinger.com/analytics/company/sh/601156/601156/detail</t>
  </si>
  <si>
    <t>恒立液压</t>
  </si>
  <si>
    <t>工程机械器件</t>
  </si>
  <si>
    <t>www.lixinger.com/analytics/company/sh/601100/601100/detail</t>
  </si>
  <si>
    <t>二三四五</t>
  </si>
  <si>
    <t>www.lixinger.com/analytics/company/sz/002195/2195/detail</t>
  </si>
  <si>
    <t>神马股份</t>
  </si>
  <si>
    <t>锦纶</t>
  </si>
  <si>
    <t>www.lixinger.com/analytics/company/sh/600810/600810/detail</t>
  </si>
  <si>
    <t>长源电力</t>
  </si>
  <si>
    <t>www.lixinger.com/analytics/company/sz/000966/966/detail</t>
  </si>
  <si>
    <t>上海环境</t>
  </si>
  <si>
    <t>www.lixinger.com/analytics/company/sh/601200/601200/detail</t>
  </si>
  <si>
    <t>中鼎股份</t>
  </si>
  <si>
    <t>其他汽车零部件</t>
  </si>
  <si>
    <t>www.lixinger.com/analytics/company/sz/000887/887/detail</t>
  </si>
  <si>
    <t>卧龙地产</t>
  </si>
  <si>
    <t>www.lixinger.com/analytics/company/sh/600173/600173/detail</t>
  </si>
  <si>
    <t>华数传媒</t>
  </si>
  <si>
    <t>www.lixinger.com/analytics/company/sz/000156/156/detail</t>
  </si>
  <si>
    <t>永安期货</t>
  </si>
  <si>
    <t>期货</t>
  </si>
  <si>
    <t>www.lixinger.com/analytics/company/sh/600927/600927/detail</t>
  </si>
  <si>
    <t>*ST华源</t>
  </si>
  <si>
    <t>www.lixinger.com/analytics/company/sh/600726/600726/detail</t>
  </si>
  <si>
    <t>协鑫能科</t>
  </si>
  <si>
    <t>热力服务</t>
  </si>
  <si>
    <t>www.lixinger.com/analytics/company/sz/002015/2015/detail</t>
  </si>
  <si>
    <t>中盐化工</t>
  </si>
  <si>
    <t>无机盐</t>
  </si>
  <si>
    <t>www.lixinger.com/analytics/company/sh/600328/600328/detail</t>
  </si>
  <si>
    <t>金山股份</t>
  </si>
  <si>
    <t>www.lixinger.com/analytics/company/sh/600396/600396/detail</t>
  </si>
  <si>
    <t>光线传媒</t>
  </si>
  <si>
    <t>www.lixinger.com/analytics/company/sz/300251/300251/detail</t>
  </si>
  <si>
    <t>宁波联合</t>
  </si>
  <si>
    <t>www.lixinger.com/analytics/company/sh/600051/600051/detail</t>
  </si>
  <si>
    <t>辽港股份</t>
  </si>
  <si>
    <t>www.lixinger.com/analytics/company/sh/601880/601880/detail</t>
  </si>
  <si>
    <t>中化国际</t>
  </si>
  <si>
    <t>其他化学制品</t>
  </si>
  <si>
    <t>www.lixinger.com/analytics/company/sh/600500/600500/detail</t>
  </si>
  <si>
    <t>大华股份</t>
  </si>
  <si>
    <t>www.lixinger.com/analytics/company/sz/002236/2236/detail</t>
  </si>
  <si>
    <t>退市拉夏</t>
  </si>
  <si>
    <t>www.lixinger.com/analytics/company/sh/603157/603157/detail</t>
  </si>
  <si>
    <t>德赛电池</t>
  </si>
  <si>
    <t>www.lixinger.com/analytics/company/sz/000049/49/detail</t>
  </si>
  <si>
    <t>森麒麟</t>
  </si>
  <si>
    <t>www.lixinger.com/analytics/company/sz/002984/2984/detail</t>
  </si>
  <si>
    <t>南京新百</t>
  </si>
  <si>
    <t>www.lixinger.com/analytics/company/sh/600682/600682/detail</t>
  </si>
  <si>
    <t>唐山港</t>
  </si>
  <si>
    <t>www.lixinger.com/analytics/company/sh/601000/601000/detail</t>
  </si>
  <si>
    <t>东方雨虹</t>
  </si>
  <si>
    <t>防水材料</t>
  </si>
  <si>
    <t>www.lixinger.com/analytics/company/sz/002271/2271/detail</t>
  </si>
  <si>
    <t>爱旭股份</t>
  </si>
  <si>
    <t>www.lixinger.com/analytics/company/sh/600732/600732/detail</t>
  </si>
  <si>
    <t>豫能控股</t>
  </si>
  <si>
    <t>www.lixinger.com/analytics/company/sz/001896/1896/detail</t>
  </si>
  <si>
    <t>世联行</t>
  </si>
  <si>
    <t>房产租赁经纪</t>
  </si>
  <si>
    <t>www.lixinger.com/analytics/company/sz/002285/2285/detail</t>
  </si>
  <si>
    <t>燕京啤酒</t>
  </si>
  <si>
    <t>www.lixinger.com/analytics/company/sz/000729/729/detail</t>
  </si>
  <si>
    <t>节能风电</t>
  </si>
  <si>
    <t>www.lixinger.com/analytics/company/sh/601016/601016/detail</t>
  </si>
  <si>
    <t>宋城演艺</t>
  </si>
  <si>
    <t>人工景区</t>
  </si>
  <si>
    <t>www.lixinger.com/analytics/company/sz/300144/300144/detail</t>
  </si>
  <si>
    <t>四川长虹</t>
  </si>
  <si>
    <t>www.lixinger.com/analytics/company/sh/600839/600839/detail</t>
  </si>
  <si>
    <t>中航机电</t>
  </si>
  <si>
    <t>www.lixinger.com/analytics/company/sz/002013/2013/detail</t>
  </si>
  <si>
    <t>大有能源</t>
  </si>
  <si>
    <t>www.lixinger.com/analytics/company/sh/600403/600403/detail</t>
  </si>
  <si>
    <t>德展健康</t>
  </si>
  <si>
    <t>www.lixinger.com/analytics/company/sz/000813/813/detail</t>
  </si>
  <si>
    <t>金龙汽车</t>
  </si>
  <si>
    <t>www.lixinger.com/analytics/company/sh/600686/600686/detail</t>
  </si>
  <si>
    <t>老板电器</t>
  </si>
  <si>
    <t>厨房电器</t>
  </si>
  <si>
    <t>www.lixinger.com/analytics/company/sz/002508/2508/detail</t>
  </si>
  <si>
    <t>北部湾港</t>
  </si>
  <si>
    <t>www.lixinger.com/analytics/company/sz/000582/582/detail</t>
  </si>
  <si>
    <t>中国国贸</t>
  </si>
  <si>
    <t>www.lixinger.com/analytics/company/sh/600007/600007/detail</t>
  </si>
  <si>
    <t>汤臣倍健</t>
  </si>
  <si>
    <t>保健品</t>
  </si>
  <si>
    <t>www.lixinger.com/analytics/company/sz/300146/300146/detail</t>
  </si>
  <si>
    <t>用友网络</t>
  </si>
  <si>
    <t>www.lixinger.com/analytics/company/sh/600588/600588/detail</t>
  </si>
  <si>
    <t>科大讯飞</t>
  </si>
  <si>
    <t>www.lixinger.com/analytics/company/sz/002230/2230/detail</t>
  </si>
  <si>
    <t>甘肃电投</t>
  </si>
  <si>
    <t>www.lixinger.com/analytics/company/sz/000791/791/detail</t>
  </si>
  <si>
    <t>远兴能源</t>
  </si>
  <si>
    <t>纯碱</t>
  </si>
  <si>
    <t>www.lixinger.com/analytics/company/sz/000683/683/detail</t>
  </si>
  <si>
    <t>亨通光电</t>
  </si>
  <si>
    <t>www.lixinger.com/analytics/company/sh/600487/600487/detail</t>
  </si>
  <si>
    <t>信立泰</t>
  </si>
  <si>
    <t>www.lixinger.com/analytics/company/sz/002294/2294/detail</t>
  </si>
  <si>
    <t>新洋丰</t>
  </si>
  <si>
    <t>复合肥</t>
  </si>
  <si>
    <t>www.lixinger.com/analytics/company/sz/000902/902/detail</t>
  </si>
  <si>
    <t>巨人网络</t>
  </si>
  <si>
    <t>www.lixinger.com/analytics/company/sz/002558/2558/detail</t>
  </si>
  <si>
    <t>神州数码</t>
  </si>
  <si>
    <t>www.lixinger.com/analytics/company/sz/000034/34/detail</t>
  </si>
  <si>
    <t>航天信息</t>
  </si>
  <si>
    <t>www.lixinger.com/analytics/company/sh/600271/600271/detail</t>
  </si>
  <si>
    <t>华联控股</t>
  </si>
  <si>
    <t>www.lixinger.com/analytics/company/sz/000036/36/detail</t>
  </si>
  <si>
    <t>奥瑞金</t>
  </si>
  <si>
    <t>金属包装</t>
  </si>
  <si>
    <t>www.lixinger.com/analytics/company/sz/002701/2701/detail</t>
  </si>
  <si>
    <t>三木集团</t>
  </si>
  <si>
    <t>www.lixinger.com/analytics/company/sz/000632/632/detail</t>
  </si>
  <si>
    <t>腾达建设</t>
  </si>
  <si>
    <t>www.lixinger.com/analytics/company/sh/600512/600512/detail</t>
  </si>
  <si>
    <t>东莞控股</t>
  </si>
  <si>
    <t>www.lixinger.com/analytics/company/sz/000828/828/detail</t>
  </si>
  <si>
    <t>盈峰环境</t>
  </si>
  <si>
    <t>环保设备</t>
  </si>
  <si>
    <t>www.lixinger.com/analytics/company/sz/000967/967/detail</t>
  </si>
  <si>
    <t>联泓新科</t>
  </si>
  <si>
    <t>光伏辅材</t>
  </si>
  <si>
    <t>www.lixinger.com/analytics/company/sz/003022/3022/detail</t>
  </si>
  <si>
    <t>长信科技</t>
  </si>
  <si>
    <t>www.lixinger.com/analytics/company/sz/300088/300088/detail</t>
  </si>
  <si>
    <t>爱建集团</t>
  </si>
  <si>
    <t>www.lixinger.com/analytics/company/sh/600643/600643/detail</t>
  </si>
  <si>
    <t>大名城B</t>
  </si>
  <si>
    <t>www.lixinger.com/analytics/company/sh/900940/900940/detail</t>
  </si>
  <si>
    <t>广汇物流</t>
  </si>
  <si>
    <t>www.lixinger.com/analytics/company/sh/600603/600603/detail</t>
  </si>
  <si>
    <t>杭氧股份</t>
  </si>
  <si>
    <t>其他专用设备</t>
  </si>
  <si>
    <t>www.lixinger.com/analytics/company/sz/002430/2430/detail</t>
  </si>
  <si>
    <t>金钼股份</t>
  </si>
  <si>
    <t>www.lixinger.com/analytics/company/sh/601958/601958/detail</t>
  </si>
  <si>
    <t>ST红太阳</t>
  </si>
  <si>
    <t>农药</t>
  </si>
  <si>
    <t>www.lixinger.com/analytics/company/sz/000525/525/detail</t>
  </si>
  <si>
    <t>西南证券</t>
  </si>
  <si>
    <t>www.lixinger.com/analytics/company/sh/600369/600369/detail</t>
  </si>
  <si>
    <t>天虹股份</t>
  </si>
  <si>
    <t>百货</t>
  </si>
  <si>
    <t>www.lixinger.com/analytics/company/sz/002419/2419/detail</t>
  </si>
  <si>
    <t>五矿发展</t>
  </si>
  <si>
    <t>www.lixinger.com/analytics/company/sh/600058/600058/detail</t>
  </si>
  <si>
    <t>新宝股份</t>
  </si>
  <si>
    <t>www.lixinger.com/analytics/company/sz/002705/2705/detail</t>
  </si>
  <si>
    <t>北元集团</t>
  </si>
  <si>
    <t>www.lixinger.com/analytics/company/sh/601568/601568/detail</t>
  </si>
  <si>
    <t>华润双鹤</t>
  </si>
  <si>
    <t>www.lixinger.com/analytics/company/sh/600062/600062/detail</t>
  </si>
  <si>
    <t>联美控股</t>
  </si>
  <si>
    <t>www.lixinger.com/analytics/company/sh/600167/600167/detail</t>
  </si>
  <si>
    <t>虹美菱B</t>
  </si>
  <si>
    <t>www.lixinger.com/analytics/company/sz/200521/200521/detail</t>
  </si>
  <si>
    <t>运达股份</t>
  </si>
  <si>
    <t>www.lixinger.com/analytics/company/sz/300772/300772/detail</t>
  </si>
  <si>
    <t>百川能源</t>
  </si>
  <si>
    <t>www.lixinger.com/analytics/company/sh/600681/600681/detail</t>
  </si>
  <si>
    <t>中铁工业</t>
  </si>
  <si>
    <t>www.lixinger.com/analytics/company/sh/600528/600528/detail</t>
  </si>
  <si>
    <t>武商集团</t>
  </si>
  <si>
    <t>www.lixinger.com/analytics/company/sz/000501/501/detail</t>
  </si>
  <si>
    <t>茂业商业</t>
  </si>
  <si>
    <t>www.lixinger.com/analytics/company/sh/600828/600828/detail</t>
  </si>
  <si>
    <t>通富微电</t>
  </si>
  <si>
    <t>www.lixinger.com/analytics/company/sz/002156/2156/detail</t>
  </si>
  <si>
    <t>传化智联</t>
  </si>
  <si>
    <t>公路货运</t>
  </si>
  <si>
    <t>www.lixinger.com/analytics/company/sz/002010/2010/detail</t>
  </si>
  <si>
    <t>爱玛科技</t>
  </si>
  <si>
    <t>其他运输设备</t>
  </si>
  <si>
    <t>www.lixinger.com/analytics/company/sh/603529/603529/detail</t>
  </si>
  <si>
    <t>嘉化能源</t>
  </si>
  <si>
    <t>www.lixinger.com/analytics/company/sh/600273/600273/detail</t>
  </si>
  <si>
    <t>新奥股份</t>
  </si>
  <si>
    <t>www.lixinger.com/analytics/company/sh/600803/600803/detail</t>
  </si>
  <si>
    <t>华新Ｂ股</t>
  </si>
  <si>
    <t>www.lixinger.com/analytics/company/sh/900933/900933/detail</t>
  </si>
  <si>
    <t>石化油服</t>
  </si>
  <si>
    <t>www.lixinger.com/analytics/company/sh/600871/600871/detail</t>
  </si>
  <si>
    <t>三角轮胎</t>
  </si>
  <si>
    <t>www.lixinger.com/analytics/company/sh/601163/601163/detail</t>
  </si>
  <si>
    <t>金溢科技</t>
  </si>
  <si>
    <t>www.lixinger.com/analytics/company/sz/002869/2869/detail</t>
  </si>
  <si>
    <t>扬农化工</t>
  </si>
  <si>
    <t>www.lixinger.com/analytics/company/sh/600486/600486/detail</t>
  </si>
  <si>
    <t>合盛硅业</t>
  </si>
  <si>
    <t>非金属材料</t>
  </si>
  <si>
    <t>www.lixinger.com/analytics/company/sh/603260/603260/detail</t>
  </si>
  <si>
    <t>三峰环境</t>
  </si>
  <si>
    <t>www.lixinger.com/analytics/company/sh/601827/601827/detail</t>
  </si>
  <si>
    <t>智飞生物</t>
  </si>
  <si>
    <t>疫苗</t>
  </si>
  <si>
    <t>www.lixinger.com/analytics/company/sz/300122/300122/detail</t>
  </si>
  <si>
    <t>裕同科技</t>
  </si>
  <si>
    <t>纸包装</t>
  </si>
  <si>
    <t>www.lixinger.com/analytics/company/sz/002831/2831/detail</t>
  </si>
  <si>
    <t>新华文轩</t>
  </si>
  <si>
    <t>www.lixinger.com/analytics/company/sh/601811/601811/detail</t>
  </si>
  <si>
    <t>华兰生物</t>
  </si>
  <si>
    <t>血液制品</t>
  </si>
  <si>
    <t>www.lixinger.com/analytics/company/sz/002007/2007/detail</t>
  </si>
  <si>
    <t>万丰奥威</t>
  </si>
  <si>
    <t>www.lixinger.com/analytics/company/sz/002085/2085/detail</t>
  </si>
  <si>
    <t>汇川技术</t>
  </si>
  <si>
    <t>工控设备</t>
  </si>
  <si>
    <t>www.lixinger.com/analytics/company/sz/300124/300124/detail</t>
  </si>
  <si>
    <t>中顺洁柔</t>
  </si>
  <si>
    <t>生活用纸</t>
  </si>
  <si>
    <t>www.lixinger.com/analytics/company/sz/002511/2511/detail</t>
  </si>
  <si>
    <t>普洛药业</t>
  </si>
  <si>
    <t>www.lixinger.com/analytics/company/sz/000739/739/detail</t>
  </si>
  <si>
    <t>浙江交科</t>
  </si>
  <si>
    <t>www.lixinger.com/analytics/company/sz/002061/2061/detail</t>
  </si>
  <si>
    <t>卫星化学</t>
  </si>
  <si>
    <t>www.lixinger.com/analytics/company/sz/002648/2648/detail</t>
  </si>
  <si>
    <t>ST森源</t>
  </si>
  <si>
    <t>www.lixinger.com/analytics/company/sz/002358/2358/detail</t>
  </si>
  <si>
    <t>清新环境</t>
  </si>
  <si>
    <t>www.lixinger.com/analytics/company/sz/002573/2573/detail</t>
  </si>
  <si>
    <t>王府井</t>
  </si>
  <si>
    <t>www.lixinger.com/analytics/company/sh/600859/600859/detail</t>
  </si>
  <si>
    <t>中国宝安</t>
  </si>
  <si>
    <t>电池化学品</t>
  </si>
  <si>
    <t>www.lixinger.com/analytics/company/sz/000009/9/detail</t>
  </si>
  <si>
    <t>山鹰国际</t>
  </si>
  <si>
    <t>www.lixinger.com/analytics/company/sh/600567/600567/detail</t>
  </si>
  <si>
    <t>瀚蓝环境</t>
  </si>
  <si>
    <t>www.lixinger.com/analytics/company/sh/600323/600323/detail</t>
  </si>
  <si>
    <t>华西证券</t>
  </si>
  <si>
    <t>www.lixinger.com/analytics/company/sz/002926/2926/detail</t>
  </si>
  <si>
    <t>今世缘</t>
  </si>
  <si>
    <t>www.lixinger.com/analytics/company/sh/603369/603369/detail</t>
  </si>
  <si>
    <t>青松建化</t>
  </si>
  <si>
    <t>www.lixinger.com/analytics/company/sh/600425/600425/detail</t>
  </si>
  <si>
    <t>浙版传媒</t>
  </si>
  <si>
    <t>www.lixinger.com/analytics/company/sh/601921/601921/detail</t>
  </si>
  <si>
    <t>顺鑫农业</t>
  </si>
  <si>
    <t>www.lixinger.com/analytics/company/sz/000860/860/detail</t>
  </si>
  <si>
    <t>索菲亚</t>
  </si>
  <si>
    <t>www.lixinger.com/analytics/company/sz/002572/2572/detail</t>
  </si>
  <si>
    <t>华宝股份</t>
  </si>
  <si>
    <t>www.lixinger.com/analytics/company/sz/300741/300741/detail</t>
  </si>
  <si>
    <t>吉比特</t>
  </si>
  <si>
    <t>www.lixinger.com/analytics/company/sh/603444/603444/detail</t>
  </si>
  <si>
    <t>口子窖</t>
  </si>
  <si>
    <t>www.lixinger.com/analytics/company/sh/603589/603589/detail</t>
  </si>
  <si>
    <t>安琪酵母</t>
  </si>
  <si>
    <t>www.lixinger.com/analytics/company/sh/600298/600298/detail</t>
  </si>
  <si>
    <t>华银电力</t>
  </si>
  <si>
    <t>www.lixinger.com/analytics/company/sh/600744/600744/detail</t>
  </si>
  <si>
    <t>振华重工</t>
  </si>
  <si>
    <t>www.lixinger.com/analytics/company/sh/600320/600320/detail</t>
  </si>
  <si>
    <t>长虹美菱</t>
  </si>
  <si>
    <t>www.lixinger.com/analytics/company/sz/000521/521/detail</t>
  </si>
  <si>
    <t>万向钱潮</t>
  </si>
  <si>
    <t>www.lixinger.com/analytics/company/sz/000559/559/detail</t>
  </si>
  <si>
    <t>云内动力</t>
  </si>
  <si>
    <t>www.lixinger.com/analytics/company/sz/000903/903/detail</t>
  </si>
  <si>
    <t>泰达股份</t>
  </si>
  <si>
    <t>www.lixinger.com/analytics/company/sz/000652/652/detail</t>
  </si>
  <si>
    <t>一汽富维</t>
  </si>
  <si>
    <t>www.lixinger.com/analytics/company/sh/600742/600742/detail</t>
  </si>
  <si>
    <t>平高电气</t>
  </si>
  <si>
    <t>www.lixinger.com/analytics/company/sh/600312/600312/detail</t>
  </si>
  <si>
    <t>国药现代</t>
  </si>
  <si>
    <t>www.lixinger.com/analytics/company/sh/600420/600420/detail</t>
  </si>
  <si>
    <t>岭南股份</t>
  </si>
  <si>
    <t>园林工程</t>
  </si>
  <si>
    <t>www.lixinger.com/analytics/company/sz/002717/2717/detail</t>
  </si>
  <si>
    <t>中远海特</t>
  </si>
  <si>
    <t>www.lixinger.com/analytics/company/sh/600428/600428/detail</t>
  </si>
  <si>
    <t>深南电路</t>
  </si>
  <si>
    <t>www.lixinger.com/analytics/company/sz/002916/2916/detail</t>
  </si>
  <si>
    <t>景兴纸业</t>
  </si>
  <si>
    <t>www.lixinger.com/analytics/company/sz/002067/2067/detail</t>
  </si>
  <si>
    <t>美年健康</t>
  </si>
  <si>
    <t>www.lixinger.com/analytics/company/sz/002044/2044/detail</t>
  </si>
  <si>
    <t>重庆建工</t>
  </si>
  <si>
    <t>www.lixinger.com/analytics/company/sh/600939/600939/detail</t>
  </si>
  <si>
    <t>南极电商</t>
  </si>
  <si>
    <t>电商服务</t>
  </si>
  <si>
    <t>www.lixinger.com/analytics/company/sz/002127/2127/detail</t>
  </si>
  <si>
    <t>九阳股份</t>
  </si>
  <si>
    <t>www.lixinger.com/analytics/company/sz/002242/2242/detail</t>
  </si>
  <si>
    <t>奥克股份</t>
  </si>
  <si>
    <t>其他化学原料</t>
  </si>
  <si>
    <t>www.lixinger.com/analytics/company/sz/300082/300082/detail</t>
  </si>
  <si>
    <t>杭钢股份</t>
  </si>
  <si>
    <t>www.lixinger.com/analytics/company/sh/600126/600126/detail</t>
  </si>
  <si>
    <t>华策影视</t>
  </si>
  <si>
    <t>www.lixinger.com/analytics/company/sz/300133/300133/detail</t>
  </si>
  <si>
    <t>拓普集团</t>
  </si>
  <si>
    <t>www.lixinger.com/analytics/company/sh/601689/601689/detail</t>
  </si>
  <si>
    <t>东江环保</t>
  </si>
  <si>
    <t>www.lixinger.com/analytics/company/sz/002672/2672/detail</t>
  </si>
  <si>
    <t>冠农股份</t>
  </si>
  <si>
    <t>果蔬加工</t>
  </si>
  <si>
    <t>www.lixinger.com/analytics/company/sh/600251/600251/detail</t>
  </si>
  <si>
    <t>欧亚集团</t>
  </si>
  <si>
    <t>www.lixinger.com/analytics/company/sh/600697/600697/detail</t>
  </si>
  <si>
    <t>江苏租赁</t>
  </si>
  <si>
    <t>www.lixinger.com/analytics/company/sh/600901/600901/detail</t>
  </si>
  <si>
    <t>时代新材</t>
  </si>
  <si>
    <t>风电零部件</t>
  </si>
  <si>
    <t>www.lixinger.com/analytics/company/sh/600458/600458/detail</t>
  </si>
  <si>
    <t>同花顺</t>
  </si>
  <si>
    <t>垂直应用软件</t>
  </si>
  <si>
    <t>www.lixinger.com/analytics/company/sz/300033/300033/detail</t>
  </si>
  <si>
    <t>大众公用</t>
  </si>
  <si>
    <t>www.lixinger.com/analytics/company/sh/600635/600635/detail</t>
  </si>
  <si>
    <t>鲁泰Ｂ</t>
  </si>
  <si>
    <t>www.lixinger.com/analytics/company/sz/200726/200726/detail</t>
  </si>
  <si>
    <t>晶科科技</t>
  </si>
  <si>
    <t>www.lixinger.com/analytics/company/sh/601778/601778/detail</t>
  </si>
  <si>
    <t>天富能源</t>
  </si>
  <si>
    <t>www.lixinger.com/analytics/company/sh/600509/600509/detail</t>
  </si>
  <si>
    <t>东鹏饮料</t>
  </si>
  <si>
    <t>www.lixinger.com/analytics/company/sh/605499/605499/detail</t>
  </si>
  <si>
    <t>维信诺</t>
  </si>
  <si>
    <t>www.lixinger.com/analytics/company/sz/002387/2387/detail</t>
  </si>
  <si>
    <t>莱克电气</t>
  </si>
  <si>
    <t>清洁小家电</t>
  </si>
  <si>
    <t>www.lixinger.com/analytics/company/sh/603355/603355/detail</t>
  </si>
  <si>
    <t>浦东建设</t>
  </si>
  <si>
    <t>www.lixinger.com/analytics/company/sh/600284/600284/detail</t>
  </si>
  <si>
    <t>浙江新能</t>
  </si>
  <si>
    <t>www.lixinger.com/analytics/company/sh/600032/600032/detail</t>
  </si>
  <si>
    <t>洪城环境</t>
  </si>
  <si>
    <t>www.lixinger.com/analytics/company/sh/600461/600461/detail</t>
  </si>
  <si>
    <t>新天然气</t>
  </si>
  <si>
    <t>www.lixinger.com/analytics/company/sh/603393/603393/detail</t>
  </si>
  <si>
    <t>物产环能</t>
  </si>
  <si>
    <t>www.lixinger.com/analytics/company/sh/603071/603071/detail</t>
  </si>
  <si>
    <t>卧龙电驱</t>
  </si>
  <si>
    <t>电机</t>
  </si>
  <si>
    <t>www.lixinger.com/analytics/company/sh/600580/600580/detail</t>
  </si>
  <si>
    <t>劲嘉股份</t>
  </si>
  <si>
    <t>www.lixinger.com/analytics/company/sz/002191/2191/detail</t>
  </si>
  <si>
    <t>ST奥马</t>
  </si>
  <si>
    <t>www.lixinger.com/analytics/company/sz/002668/2668/detail</t>
  </si>
  <si>
    <t>城发环境</t>
  </si>
  <si>
    <t>www.lixinger.com/analytics/company/sz/000885/885/detail</t>
  </si>
  <si>
    <t>我爱我家</t>
  </si>
  <si>
    <t>www.lixinger.com/analytics/company/sz/000560/560/detail</t>
  </si>
  <si>
    <t>东华能源</t>
  </si>
  <si>
    <t>www.lixinger.com/analytics/company/sz/002221/2221/detail</t>
  </si>
  <si>
    <t>九丰能源</t>
  </si>
  <si>
    <t>www.lixinger.com/analytics/company/sh/605090/605090/detail</t>
  </si>
  <si>
    <t>南京高科</t>
  </si>
  <si>
    <t>www.lixinger.com/analytics/company/sh/600064/600064/detail</t>
  </si>
  <si>
    <t>辉隆股份</t>
  </si>
  <si>
    <t>农业综合</t>
  </si>
  <si>
    <t>www.lixinger.com/analytics/company/sz/002556/2556/detail</t>
  </si>
  <si>
    <t>苏威孚Ｂ</t>
  </si>
  <si>
    <t>www.lixinger.com/analytics/company/sz/200581/200581/detail</t>
  </si>
  <si>
    <t>仙坛股份</t>
  </si>
  <si>
    <t>www.lixinger.com/analytics/company/sz/002746/2746/detail</t>
  </si>
  <si>
    <t>昆仑万维</t>
  </si>
  <si>
    <t>www.lixinger.com/analytics/company/sz/300418/300418/detail</t>
  </si>
  <si>
    <t>继峰股份</t>
  </si>
  <si>
    <t>www.lixinger.com/analytics/company/sh/603997/603997/detail</t>
  </si>
  <si>
    <t>招商南油</t>
  </si>
  <si>
    <t>www.lixinger.com/analytics/company/sh/601975/601975/detail</t>
  </si>
  <si>
    <t>航发控制</t>
  </si>
  <si>
    <t>www.lixinger.com/analytics/company/sz/000738/738/detail</t>
  </si>
  <si>
    <t>涪陵电力</t>
  </si>
  <si>
    <t>www.lixinger.com/analytics/company/sh/600452/600452/detail</t>
  </si>
  <si>
    <t>甘李药业</t>
  </si>
  <si>
    <t>www.lixinger.com/analytics/company/sh/603087/603087/detail</t>
  </si>
  <si>
    <t>凌钢股份</t>
  </si>
  <si>
    <t>www.lixinger.com/analytics/company/sh/600231/600231/detail</t>
  </si>
  <si>
    <t>通化东宝</t>
  </si>
  <si>
    <t>www.lixinger.com/analytics/company/sh/600867/600867/detail</t>
  </si>
  <si>
    <t>日照港</t>
  </si>
  <si>
    <t>www.lixinger.com/analytics/company/sh/600017/600017/detail</t>
  </si>
  <si>
    <t>史丹利</t>
  </si>
  <si>
    <t>www.lixinger.com/analytics/company/sz/002588/2588/detail</t>
  </si>
  <si>
    <t>银泰黄金</t>
  </si>
  <si>
    <t>www.lixinger.com/analytics/company/sz/000975/975/detail</t>
  </si>
  <si>
    <t>华谊集团</t>
  </si>
  <si>
    <t>www.lixinger.com/analytics/company/sh/600623/600623/detail</t>
  </si>
  <si>
    <t>深信服</t>
  </si>
  <si>
    <t>www.lixinger.com/analytics/company/sz/300454/300454/detail</t>
  </si>
  <si>
    <t>皖新传媒</t>
  </si>
  <si>
    <t>www.lixinger.com/analytics/company/sh/601801/601801/detail</t>
  </si>
  <si>
    <t>宁波建工</t>
  </si>
  <si>
    <t>www.lixinger.com/analytics/company/sh/601789/601789/detail</t>
  </si>
  <si>
    <t>亿纬锂能</t>
  </si>
  <si>
    <t>www.lixinger.com/analytics/company/sz/300014/300014/detail</t>
  </si>
  <si>
    <t>东吴证券</t>
  </si>
  <si>
    <t>www.lixinger.com/analytics/company/sh/601555/601555/detail</t>
  </si>
  <si>
    <t>博汇纸业</t>
  </si>
  <si>
    <t>www.lixinger.com/analytics/company/sh/600966/600966/detail</t>
  </si>
  <si>
    <t>淮河能源</t>
  </si>
  <si>
    <t>www.lixinger.com/analytics/company/sh/600575/600575/detail</t>
  </si>
  <si>
    <t>海亮股份</t>
  </si>
  <si>
    <t>www.lixinger.com/analytics/company/sz/002203/2203/detail</t>
  </si>
  <si>
    <t>软通动力</t>
  </si>
  <si>
    <t>www.lixinger.com/analytics/company/sz/301236/301236/detail</t>
  </si>
  <si>
    <t>新疆天业</t>
  </si>
  <si>
    <t>www.lixinger.com/analytics/company/sh/600075/600075/detail</t>
  </si>
  <si>
    <t>新野纺织</t>
  </si>
  <si>
    <t>www.lixinger.com/analytics/company/sz/002087/2087/detail</t>
  </si>
  <si>
    <t>欧普照明</t>
  </si>
  <si>
    <t>照明设备</t>
  </si>
  <si>
    <t>www.lixinger.com/analytics/company/sh/603515/603515/detail</t>
  </si>
  <si>
    <t>拉卡拉</t>
  </si>
  <si>
    <t>金融信息服务</t>
  </si>
  <si>
    <t>www.lixinger.com/analytics/company/sz/300773/300773/detail</t>
  </si>
  <si>
    <t>禾丰股份</t>
  </si>
  <si>
    <t>www.lixinger.com/analytics/company/sh/603609/603609/detail</t>
  </si>
  <si>
    <t>天音控股</t>
  </si>
  <si>
    <t>www.lixinger.com/analytics/company/sz/000829/829/detail</t>
  </si>
  <si>
    <t>易成新能</t>
  </si>
  <si>
    <t>磨具磨料</t>
  </si>
  <si>
    <t>www.lixinger.com/analytics/company/sz/300080/300080/detail</t>
  </si>
  <si>
    <t>隆鑫通用</t>
  </si>
  <si>
    <t>摩托车</t>
  </si>
  <si>
    <t>www.lixinger.com/analytics/company/sh/603766/603766/detail</t>
  </si>
  <si>
    <t>宏润建设</t>
  </si>
  <si>
    <t>www.lixinger.com/analytics/company/sz/002062/2062/detail</t>
  </si>
  <si>
    <t>*ST银亿</t>
  </si>
  <si>
    <t>www.lixinger.com/analytics/company/sz/000981/981/detail</t>
  </si>
  <si>
    <t>中铝国际</t>
  </si>
  <si>
    <t>www.lixinger.com/analytics/company/sh/601068/601068/detail</t>
  </si>
  <si>
    <t>节能铁汉</t>
  </si>
  <si>
    <t>www.lixinger.com/analytics/company/sz/300197/300197/detail</t>
  </si>
  <si>
    <t>亿联网络</t>
  </si>
  <si>
    <t>通信终端及配件</t>
  </si>
  <si>
    <t>www.lixinger.com/analytics/company/sz/300628/300628/detail</t>
  </si>
  <si>
    <t>鲁泰Ａ</t>
  </si>
  <si>
    <t>www.lixinger.com/analytics/company/sz/000726/726/detail</t>
  </si>
  <si>
    <t>武汉控股</t>
  </si>
  <si>
    <t>www.lixinger.com/analytics/company/sh/600168/600168/detail</t>
  </si>
  <si>
    <t>晨光股份</t>
  </si>
  <si>
    <t>文化用品</t>
  </si>
  <si>
    <t>www.lixinger.com/analytics/company/sh/603899/603899/detail</t>
  </si>
  <si>
    <t>星宇股份</t>
  </si>
  <si>
    <t>www.lixinger.com/analytics/company/sh/601799/601799/detail</t>
  </si>
  <si>
    <t>海能达</t>
  </si>
  <si>
    <t>www.lixinger.com/analytics/company/sz/002583/2583/detail</t>
  </si>
  <si>
    <t>楚天高速</t>
  </si>
  <si>
    <t>www.lixinger.com/analytics/company/sh/600035/600035/detail</t>
  </si>
  <si>
    <t>中粮糖业</t>
  </si>
  <si>
    <t>www.lixinger.com/analytics/company/sh/600737/600737/detail</t>
  </si>
  <si>
    <t>云南铜业</t>
  </si>
  <si>
    <t>www.lixinger.com/analytics/company/sz/000878/878/detail</t>
  </si>
  <si>
    <t>恒生电子</t>
  </si>
  <si>
    <t>www.lixinger.com/analytics/company/sh/600570/600570/detail</t>
  </si>
  <si>
    <t>通宝能源</t>
  </si>
  <si>
    <t>www.lixinger.com/analytics/company/sh/600780/600780/detail</t>
  </si>
  <si>
    <t>双星新材</t>
  </si>
  <si>
    <t>膜材料</t>
  </si>
  <si>
    <t>www.lixinger.com/analytics/company/sz/002585/2585/detail</t>
  </si>
  <si>
    <t>沪电股份</t>
  </si>
  <si>
    <t>www.lixinger.com/analytics/company/sz/002463/2463/detail</t>
  </si>
  <si>
    <t>中炬高新</t>
  </si>
  <si>
    <t>www.lixinger.com/analytics/company/sh/600872/600872/detail</t>
  </si>
  <si>
    <t>亿利洁能</t>
  </si>
  <si>
    <t>www.lixinger.com/analytics/company/sh/600277/600277/detail</t>
  </si>
  <si>
    <t>华夏航空</t>
  </si>
  <si>
    <t>www.lixinger.com/analytics/company/sz/002928/2928/detail</t>
  </si>
  <si>
    <t>深物业B</t>
  </si>
  <si>
    <t>www.lixinger.com/analytics/company/sz/200011/200011/detail</t>
  </si>
  <si>
    <t>联化科技</t>
  </si>
  <si>
    <t>www.lixinger.com/analytics/company/sz/002250/2250/detail</t>
  </si>
  <si>
    <t>抚顺特钢</t>
  </si>
  <si>
    <t>www.lixinger.com/analytics/company/sh/600399/600399/detail</t>
  </si>
  <si>
    <t>威孚高科</t>
  </si>
  <si>
    <t>www.lixinger.com/analytics/company/sz/000581/581/detail</t>
  </si>
  <si>
    <t>ST鹏博士</t>
  </si>
  <si>
    <t>www.lixinger.com/analytics/company/sh/600804/600804/detail</t>
  </si>
  <si>
    <t>海印股份</t>
  </si>
  <si>
    <t>www.lixinger.com/analytics/company/sz/000861/861/detail</t>
  </si>
  <si>
    <t>汤姆猫</t>
  </si>
  <si>
    <t>www.lixinger.com/analytics/company/sz/300459/300459/detail</t>
  </si>
  <si>
    <t>道氏技术</t>
  </si>
  <si>
    <t>www.lixinger.com/analytics/company/sz/300409/300409/detail</t>
  </si>
  <si>
    <t>兴发集团</t>
  </si>
  <si>
    <t>www.lixinger.com/analytics/company/sh/600141/600141/detail</t>
  </si>
  <si>
    <t>中通客车</t>
  </si>
  <si>
    <t>www.lixinger.com/analytics/company/sz/000957/957/detail</t>
  </si>
  <si>
    <t>海南矿业</t>
  </si>
  <si>
    <t>铁矿石</t>
  </si>
  <si>
    <t>www.lixinger.com/analytics/company/sh/601969/601969/detail</t>
  </si>
  <si>
    <t>老百姓</t>
  </si>
  <si>
    <t>www.lixinger.com/analytics/company/sh/603883/603883/detail</t>
  </si>
  <si>
    <t>绝味食品</t>
  </si>
  <si>
    <t>熟食</t>
  </si>
  <si>
    <t>www.lixinger.com/analytics/company/sh/603517/603517/detail</t>
  </si>
  <si>
    <t>诚志股份</t>
  </si>
  <si>
    <t>www.lixinger.com/analytics/company/sz/000990/990/detail</t>
  </si>
  <si>
    <t>京基智农</t>
  </si>
  <si>
    <t>www.lixinger.com/analytics/company/sz/000048/48/detail</t>
  </si>
  <si>
    <t>汉马科技</t>
  </si>
  <si>
    <t>www.lixinger.com/analytics/company/sh/600375/600375/detail</t>
  </si>
  <si>
    <t>豫光金铅</t>
  </si>
  <si>
    <t>www.lixinger.com/analytics/company/sh/600531/600531/detail</t>
  </si>
  <si>
    <t>沈阳化工</t>
  </si>
  <si>
    <t>www.lixinger.com/analytics/company/sz/000698/698/detail</t>
  </si>
  <si>
    <t>南京医药</t>
  </si>
  <si>
    <t>www.lixinger.com/analytics/company/sh/600713/600713/detail</t>
  </si>
  <si>
    <t>航民股份</t>
  </si>
  <si>
    <t>印染</t>
  </si>
  <si>
    <t>www.lixinger.com/analytics/company/sh/600987/600987/detail</t>
  </si>
  <si>
    <t>安洁科技</t>
  </si>
  <si>
    <t>www.lixinger.com/analytics/company/sz/002635/2635/detail</t>
  </si>
  <si>
    <t>大商股份</t>
  </si>
  <si>
    <t>www.lixinger.com/analytics/company/sh/600694/600694/detail</t>
  </si>
  <si>
    <t>英唐智控</t>
  </si>
  <si>
    <t>www.lixinger.com/analytics/company/sz/300131/300131/detail</t>
  </si>
  <si>
    <t>中储股份</t>
  </si>
  <si>
    <t>仓储物流</t>
  </si>
  <si>
    <t>www.lixinger.com/analytics/company/sh/600787/600787/detail</t>
  </si>
  <si>
    <t>江河集团</t>
  </si>
  <si>
    <t>www.lixinger.com/analytics/company/sh/601886/601886/detail</t>
  </si>
  <si>
    <t>中国软件</t>
  </si>
  <si>
    <t>www.lixinger.com/analytics/company/sh/600536/600536/detail</t>
  </si>
  <si>
    <t>紫江企业</t>
  </si>
  <si>
    <t>塑料包装</t>
  </si>
  <si>
    <t>www.lixinger.com/analytics/company/sh/600210/600210/detail</t>
  </si>
  <si>
    <t>宁夏建材</t>
  </si>
  <si>
    <t>www.lixinger.com/analytics/company/sh/600449/600449/detail</t>
  </si>
  <si>
    <t>科士达</t>
  </si>
  <si>
    <t>其他电源设备</t>
  </si>
  <si>
    <t>www.lixinger.com/analytics/company/sz/002518/2518/detail</t>
  </si>
  <si>
    <t>一心堂</t>
  </si>
  <si>
    <t>www.lixinger.com/analytics/company/sz/002727/2727/detail</t>
  </si>
  <si>
    <t>葵花药业</t>
  </si>
  <si>
    <t>www.lixinger.com/analytics/company/sz/002737/2737/detail</t>
  </si>
  <si>
    <t>皖维高新</t>
  </si>
  <si>
    <t>其他化学纤维</t>
  </si>
  <si>
    <t>www.lixinger.com/analytics/company/sh/600063/600063/detail</t>
  </si>
  <si>
    <t>三友化工</t>
  </si>
  <si>
    <t>粘胶</t>
  </si>
  <si>
    <t>www.lixinger.com/analytics/company/sh/600409/600409/detail</t>
  </si>
  <si>
    <t>西藏珠峰</t>
  </si>
  <si>
    <t>www.lixinger.com/analytics/company/sh/600338/600338/detail</t>
  </si>
  <si>
    <t>广宇集团</t>
  </si>
  <si>
    <t>www.lixinger.com/analytics/company/sz/002133/2133/detail</t>
  </si>
  <si>
    <t>上海梅林</t>
  </si>
  <si>
    <t>www.lixinger.com/analytics/company/sh/600073/600073/detail</t>
  </si>
  <si>
    <t>南京证券</t>
  </si>
  <si>
    <t>www.lixinger.com/analytics/company/sh/601990/601990/detail</t>
  </si>
  <si>
    <t>兆易创新</t>
  </si>
  <si>
    <t>www.lixinger.com/analytics/company/sh/603986/603986/detail</t>
  </si>
  <si>
    <t>中国重工</t>
  </si>
  <si>
    <t>www.lixinger.com/analytics/company/sh/601989/601989/detail</t>
  </si>
  <si>
    <t>深圳机场</t>
  </si>
  <si>
    <t>www.lixinger.com/analytics/company/sz/000089/89/detail</t>
  </si>
  <si>
    <t>益丰药房</t>
  </si>
  <si>
    <t>www.lixinger.com/analytics/company/sh/603939/603939/detail</t>
  </si>
  <si>
    <t>百隆东方</t>
  </si>
  <si>
    <t>www.lixinger.com/analytics/company/sh/601339/601339/detail</t>
  </si>
  <si>
    <t>天房发展</t>
  </si>
  <si>
    <t>www.lixinger.com/analytics/company/sh/600322/600322/detail</t>
  </si>
  <si>
    <t>协鑫集成</t>
  </si>
  <si>
    <t>www.lixinger.com/analytics/company/sz/002506/2506/detail</t>
  </si>
  <si>
    <t>爱柯迪</t>
  </si>
  <si>
    <t>www.lixinger.com/analytics/company/sh/600933/600933/detail</t>
  </si>
  <si>
    <t>中航高科</t>
  </si>
  <si>
    <t>www.lixinger.com/analytics/company/sh/600862/600862/detail</t>
  </si>
  <si>
    <t>共进股份</t>
  </si>
  <si>
    <t>www.lixinger.com/analytics/company/sh/603118/603118/detail</t>
  </si>
  <si>
    <t>安道麦B</t>
  </si>
  <si>
    <t>www.lixinger.com/analytics/company/sz/200553/200553/detail</t>
  </si>
  <si>
    <t>河钢资源</t>
  </si>
  <si>
    <t>www.lixinger.com/analytics/company/sz/000923/923/detail</t>
  </si>
  <si>
    <t>东鹏控股</t>
  </si>
  <si>
    <t>瓷砖地板</t>
  </si>
  <si>
    <t>www.lixinger.com/analytics/company/sz/003012/3012/detail</t>
  </si>
  <si>
    <t>合力泰</t>
  </si>
  <si>
    <t>www.lixinger.com/analytics/company/sz/002217/2217/detail</t>
  </si>
  <si>
    <t>深物业A</t>
  </si>
  <si>
    <t>www.lixinger.com/analytics/company/sz/000011/11/detail</t>
  </si>
  <si>
    <t>云图控股</t>
  </si>
  <si>
    <t>www.lixinger.com/analytics/company/sz/002539/2539/detail</t>
  </si>
  <si>
    <t>康龙化成</t>
  </si>
  <si>
    <t>www.lixinger.com/analytics/company/sz/300759/300759/detail</t>
  </si>
  <si>
    <t>亿帆医药</t>
  </si>
  <si>
    <t>www.lixinger.com/analytics/company/sz/002019/2019/detail</t>
  </si>
  <si>
    <t>千方科技</t>
  </si>
  <si>
    <t>www.lixinger.com/analytics/company/sz/002373/2373/detail</t>
  </si>
  <si>
    <t>张裕Ｂ</t>
  </si>
  <si>
    <t>www.lixinger.com/analytics/company/sz/200869/200869/detail</t>
  </si>
  <si>
    <t>海宁皮城</t>
  </si>
  <si>
    <t>www.lixinger.com/analytics/company/sz/002344/2344/detail</t>
  </si>
  <si>
    <t>五洲交通</t>
  </si>
  <si>
    <t>www.lixinger.com/analytics/company/sh/600368/600368/detail</t>
  </si>
  <si>
    <t>ST冠福</t>
  </si>
  <si>
    <t>www.lixinger.com/analytics/company/sz/002102/2102/detail</t>
  </si>
  <si>
    <t>伊泰Ｂ股</t>
  </si>
  <si>
    <t>www.lixinger.com/analytics/company/sh/900948/900948/detail</t>
  </si>
  <si>
    <t>广电运通</t>
  </si>
  <si>
    <t>www.lixinger.com/analytics/company/sz/002152/2152/detail</t>
  </si>
  <si>
    <t>农产品</t>
  </si>
  <si>
    <t>www.lixinger.com/analytics/company/sz/000061/61/detail</t>
  </si>
  <si>
    <t>华鑫股份</t>
  </si>
  <si>
    <t>www.lixinger.com/analytics/company/sh/600621/600621/detail</t>
  </si>
  <si>
    <t>康缘药业</t>
  </si>
  <si>
    <t>www.lixinger.com/analytics/company/sh/600557/600557/detail</t>
  </si>
  <si>
    <t>康恩贝</t>
  </si>
  <si>
    <t>www.lixinger.com/analytics/company/sh/600572/600572/detail</t>
  </si>
  <si>
    <t>迎驾贡酒</t>
  </si>
  <si>
    <t>www.lixinger.com/analytics/company/sh/603198/603198/detail</t>
  </si>
  <si>
    <t>三星医疗</t>
  </si>
  <si>
    <t>电工仪器仪表</t>
  </si>
  <si>
    <t>www.lixinger.com/analytics/company/sh/601567/601567/detail</t>
  </si>
  <si>
    <t>海南橡胶</t>
  </si>
  <si>
    <t>其他种植业</t>
  </si>
  <si>
    <t>www.lixinger.com/analytics/company/sh/601118/601118/detail</t>
  </si>
  <si>
    <t>蒙娜丽莎</t>
  </si>
  <si>
    <t>www.lixinger.com/analytics/company/sz/002918/2918/detail</t>
  </si>
  <si>
    <t>金达威</t>
  </si>
  <si>
    <t>www.lixinger.com/analytics/company/sz/002626/2626/detail</t>
  </si>
  <si>
    <t>陕鼓动力</t>
  </si>
  <si>
    <t>其他通用设备</t>
  </si>
  <si>
    <t>www.lixinger.com/analytics/company/sh/601369/601369/detail</t>
  </si>
  <si>
    <t>杭叉集团</t>
  </si>
  <si>
    <t>www.lixinger.com/analytics/company/sh/603298/603298/detail</t>
  </si>
  <si>
    <t>利亚德</t>
  </si>
  <si>
    <t>www.lixinger.com/analytics/company/sz/300296/300296/detail</t>
  </si>
  <si>
    <t>中兵红箭</t>
  </si>
  <si>
    <t>www.lixinger.com/analytics/company/sz/000519/519/detail</t>
  </si>
  <si>
    <t>友发集团</t>
  </si>
  <si>
    <t>www.lixinger.com/analytics/company/sh/601686/601686/detail</t>
  </si>
  <si>
    <t>金禾实业</t>
  </si>
  <si>
    <t>www.lixinger.com/analytics/company/sz/002597/2597/detail</t>
  </si>
  <si>
    <t>西子洁能</t>
  </si>
  <si>
    <t>火电设备</t>
  </si>
  <si>
    <t>www.lixinger.com/analytics/company/sz/002534/2534/detail</t>
  </si>
  <si>
    <t>阳光照明</t>
  </si>
  <si>
    <t>www.lixinger.com/analytics/company/sh/600261/600261/detail</t>
  </si>
  <si>
    <t>四川双马</t>
  </si>
  <si>
    <t>www.lixinger.com/analytics/company/sz/000935/935/detail</t>
  </si>
  <si>
    <t>伟星新材</t>
  </si>
  <si>
    <t>管材</t>
  </si>
  <si>
    <t>www.lixinger.com/analytics/company/sz/002372/2372/detail</t>
  </si>
  <si>
    <t>东望时代</t>
  </si>
  <si>
    <t>www.lixinger.com/analytics/company/sh/600052/600052/detail</t>
  </si>
  <si>
    <t>长鹰信质</t>
  </si>
  <si>
    <t>www.lixinger.com/analytics/company/sz/002664/2664/detail</t>
  </si>
  <si>
    <t>北方稀土</t>
  </si>
  <si>
    <t>稀土</t>
  </si>
  <si>
    <t>www.lixinger.com/analytics/company/sh/600111/600111/detail</t>
  </si>
  <si>
    <t>桃李面包</t>
  </si>
  <si>
    <t>烘焙食品</t>
  </si>
  <si>
    <t>www.lixinger.com/analytics/company/sh/603866/603866/detail</t>
  </si>
  <si>
    <t>宝信软件</t>
  </si>
  <si>
    <t>www.lixinger.com/analytics/company/sh/600845/600845/detail</t>
  </si>
  <si>
    <t>沪硅产业</t>
  </si>
  <si>
    <t>www.lixinger.com/analytics/company/sh/688126/688126/detail</t>
  </si>
  <si>
    <t>杉杉股份</t>
  </si>
  <si>
    <t>www.lixinger.com/analytics/company/sh/600884/600884/detail</t>
  </si>
  <si>
    <t>信邦制药</t>
  </si>
  <si>
    <t>www.lixinger.com/analytics/company/sz/002390/2390/detail</t>
  </si>
  <si>
    <t>孩子王</t>
  </si>
  <si>
    <t>www.lixinger.com/analytics/company/sz/301078/301078/detail</t>
  </si>
  <si>
    <t>歌华有线</t>
  </si>
  <si>
    <t>www.lixinger.com/analytics/company/sh/600037/600037/detail</t>
  </si>
  <si>
    <t>创业环保</t>
  </si>
  <si>
    <t>www.lixinger.com/analytics/company/sh/600874/600874/detail</t>
  </si>
  <si>
    <t>辽宁成大</t>
  </si>
  <si>
    <t>www.lixinger.com/analytics/company/sh/600739/600739/detail</t>
  </si>
  <si>
    <t>广东鸿图</t>
  </si>
  <si>
    <t>www.lixinger.com/analytics/company/sz/002101/2101/detail</t>
  </si>
  <si>
    <t>利欧股份</t>
  </si>
  <si>
    <t>营销代理</t>
  </si>
  <si>
    <t>www.lixinger.com/analytics/company/sz/002131/2131/detail</t>
  </si>
  <si>
    <t>重庆百货</t>
  </si>
  <si>
    <t>www.lixinger.com/analytics/company/sh/600729/600729/detail</t>
  </si>
  <si>
    <t>景旺电子</t>
  </si>
  <si>
    <t>www.lixinger.com/analytics/company/sh/603228/603228/detail</t>
  </si>
  <si>
    <t>上海莱士</t>
  </si>
  <si>
    <t>www.lixinger.com/analytics/company/sz/002252/2252/detail</t>
  </si>
  <si>
    <t>万马股份</t>
  </si>
  <si>
    <t>www.lixinger.com/analytics/company/sz/002276/2276/detail</t>
  </si>
  <si>
    <t>新安股份</t>
  </si>
  <si>
    <t>有机硅</t>
  </si>
  <si>
    <t>www.lixinger.com/analytics/company/sh/600596/600596/detail</t>
  </si>
  <si>
    <t>鸿路钢构</t>
  </si>
  <si>
    <t>钢结构</t>
  </si>
  <si>
    <t>www.lixinger.com/analytics/company/sz/002541/2541/detail</t>
  </si>
  <si>
    <t>佛燃能源</t>
  </si>
  <si>
    <t>www.lixinger.com/analytics/company/sz/002911/2911/detail</t>
  </si>
  <si>
    <t>澜起科技</t>
  </si>
  <si>
    <t>www.lixinger.com/analytics/company/sh/688008/688008/detail</t>
  </si>
  <si>
    <t>太平鸟</t>
  </si>
  <si>
    <t>www.lixinger.com/analytics/company/sh/603877/603877/detail</t>
  </si>
  <si>
    <t>伟明环保</t>
  </si>
  <si>
    <t>www.lixinger.com/analytics/company/sh/603568/603568/detail</t>
  </si>
  <si>
    <t>水井坊</t>
  </si>
  <si>
    <t>www.lixinger.com/analytics/company/sh/600779/600779/detail</t>
  </si>
  <si>
    <t>氯碱化工</t>
  </si>
  <si>
    <t>www.lixinger.com/analytics/company/sh/600618/600618/detail</t>
  </si>
  <si>
    <t>浪潮信息</t>
  </si>
  <si>
    <t>www.lixinger.com/analytics/company/sz/000977/977/detail</t>
  </si>
  <si>
    <t>富安娜</t>
  </si>
  <si>
    <t>家纺</t>
  </si>
  <si>
    <t>www.lixinger.com/analytics/company/sz/002327/2327/detail</t>
  </si>
  <si>
    <t>蓝焰控股</t>
  </si>
  <si>
    <t>www.lixinger.com/analytics/company/sz/000968/968/detail</t>
  </si>
  <si>
    <t>锌业股份</t>
  </si>
  <si>
    <t>www.lixinger.com/analytics/company/sz/000751/751/detail</t>
  </si>
  <si>
    <t>南方传媒</t>
  </si>
  <si>
    <t>www.lixinger.com/analytics/company/sh/601900/601900/detail</t>
  </si>
  <si>
    <t>四方股份</t>
  </si>
  <si>
    <t>www.lixinger.com/analytics/company/sh/601126/601126/detail</t>
  </si>
  <si>
    <t>公元股份</t>
  </si>
  <si>
    <t>www.lixinger.com/analytics/company/sz/002641/2641/detail</t>
  </si>
  <si>
    <t>电科数字</t>
  </si>
  <si>
    <t>www.lixinger.com/analytics/company/sh/600850/600850/detail</t>
  </si>
  <si>
    <t>安徽合力</t>
  </si>
  <si>
    <t>www.lixinger.com/analytics/company/sh/600761/600761/detail</t>
  </si>
  <si>
    <t>九芝堂</t>
  </si>
  <si>
    <t>www.lixinger.com/analytics/company/sz/000989/989/detail</t>
  </si>
  <si>
    <t>长江传媒</t>
  </si>
  <si>
    <t>www.lixinger.com/analytics/company/sh/600757/600757/detail</t>
  </si>
  <si>
    <t>天顺风能</t>
  </si>
  <si>
    <t>www.lixinger.com/analytics/company/sz/002531/2531/detail</t>
  </si>
  <si>
    <t>日月股份</t>
  </si>
  <si>
    <t>www.lixinger.com/analytics/company/sh/603218/603218/detail</t>
  </si>
  <si>
    <t>昊华科技</t>
  </si>
  <si>
    <t>www.lixinger.com/analytics/company/sh/600378/600378/detail</t>
  </si>
  <si>
    <t>中百集团</t>
  </si>
  <si>
    <t>www.lixinger.com/analytics/company/sz/000759/759/detail</t>
  </si>
  <si>
    <t>中船应急</t>
  </si>
  <si>
    <t>www.lixinger.com/analytics/company/sz/300527/300527/detail</t>
  </si>
  <si>
    <t>安道麦A</t>
  </si>
  <si>
    <t>www.lixinger.com/analytics/company/sz/000553/553/detail</t>
  </si>
  <si>
    <t>安图生物</t>
  </si>
  <si>
    <t>体外诊断</t>
  </si>
  <si>
    <t>www.lixinger.com/analytics/company/sh/603658/603658/detail</t>
  </si>
  <si>
    <t>长飞光纤</t>
  </si>
  <si>
    <t>www.lixinger.com/analytics/company/sh/601869/601869/detail</t>
  </si>
  <si>
    <t>华光环能</t>
  </si>
  <si>
    <t>www.lixinger.com/analytics/company/sh/600475/600475/detail</t>
  </si>
  <si>
    <t>怡球资源</t>
  </si>
  <si>
    <t>www.lixinger.com/analytics/company/sh/601388/601388/detail</t>
  </si>
  <si>
    <t>京威股份</t>
  </si>
  <si>
    <t>www.lixinger.com/analytics/company/sz/002662/2662/detail</t>
  </si>
  <si>
    <t>张裕Ａ</t>
  </si>
  <si>
    <t>其他酒类</t>
  </si>
  <si>
    <t>www.lixinger.com/analytics/company/sz/000869/869/detail</t>
  </si>
  <si>
    <t>ST方科</t>
  </si>
  <si>
    <t>www.lixinger.com/analytics/company/sh/600601/600601/detail</t>
  </si>
  <si>
    <t>中山公用</t>
  </si>
  <si>
    <t>www.lixinger.com/analytics/company/sz/000685/685/detail</t>
  </si>
  <si>
    <t>兰花科创</t>
  </si>
  <si>
    <t>www.lixinger.com/analytics/company/sh/600123/600123/detail</t>
  </si>
  <si>
    <t>新产业</t>
  </si>
  <si>
    <t>www.lixinger.com/analytics/company/sz/300832/300832/detail</t>
  </si>
  <si>
    <t>思源电气</t>
  </si>
  <si>
    <t>www.lixinger.com/analytics/company/sz/002028/2028/detail</t>
  </si>
  <si>
    <t>湖南黄金</t>
  </si>
  <si>
    <t>www.lixinger.com/analytics/company/sz/002155/2155/detail</t>
  </si>
  <si>
    <t>爱康科技</t>
  </si>
  <si>
    <t>www.lixinger.com/analytics/company/sz/002610/2610/detail</t>
  </si>
  <si>
    <t>长盈精密</t>
  </si>
  <si>
    <t>www.lixinger.com/analytics/company/sz/300115/300115/detail</t>
  </si>
  <si>
    <t>中航光电</t>
  </si>
  <si>
    <t>军工电子</t>
  </si>
  <si>
    <t>www.lixinger.com/analytics/company/sz/002179/2179/detail</t>
  </si>
  <si>
    <t>广东宏大</t>
  </si>
  <si>
    <t>民爆制品</t>
  </si>
  <si>
    <t>www.lixinger.com/analytics/company/sz/002683/2683/detail</t>
  </si>
  <si>
    <t>星辉娱乐</t>
  </si>
  <si>
    <t>www.lixinger.com/analytics/company/sz/300043/300043/detail</t>
  </si>
  <si>
    <t>宁波海运</t>
  </si>
  <si>
    <t>www.lixinger.com/analytics/company/sh/600798/600798/detail</t>
  </si>
  <si>
    <t>万和电气</t>
  </si>
  <si>
    <t>卫浴电器</t>
  </si>
  <si>
    <t>www.lixinger.com/analytics/company/sz/002543/2543/detail</t>
  </si>
  <si>
    <t>北大荒</t>
  </si>
  <si>
    <t>粮食种植</t>
  </si>
  <si>
    <t>www.lixinger.com/analytics/company/sh/600598/600598/detail</t>
  </si>
  <si>
    <t>富森美</t>
  </si>
  <si>
    <t>www.lixinger.com/analytics/company/sz/002818/2818/detail</t>
  </si>
  <si>
    <t>ST洲际</t>
  </si>
  <si>
    <t>www.lixinger.com/analytics/company/sh/600759/600759/detail</t>
  </si>
  <si>
    <t>华铁应急</t>
  </si>
  <si>
    <t>www.lixinger.com/analytics/company/sh/603300/603300/detail</t>
  </si>
  <si>
    <t>康弘药业</t>
  </si>
  <si>
    <t>www.lixinger.com/analytics/company/sz/002773/2773/detail</t>
  </si>
  <si>
    <t>骆驼股份</t>
  </si>
  <si>
    <t>www.lixinger.com/analytics/company/sh/601311/601311/detail</t>
  </si>
  <si>
    <t>亚普股份</t>
  </si>
  <si>
    <t>www.lixinger.com/analytics/company/sh/603013/603013/detail</t>
  </si>
  <si>
    <t>巨星科技</t>
  </si>
  <si>
    <t>www.lixinger.com/analytics/company/sz/002444/2444/detail</t>
  </si>
  <si>
    <t>安阳钢铁</t>
  </si>
  <si>
    <t>www.lixinger.com/analytics/company/sh/600569/600569/detail</t>
  </si>
  <si>
    <t>节能国祯</t>
  </si>
  <si>
    <t>www.lixinger.com/analytics/company/sz/300388/300388/detail</t>
  </si>
  <si>
    <t>韦尔股份</t>
  </si>
  <si>
    <t>www.lixinger.com/analytics/company/sh/603501/603501/detail</t>
  </si>
  <si>
    <t>中原传媒</t>
  </si>
  <si>
    <t>www.lixinger.com/analytics/company/sz/000719/719/detail</t>
  </si>
  <si>
    <t>灿勤科技</t>
  </si>
  <si>
    <t>www.lixinger.com/analytics/company/sh/688182/688182/detail</t>
  </si>
  <si>
    <t>大连重工</t>
  </si>
  <si>
    <t>www.lixinger.com/analytics/company/sz/002204/2204/detail</t>
  </si>
  <si>
    <t>周大生</t>
  </si>
  <si>
    <t>钟表珠宝</t>
  </si>
  <si>
    <t>www.lixinger.com/analytics/company/sz/002867/2867/detail</t>
  </si>
  <si>
    <t>华测检测</t>
  </si>
  <si>
    <t>检测服务</t>
  </si>
  <si>
    <t>www.lixinger.com/analytics/company/sz/300012/300012/detail</t>
  </si>
  <si>
    <t>中国出版</t>
  </si>
  <si>
    <t>www.lixinger.com/analytics/company/sh/601949/601949/detail</t>
  </si>
  <si>
    <t>风华高科</t>
  </si>
  <si>
    <t>www.lixinger.com/analytics/company/sz/000636/636/detail</t>
  </si>
  <si>
    <t>依顿电子</t>
  </si>
  <si>
    <t>www.lixinger.com/analytics/company/sh/603328/603328/detail</t>
  </si>
  <si>
    <t>鸿利智汇</t>
  </si>
  <si>
    <t>www.lixinger.com/analytics/company/sz/300219/300219/detail</t>
  </si>
  <si>
    <t>宗申动力</t>
  </si>
  <si>
    <t>www.lixinger.com/analytics/company/sz/001696/1696/detail</t>
  </si>
  <si>
    <t>崇达技术</t>
  </si>
  <si>
    <t>www.lixinger.com/analytics/company/sz/002815/2815/detail</t>
  </si>
  <si>
    <t>高能环境</t>
  </si>
  <si>
    <t>www.lixinger.com/analytics/company/sh/603588/603588/detail</t>
  </si>
  <si>
    <t>华润材料</t>
  </si>
  <si>
    <t>www.lixinger.com/analytics/company/sz/301090/301090/detail</t>
  </si>
  <si>
    <t>万里扬</t>
  </si>
  <si>
    <t>www.lixinger.com/analytics/company/sz/002434/2434/detail</t>
  </si>
  <si>
    <t>中航重机</t>
  </si>
  <si>
    <t>www.lixinger.com/analytics/company/sh/600765/600765/detail</t>
  </si>
  <si>
    <t>蓝帆医疗</t>
  </si>
  <si>
    <t>www.lixinger.com/analytics/company/sz/002382/2382/detail</t>
  </si>
  <si>
    <t>长虹华意</t>
  </si>
  <si>
    <t>www.lixinger.com/analytics/company/sz/000404/404/detail</t>
  </si>
  <si>
    <t>华扬联众</t>
  </si>
  <si>
    <t>www.lixinger.com/analytics/company/sh/603825/603825/detail</t>
  </si>
  <si>
    <t>三维通信</t>
  </si>
  <si>
    <t>通信工程及服务</t>
  </si>
  <si>
    <t>www.lixinger.com/analytics/company/sz/002115/2115/detail</t>
  </si>
  <si>
    <t>华帝股份</t>
  </si>
  <si>
    <t>www.lixinger.com/analytics/company/sz/002035/2035/detail</t>
  </si>
  <si>
    <t>晶盛机电</t>
  </si>
  <si>
    <t>光伏加工设备</t>
  </si>
  <si>
    <t>www.lixinger.com/analytics/company/sz/300316/300316/detail</t>
  </si>
  <si>
    <t>航发科技</t>
  </si>
  <si>
    <t>www.lixinger.com/analytics/company/sh/600391/600391/detail</t>
  </si>
  <si>
    <t>成都燃气</t>
  </si>
  <si>
    <t>www.lixinger.com/analytics/company/sh/603053/603053/detail</t>
  </si>
  <si>
    <t>木林森</t>
  </si>
  <si>
    <t>www.lixinger.com/analytics/company/sz/002745/2745/detail</t>
  </si>
  <si>
    <t>中钢国际</t>
  </si>
  <si>
    <t>国际工程</t>
  </si>
  <si>
    <t>www.lixinger.com/analytics/company/sz/000928/928/detail</t>
  </si>
  <si>
    <t>中原环保</t>
  </si>
  <si>
    <t>www.lixinger.com/analytics/company/sz/000544/544/detail</t>
  </si>
  <si>
    <t>中直股份</t>
  </si>
  <si>
    <t>www.lixinger.com/analytics/company/sh/600038/600038/detail</t>
  </si>
  <si>
    <t>浙数文化</t>
  </si>
  <si>
    <t>www.lixinger.com/analytics/company/sh/600633/600633/detail</t>
  </si>
  <si>
    <t>川能动力</t>
  </si>
  <si>
    <t>www.lixinger.com/analytics/company/sz/000155/155/detail</t>
  </si>
  <si>
    <t>科华数据</t>
  </si>
  <si>
    <t>www.lixinger.com/analytics/company/sz/002335/2335/detail</t>
  </si>
  <si>
    <t>中信海直</t>
  </si>
  <si>
    <t>www.lixinger.com/analytics/company/sz/000099/99/detail</t>
  </si>
  <si>
    <t>齐翔腾达</t>
  </si>
  <si>
    <t>www.lixinger.com/analytics/company/sz/002408/2408/detail</t>
  </si>
  <si>
    <t>海思科</t>
  </si>
  <si>
    <t>www.lixinger.com/analytics/company/sz/002653/2653/detail</t>
  </si>
  <si>
    <t>中色股份</t>
  </si>
  <si>
    <t>www.lixinger.com/analytics/company/sz/000758/758/detail</t>
  </si>
  <si>
    <t>恩捷股份</t>
  </si>
  <si>
    <t>www.lixinger.com/analytics/company/sz/002812/2812/detail</t>
  </si>
  <si>
    <t>星网锐捷</t>
  </si>
  <si>
    <t>www.lixinger.com/analytics/company/sz/002396/2396/detail</t>
  </si>
  <si>
    <t>罗莱生活</t>
  </si>
  <si>
    <t>www.lixinger.com/analytics/company/sz/002293/2293/detail</t>
  </si>
  <si>
    <t>国新能源</t>
  </si>
  <si>
    <t>www.lixinger.com/analytics/company/sh/600617/600617/detail</t>
  </si>
  <si>
    <t>维远股份</t>
  </si>
  <si>
    <t>www.lixinger.com/analytics/company/sh/600955/600955/detail</t>
  </si>
  <si>
    <t>珠江啤酒</t>
  </si>
  <si>
    <t>www.lixinger.com/analytics/company/sz/002461/2461/detail</t>
  </si>
  <si>
    <t>华峰超纤</t>
  </si>
  <si>
    <t>其他塑料制品</t>
  </si>
  <si>
    <t>www.lixinger.com/analytics/company/sz/300180/300180/detail</t>
  </si>
  <si>
    <t>伯特利</t>
  </si>
  <si>
    <t>www.lixinger.com/analytics/company/sh/603596/603596/detail</t>
  </si>
  <si>
    <t>穗恒运Ａ</t>
  </si>
  <si>
    <t>www.lixinger.com/analytics/company/sz/000531/531/detail</t>
  </si>
  <si>
    <t>万润股份</t>
  </si>
  <si>
    <t>电子化学品</t>
  </si>
  <si>
    <t>www.lixinger.com/analytics/company/sz/002643/2643/detail</t>
  </si>
  <si>
    <t>石头科技</t>
  </si>
  <si>
    <t>www.lixinger.com/analytics/company/sh/688169/688169/detail</t>
  </si>
  <si>
    <t>光威复材</t>
  </si>
  <si>
    <t>www.lixinger.com/analytics/company/sz/300699/300699/detail</t>
  </si>
  <si>
    <t>上海家化</t>
  </si>
  <si>
    <t>品牌化妆品</t>
  </si>
  <si>
    <t>www.lixinger.com/analytics/company/sh/600315/600315/detail</t>
  </si>
  <si>
    <t>润丰股份</t>
  </si>
  <si>
    <t>www.lixinger.com/analytics/company/sz/301035/301035/detail</t>
  </si>
  <si>
    <t>天马科技</t>
  </si>
  <si>
    <t>www.lixinger.com/analytics/company/sh/603668/603668/detail</t>
  </si>
  <si>
    <t>宝鹰股份</t>
  </si>
  <si>
    <t>www.lixinger.com/analytics/company/sz/002047/2047/detail</t>
  </si>
  <si>
    <t>欣旺达</t>
  </si>
  <si>
    <t>www.lixinger.com/analytics/company/sz/300207/300207/detail</t>
  </si>
  <si>
    <t>安泰科技</t>
  </si>
  <si>
    <t>其他金属新材料</t>
  </si>
  <si>
    <t>www.lixinger.com/analytics/company/sz/000969/969/detail</t>
  </si>
  <si>
    <t>横店东磁</t>
  </si>
  <si>
    <t>磁性材料</t>
  </si>
  <si>
    <t>www.lixinger.com/analytics/company/sz/002056/2056/detail</t>
  </si>
  <si>
    <t>韶能股份</t>
  </si>
  <si>
    <t>www.lixinger.com/analytics/company/sz/000601/601/detail</t>
  </si>
  <si>
    <t>铁龙物流</t>
  </si>
  <si>
    <t>www.lixinger.com/analytics/company/sh/600125/600125/detail</t>
  </si>
  <si>
    <t>ST中孚</t>
  </si>
  <si>
    <t>www.lixinger.com/analytics/company/sh/600595/600595/detail</t>
  </si>
  <si>
    <t>金田铜业</t>
  </si>
  <si>
    <t>www.lixinger.com/analytics/company/sh/601609/601609/detail</t>
  </si>
  <si>
    <t>胜宏科技</t>
  </si>
  <si>
    <t>www.lixinger.com/analytics/company/sz/300476/300476/detail</t>
  </si>
  <si>
    <t>山河智能</t>
  </si>
  <si>
    <t>www.lixinger.com/analytics/company/sz/002097/2097/detail</t>
  </si>
  <si>
    <t>格林美</t>
  </si>
  <si>
    <t>www.lixinger.com/analytics/company/sz/002340/2340/detail</t>
  </si>
  <si>
    <t>中航电子</t>
  </si>
  <si>
    <t>www.lixinger.com/analytics/company/sh/600372/600372/detail</t>
  </si>
  <si>
    <t>英利汽车</t>
  </si>
  <si>
    <t>www.lixinger.com/analytics/company/sh/601279/601279/detail</t>
  </si>
  <si>
    <t>华北制药</t>
  </si>
  <si>
    <t>www.lixinger.com/analytics/company/sh/600812/600812/detail</t>
  </si>
  <si>
    <t>厦门空港</t>
  </si>
  <si>
    <t>www.lixinger.com/analytics/company/sh/600897/600897/detail</t>
  </si>
  <si>
    <t>天融信</t>
  </si>
  <si>
    <t>www.lixinger.com/analytics/company/sz/002212/2212/detail</t>
  </si>
  <si>
    <t>数码视讯</t>
  </si>
  <si>
    <t>www.lixinger.com/analytics/company/sz/300079/300079/detail</t>
  </si>
  <si>
    <t>东风股份</t>
  </si>
  <si>
    <t>www.lixinger.com/analytics/company/sh/601515/601515/detail</t>
  </si>
  <si>
    <t>中广核技</t>
  </si>
  <si>
    <t>www.lixinger.com/analytics/company/sz/000881/881/detail</t>
  </si>
  <si>
    <t>焦作万方</t>
  </si>
  <si>
    <t>www.lixinger.com/analytics/company/sz/000612/612/detail</t>
  </si>
  <si>
    <t>株冶集团</t>
  </si>
  <si>
    <t>www.lixinger.com/analytics/company/sh/600961/600961/detail</t>
  </si>
  <si>
    <t>地素时尚</t>
  </si>
  <si>
    <t>www.lixinger.com/analytics/company/sh/603587/603587/detail</t>
  </si>
  <si>
    <t>文峰股份</t>
  </si>
  <si>
    <t>www.lixinger.com/analytics/company/sh/601010/601010/detail</t>
  </si>
  <si>
    <t>海利得</t>
  </si>
  <si>
    <t>www.lixinger.com/analytics/company/sz/002206/2206/detail</t>
  </si>
  <si>
    <t>成大生物</t>
  </si>
  <si>
    <t>www.lixinger.com/analytics/company/sh/688739/688739/detail</t>
  </si>
  <si>
    <t>中国科传</t>
  </si>
  <si>
    <t>www.lixinger.com/analytics/company/sh/601858/601858/detail</t>
  </si>
  <si>
    <t>济南高新</t>
  </si>
  <si>
    <t>www.lixinger.com/analytics/company/sh/600807/600807/detail</t>
  </si>
  <si>
    <t>*ST易见</t>
  </si>
  <si>
    <t>其他多元金融</t>
  </si>
  <si>
    <t>www.lixinger.com/analytics/company/sh/600093/600093/detail</t>
  </si>
  <si>
    <t>兰石重装</t>
  </si>
  <si>
    <t>www.lixinger.com/analytics/company/sh/603169/603169/detail</t>
  </si>
  <si>
    <t>香飘飘</t>
  </si>
  <si>
    <t>www.lixinger.com/analytics/company/sh/603711/603711/detail</t>
  </si>
  <si>
    <t>中铁特货</t>
  </si>
  <si>
    <t>www.lixinger.com/analytics/company/sz/001213/1213/detail</t>
  </si>
  <si>
    <t>中国动力</t>
  </si>
  <si>
    <t>www.lixinger.com/analytics/company/sh/600482/600482/detail</t>
  </si>
  <si>
    <t>江南化工</t>
  </si>
  <si>
    <t>www.lixinger.com/analytics/company/sz/002226/2226/detail</t>
  </si>
  <si>
    <t>奋达科技</t>
  </si>
  <si>
    <t>www.lixinger.com/analytics/company/sz/002681/2681/detail</t>
  </si>
  <si>
    <t>吉华集团</t>
  </si>
  <si>
    <t>www.lixinger.com/analytics/company/sh/603980/603980/detail</t>
  </si>
  <si>
    <t>旺能环境</t>
  </si>
  <si>
    <t>www.lixinger.com/analytics/company/sz/002034/2034/detail</t>
  </si>
  <si>
    <t>益客食品</t>
  </si>
  <si>
    <t>www.lixinger.com/analytics/company/sz/301116/301116/detail</t>
  </si>
  <si>
    <t>姚记科技</t>
  </si>
  <si>
    <t>www.lixinger.com/analytics/company/sz/002605/2605/detail</t>
  </si>
  <si>
    <t>辽宁能源</t>
  </si>
  <si>
    <t>www.lixinger.com/analytics/company/sh/600758/600758/detail</t>
  </si>
  <si>
    <t>重庆啤酒</t>
  </si>
  <si>
    <t>www.lixinger.com/analytics/company/sh/600132/600132/detail</t>
  </si>
  <si>
    <t>西藏天路</t>
  </si>
  <si>
    <t>www.lixinger.com/analytics/company/sh/600326/600326/detail</t>
  </si>
  <si>
    <t>奥园美谷</t>
  </si>
  <si>
    <t>医美服务</t>
  </si>
  <si>
    <t>www.lixinger.com/analytics/company/sz/000615/615/detail</t>
  </si>
  <si>
    <t>光电股份</t>
  </si>
  <si>
    <t>www.lixinger.com/analytics/company/sh/600184/600184/detail</t>
  </si>
  <si>
    <t>ST安信</t>
  </si>
  <si>
    <t>信托</t>
  </si>
  <si>
    <t>www.lixinger.com/analytics/company/sh/600816/600816/detail</t>
  </si>
  <si>
    <t>华西能源</t>
  </si>
  <si>
    <t>www.lixinger.com/analytics/company/sz/002630/2630/detail</t>
  </si>
  <si>
    <t>海立股份</t>
  </si>
  <si>
    <t>www.lixinger.com/analytics/company/sh/600619/600619/detail</t>
  </si>
  <si>
    <t>曲美家居</t>
  </si>
  <si>
    <t>www.lixinger.com/analytics/company/sh/603818/603818/detail</t>
  </si>
  <si>
    <t>蓝色光标</t>
  </si>
  <si>
    <t>www.lixinger.com/analytics/company/sz/300058/300058/detail</t>
  </si>
  <si>
    <t>盈趣科技</t>
  </si>
  <si>
    <t>www.lixinger.com/analytics/company/sz/002925/2925/detail</t>
  </si>
  <si>
    <t>海正药业</t>
  </si>
  <si>
    <t>www.lixinger.com/analytics/company/sh/600267/600267/detail</t>
  </si>
  <si>
    <t>兔宝宝</t>
  </si>
  <si>
    <t>www.lixinger.com/analytics/company/sz/002043/2043/detail</t>
  </si>
  <si>
    <t>东诚药业</t>
  </si>
  <si>
    <t>www.lixinger.com/analytics/company/sz/002675/2675/detail</t>
  </si>
  <si>
    <t>浙江鼎力</t>
  </si>
  <si>
    <t>www.lixinger.com/analytics/company/sh/603338/603338/detail</t>
  </si>
  <si>
    <t>广信股份</t>
  </si>
  <si>
    <t>www.lixinger.com/analytics/company/sh/603599/603599/detail</t>
  </si>
  <si>
    <t>深圳华强</t>
  </si>
  <si>
    <t>www.lixinger.com/analytics/company/sz/000062/62/detail</t>
  </si>
  <si>
    <t>仁和药业</t>
  </si>
  <si>
    <t>www.lixinger.com/analytics/company/sz/000650/650/detail</t>
  </si>
  <si>
    <t>银座股份</t>
  </si>
  <si>
    <t>www.lixinger.com/analytics/company/sh/600858/600858/detail</t>
  </si>
  <si>
    <t>国电南自</t>
  </si>
  <si>
    <t>www.lixinger.com/analytics/company/sh/600268/600268/detail</t>
  </si>
  <si>
    <t>盛屯矿业</t>
  </si>
  <si>
    <t>www.lixinger.com/analytics/company/sh/600711/600711/detail</t>
  </si>
  <si>
    <t>龙洲股份</t>
  </si>
  <si>
    <t>www.lixinger.com/analytics/company/sz/002682/2682/detail</t>
  </si>
  <si>
    <t>银轮股份</t>
  </si>
  <si>
    <t>www.lixinger.com/analytics/company/sz/002126/2126/detail</t>
  </si>
  <si>
    <t>山东墨龙</t>
  </si>
  <si>
    <t>www.lixinger.com/analytics/company/sz/002490/2490/detail</t>
  </si>
  <si>
    <t>苏交科</t>
  </si>
  <si>
    <t>工程咨询服务</t>
  </si>
  <si>
    <t>www.lixinger.com/analytics/company/sz/300284/300284/detail</t>
  </si>
  <si>
    <t>锦州港</t>
  </si>
  <si>
    <t>www.lixinger.com/analytics/company/sh/600190/600190/detail</t>
  </si>
  <si>
    <t>国星光电</t>
  </si>
  <si>
    <t>www.lixinger.com/analytics/company/sz/002449/2449/detail</t>
  </si>
  <si>
    <t>金晶科技</t>
  </si>
  <si>
    <t>www.lixinger.com/analytics/company/sh/600586/600586/detail</t>
  </si>
  <si>
    <t>博威合金</t>
  </si>
  <si>
    <t>www.lixinger.com/analytics/company/sh/601137/601137/detail</t>
  </si>
  <si>
    <t>首华燃气</t>
  </si>
  <si>
    <t>www.lixinger.com/analytics/company/sz/300483/300483/detail</t>
  </si>
  <si>
    <t>军信股份</t>
  </si>
  <si>
    <t>www.lixinger.com/analytics/company/sz/301109/301109/detail</t>
  </si>
  <si>
    <t>信维通信</t>
  </si>
  <si>
    <t>www.lixinger.com/analytics/company/sz/300136/300136/detail</t>
  </si>
  <si>
    <t>青松股份</t>
  </si>
  <si>
    <t>化妆品制造及其他</t>
  </si>
  <si>
    <t>www.lixinger.com/analytics/company/sz/300132/300132/detail</t>
  </si>
  <si>
    <t>承德露露</t>
  </si>
  <si>
    <t>www.lixinger.com/analytics/company/sz/000848/848/detail</t>
  </si>
  <si>
    <t>深深房Ｂ</t>
  </si>
  <si>
    <t>www.lixinger.com/analytics/company/sz/200029/200029/detail</t>
  </si>
  <si>
    <t>超声电子</t>
  </si>
  <si>
    <t>www.lixinger.com/analytics/company/sz/000823/823/detail</t>
  </si>
  <si>
    <t>家家悦</t>
  </si>
  <si>
    <t>www.lixinger.com/analytics/company/sh/603708/603708/detail</t>
  </si>
  <si>
    <t>建设机械</t>
  </si>
  <si>
    <t>www.lixinger.com/analytics/company/sh/600984/600984/detail</t>
  </si>
  <si>
    <t>凯迪退</t>
  </si>
  <si>
    <t>www.lixinger.com/analytics/company/sz/000939/939/detail</t>
  </si>
  <si>
    <t>滨化股份</t>
  </si>
  <si>
    <t>www.lixinger.com/analytics/company/sh/601678/601678/detail</t>
  </si>
  <si>
    <t>东方电缆</t>
  </si>
  <si>
    <t>www.lixinger.com/analytics/company/sh/603606/603606/detail</t>
  </si>
  <si>
    <t>蔚蓝锂芯</t>
  </si>
  <si>
    <t>www.lixinger.com/analytics/company/sz/002245/2245/detail</t>
  </si>
  <si>
    <t>苏盐井神</t>
  </si>
  <si>
    <t>www.lixinger.com/analytics/company/sh/603299/603299/detail</t>
  </si>
  <si>
    <t>绿城水务</t>
  </si>
  <si>
    <t>www.lixinger.com/analytics/company/sh/601368/601368/detail</t>
  </si>
  <si>
    <t>赣锋锂业</t>
  </si>
  <si>
    <t>www.lixinger.com/analytics/company/sz/002460/2460/detail</t>
  </si>
  <si>
    <t>常宝股份</t>
  </si>
  <si>
    <t>www.lixinger.com/analytics/company/sz/002478/2478/detail</t>
  </si>
  <si>
    <t>贵州燃气</t>
  </si>
  <si>
    <t>www.lixinger.com/analytics/company/sh/600903/600903/detail</t>
  </si>
  <si>
    <t>舍得酒业</t>
  </si>
  <si>
    <t>www.lixinger.com/analytics/company/sh/600702/600702/detail</t>
  </si>
  <si>
    <t>双鹭药业</t>
  </si>
  <si>
    <t>www.lixinger.com/analytics/company/sz/002038/2038/detail</t>
  </si>
  <si>
    <t>顺络电子</t>
  </si>
  <si>
    <t>www.lixinger.com/analytics/company/sz/002138/2138/detail</t>
  </si>
  <si>
    <t>香溢融通</t>
  </si>
  <si>
    <t>www.lixinger.com/analytics/company/sh/600830/600830/detail</t>
  </si>
  <si>
    <t>嘉泽新能</t>
  </si>
  <si>
    <t>www.lixinger.com/analytics/company/sh/601619/601619/detail</t>
  </si>
  <si>
    <t>金域医学</t>
  </si>
  <si>
    <t>诊断服务</t>
  </si>
  <si>
    <t>www.lixinger.com/analytics/company/sh/603882/603882/detail</t>
  </si>
  <si>
    <t>盛泰集团</t>
  </si>
  <si>
    <t>www.lixinger.com/analytics/company/sh/605138/605138/detail</t>
  </si>
  <si>
    <t>立达信</t>
  </si>
  <si>
    <t>www.lixinger.com/analytics/company/sh/605365/605365/detail</t>
  </si>
  <si>
    <t>中金环境</t>
  </si>
  <si>
    <t>www.lixinger.com/analytics/company/sz/300145/300145/detail</t>
  </si>
  <si>
    <t>旋极信息</t>
  </si>
  <si>
    <t>www.lixinger.com/analytics/company/sz/300324/300324/detail</t>
  </si>
  <si>
    <t>三美股份</t>
  </si>
  <si>
    <t>www.lixinger.com/analytics/company/sh/603379/603379/detail</t>
  </si>
  <si>
    <t>德邦股份</t>
  </si>
  <si>
    <t>www.lixinger.com/analytics/company/sh/603056/603056/detail</t>
  </si>
  <si>
    <t>苏垦农发</t>
  </si>
  <si>
    <t>www.lixinger.com/analytics/company/sh/601952/601952/detail</t>
  </si>
  <si>
    <t>*ST华英</t>
  </si>
  <si>
    <t>其他养殖</t>
  </si>
  <si>
    <t>www.lixinger.com/analytics/company/sz/002321/2321/detail</t>
  </si>
  <si>
    <t>中恒集团</t>
  </si>
  <si>
    <t>www.lixinger.com/analytics/company/sh/600252/600252/detail</t>
  </si>
  <si>
    <t>中国汽研</t>
  </si>
  <si>
    <t>汽车综合服务</t>
  </si>
  <si>
    <t>www.lixinger.com/analytics/company/sh/601965/601965/detail</t>
  </si>
  <si>
    <t>胜利精密</t>
  </si>
  <si>
    <t>www.lixinger.com/analytics/company/sz/002426/2426/detail</t>
  </si>
  <si>
    <t>思美传媒</t>
  </si>
  <si>
    <t>www.lixinger.com/analytics/company/sz/002712/2712/detail</t>
  </si>
  <si>
    <t>宝钢包装</t>
  </si>
  <si>
    <t>www.lixinger.com/analytics/company/sh/601968/601968/detail</t>
  </si>
  <si>
    <t>新力金融</t>
  </si>
  <si>
    <t>www.lixinger.com/analytics/company/sh/600318/600318/detail</t>
  </si>
  <si>
    <t>*ST澄星</t>
  </si>
  <si>
    <t>www.lixinger.com/analytics/company/sh/600078/600078/detail</t>
  </si>
  <si>
    <t>通策医疗</t>
  </si>
  <si>
    <t>www.lixinger.com/analytics/company/sh/600763/600763/detail</t>
  </si>
  <si>
    <t>*ST航通</t>
  </si>
  <si>
    <t>www.lixinger.com/analytics/company/sh/600677/600677/detail</t>
  </si>
  <si>
    <t>盛和资源</t>
  </si>
  <si>
    <t>www.lixinger.com/analytics/company/sh/600392/600392/detail</t>
  </si>
  <si>
    <t>洽洽食品</t>
  </si>
  <si>
    <t>零食</t>
  </si>
  <si>
    <t>www.lixinger.com/analytics/company/sz/002557/2557/detail</t>
  </si>
  <si>
    <t>福建水泥</t>
  </si>
  <si>
    <t>www.lixinger.com/analytics/company/sh/600802/600802/detail</t>
  </si>
  <si>
    <t>天坛生物</t>
  </si>
  <si>
    <t>www.lixinger.com/analytics/company/sh/600161/600161/detail</t>
  </si>
  <si>
    <t>金圆股份</t>
  </si>
  <si>
    <t>www.lixinger.com/analytics/company/sz/000546/546/detail</t>
  </si>
  <si>
    <t>金杯汽车</t>
  </si>
  <si>
    <t>www.lixinger.com/analytics/company/sh/600609/600609/detail</t>
  </si>
  <si>
    <t>江中药业</t>
  </si>
  <si>
    <t>www.lixinger.com/analytics/company/sh/600750/600750/detail</t>
  </si>
  <si>
    <t>广联达</t>
  </si>
  <si>
    <t>www.lixinger.com/analytics/company/sz/002410/2410/detail</t>
  </si>
  <si>
    <t>厦门港务</t>
  </si>
  <si>
    <t>www.lixinger.com/analytics/company/sz/000905/905/detail</t>
  </si>
  <si>
    <t>冠捷科技</t>
  </si>
  <si>
    <t>www.lixinger.com/analytics/company/sz/000727/727/detail</t>
  </si>
  <si>
    <t>新乳业</t>
  </si>
  <si>
    <t>www.lixinger.com/analytics/company/sz/002946/2946/detail</t>
  </si>
  <si>
    <t>盾安环境</t>
  </si>
  <si>
    <t>www.lixinger.com/analytics/company/sz/002011/2011/detail</t>
  </si>
  <si>
    <t>新华医疗</t>
  </si>
  <si>
    <t>www.lixinger.com/analytics/company/sh/600587/600587/detail</t>
  </si>
  <si>
    <t>中超控股</t>
  </si>
  <si>
    <t>www.lixinger.com/analytics/company/sz/002471/2471/detail</t>
  </si>
  <si>
    <t>沃尔核材</t>
  </si>
  <si>
    <t>www.lixinger.com/analytics/company/sz/002130/2130/detail</t>
  </si>
  <si>
    <t>川仪股份</t>
  </si>
  <si>
    <t>仪器仪表</t>
  </si>
  <si>
    <t>www.lixinger.com/analytics/company/sh/603100/603100/detail</t>
  </si>
  <si>
    <t>圣泉集团</t>
  </si>
  <si>
    <t>合成树脂</t>
  </si>
  <si>
    <t>www.lixinger.com/analytics/company/sh/605589/605589/detail</t>
  </si>
  <si>
    <t>万凯新材</t>
  </si>
  <si>
    <t>www.lixinger.com/analytics/company/sz/301216/301216/detail</t>
  </si>
  <si>
    <t>动力新科</t>
  </si>
  <si>
    <t>www.lixinger.com/analytics/company/sh/600841/600841/detail</t>
  </si>
  <si>
    <t>尚品宅配</t>
  </si>
  <si>
    <t>www.lixinger.com/analytics/company/sz/300616/300616/detail</t>
  </si>
  <si>
    <t>坚朗五金</t>
  </si>
  <si>
    <t>www.lixinger.com/analytics/company/sz/002791/2791/detail</t>
  </si>
  <si>
    <t>郴电国际</t>
  </si>
  <si>
    <t>www.lixinger.com/analytics/company/sh/600969/600969/detail</t>
  </si>
  <si>
    <t>天原股份</t>
  </si>
  <si>
    <t>www.lixinger.com/analytics/company/sz/002386/2386/detail</t>
  </si>
  <si>
    <t>麦格米特</t>
  </si>
  <si>
    <t>www.lixinger.com/analytics/company/sz/002851/2851/detail</t>
  </si>
  <si>
    <t>莱宝高科</t>
  </si>
  <si>
    <t>www.lixinger.com/analytics/company/sz/002106/2106/detail</t>
  </si>
  <si>
    <t>ST中珠</t>
  </si>
  <si>
    <t>www.lixinger.com/analytics/company/sh/600568/600568/detail</t>
  </si>
  <si>
    <t>银星能源</t>
  </si>
  <si>
    <t>www.lixinger.com/analytics/company/sz/000862/862/detail</t>
  </si>
  <si>
    <t>鱼跃医疗</t>
  </si>
  <si>
    <t>www.lixinger.com/analytics/company/sz/002223/2223/detail</t>
  </si>
  <si>
    <t>海翔药业</t>
  </si>
  <si>
    <t>www.lixinger.com/analytics/company/sz/002099/2099/detail</t>
  </si>
  <si>
    <t>法拉电子</t>
  </si>
  <si>
    <t>www.lixinger.com/analytics/company/sh/600563/600563/detail</t>
  </si>
  <si>
    <t>网宿科技</t>
  </si>
  <si>
    <t>www.lixinger.com/analytics/company/sz/300017/300017/detail</t>
  </si>
  <si>
    <t>誉衡药业</t>
  </si>
  <si>
    <t>www.lixinger.com/analytics/company/sz/002437/2437/detail</t>
  </si>
  <si>
    <t>威海广泰</t>
  </si>
  <si>
    <t>www.lixinger.com/analytics/company/sz/002111/2111/detail</t>
  </si>
  <si>
    <t>蓝天燃气</t>
  </si>
  <si>
    <t>www.lixinger.com/analytics/company/sh/605368/605368/detail</t>
  </si>
  <si>
    <t>久立特材</t>
  </si>
  <si>
    <t>www.lixinger.com/analytics/company/sz/002318/2318/detail</t>
  </si>
  <si>
    <t>吉视传媒</t>
  </si>
  <si>
    <t>www.lixinger.com/analytics/company/sh/601929/601929/detail</t>
  </si>
  <si>
    <t>立中集团</t>
  </si>
  <si>
    <t>www.lixinger.com/analytics/company/sz/300428/300428/detail</t>
  </si>
  <si>
    <t>美克家居</t>
  </si>
  <si>
    <t>www.lixinger.com/analytics/company/sh/600337/600337/detail</t>
  </si>
  <si>
    <t>宁波富达</t>
  </si>
  <si>
    <t>www.lixinger.com/analytics/company/sh/600724/600724/detail</t>
  </si>
  <si>
    <t>中钨高新</t>
  </si>
  <si>
    <t>www.lixinger.com/analytics/company/sz/000657/657/detail</t>
  </si>
  <si>
    <t>深深房Ａ</t>
  </si>
  <si>
    <t>www.lixinger.com/analytics/company/sz/000029/29/detail</t>
  </si>
  <si>
    <t>光环新网</t>
  </si>
  <si>
    <t>www.lixinger.com/analytics/company/sz/300383/300383/detail</t>
  </si>
  <si>
    <t>岳阳林纸</t>
  </si>
  <si>
    <t>www.lixinger.com/analytics/company/sh/600963/600963/detail</t>
  </si>
  <si>
    <t>美康生物</t>
  </si>
  <si>
    <t>www.lixinger.com/analytics/company/sz/300439/300439/detail</t>
  </si>
  <si>
    <t>凯莱英</t>
  </si>
  <si>
    <t>www.lixinger.com/analytics/company/sz/002821/2821/detail</t>
  </si>
  <si>
    <t>稳健医疗</t>
  </si>
  <si>
    <t>www.lixinger.com/analytics/company/sz/300888/300888/detail</t>
  </si>
  <si>
    <t>山东药玻</t>
  </si>
  <si>
    <t>www.lixinger.com/analytics/company/sh/600529/600529/detail</t>
  </si>
  <si>
    <t>克劳斯</t>
  </si>
  <si>
    <t>www.lixinger.com/analytics/company/sh/600579/600579/detail</t>
  </si>
  <si>
    <t>耀皮玻璃</t>
  </si>
  <si>
    <t>www.lixinger.com/analytics/company/sh/600819/600819/detail</t>
  </si>
  <si>
    <t>盛达资源</t>
  </si>
  <si>
    <t>www.lixinger.com/analytics/company/sz/000603/603/detail</t>
  </si>
  <si>
    <t>朗姿股份</t>
  </si>
  <si>
    <t>www.lixinger.com/analytics/company/sz/002612/2612/detail</t>
  </si>
  <si>
    <t>中青旅</t>
  </si>
  <si>
    <t>www.lixinger.com/analytics/company/sh/600138/600138/detail</t>
  </si>
  <si>
    <t>孚日股份</t>
  </si>
  <si>
    <t>www.lixinger.com/analytics/company/sz/002083/2083/detail</t>
  </si>
  <si>
    <t>科达制造</t>
  </si>
  <si>
    <t>www.lixinger.com/analytics/company/sh/600499/600499/detail</t>
  </si>
  <si>
    <t>重庆港</t>
  </si>
  <si>
    <t>www.lixinger.com/analytics/company/sh/600279/600279/detail</t>
  </si>
  <si>
    <t>胜利股份</t>
  </si>
  <si>
    <t>www.lixinger.com/analytics/company/sz/000407/407/detail</t>
  </si>
  <si>
    <t>利尔化学</t>
  </si>
  <si>
    <t>www.lixinger.com/analytics/company/sz/002258/2258/detail</t>
  </si>
  <si>
    <t>精达股份</t>
  </si>
  <si>
    <t>www.lixinger.com/analytics/company/sh/600577/600577/detail</t>
  </si>
  <si>
    <t>三生国健</t>
  </si>
  <si>
    <t>www.lixinger.com/analytics/company/sh/688336/688336/detail</t>
  </si>
  <si>
    <t>山东海化</t>
  </si>
  <si>
    <t>www.lixinger.com/analytics/company/sz/000822/822/detail</t>
  </si>
  <si>
    <t>连云港</t>
  </si>
  <si>
    <t>www.lixinger.com/analytics/company/sh/601008/601008/detail</t>
  </si>
  <si>
    <t>雪榕生物</t>
  </si>
  <si>
    <t>食用菌</t>
  </si>
  <si>
    <t>www.lixinger.com/analytics/company/sz/300511/300511/detail</t>
  </si>
  <si>
    <t>海利尔</t>
  </si>
  <si>
    <t>www.lixinger.com/analytics/company/sh/603639/603639/detail</t>
  </si>
  <si>
    <t>金山办公</t>
  </si>
  <si>
    <t>www.lixinger.com/analytics/company/sh/688111/688111/detail</t>
  </si>
  <si>
    <t>健帆生物</t>
  </si>
  <si>
    <t>www.lixinger.com/analytics/company/sz/300529/300529/detail</t>
  </si>
  <si>
    <t>大富科技</t>
  </si>
  <si>
    <t>www.lixinger.com/analytics/company/sz/300134/300134/detail</t>
  </si>
  <si>
    <t>外服控股</t>
  </si>
  <si>
    <t>公交</t>
  </si>
  <si>
    <t>www.lixinger.com/analytics/company/sh/600662/600662/detail</t>
  </si>
  <si>
    <t>未来股份</t>
  </si>
  <si>
    <t>www.lixinger.com/analytics/company/sh/600532/600532/detail</t>
  </si>
  <si>
    <t>东旭蓝天</t>
  </si>
  <si>
    <t>www.lixinger.com/analytics/company/sz/000040/40/detail</t>
  </si>
  <si>
    <t>横店影视</t>
  </si>
  <si>
    <t>www.lixinger.com/analytics/company/sh/603103/603103/detail</t>
  </si>
  <si>
    <t>京运通</t>
  </si>
  <si>
    <t>www.lixinger.com/analytics/company/sh/601908/601908/detail</t>
  </si>
  <si>
    <t>金城医药</t>
  </si>
  <si>
    <t>www.lixinger.com/analytics/company/sz/300233/300233/detail</t>
  </si>
  <si>
    <t>龙腾光电</t>
  </si>
  <si>
    <t>www.lixinger.com/analytics/company/sh/688055/688055/detail</t>
  </si>
  <si>
    <t>水晶光电</t>
  </si>
  <si>
    <t>www.lixinger.com/analytics/company/sz/002273/2273/detail</t>
  </si>
  <si>
    <t>安井食品</t>
  </si>
  <si>
    <t>预加工食品</t>
  </si>
  <si>
    <t>www.lixinger.com/analytics/company/sh/603345/603345/detail</t>
  </si>
  <si>
    <t>齐心集团</t>
  </si>
  <si>
    <t>www.lixinger.com/analytics/company/sz/002301/2301/detail</t>
  </si>
  <si>
    <t>华润微</t>
  </si>
  <si>
    <t>www.lixinger.com/analytics/company/sh/688396/688396/detail</t>
  </si>
  <si>
    <t>太阳电缆</t>
  </si>
  <si>
    <t>www.lixinger.com/analytics/company/sz/002300/2300/detail</t>
  </si>
  <si>
    <t>世运电路</t>
  </si>
  <si>
    <t>www.lixinger.com/analytics/company/sh/603920/603920/detail</t>
  </si>
  <si>
    <t>金诚信</t>
  </si>
  <si>
    <t>www.lixinger.com/analytics/company/sh/603979/603979/detail</t>
  </si>
  <si>
    <t>濮耐股份</t>
  </si>
  <si>
    <t>耐火材料</t>
  </si>
  <si>
    <t>www.lixinger.com/analytics/company/sz/002225/2225/detail</t>
  </si>
  <si>
    <t>神农集团</t>
  </si>
  <si>
    <t>www.lixinger.com/analytics/company/sh/605296/605296/detail</t>
  </si>
  <si>
    <t>天地源</t>
  </si>
  <si>
    <t>www.lixinger.com/analytics/company/sh/600665/600665/detail</t>
  </si>
  <si>
    <t>华茂股份</t>
  </si>
  <si>
    <t>www.lixinger.com/analytics/company/sz/000850/850/detail</t>
  </si>
  <si>
    <t>龙江交通</t>
  </si>
  <si>
    <t>www.lixinger.com/analytics/company/sh/601188/601188/detail</t>
  </si>
  <si>
    <t>中际旭创</t>
  </si>
  <si>
    <t>www.lixinger.com/analytics/company/sz/300308/300308/detail</t>
  </si>
  <si>
    <t>人民网</t>
  </si>
  <si>
    <t>门户网站</t>
  </si>
  <si>
    <t>www.lixinger.com/analytics/company/sh/603000/603000/detail</t>
  </si>
  <si>
    <t>粤照明Ｂ</t>
  </si>
  <si>
    <t>www.lixinger.com/analytics/company/sz/200541/200541/detail</t>
  </si>
  <si>
    <t>渤海轮渡</t>
  </si>
  <si>
    <t>www.lixinger.com/analytics/company/sh/603167/603167/detail</t>
  </si>
  <si>
    <t>常熟汽饰</t>
  </si>
  <si>
    <t>www.lixinger.com/analytics/company/sh/603035/603035/detail</t>
  </si>
  <si>
    <t>顺控发展</t>
  </si>
  <si>
    <t>www.lixinger.com/analytics/company/sz/003039/3039/detail</t>
  </si>
  <si>
    <t>玉禾田</t>
  </si>
  <si>
    <t>www.lixinger.com/analytics/company/sz/300815/300815/detail</t>
  </si>
  <si>
    <t>科博达</t>
  </si>
  <si>
    <t>www.lixinger.com/analytics/company/sh/603786/603786/detail</t>
  </si>
  <si>
    <t>华塑股份</t>
  </si>
  <si>
    <t>www.lixinger.com/analytics/company/sh/600935/600935/detail</t>
  </si>
  <si>
    <t>澳柯玛</t>
  </si>
  <si>
    <t>www.lixinger.com/analytics/company/sh/600336/600336/detail</t>
  </si>
  <si>
    <t>新宙邦</t>
  </si>
  <si>
    <t>www.lixinger.com/analytics/company/sz/300037/300037/detail</t>
  </si>
  <si>
    <t>中核钛白</t>
  </si>
  <si>
    <t>www.lixinger.com/analytics/company/sz/002145/2145/detail</t>
  </si>
  <si>
    <t>伊力特</t>
  </si>
  <si>
    <t>www.lixinger.com/analytics/company/sh/600197/600197/detail</t>
  </si>
  <si>
    <t>朗新科技</t>
  </si>
  <si>
    <t>www.lixinger.com/analytics/company/sz/300682/300682/detail</t>
  </si>
  <si>
    <t>航天机电</t>
  </si>
  <si>
    <t>www.lixinger.com/analytics/company/sh/600151/600151/detail</t>
  </si>
  <si>
    <t>长久物流</t>
  </si>
  <si>
    <t>www.lixinger.com/analytics/company/sh/603569/603569/detail</t>
  </si>
  <si>
    <t>贝达药业</t>
  </si>
  <si>
    <t>www.lixinger.com/analytics/company/sz/300558/300558/detail</t>
  </si>
  <si>
    <t>力合科创</t>
  </si>
  <si>
    <t>www.lixinger.com/analytics/company/sz/002243/2243/detail</t>
  </si>
  <si>
    <t>梦洁股份</t>
  </si>
  <si>
    <t>www.lixinger.com/analytics/company/sz/002397/2397/detail</t>
  </si>
  <si>
    <t>菲达环保</t>
  </si>
  <si>
    <t>www.lixinger.com/analytics/company/sh/600526/600526/detail</t>
  </si>
  <si>
    <t>九洲药业</t>
  </si>
  <si>
    <t>www.lixinger.com/analytics/company/sh/603456/603456/detail</t>
  </si>
  <si>
    <t>漳州发展</t>
  </si>
  <si>
    <t>www.lixinger.com/analytics/company/sz/000753/753/detail</t>
  </si>
  <si>
    <t>中航西飞</t>
  </si>
  <si>
    <t>www.lixinger.com/analytics/company/sz/000768/768/detail</t>
  </si>
  <si>
    <t>春兴精工</t>
  </si>
  <si>
    <t>www.lixinger.com/analytics/company/sz/002547/2547/detail</t>
  </si>
  <si>
    <t>南宁糖业</t>
  </si>
  <si>
    <t>www.lixinger.com/analytics/company/sz/000911/911/detail</t>
  </si>
  <si>
    <t>浙江永强</t>
  </si>
  <si>
    <t>www.lixinger.com/analytics/company/sz/002489/2489/detail</t>
  </si>
  <si>
    <t>游族网络</t>
  </si>
  <si>
    <t>www.lixinger.com/analytics/company/sz/002174/2174/detail</t>
  </si>
  <si>
    <t>*ST恒康</t>
  </si>
  <si>
    <t>www.lixinger.com/analytics/company/sz/002219/2219/detail</t>
  </si>
  <si>
    <t>大亚圣象</t>
  </si>
  <si>
    <t>www.lixinger.com/analytics/company/sz/000910/910/detail</t>
  </si>
  <si>
    <t>海科B</t>
  </si>
  <si>
    <t>www.lixinger.com/analytics/company/sh/900938/900938/detail</t>
  </si>
  <si>
    <t>精工钢构</t>
  </si>
  <si>
    <t>www.lixinger.com/analytics/company/sh/600496/600496/detail</t>
  </si>
  <si>
    <t>芭田股份</t>
  </si>
  <si>
    <t>www.lixinger.com/analytics/company/sz/002170/2170/detail</t>
  </si>
  <si>
    <t>省广集团</t>
  </si>
  <si>
    <t>www.lixinger.com/analytics/company/sz/002400/2400/detail</t>
  </si>
  <si>
    <t>光弘科技</t>
  </si>
  <si>
    <t>www.lixinger.com/analytics/company/sz/300735/300735/detail</t>
  </si>
  <si>
    <t>浙江美大</t>
  </si>
  <si>
    <t>www.lixinger.com/analytics/company/sz/002677/2677/detail</t>
  </si>
  <si>
    <t>唐人神</t>
  </si>
  <si>
    <t>www.lixinger.com/analytics/company/sz/002567/2567/detail</t>
  </si>
  <si>
    <t>先导智能</t>
  </si>
  <si>
    <t>锂电专用设备</t>
  </si>
  <si>
    <t>www.lixinger.com/analytics/company/sz/300450/300450/detail</t>
  </si>
  <si>
    <t>思维列控</t>
  </si>
  <si>
    <t>www.lixinger.com/analytics/company/sh/603508/603508/detail</t>
  </si>
  <si>
    <t>粤海饲料</t>
  </si>
  <si>
    <t>www.lixinger.com/analytics/company/sz/001313/1313/detail</t>
  </si>
  <si>
    <t>嘉凯城</t>
  </si>
  <si>
    <t>www.lixinger.com/analytics/company/sz/000918/918/detail</t>
  </si>
  <si>
    <t>京新药业</t>
  </si>
  <si>
    <t>www.lixinger.com/analytics/company/sz/002020/2020/detail</t>
  </si>
  <si>
    <t>金安国纪</t>
  </si>
  <si>
    <t>www.lixinger.com/analytics/company/sz/002636/2636/detail</t>
  </si>
  <si>
    <t>奥赛康</t>
  </si>
  <si>
    <t>www.lixinger.com/analytics/company/sz/002755/2755/detail</t>
  </si>
  <si>
    <t>威高骨科</t>
  </si>
  <si>
    <t>www.lixinger.com/analytics/company/sh/688161/688161/detail</t>
  </si>
  <si>
    <t>浙文互联</t>
  </si>
  <si>
    <t>www.lixinger.com/analytics/company/sh/600986/600986/detail</t>
  </si>
  <si>
    <t>天邦股份</t>
  </si>
  <si>
    <t>www.lixinger.com/analytics/company/sz/002124/2124/detail</t>
  </si>
  <si>
    <t>百润股份</t>
  </si>
  <si>
    <t>www.lixinger.com/analytics/company/sz/002568/2568/detail</t>
  </si>
  <si>
    <t>长青集团</t>
  </si>
  <si>
    <t>其他能源发电</t>
  </si>
  <si>
    <t>www.lixinger.com/analytics/company/sz/002616/2616/detail</t>
  </si>
  <si>
    <t>中科三环</t>
  </si>
  <si>
    <t>www.lixinger.com/analytics/company/sz/000970/970/detail</t>
  </si>
  <si>
    <t>云南能投</t>
  </si>
  <si>
    <t>www.lixinger.com/analytics/company/sz/002053/2053/detail</t>
  </si>
  <si>
    <t>石基信息</t>
  </si>
  <si>
    <t>www.lixinger.com/analytics/company/sz/002153/2153/detail</t>
  </si>
  <si>
    <t>泰格医药</t>
  </si>
  <si>
    <t>www.lixinger.com/analytics/company/sz/300347/300347/detail</t>
  </si>
  <si>
    <t>伟星股份</t>
  </si>
  <si>
    <t>辅料</t>
  </si>
  <si>
    <t>www.lixinger.com/analytics/company/sz/002003/2003/detail</t>
  </si>
  <si>
    <t>ST金鸿</t>
  </si>
  <si>
    <t>www.lixinger.com/analytics/company/sz/000669/669/detail</t>
  </si>
  <si>
    <t>大龙地产</t>
  </si>
  <si>
    <t>www.lixinger.com/analytics/company/sh/600159/600159/detail</t>
  </si>
  <si>
    <t>三诺生物</t>
  </si>
  <si>
    <t>www.lixinger.com/analytics/company/sz/300298/300298/detail</t>
  </si>
  <si>
    <t>安凯客车</t>
  </si>
  <si>
    <t>www.lixinger.com/analytics/company/sz/000868/868/detail</t>
  </si>
  <si>
    <t>ST德豪</t>
  </si>
  <si>
    <t>www.lixinger.com/analytics/company/sz/002005/2005/detail</t>
  </si>
  <si>
    <t>合肥城建</t>
  </si>
  <si>
    <t>www.lixinger.com/analytics/company/sz/002208/2208/detail</t>
  </si>
  <si>
    <t>尖峰集团</t>
  </si>
  <si>
    <t>www.lixinger.com/analytics/company/sh/600668/600668/detail</t>
  </si>
  <si>
    <t>仙琚制药</t>
  </si>
  <si>
    <t>www.lixinger.com/analytics/company/sz/002332/2332/detail</t>
  </si>
  <si>
    <t>江苏新能</t>
  </si>
  <si>
    <t>www.lixinger.com/analytics/company/sh/603693/603693/detail</t>
  </si>
  <si>
    <t>陆家嘴</t>
  </si>
  <si>
    <t>www.lixinger.com/analytics/company/sh/600663/600663/detail</t>
  </si>
  <si>
    <t>重庆燃气</t>
  </si>
  <si>
    <t>www.lixinger.com/analytics/company/sh/600917/600917/detail</t>
  </si>
  <si>
    <t>涪陵榨菜</t>
  </si>
  <si>
    <t>www.lixinger.com/analytics/company/sz/002507/2507/detail</t>
  </si>
  <si>
    <t>恒邦股份</t>
  </si>
  <si>
    <t>www.lixinger.com/analytics/company/sz/002237/2237/detail</t>
  </si>
  <si>
    <t>贝泰妮</t>
  </si>
  <si>
    <t>www.lixinger.com/analytics/company/sz/300957/300957/detail</t>
  </si>
  <si>
    <t>掌趣科技</t>
  </si>
  <si>
    <t>www.lixinger.com/analytics/company/sz/300315/300315/detail</t>
  </si>
  <si>
    <t>兴森科技</t>
  </si>
  <si>
    <t>www.lixinger.com/analytics/company/sz/002436/2436/detail</t>
  </si>
  <si>
    <t>东岳硅材</t>
  </si>
  <si>
    <t>www.lixinger.com/analytics/company/sz/300821/300821/detail</t>
  </si>
  <si>
    <t>*ST猛狮</t>
  </si>
  <si>
    <t>www.lixinger.com/analytics/company/sz/002684/2684/detail</t>
  </si>
  <si>
    <t>鄂资Ｂ股</t>
  </si>
  <si>
    <t>www.lixinger.com/analytics/company/sh/900936/900936/detail</t>
  </si>
  <si>
    <t>福莱特</t>
  </si>
  <si>
    <t>www.lixinger.com/analytics/company/sh/601865/601865/detail</t>
  </si>
  <si>
    <t>*ST宝德</t>
  </si>
  <si>
    <t>www.lixinger.com/analytics/company/sz/300023/300023/detail</t>
  </si>
  <si>
    <t>奥士康</t>
  </si>
  <si>
    <t>www.lixinger.com/analytics/company/sz/002913/2913/detail</t>
  </si>
  <si>
    <t>东方电子</t>
  </si>
  <si>
    <t>www.lixinger.com/analytics/company/sz/000682/682/detail</t>
  </si>
  <si>
    <t>中央商场</t>
  </si>
  <si>
    <t>www.lixinger.com/analytics/company/sh/600280/600280/detail</t>
  </si>
  <si>
    <t>佛山照明</t>
  </si>
  <si>
    <t>www.lixinger.com/analytics/company/sz/000541/541/detail</t>
  </si>
  <si>
    <t>东风汽车</t>
  </si>
  <si>
    <t>www.lixinger.com/analytics/company/sh/600006/600006/detail</t>
  </si>
  <si>
    <t>康泰生物</t>
  </si>
  <si>
    <t>www.lixinger.com/analytics/company/sz/300601/300601/detail</t>
  </si>
  <si>
    <t>吉翔股份</t>
  </si>
  <si>
    <t>www.lixinger.com/analytics/company/sh/603399/603399/detail</t>
  </si>
  <si>
    <t>中国黄金</t>
  </si>
  <si>
    <t>www.lixinger.com/analytics/company/sh/600916/600916/detail</t>
  </si>
  <si>
    <t>大智慧</t>
  </si>
  <si>
    <t>www.lixinger.com/analytics/company/sh/601519/601519/detail</t>
  </si>
  <si>
    <t>北巴传媒</t>
  </si>
  <si>
    <t>www.lixinger.com/analytics/company/sh/600386/600386/detail</t>
  </si>
  <si>
    <t>聚光科技</t>
  </si>
  <si>
    <t>综合环境治理</t>
  </si>
  <si>
    <t>www.lixinger.com/analytics/company/sz/300203/300203/detail</t>
  </si>
  <si>
    <t>永利股份</t>
  </si>
  <si>
    <t>www.lixinger.com/analytics/company/sz/300230/300230/detail</t>
  </si>
  <si>
    <t>日发精机</t>
  </si>
  <si>
    <t>机床工具</t>
  </si>
  <si>
    <t>www.lixinger.com/analytics/company/sz/002520/2520/detail</t>
  </si>
  <si>
    <t>黑猫股份</t>
  </si>
  <si>
    <t>炭黑</t>
  </si>
  <si>
    <t>www.lixinger.com/analytics/company/sz/002068/2068/detail</t>
  </si>
  <si>
    <t>双林股份</t>
  </si>
  <si>
    <t>www.lixinger.com/analytics/company/sz/300100/300100/detail</t>
  </si>
  <si>
    <t>美亚光电</t>
  </si>
  <si>
    <t>www.lixinger.com/analytics/company/sz/002690/2690/detail</t>
  </si>
  <si>
    <t>华西股份</t>
  </si>
  <si>
    <t>www.lixinger.com/analytics/company/sz/000936/936/detail</t>
  </si>
  <si>
    <t>华联综超</t>
  </si>
  <si>
    <t>www.lixinger.com/analytics/company/sh/600361/600361/detail</t>
  </si>
  <si>
    <t>喜临门</t>
  </si>
  <si>
    <t>www.lixinger.com/analytics/company/sh/603008/603008/detail</t>
  </si>
  <si>
    <t>渤海股份</t>
  </si>
  <si>
    <t>www.lixinger.com/analytics/company/sz/000605/605/detail</t>
  </si>
  <si>
    <t>聚飞光电</t>
  </si>
  <si>
    <t>www.lixinger.com/analytics/company/sz/300303/300303/detail</t>
  </si>
  <si>
    <t>飞亚达Ｂ</t>
  </si>
  <si>
    <t>www.lixinger.com/analytics/company/sz/200026/200026/detail</t>
  </si>
  <si>
    <t>启明星辰</t>
  </si>
  <si>
    <t>www.lixinger.com/analytics/company/sz/002439/2439/detail</t>
  </si>
  <si>
    <t>电科院</t>
  </si>
  <si>
    <t>www.lixinger.com/analytics/company/sz/300215/300215/detail</t>
  </si>
  <si>
    <t>津滨发展</t>
  </si>
  <si>
    <t>www.lixinger.com/analytics/company/sz/000897/897/detail</t>
  </si>
  <si>
    <t>中新药业</t>
  </si>
  <si>
    <t>www.lixinger.com/analytics/company/sh/600329/600329/detail</t>
  </si>
  <si>
    <t>中控技术</t>
  </si>
  <si>
    <t>www.lixinger.com/analytics/company/sh/688777/688777/detail</t>
  </si>
  <si>
    <t>文山电力</t>
  </si>
  <si>
    <t>www.lixinger.com/analytics/company/sh/600995/600995/detail</t>
  </si>
  <si>
    <t>海兴电力</t>
  </si>
  <si>
    <t>www.lixinger.com/analytics/company/sh/603556/603556/detail</t>
  </si>
  <si>
    <t>双环传动</t>
  </si>
  <si>
    <t>www.lixinger.com/analytics/company/sz/002472/2472/detail</t>
  </si>
  <si>
    <t>华电重工</t>
  </si>
  <si>
    <t>www.lixinger.com/analytics/company/sh/601226/601226/detail</t>
  </si>
  <si>
    <t>马应龙</t>
  </si>
  <si>
    <t>www.lixinger.com/analytics/company/sh/600993/600993/detail</t>
  </si>
  <si>
    <t>璞泰来</t>
  </si>
  <si>
    <t>www.lixinger.com/analytics/company/sh/603659/603659/detail</t>
  </si>
  <si>
    <t>西藏药业</t>
  </si>
  <si>
    <t>www.lixinger.com/analytics/company/sh/600211/600211/detail</t>
  </si>
  <si>
    <t>阳煤化工</t>
  </si>
  <si>
    <t>氮肥</t>
  </si>
  <si>
    <t>www.lixinger.com/analytics/company/sh/600691/600691/detail</t>
  </si>
  <si>
    <t>ST华仪</t>
  </si>
  <si>
    <t>www.lixinger.com/analytics/company/sh/600290/600290/detail</t>
  </si>
  <si>
    <t>交运股份</t>
  </si>
  <si>
    <t>www.lixinger.com/analytics/company/sh/600676/600676/detail</t>
  </si>
  <si>
    <t>金能科技</t>
  </si>
  <si>
    <t>www.lixinger.com/analytics/company/sh/603113/603113/detail</t>
  </si>
  <si>
    <t>苏利股份</t>
  </si>
  <si>
    <t>www.lixinger.com/analytics/company/sh/603585/603585/detail</t>
  </si>
  <si>
    <t>旭升股份</t>
  </si>
  <si>
    <t>www.lixinger.com/analytics/company/sh/603305/603305/detail</t>
  </si>
  <si>
    <t>国瓷材料</t>
  </si>
  <si>
    <t>www.lixinger.com/analytics/company/sz/300285/300285/detail</t>
  </si>
  <si>
    <t>八一钢铁</t>
  </si>
  <si>
    <t>www.lixinger.com/analytics/company/sh/600581/600581/detail</t>
  </si>
  <si>
    <t>孚能科技</t>
  </si>
  <si>
    <t>www.lixinger.com/analytics/company/sh/688567/688567/detail</t>
  </si>
  <si>
    <t>杭汽轮Ｂ</t>
  </si>
  <si>
    <t>www.lixinger.com/analytics/company/sz/200771/200771/detail</t>
  </si>
  <si>
    <t>迪安诊断</t>
  </si>
  <si>
    <t>www.lixinger.com/analytics/company/sz/300244/300244/detail</t>
  </si>
  <si>
    <t>东风科技</t>
  </si>
  <si>
    <t>www.lixinger.com/analytics/company/sh/600081/600081/detail</t>
  </si>
  <si>
    <t>深赛格B</t>
  </si>
  <si>
    <t>www.lixinger.com/analytics/company/sz/200058/200058/detail</t>
  </si>
  <si>
    <t>广州酒家</t>
  </si>
  <si>
    <t>www.lixinger.com/analytics/company/sh/603043/603043/detail</t>
  </si>
  <si>
    <t>陕西黑猫</t>
  </si>
  <si>
    <t>www.lixinger.com/analytics/company/sh/601015/601015/detail</t>
  </si>
  <si>
    <t>吉林高速</t>
  </si>
  <si>
    <t>www.lixinger.com/analytics/company/sh/601518/601518/detail</t>
  </si>
  <si>
    <t>金徽股份</t>
  </si>
  <si>
    <t>www.lixinger.com/analytics/company/sh/603132/603132/detail</t>
  </si>
  <si>
    <t>天壕环境</t>
  </si>
  <si>
    <t>www.lixinger.com/analytics/company/sz/300332/300332/detail</t>
  </si>
  <si>
    <t>山西路桥</t>
  </si>
  <si>
    <t>www.lixinger.com/analytics/company/sz/000755/755/detail</t>
  </si>
  <si>
    <t>东方时尚</t>
  </si>
  <si>
    <t>www.lixinger.com/analytics/company/sh/603377/603377/detail</t>
  </si>
  <si>
    <t>好想你</t>
  </si>
  <si>
    <t>www.lixinger.com/analytics/company/sz/002582/2582/detail</t>
  </si>
  <si>
    <t>杭州解百</t>
  </si>
  <si>
    <t>www.lixinger.com/analytics/company/sh/600814/600814/detail</t>
  </si>
  <si>
    <t>桂东电力</t>
  </si>
  <si>
    <t>www.lixinger.com/analytics/company/sh/600310/600310/detail</t>
  </si>
  <si>
    <t>武汉凡谷</t>
  </si>
  <si>
    <t>www.lixinger.com/analytics/company/sz/002194/2194/detail</t>
  </si>
  <si>
    <t>时代出版</t>
  </si>
  <si>
    <t>www.lixinger.com/analytics/company/sh/600551/600551/detail</t>
  </si>
  <si>
    <t>达实智能</t>
  </si>
  <si>
    <t>www.lixinger.com/analytics/company/sz/002421/2421/detail</t>
  </si>
  <si>
    <t>华宇软件</t>
  </si>
  <si>
    <t>www.lixinger.com/analytics/company/sz/300271/300271/detail</t>
  </si>
  <si>
    <t>广安爱众</t>
  </si>
  <si>
    <t>www.lixinger.com/analytics/company/sh/600979/600979/detail</t>
  </si>
  <si>
    <t>嘉元科技</t>
  </si>
  <si>
    <t>www.lixinger.com/analytics/company/sh/688388/688388/detail</t>
  </si>
  <si>
    <t>和而泰</t>
  </si>
  <si>
    <t>www.lixinger.com/analytics/company/sz/002402/2402/detail</t>
  </si>
  <si>
    <t>万集科技</t>
  </si>
  <si>
    <t>www.lixinger.com/analytics/company/sz/300552/300552/detail</t>
  </si>
  <si>
    <t>海南发展</t>
  </si>
  <si>
    <t>www.lixinger.com/analytics/company/sz/002163/2163/detail</t>
  </si>
  <si>
    <t>润建股份</t>
  </si>
  <si>
    <t>www.lixinger.com/analytics/company/sz/002929/2929/detail</t>
  </si>
  <si>
    <t>桂林三金</t>
  </si>
  <si>
    <t>www.lixinger.com/analytics/company/sz/002275/2275/detail</t>
  </si>
  <si>
    <t>洲明科技</t>
  </si>
  <si>
    <t>www.lixinger.com/analytics/company/sz/300232/300232/detail</t>
  </si>
  <si>
    <t>迪马股份</t>
  </si>
  <si>
    <t>www.lixinger.com/analytics/company/sh/600565/600565/detail</t>
  </si>
  <si>
    <t>荣安地产</t>
  </si>
  <si>
    <t>www.lixinger.com/analytics/company/sz/000517/517/detail</t>
  </si>
  <si>
    <t>贵州百灵</t>
  </si>
  <si>
    <t>www.lixinger.com/analytics/company/sz/002424/2424/detail</t>
  </si>
  <si>
    <t>飞科电器</t>
  </si>
  <si>
    <t>个护小家电</t>
  </si>
  <si>
    <t>www.lixinger.com/analytics/company/sh/603868/603868/detail</t>
  </si>
  <si>
    <t>金陵药业</t>
  </si>
  <si>
    <t>www.lixinger.com/analytics/company/sz/000919/919/detail</t>
  </si>
  <si>
    <t>丸美股份</t>
  </si>
  <si>
    <t>www.lixinger.com/analytics/company/sh/603983/603983/detail</t>
  </si>
  <si>
    <t>天娱数科</t>
  </si>
  <si>
    <t>www.lixinger.com/analytics/company/sz/002354/2354/detail</t>
  </si>
  <si>
    <t>通鼎互联</t>
  </si>
  <si>
    <t>www.lixinger.com/analytics/company/sz/002491/2491/detail</t>
  </si>
  <si>
    <t>精锻科技</t>
  </si>
  <si>
    <t>www.lixinger.com/analytics/company/sz/300258/300258/detail</t>
  </si>
  <si>
    <t>靖远煤电</t>
  </si>
  <si>
    <t>www.lixinger.com/analytics/company/sz/000552/552/detail</t>
  </si>
  <si>
    <t>新媒股份</t>
  </si>
  <si>
    <t>www.lixinger.com/analytics/company/sz/300770/300770/detail</t>
  </si>
  <si>
    <t>博天环境</t>
  </si>
  <si>
    <t>www.lixinger.com/analytics/company/sh/603603/603603/detail</t>
  </si>
  <si>
    <t>会通股份</t>
  </si>
  <si>
    <t>www.lixinger.com/analytics/company/sh/688219/688219/detail</t>
  </si>
  <si>
    <t>大洋电机</t>
  </si>
  <si>
    <t>www.lixinger.com/analytics/company/sz/002249/2249/detail</t>
  </si>
  <si>
    <t>迈克生物</t>
  </si>
  <si>
    <t>www.lixinger.com/analytics/company/sz/300463/300463/detail</t>
  </si>
  <si>
    <t>建霖家居</t>
  </si>
  <si>
    <t>卫浴制品</t>
  </si>
  <si>
    <t>www.lixinger.com/analytics/company/sh/603408/603408/detail</t>
  </si>
  <si>
    <t>仙鹤股份</t>
  </si>
  <si>
    <t>特种纸</t>
  </si>
  <si>
    <t>www.lixinger.com/analytics/company/sh/603733/603733/detail</t>
  </si>
  <si>
    <t>鸿达兴业</t>
  </si>
  <si>
    <t>www.lixinger.com/analytics/company/sz/002002/2002/detail</t>
  </si>
  <si>
    <t>科达利</t>
  </si>
  <si>
    <t>www.lixinger.com/analytics/company/sz/002850/2850/detail</t>
  </si>
  <si>
    <t>广西广电</t>
  </si>
  <si>
    <t>www.lixinger.com/analytics/company/sh/600936/600936/detail</t>
  </si>
  <si>
    <t>天威视讯</t>
  </si>
  <si>
    <t>www.lixinger.com/analytics/company/sz/002238/2238/detail</t>
  </si>
  <si>
    <t>中信重工</t>
  </si>
  <si>
    <t>www.lixinger.com/analytics/company/sh/601608/601608/detail</t>
  </si>
  <si>
    <t>南网能源</t>
  </si>
  <si>
    <t>www.lixinger.com/analytics/company/sz/003035/3035/detail</t>
  </si>
  <si>
    <t>羚锐制药</t>
  </si>
  <si>
    <t>www.lixinger.com/analytics/company/sh/600285/600285/detail</t>
  </si>
  <si>
    <t>江南水务</t>
  </si>
  <si>
    <t>www.lixinger.com/analytics/company/sh/601199/601199/detail</t>
  </si>
  <si>
    <t>金卡智能</t>
  </si>
  <si>
    <t>www.lixinger.com/analytics/company/sz/300349/300349/detail</t>
  </si>
  <si>
    <t>汉缆股份</t>
  </si>
  <si>
    <t>www.lixinger.com/analytics/company/sz/002498/2498/detail</t>
  </si>
  <si>
    <t>巨轮智能</t>
  </si>
  <si>
    <t>www.lixinger.com/analytics/company/sz/002031/2031/detail</t>
  </si>
  <si>
    <t>浙江医药</t>
  </si>
  <si>
    <t>www.lixinger.com/analytics/company/sh/600216/600216/detail</t>
  </si>
  <si>
    <t>荣泰健康</t>
  </si>
  <si>
    <t>其他家电</t>
  </si>
  <si>
    <t>www.lixinger.com/analytics/company/sh/603579/603579/detail</t>
  </si>
  <si>
    <t>东富龙</t>
  </si>
  <si>
    <t>www.lixinger.com/analytics/company/sz/300171/300171/detail</t>
  </si>
  <si>
    <t>中国电研</t>
  </si>
  <si>
    <t>www.lixinger.com/analytics/company/sh/688128/688128/detail</t>
  </si>
  <si>
    <t>尔康制药</t>
  </si>
  <si>
    <t>www.lixinger.com/analytics/company/sz/300267/300267/detail</t>
  </si>
  <si>
    <t>南侨食品</t>
  </si>
  <si>
    <t>www.lixinger.com/analytics/company/sh/605339/605339/detail</t>
  </si>
  <si>
    <t>飞亚达</t>
  </si>
  <si>
    <t>www.lixinger.com/analytics/company/sz/000026/26/detail</t>
  </si>
  <si>
    <t>联发股份</t>
  </si>
  <si>
    <t>www.lixinger.com/analytics/company/sz/002394/2394/detail</t>
  </si>
  <si>
    <t>钱江水利</t>
  </si>
  <si>
    <t>www.lixinger.com/analytics/company/sh/600283/600283/detail</t>
  </si>
  <si>
    <t>景津装备</t>
  </si>
  <si>
    <t>www.lixinger.com/analytics/company/sh/603279/603279/detail</t>
  </si>
  <si>
    <t>圣元环保</t>
  </si>
  <si>
    <t>www.lixinger.com/analytics/company/sz/300867/300867/detail</t>
  </si>
  <si>
    <t>永鼎股份</t>
  </si>
  <si>
    <t>www.lixinger.com/analytics/company/sh/600105/600105/detail</t>
  </si>
  <si>
    <t>兴业矿业</t>
  </si>
  <si>
    <t>www.lixinger.com/analytics/company/sz/000426/426/detail</t>
  </si>
  <si>
    <t>*ST大集</t>
  </si>
  <si>
    <t>www.lixinger.com/analytics/company/sz/000564/564/detail</t>
  </si>
  <si>
    <t>溢多利</t>
  </si>
  <si>
    <t>www.lixinger.com/analytics/company/sz/300381/300381/detail</t>
  </si>
  <si>
    <t>美盈森</t>
  </si>
  <si>
    <t>www.lixinger.com/analytics/company/sz/002303/2303/detail</t>
  </si>
  <si>
    <t>国邦医药</t>
  </si>
  <si>
    <t>www.lixinger.com/analytics/company/sh/605507/605507/detail</t>
  </si>
  <si>
    <t>华强科技</t>
  </si>
  <si>
    <t>www.lixinger.com/analytics/company/sh/688151/688151/detail</t>
  </si>
  <si>
    <t>兆威机电</t>
  </si>
  <si>
    <t>www.lixinger.com/analytics/company/sz/003021/3021/detail</t>
  </si>
  <si>
    <t>歌力思</t>
  </si>
  <si>
    <t>www.lixinger.com/analytics/company/sh/603808/603808/detail</t>
  </si>
  <si>
    <t>岱美股份</t>
  </si>
  <si>
    <t>www.lixinger.com/analytics/company/sh/603730/603730/detail</t>
  </si>
  <si>
    <t>国创高新</t>
  </si>
  <si>
    <t>www.lixinger.com/analytics/company/sz/002377/2377/detail</t>
  </si>
  <si>
    <t>长园集团</t>
  </si>
  <si>
    <t>www.lixinger.com/analytics/company/sh/600525/600525/detail</t>
  </si>
  <si>
    <t>应流股份</t>
  </si>
  <si>
    <t>www.lixinger.com/analytics/company/sh/603308/603308/detail</t>
  </si>
  <si>
    <t>镇海股份</t>
  </si>
  <si>
    <t>www.lixinger.com/analytics/company/sh/603637/603637/detail</t>
  </si>
  <si>
    <t>好当家</t>
  </si>
  <si>
    <t>水产养殖</t>
  </si>
  <si>
    <t>www.lixinger.com/analytics/company/sh/600467/600467/detail</t>
  </si>
  <si>
    <t>上海电影</t>
  </si>
  <si>
    <t>www.lixinger.com/analytics/company/sh/601595/601595/detail</t>
  </si>
  <si>
    <t>福斯特</t>
  </si>
  <si>
    <t>www.lixinger.com/analytics/company/sh/603806/603806/detail</t>
  </si>
  <si>
    <t>大博医疗</t>
  </si>
  <si>
    <t>www.lixinger.com/analytics/company/sz/002901/2901/detail</t>
  </si>
  <si>
    <t>汇嘉时代</t>
  </si>
  <si>
    <t>www.lixinger.com/analytics/company/sh/603101/603101/detail</t>
  </si>
  <si>
    <t>渤海汽车</t>
  </si>
  <si>
    <t>www.lixinger.com/analytics/company/sh/600960/600960/detail</t>
  </si>
  <si>
    <t>赤峰黄金</t>
  </si>
  <si>
    <t>www.lixinger.com/analytics/company/sh/600988/600988/detail</t>
  </si>
  <si>
    <t>晋亿实业</t>
  </si>
  <si>
    <t>www.lixinger.com/analytics/company/sh/601002/601002/detail</t>
  </si>
  <si>
    <t>金岭矿业</t>
  </si>
  <si>
    <t>www.lixinger.com/analytics/company/sz/000655/655/detail</t>
  </si>
  <si>
    <t>深赛格</t>
  </si>
  <si>
    <t>www.lixinger.com/analytics/company/sz/000058/58/detail</t>
  </si>
  <si>
    <t>交控科技</t>
  </si>
  <si>
    <t>www.lixinger.com/analytics/company/sh/688015/688015/detail</t>
  </si>
  <si>
    <t>川投能源</t>
  </si>
  <si>
    <t>www.lixinger.com/analytics/company/sh/600674/600674/detail</t>
  </si>
  <si>
    <t>昆药集团</t>
  </si>
  <si>
    <t>www.lixinger.com/analytics/company/sh/600422/600422/detail</t>
  </si>
  <si>
    <t>ST华钰</t>
  </si>
  <si>
    <t>www.lixinger.com/analytics/company/sh/601020/601020/detail</t>
  </si>
  <si>
    <t>恒顺醋业</t>
  </si>
  <si>
    <t>www.lixinger.com/analytics/company/sh/600305/600305/detail</t>
  </si>
  <si>
    <t>迪森股份</t>
  </si>
  <si>
    <t>www.lixinger.com/analytics/company/sz/300335/300335/detail</t>
  </si>
  <si>
    <t>远达环保</t>
  </si>
  <si>
    <t>www.lixinger.com/analytics/company/sh/600292/600292/detail</t>
  </si>
  <si>
    <t>亚厦股份</t>
  </si>
  <si>
    <t>www.lixinger.com/analytics/company/sz/002375/2375/detail</t>
  </si>
  <si>
    <t>深纺织Ｂ</t>
  </si>
  <si>
    <t>www.lixinger.com/analytics/company/sz/200045/200045/detail</t>
  </si>
  <si>
    <t>永新股份</t>
  </si>
  <si>
    <t>www.lixinger.com/analytics/company/sz/002014/2014/detail</t>
  </si>
  <si>
    <t>天宇股份</t>
  </si>
  <si>
    <t>www.lixinger.com/analytics/company/sz/300702/300702/detail</t>
  </si>
  <si>
    <t>豪悦护理</t>
  </si>
  <si>
    <t>www.lixinger.com/analytics/company/sh/605009/605009/detail</t>
  </si>
  <si>
    <t>亚士创能</t>
  </si>
  <si>
    <t>涂料</t>
  </si>
  <si>
    <t>www.lixinger.com/analytics/company/sh/603378/603378/detail</t>
  </si>
  <si>
    <t>瑞芯微</t>
  </si>
  <si>
    <t>www.lixinger.com/analytics/company/sh/603893/603893/detail</t>
  </si>
  <si>
    <t>黄山旅游</t>
  </si>
  <si>
    <t>自然景区</t>
  </si>
  <si>
    <t>www.lixinger.com/analytics/company/sh/600054/600054/detail</t>
  </si>
  <si>
    <t>荣晟环保</t>
  </si>
  <si>
    <t>www.lixinger.com/analytics/company/sh/603165/603165/detail</t>
  </si>
  <si>
    <t>亚宝药业</t>
  </si>
  <si>
    <t>www.lixinger.com/analytics/company/sh/600351/600351/detail</t>
  </si>
  <si>
    <t>风神股份</t>
  </si>
  <si>
    <t>www.lixinger.com/analytics/company/sh/600469/600469/detail</t>
  </si>
  <si>
    <t>春风动力</t>
  </si>
  <si>
    <t>www.lixinger.com/analytics/company/sh/603129/603129/detail</t>
  </si>
  <si>
    <t>正平股份</t>
  </si>
  <si>
    <t>www.lixinger.com/analytics/company/sh/603843/603843/detail</t>
  </si>
  <si>
    <t>东港股份</t>
  </si>
  <si>
    <t>印刷</t>
  </si>
  <si>
    <t>www.lixinger.com/analytics/company/sz/002117/2117/detail</t>
  </si>
  <si>
    <t>龙星化工</t>
  </si>
  <si>
    <t>www.lixinger.com/analytics/company/sz/002442/2442/detail</t>
  </si>
  <si>
    <t>文科园林</t>
  </si>
  <si>
    <t>www.lixinger.com/analytics/company/sz/002775/2775/detail</t>
  </si>
  <si>
    <t>华建集团</t>
  </si>
  <si>
    <t>www.lixinger.com/analytics/company/sh/600629/600629/detail</t>
  </si>
  <si>
    <t>康力电梯</t>
  </si>
  <si>
    <t>楼宇设备</t>
  </si>
  <si>
    <t>www.lixinger.com/analytics/company/sz/002367/2367/detail</t>
  </si>
  <si>
    <t>华达科技</t>
  </si>
  <si>
    <t>www.lixinger.com/analytics/company/sh/603358/603358/detail</t>
  </si>
  <si>
    <t>苏博特</t>
  </si>
  <si>
    <t>www.lixinger.com/analytics/company/sh/603916/603916/detail</t>
  </si>
  <si>
    <t>彤程新材</t>
  </si>
  <si>
    <t>橡胶助剂</t>
  </si>
  <si>
    <t>www.lixinger.com/analytics/company/sh/603650/603650/detail</t>
  </si>
  <si>
    <t>弘业股份</t>
  </si>
  <si>
    <t>www.lixinger.com/analytics/company/sh/600128/600128/detail</t>
  </si>
  <si>
    <t>永辉超市</t>
  </si>
  <si>
    <t>www.lixinger.com/analytics/company/sh/601933/601933/detail</t>
  </si>
  <si>
    <t>北京利尔</t>
  </si>
  <si>
    <t>www.lixinger.com/analytics/company/sz/002392/2392/detail</t>
  </si>
  <si>
    <t>东软集团</t>
  </si>
  <si>
    <t>www.lixinger.com/analytics/company/sh/600718/600718/detail</t>
  </si>
  <si>
    <t>中嘉博创</t>
  </si>
  <si>
    <t>www.lixinger.com/analytics/company/sz/000889/889/detail</t>
  </si>
  <si>
    <t>联泰环保</t>
  </si>
  <si>
    <t>www.lixinger.com/analytics/company/sh/603797/603797/detail</t>
  </si>
  <si>
    <t>华灿光电</t>
  </si>
  <si>
    <t>www.lixinger.com/analytics/company/sz/300323/300323/detail</t>
  </si>
  <si>
    <t>华工科技</t>
  </si>
  <si>
    <t>www.lixinger.com/analytics/company/sz/000988/988/detail</t>
  </si>
  <si>
    <t>柳药股份</t>
  </si>
  <si>
    <t>www.lixinger.com/analytics/company/sh/603368/603368/detail</t>
  </si>
  <si>
    <t>东方铁塔</t>
  </si>
  <si>
    <t>www.lixinger.com/analytics/company/sz/002545/2545/detail</t>
  </si>
  <si>
    <t>泰豪科技</t>
  </si>
  <si>
    <t>www.lixinger.com/analytics/company/sh/600590/600590/detail</t>
  </si>
  <si>
    <t>天禾股份</t>
  </si>
  <si>
    <t>www.lixinger.com/analytics/company/sz/002999/2999/detail</t>
  </si>
  <si>
    <t>中闽能源</t>
  </si>
  <si>
    <t>www.lixinger.com/analytics/company/sh/600163/600163/detail</t>
  </si>
  <si>
    <t>ST华鼎</t>
  </si>
  <si>
    <t>跨境电商</t>
  </si>
  <si>
    <t>www.lixinger.com/analytics/company/sh/601113/601113/detail</t>
  </si>
  <si>
    <t>福然德</t>
  </si>
  <si>
    <t>www.lixinger.com/analytics/company/sh/605050/605050/detail</t>
  </si>
  <si>
    <t>富奥B</t>
  </si>
  <si>
    <t>www.lixinger.com/analytics/company/sz/200030/200030/detail</t>
  </si>
  <si>
    <t>江山股份</t>
  </si>
  <si>
    <t>www.lixinger.com/analytics/company/sh/600389/600389/detail</t>
  </si>
  <si>
    <t>联创电子</t>
  </si>
  <si>
    <t>www.lixinger.com/analytics/company/sz/002036/2036/detail</t>
  </si>
  <si>
    <t>普邦股份</t>
  </si>
  <si>
    <t>www.lixinger.com/analytics/company/sz/002663/2663/detail</t>
  </si>
  <si>
    <t>康尼机电</t>
  </si>
  <si>
    <t>www.lixinger.com/analytics/company/sh/603111/603111/detail</t>
  </si>
  <si>
    <t>小熊电器</t>
  </si>
  <si>
    <t>www.lixinger.com/analytics/company/sz/002959/2959/detail</t>
  </si>
  <si>
    <t>浙商证券</t>
  </si>
  <si>
    <t>www.lixinger.com/analytics/company/sh/601878/601878/detail</t>
  </si>
  <si>
    <t>奇正藏药</t>
  </si>
  <si>
    <t>www.lixinger.com/analytics/company/sz/002287/2287/detail</t>
  </si>
  <si>
    <t>生物股份</t>
  </si>
  <si>
    <t>动物保健</t>
  </si>
  <si>
    <t>www.lixinger.com/analytics/company/sh/600201/600201/detail</t>
  </si>
  <si>
    <t>火星人</t>
  </si>
  <si>
    <t>www.lixinger.com/analytics/company/sz/300894/300894/detail</t>
  </si>
  <si>
    <t>拓邦股份</t>
  </si>
  <si>
    <t>www.lixinger.com/analytics/company/sz/002139/2139/detail</t>
  </si>
  <si>
    <t>华设集团</t>
  </si>
  <si>
    <t>www.lixinger.com/analytics/company/sh/603018/603018/detail</t>
  </si>
  <si>
    <t>银河电子</t>
  </si>
  <si>
    <t>其他黑色家电</t>
  </si>
  <si>
    <t>www.lixinger.com/analytics/company/sz/002519/2519/detail</t>
  </si>
  <si>
    <t>海峡股份</t>
  </si>
  <si>
    <t>www.lixinger.com/analytics/company/sz/002320/2320/detail</t>
  </si>
  <si>
    <t>好莱客</t>
  </si>
  <si>
    <t>www.lixinger.com/analytics/company/sh/603898/603898/detail</t>
  </si>
  <si>
    <t>山推股份</t>
  </si>
  <si>
    <t>www.lixinger.com/analytics/company/sz/000680/680/detail</t>
  </si>
  <si>
    <t>金牌厨柜</t>
  </si>
  <si>
    <t>www.lixinger.com/analytics/company/sh/603180/603180/detail</t>
  </si>
  <si>
    <t>林洋能源</t>
  </si>
  <si>
    <t>www.lixinger.com/analytics/company/sh/601222/601222/detail</t>
  </si>
  <si>
    <t>东贝集团</t>
  </si>
  <si>
    <t>www.lixinger.com/analytics/company/sh/601956/601956/detail</t>
  </si>
  <si>
    <t>众业达</t>
  </si>
  <si>
    <t>www.lixinger.com/analytics/company/sz/002441/2441/detail</t>
  </si>
  <si>
    <t>ST八菱</t>
  </si>
  <si>
    <t>www.lixinger.com/analytics/company/sz/002592/2592/detail</t>
  </si>
  <si>
    <t>金宏气体</t>
  </si>
  <si>
    <t>www.lixinger.com/analytics/company/sh/688106/688106/detail</t>
  </si>
  <si>
    <t>建艺集团</t>
  </si>
  <si>
    <t>www.lixinger.com/analytics/company/sz/002789/2789/detail</t>
  </si>
  <si>
    <t>富煌钢构</t>
  </si>
  <si>
    <t>www.lixinger.com/analytics/company/sz/002743/2743/detail</t>
  </si>
  <si>
    <t>三棵树</t>
  </si>
  <si>
    <t>www.lixinger.com/analytics/company/sh/603737/603737/detail</t>
  </si>
  <si>
    <t>先达股份</t>
  </si>
  <si>
    <t>www.lixinger.com/analytics/company/sh/603086/603086/detail</t>
  </si>
  <si>
    <t>德赛西威</t>
  </si>
  <si>
    <t>www.lixinger.com/analytics/company/sz/002920/2920/detail</t>
  </si>
  <si>
    <t>新澳股份</t>
  </si>
  <si>
    <t>其他纺织</t>
  </si>
  <si>
    <t>www.lixinger.com/analytics/company/sh/603889/603889/detail</t>
  </si>
  <si>
    <t>泽宇智能</t>
  </si>
  <si>
    <t>www.lixinger.com/analytics/company/sz/301179/301179/detail</t>
  </si>
  <si>
    <t>长城军工</t>
  </si>
  <si>
    <t>www.lixinger.com/analytics/company/sh/601606/601606/detail</t>
  </si>
  <si>
    <t>金智科技</t>
  </si>
  <si>
    <t>www.lixinger.com/analytics/company/sz/002090/2090/detail</t>
  </si>
  <si>
    <t>峨眉山Ａ</t>
  </si>
  <si>
    <t>www.lixinger.com/analytics/company/sz/000888/888/detail</t>
  </si>
  <si>
    <t>美亚柏科</t>
  </si>
  <si>
    <t>www.lixinger.com/analytics/company/sz/300188/300188/detail</t>
  </si>
  <si>
    <t>报喜鸟</t>
  </si>
  <si>
    <t>www.lixinger.com/analytics/company/sz/002154/2154/detail</t>
  </si>
  <si>
    <t>中远海科</t>
  </si>
  <si>
    <t>www.lixinger.com/analytics/company/sz/002401/2401/detail</t>
  </si>
  <si>
    <t>金逸影视</t>
  </si>
  <si>
    <t>www.lixinger.com/analytics/company/sz/002905/2905/detail</t>
  </si>
  <si>
    <t>傲农生物</t>
  </si>
  <si>
    <t>www.lixinger.com/analytics/company/sh/603363/603363/detail</t>
  </si>
  <si>
    <t>同兴达</t>
  </si>
  <si>
    <t>www.lixinger.com/analytics/company/sz/002845/2845/detail</t>
  </si>
  <si>
    <t>嘉友国际</t>
  </si>
  <si>
    <t>www.lixinger.com/analytics/company/sh/603871/603871/detail</t>
  </si>
  <si>
    <t>*ST广珠</t>
  </si>
  <si>
    <t>www.lixinger.com/analytics/company/sh/600382/600382/detail</t>
  </si>
  <si>
    <t>西王食品</t>
  </si>
  <si>
    <t>www.lixinger.com/analytics/company/sz/000639/639/detail</t>
  </si>
  <si>
    <t>精研科技</t>
  </si>
  <si>
    <t>www.lixinger.com/analytics/company/sz/300709/300709/detail</t>
  </si>
  <si>
    <t>永安行</t>
  </si>
  <si>
    <t>www.lixinger.com/analytics/company/sh/603776/603776/detail</t>
  </si>
  <si>
    <t>三全食品</t>
  </si>
  <si>
    <t>www.lixinger.com/analytics/company/sz/002216/2216/detail</t>
  </si>
  <si>
    <t>华天酒店</t>
  </si>
  <si>
    <t>www.lixinger.com/analytics/company/sz/000428/428/detail</t>
  </si>
  <si>
    <t>合兴包装</t>
  </si>
  <si>
    <t>www.lixinger.com/analytics/company/sz/002228/2228/detail</t>
  </si>
  <si>
    <t>珈伟新能</t>
  </si>
  <si>
    <t>www.lixinger.com/analytics/company/sz/300317/300317/detail</t>
  </si>
  <si>
    <t>特锐德</t>
  </si>
  <si>
    <t>www.lixinger.com/analytics/company/sz/300001/300001/detail</t>
  </si>
  <si>
    <t>中科软</t>
  </si>
  <si>
    <t>www.lixinger.com/analytics/company/sh/603927/603927/detail</t>
  </si>
  <si>
    <t>甬金股份</t>
  </si>
  <si>
    <t>www.lixinger.com/analytics/company/sh/603995/603995/detail</t>
  </si>
  <si>
    <t>聚灿光电</t>
  </si>
  <si>
    <t>www.lixinger.com/analytics/company/sz/300708/300708/detail</t>
  </si>
  <si>
    <t>山东矿机</t>
  </si>
  <si>
    <t>www.lixinger.com/analytics/company/sz/002526/2526/detail</t>
  </si>
  <si>
    <t>凯撒文化</t>
  </si>
  <si>
    <t>www.lixinger.com/analytics/company/sz/002425/2425/detail</t>
  </si>
  <si>
    <t>西宁特钢</t>
  </si>
  <si>
    <t>www.lixinger.com/analytics/company/sh/600117/600117/detail</t>
  </si>
  <si>
    <t>建新股份</t>
  </si>
  <si>
    <t>www.lixinger.com/analytics/company/sz/300107/300107/detail</t>
  </si>
  <si>
    <t>冰轮环境</t>
  </si>
  <si>
    <t>制冷空调设备</t>
  </si>
  <si>
    <t>www.lixinger.com/analytics/company/sz/000811/811/detail</t>
  </si>
  <si>
    <t>獐子岛</t>
  </si>
  <si>
    <t>www.lixinger.com/analytics/company/sz/002069/2069/detail</t>
  </si>
  <si>
    <t>瑞普生物</t>
  </si>
  <si>
    <t>www.lixinger.com/analytics/company/sz/300119/300119/detail</t>
  </si>
  <si>
    <t>安克创新</t>
  </si>
  <si>
    <t>www.lixinger.com/analytics/company/sz/300866/300866/detail</t>
  </si>
  <si>
    <t>立昂微</t>
  </si>
  <si>
    <t>www.lixinger.com/analytics/company/sh/605358/605358/detail</t>
  </si>
  <si>
    <t>深纺织Ａ</t>
  </si>
  <si>
    <t>www.lixinger.com/analytics/company/sz/000045/45/detail</t>
  </si>
  <si>
    <t>宁波能源</t>
  </si>
  <si>
    <t>www.lixinger.com/analytics/company/sh/600982/600982/detail</t>
  </si>
  <si>
    <t>国网信通</t>
  </si>
  <si>
    <t>www.lixinger.com/analytics/company/sh/600131/600131/detail</t>
  </si>
  <si>
    <t>永太科技</t>
  </si>
  <si>
    <t>www.lixinger.com/analytics/company/sz/002326/2326/detail</t>
  </si>
  <si>
    <t>酒鬼酒</t>
  </si>
  <si>
    <t>www.lixinger.com/analytics/company/sz/000799/799/detail</t>
  </si>
  <si>
    <t>老白干酒</t>
  </si>
  <si>
    <t>www.lixinger.com/analytics/company/sh/600559/600559/detail</t>
  </si>
  <si>
    <t>南山智尚</t>
  </si>
  <si>
    <t>www.lixinger.com/analytics/company/sz/300918/300918/detail</t>
  </si>
  <si>
    <t>明星电力</t>
  </si>
  <si>
    <t>www.lixinger.com/analytics/company/sh/600101/600101/detail</t>
  </si>
  <si>
    <t>长城科技</t>
  </si>
  <si>
    <t>www.lixinger.com/analytics/company/sh/603897/603897/detail</t>
  </si>
  <si>
    <t>德业股份</t>
  </si>
  <si>
    <t>www.lixinger.com/analytics/company/sh/605117/605117/detail</t>
  </si>
  <si>
    <t>克明食品</t>
  </si>
  <si>
    <t>www.lixinger.com/analytics/company/sz/002661/2661/detail</t>
  </si>
  <si>
    <t>腾远钴业</t>
  </si>
  <si>
    <t>www.lixinger.com/analytics/company/sz/301219/301219/detail</t>
  </si>
  <si>
    <t>国联股份</t>
  </si>
  <si>
    <t>综合电商</t>
  </si>
  <si>
    <t>www.lixinger.com/analytics/company/sh/603613/603613/detail</t>
  </si>
  <si>
    <t>吉林敖东</t>
  </si>
  <si>
    <t>www.lixinger.com/analytics/company/sz/000623/623/detail</t>
  </si>
  <si>
    <t>长海股份</t>
  </si>
  <si>
    <t>www.lixinger.com/analytics/company/sz/300196/300196/detail</t>
  </si>
  <si>
    <t>古越龙山</t>
  </si>
  <si>
    <t>www.lixinger.com/analytics/company/sh/600059/600059/detail</t>
  </si>
  <si>
    <t>北化股份</t>
  </si>
  <si>
    <t>www.lixinger.com/analytics/company/sz/002246/2246/detail</t>
  </si>
  <si>
    <t>锦江Ｂ股</t>
  </si>
  <si>
    <t>www.lixinger.com/analytics/company/sh/900934/900934/detail</t>
  </si>
  <si>
    <t>宝通科技</t>
  </si>
  <si>
    <t>www.lixinger.com/analytics/company/sz/300031/300031/detail</t>
  </si>
  <si>
    <t>天味食品</t>
  </si>
  <si>
    <t>www.lixinger.com/analytics/company/sh/603317/603317/detail</t>
  </si>
  <si>
    <t>百联Ｂ股</t>
  </si>
  <si>
    <t>www.lixinger.com/analytics/company/sh/900923/900923/detail</t>
  </si>
  <si>
    <t>飞龙股份</t>
  </si>
  <si>
    <t>www.lixinger.com/analytics/company/sz/002536/2536/detail</t>
  </si>
  <si>
    <t>*ST尤夫</t>
  </si>
  <si>
    <t>www.lixinger.com/analytics/company/sz/002427/2427/detail</t>
  </si>
  <si>
    <t>长江健康</t>
  </si>
  <si>
    <t>www.lixinger.com/analytics/company/sz/002435/2435/detail</t>
  </si>
  <si>
    <t>长青股份</t>
  </si>
  <si>
    <t>www.lixinger.com/analytics/company/sz/002391/2391/detail</t>
  </si>
  <si>
    <t>美好置业</t>
  </si>
  <si>
    <t>www.lixinger.com/analytics/company/sz/000667/667/detail</t>
  </si>
  <si>
    <t>四川美丰</t>
  </si>
  <si>
    <t>www.lixinger.com/analytics/company/sz/000731/731/detail</t>
  </si>
  <si>
    <t>日出东方</t>
  </si>
  <si>
    <t>www.lixinger.com/analytics/company/sh/603366/603366/detail</t>
  </si>
  <si>
    <t>盛运退</t>
  </si>
  <si>
    <t>www.lixinger.com/analytics/company/sz/300090/300090/detail</t>
  </si>
  <si>
    <t>亨迪药业</t>
  </si>
  <si>
    <t>www.lixinger.com/analytics/company/sz/301211/301211/detail</t>
  </si>
  <si>
    <t>扬杰科技</t>
  </si>
  <si>
    <t>分立器件</t>
  </si>
  <si>
    <t>www.lixinger.com/analytics/company/sz/300373/300373/detail</t>
  </si>
  <si>
    <t>诺力股份</t>
  </si>
  <si>
    <t>www.lixinger.com/analytics/company/sh/603611/603611/detail</t>
  </si>
  <si>
    <t>金徽酒</t>
  </si>
  <si>
    <t>www.lixinger.com/analytics/company/sh/603919/603919/detail</t>
  </si>
  <si>
    <t>上海易连</t>
  </si>
  <si>
    <t>www.lixinger.com/analytics/company/sh/600836/600836/detail</t>
  </si>
  <si>
    <t>四方科技</t>
  </si>
  <si>
    <t>www.lixinger.com/analytics/company/sh/603339/603339/detail</t>
  </si>
  <si>
    <t>森特股份</t>
  </si>
  <si>
    <t>www.lixinger.com/analytics/company/sh/603098/603098/detail</t>
  </si>
  <si>
    <t>海天股份</t>
  </si>
  <si>
    <t>www.lixinger.com/analytics/company/sh/603759/603759/detail</t>
  </si>
  <si>
    <t>花园生物</t>
  </si>
  <si>
    <t>www.lixinger.com/analytics/company/sz/300401/300401/detail</t>
  </si>
  <si>
    <t>富奥股份</t>
  </si>
  <si>
    <t>www.lixinger.com/analytics/company/sz/000030/30/detail</t>
  </si>
  <si>
    <t>三元股份</t>
  </si>
  <si>
    <t>www.lixinger.com/analytics/company/sh/600429/600429/detail</t>
  </si>
  <si>
    <t>吉鑫科技</t>
  </si>
  <si>
    <t>www.lixinger.com/analytics/company/sh/601218/601218/detail</t>
  </si>
  <si>
    <t>全志科技</t>
  </si>
  <si>
    <t>www.lixinger.com/analytics/company/sz/300458/300458/detail</t>
  </si>
  <si>
    <t>华熙生物</t>
  </si>
  <si>
    <t>医美耗材</t>
  </si>
  <si>
    <t>www.lixinger.com/analytics/company/sh/688363/688363/detail</t>
  </si>
  <si>
    <t>西藏城投</t>
  </si>
  <si>
    <t>www.lixinger.com/analytics/company/sh/600773/600773/detail</t>
  </si>
  <si>
    <t>*ST赛为</t>
  </si>
  <si>
    <t>www.lixinger.com/analytics/company/sz/300044/300044/detail</t>
  </si>
  <si>
    <t>益佰制药</t>
  </si>
  <si>
    <t>www.lixinger.com/analytics/company/sh/600594/600594/detail</t>
  </si>
  <si>
    <t>龙元建设</t>
  </si>
  <si>
    <t>www.lixinger.com/analytics/company/sh/600491/600491/detail</t>
  </si>
  <si>
    <t>鲁抗医药</t>
  </si>
  <si>
    <t>www.lixinger.com/analytics/company/sh/600789/600789/detail</t>
  </si>
  <si>
    <t>华创阳安</t>
  </si>
  <si>
    <t>www.lixinger.com/analytics/company/sh/600155/600155/detail</t>
  </si>
  <si>
    <t>顺发恒业</t>
  </si>
  <si>
    <t>www.lixinger.com/analytics/company/sz/000631/631/detail</t>
  </si>
  <si>
    <t>大丰实业</t>
  </si>
  <si>
    <t>www.lixinger.com/analytics/company/sh/603081/603081/detail</t>
  </si>
  <si>
    <t>兴瑞科技</t>
  </si>
  <si>
    <t>www.lixinger.com/analytics/company/sz/002937/2937/detail</t>
  </si>
  <si>
    <t>凯赛生物</t>
  </si>
  <si>
    <t>www.lixinger.com/analytics/company/sh/688065/688065/detail</t>
  </si>
  <si>
    <t>浙文影业</t>
  </si>
  <si>
    <t>www.lixinger.com/analytics/company/sh/601599/601599/detail</t>
  </si>
  <si>
    <t>众兴菌业</t>
  </si>
  <si>
    <t>www.lixinger.com/analytics/company/sz/002772/2772/detail</t>
  </si>
  <si>
    <t>中航善达</t>
  </si>
  <si>
    <t>www.lixinger.com/analytics/company/sz/000043/43/detail</t>
  </si>
  <si>
    <t>招商积余</t>
  </si>
  <si>
    <t>物业管理</t>
  </si>
  <si>
    <t>www.lixinger.com/analytics/company/sz/001914/1914/detail</t>
  </si>
  <si>
    <t>东湖高新</t>
  </si>
  <si>
    <t>www.lixinger.com/analytics/company/sh/600133/600133/detail</t>
  </si>
  <si>
    <t>首商股份</t>
  </si>
  <si>
    <t>www.lixinger.com/analytics/company/sh/600723/600723/detail</t>
  </si>
  <si>
    <t>迪阿股份</t>
  </si>
  <si>
    <t>www.lixinger.com/analytics/company/sz/301177/301177/detail</t>
  </si>
  <si>
    <t>当代文体</t>
  </si>
  <si>
    <t>体育</t>
  </si>
  <si>
    <t>www.lixinger.com/analytics/company/sh/600136/600136/detail</t>
  </si>
  <si>
    <t>英威腾</t>
  </si>
  <si>
    <t>www.lixinger.com/analytics/company/sz/002334/2334/detail</t>
  </si>
  <si>
    <t>三峡水利</t>
  </si>
  <si>
    <t>www.lixinger.com/analytics/company/sh/600116/600116/detail</t>
  </si>
  <si>
    <t>东软载波</t>
  </si>
  <si>
    <t>www.lixinger.com/analytics/company/sz/300183/300183/detail</t>
  </si>
  <si>
    <t>大豪科技</t>
  </si>
  <si>
    <t>www.lixinger.com/analytics/company/sh/603025/603025/detail</t>
  </si>
  <si>
    <t>浙大网新</t>
  </si>
  <si>
    <t>www.lixinger.com/analytics/company/sh/600797/600797/detail</t>
  </si>
  <si>
    <t>烽火通信</t>
  </si>
  <si>
    <t>www.lixinger.com/analytics/company/sh/600498/600498/detail</t>
  </si>
  <si>
    <t>麒盛科技</t>
  </si>
  <si>
    <t>www.lixinger.com/analytics/company/sh/603610/603610/detail</t>
  </si>
  <si>
    <t>均瑶健康</t>
  </si>
  <si>
    <t>www.lixinger.com/analytics/company/sh/605388/605388/detail</t>
  </si>
  <si>
    <t>普利特</t>
  </si>
  <si>
    <t>www.lixinger.com/analytics/company/sz/002324/2324/detail</t>
  </si>
  <si>
    <t>平潭发展</t>
  </si>
  <si>
    <t>林业</t>
  </si>
  <si>
    <t>www.lixinger.com/analytics/company/sz/000592/592/detail</t>
  </si>
  <si>
    <t>格科微</t>
  </si>
  <si>
    <t>www.lixinger.com/analytics/company/sh/688728/688728/detail</t>
  </si>
  <si>
    <t>先河环保</t>
  </si>
  <si>
    <t>www.lixinger.com/analytics/company/sz/300137/300137/detail</t>
  </si>
  <si>
    <t>东北制药</t>
  </si>
  <si>
    <t>www.lixinger.com/analytics/company/sz/000597/597/detail</t>
  </si>
  <si>
    <t>博实股份</t>
  </si>
  <si>
    <t>机器人</t>
  </si>
  <si>
    <t>www.lixinger.com/analytics/company/sz/002698/2698/detail</t>
  </si>
  <si>
    <t>弘亚数控</t>
  </si>
  <si>
    <t>www.lixinger.com/analytics/company/sz/002833/2833/detail</t>
  </si>
  <si>
    <t>美畅股份</t>
  </si>
  <si>
    <t>www.lixinger.com/analytics/company/sz/300861/300861/detail</t>
  </si>
  <si>
    <t>博腾股份</t>
  </si>
  <si>
    <t>www.lixinger.com/analytics/company/sz/300363/300363/detail</t>
  </si>
  <si>
    <t>健盛集团</t>
  </si>
  <si>
    <t>www.lixinger.com/analytics/company/sh/603558/603558/detail</t>
  </si>
  <si>
    <t>信濠光电</t>
  </si>
  <si>
    <t>www.lixinger.com/analytics/company/sz/301051/301051/detail</t>
  </si>
  <si>
    <t>青龙管业</t>
  </si>
  <si>
    <t>www.lixinger.com/analytics/company/sz/002457/2457/detail</t>
  </si>
  <si>
    <t>珠海冠宇</t>
  </si>
  <si>
    <t>www.lixinger.com/analytics/company/sh/688772/688772/detail</t>
  </si>
  <si>
    <t>三峡新材</t>
  </si>
  <si>
    <t>www.lixinger.com/analytics/company/sh/600293/600293/detail</t>
  </si>
  <si>
    <t>南华期货</t>
  </si>
  <si>
    <t>www.lixinger.com/analytics/company/sh/603093/603093/detail</t>
  </si>
  <si>
    <t>赣能股份</t>
  </si>
  <si>
    <t>www.lixinger.com/analytics/company/sz/000899/899/detail</t>
  </si>
  <si>
    <t>昊海生科</t>
  </si>
  <si>
    <t>www.lixinger.com/analytics/company/sh/688366/688366/detail</t>
  </si>
  <si>
    <t>百洋股份</t>
  </si>
  <si>
    <t>www.lixinger.com/analytics/company/sz/002696/2696/detail</t>
  </si>
  <si>
    <t>新华制药</t>
  </si>
  <si>
    <t>www.lixinger.com/analytics/company/sz/000756/756/detail</t>
  </si>
  <si>
    <t>众合科技</t>
  </si>
  <si>
    <t>www.lixinger.com/analytics/company/sz/000925/925/detail</t>
  </si>
  <si>
    <t>福达股份</t>
  </si>
  <si>
    <t>www.lixinger.com/analytics/company/sh/603166/603166/detail</t>
  </si>
  <si>
    <t>当升科技</t>
  </si>
  <si>
    <t>www.lixinger.com/analytics/company/sz/300073/300073/detail</t>
  </si>
  <si>
    <t>科华控股</t>
  </si>
  <si>
    <t>www.lixinger.com/analytics/company/sh/603161/603161/detail</t>
  </si>
  <si>
    <t>同济科技</t>
  </si>
  <si>
    <t>www.lixinger.com/analytics/company/sh/600846/600846/detail</t>
  </si>
  <si>
    <t>绿盟科技</t>
  </si>
  <si>
    <t>www.lixinger.com/analytics/company/sz/300369/300369/detail</t>
  </si>
  <si>
    <t>永兴材料</t>
  </si>
  <si>
    <t>www.lixinger.com/analytics/company/sz/002756/2756/detail</t>
  </si>
  <si>
    <t>华昌化工</t>
  </si>
  <si>
    <t>www.lixinger.com/analytics/company/sz/002274/2274/detail</t>
  </si>
  <si>
    <t>远大控股</t>
  </si>
  <si>
    <t>www.lixinger.com/analytics/company/sz/000626/626/detail</t>
  </si>
  <si>
    <t>再升科技</t>
  </si>
  <si>
    <t>www.lixinger.com/analytics/company/sh/603601/603601/detail</t>
  </si>
  <si>
    <t>通裕重工</t>
  </si>
  <si>
    <t>www.lixinger.com/analytics/company/sz/300185/300185/detail</t>
  </si>
  <si>
    <t>志邦家居</t>
  </si>
  <si>
    <t>www.lixinger.com/analytics/company/sh/603801/603801/detail</t>
  </si>
  <si>
    <t>科森科技</t>
  </si>
  <si>
    <t>www.lixinger.com/analytics/company/sh/603626/603626/detail</t>
  </si>
  <si>
    <t>良品铺子</t>
  </si>
  <si>
    <t>www.lixinger.com/analytics/company/sh/603719/603719/detail</t>
  </si>
  <si>
    <t>元祖股份</t>
  </si>
  <si>
    <t>www.lixinger.com/analytics/company/sh/603886/603886/detail</t>
  </si>
  <si>
    <t>共创草坪</t>
  </si>
  <si>
    <t>www.lixinger.com/analytics/company/sh/605099/605099/detail</t>
  </si>
  <si>
    <t>台华新材</t>
  </si>
  <si>
    <t>www.lixinger.com/analytics/company/sh/603055/603055/detail</t>
  </si>
  <si>
    <t>晶晨股份</t>
  </si>
  <si>
    <t>www.lixinger.com/analytics/company/sh/688099/688099/detail</t>
  </si>
  <si>
    <t>润邦股份</t>
  </si>
  <si>
    <t>www.lixinger.com/analytics/company/sz/002483/2483/detail</t>
  </si>
  <si>
    <t>退市工新</t>
  </si>
  <si>
    <t>www.lixinger.com/analytics/company/sh/600701/600701/detail</t>
  </si>
  <si>
    <t>国城矿业</t>
  </si>
  <si>
    <t>www.lixinger.com/analytics/company/sz/000688/688/detail</t>
  </si>
  <si>
    <t>新北洋</t>
  </si>
  <si>
    <t>www.lixinger.com/analytics/company/sz/002376/2376/detail</t>
  </si>
  <si>
    <t>东方国信</t>
  </si>
  <si>
    <t>www.lixinger.com/analytics/company/sz/300166/300166/detail</t>
  </si>
  <si>
    <t>友好集团</t>
  </si>
  <si>
    <t>www.lixinger.com/analytics/company/sh/600778/600778/detail</t>
  </si>
  <si>
    <t>中国海诚</t>
  </si>
  <si>
    <t>www.lixinger.com/analytics/company/sz/002116/2116/detail</t>
  </si>
  <si>
    <t>富祥药业</t>
  </si>
  <si>
    <t>www.lixinger.com/analytics/company/sz/300497/300497/detail</t>
  </si>
  <si>
    <t>罗平锌电</t>
  </si>
  <si>
    <t>www.lixinger.com/analytics/company/sz/002114/2114/detail</t>
  </si>
  <si>
    <t>健之佳</t>
  </si>
  <si>
    <t>www.lixinger.com/analytics/company/sh/605266/605266/detail</t>
  </si>
  <si>
    <t>洁美科技</t>
  </si>
  <si>
    <t>www.lixinger.com/analytics/company/sz/002859/2859/detail</t>
  </si>
  <si>
    <t>皇庭B</t>
  </si>
  <si>
    <t>www.lixinger.com/analytics/company/sz/200056/200056/detail</t>
  </si>
  <si>
    <t>太安堂</t>
  </si>
  <si>
    <t>www.lixinger.com/analytics/company/sz/002433/2433/detail</t>
  </si>
  <si>
    <t>新朋股份</t>
  </si>
  <si>
    <t>www.lixinger.com/analytics/company/sz/002328/2328/detail</t>
  </si>
  <si>
    <t>天创时尚</t>
  </si>
  <si>
    <t>鞋帽及其他</t>
  </si>
  <si>
    <t>www.lixinger.com/analytics/company/sh/603608/603608/detail</t>
  </si>
  <si>
    <t>国光电器</t>
  </si>
  <si>
    <t>www.lixinger.com/analytics/company/sz/002045/2045/detail</t>
  </si>
  <si>
    <t>上海凯宝</t>
  </si>
  <si>
    <t>www.lixinger.com/analytics/company/sz/300039/300039/detail</t>
  </si>
  <si>
    <t>比音勒芬</t>
  </si>
  <si>
    <t>www.lixinger.com/analytics/company/sz/002832/2832/detail</t>
  </si>
  <si>
    <t>钱江摩托</t>
  </si>
  <si>
    <t>www.lixinger.com/analytics/company/sz/000913/913/detail</t>
  </si>
  <si>
    <t>京粮B</t>
  </si>
  <si>
    <t>www.lixinger.com/analytics/company/sz/200505/200505/detail</t>
  </si>
  <si>
    <t>保利联合</t>
  </si>
  <si>
    <t>www.lixinger.com/analytics/company/sz/002037/2037/detail</t>
  </si>
  <si>
    <t>雅克科技</t>
  </si>
  <si>
    <t>www.lixinger.com/analytics/company/sz/002409/2409/detail</t>
  </si>
  <si>
    <t>富瑞特装</t>
  </si>
  <si>
    <t>www.lixinger.com/analytics/company/sz/300228/300228/detail</t>
  </si>
  <si>
    <t>小康股份</t>
  </si>
  <si>
    <t>www.lixinger.com/analytics/company/sh/601127/601127/detail</t>
  </si>
  <si>
    <t>良信股份</t>
  </si>
  <si>
    <t>www.lixinger.com/analytics/company/sz/002706/2706/detail</t>
  </si>
  <si>
    <t>东瑞股份</t>
  </si>
  <si>
    <t>www.lixinger.com/analytics/company/sz/001201/1201/detail</t>
  </si>
  <si>
    <t>宁波高发</t>
  </si>
  <si>
    <t>www.lixinger.com/analytics/company/sh/603788/603788/detail</t>
  </si>
  <si>
    <t>一拖股份</t>
  </si>
  <si>
    <t>农用机械</t>
  </si>
  <si>
    <t>www.lixinger.com/analytics/company/sh/601038/601038/detail</t>
  </si>
  <si>
    <t>摩恩电气</t>
  </si>
  <si>
    <t>www.lixinger.com/analytics/company/sz/002451/2451/detail</t>
  </si>
  <si>
    <t>东华科技</t>
  </si>
  <si>
    <t>www.lixinger.com/analytics/company/sz/002140/2140/detail</t>
  </si>
  <si>
    <t>新黄浦</t>
  </si>
  <si>
    <t>www.lixinger.com/analytics/company/sh/600638/600638/detail</t>
  </si>
  <si>
    <t>高德红外</t>
  </si>
  <si>
    <t>www.lixinger.com/analytics/company/sz/002414/2414/detail</t>
  </si>
  <si>
    <t>凌霄泵业</t>
  </si>
  <si>
    <t>www.lixinger.com/analytics/company/sz/002884/2884/detail</t>
  </si>
  <si>
    <t>英科医疗</t>
  </si>
  <si>
    <t>www.lixinger.com/analytics/company/sz/300677/300677/detail</t>
  </si>
  <si>
    <t>兴化股份</t>
  </si>
  <si>
    <t>www.lixinger.com/analytics/company/sz/002109/2109/detail</t>
  </si>
  <si>
    <t>*ST中天</t>
  </si>
  <si>
    <t>www.lixinger.com/analytics/company/sh/600856/600856/detail</t>
  </si>
  <si>
    <t>安宁股份</t>
  </si>
  <si>
    <t>www.lixinger.com/analytics/company/sz/002978/2978/detail</t>
  </si>
  <si>
    <t>七匹狼</t>
  </si>
  <si>
    <t>www.lixinger.com/analytics/company/sz/002029/2029/detail</t>
  </si>
  <si>
    <t>科瑞技术</t>
  </si>
  <si>
    <t>www.lixinger.com/analytics/company/sz/002957/2957/detail</t>
  </si>
  <si>
    <t>航天科技</t>
  </si>
  <si>
    <t>www.lixinger.com/analytics/company/sz/000901/901/detail</t>
  </si>
  <si>
    <t>太极集团</t>
  </si>
  <si>
    <t>www.lixinger.com/analytics/company/sh/600129/600129/detail</t>
  </si>
  <si>
    <t>拓日新能</t>
  </si>
  <si>
    <t>www.lixinger.com/analytics/company/sz/002218/2218/detail</t>
  </si>
  <si>
    <t>诺德股份</t>
  </si>
  <si>
    <t>www.lixinger.com/analytics/company/sh/600110/600110/detail</t>
  </si>
  <si>
    <t>恺英网络</t>
  </si>
  <si>
    <t>www.lixinger.com/analytics/company/sz/002517/2517/detail</t>
  </si>
  <si>
    <t>汇宇制药</t>
  </si>
  <si>
    <t>www.lixinger.com/analytics/company/sh/688553/688553/detail</t>
  </si>
  <si>
    <t>绿茵生态</t>
  </si>
  <si>
    <t>www.lixinger.com/analytics/company/sz/002887/2887/detail</t>
  </si>
  <si>
    <t>汉威科技</t>
  </si>
  <si>
    <t>www.lixinger.com/analytics/company/sz/300007/300007/detail</t>
  </si>
  <si>
    <t>华懋科技</t>
  </si>
  <si>
    <t>www.lixinger.com/analytics/company/sh/603306/603306/detail</t>
  </si>
  <si>
    <t>宇新股份</t>
  </si>
  <si>
    <t>www.lixinger.com/analytics/company/sz/002986/2986/detail</t>
  </si>
  <si>
    <t>悦康药业</t>
  </si>
  <si>
    <t>www.lixinger.com/analytics/company/sh/688658/688658/detail</t>
  </si>
  <si>
    <t>中国船舶</t>
  </si>
  <si>
    <t>www.lixinger.com/analytics/company/sh/600150/600150/detail</t>
  </si>
  <si>
    <t>中航电测</t>
  </si>
  <si>
    <t>www.lixinger.com/analytics/company/sz/300114/300114/detail</t>
  </si>
  <si>
    <t>极米科技</t>
  </si>
  <si>
    <t>www.lixinger.com/analytics/company/sh/688696/688696/detail</t>
  </si>
  <si>
    <t>江山欧派</t>
  </si>
  <si>
    <t>www.lixinger.com/analytics/company/sh/603208/603208/detail</t>
  </si>
  <si>
    <t>泰胜风能</t>
  </si>
  <si>
    <t>www.lixinger.com/analytics/company/sz/300129/300129/detail</t>
  </si>
  <si>
    <t>福龙马</t>
  </si>
  <si>
    <t>www.lixinger.com/analytics/company/sh/603686/603686/detail</t>
  </si>
  <si>
    <t>得润电子</t>
  </si>
  <si>
    <t>www.lixinger.com/analytics/company/sz/002055/2055/detail</t>
  </si>
  <si>
    <t>利群股份</t>
  </si>
  <si>
    <t>www.lixinger.com/analytics/company/sh/601366/601366/detail</t>
  </si>
  <si>
    <t>华旺科技</t>
  </si>
  <si>
    <t>www.lixinger.com/analytics/company/sh/605377/605377/detail</t>
  </si>
  <si>
    <t>嘉美包装</t>
  </si>
  <si>
    <t>www.lixinger.com/analytics/company/sz/002969/2969/detail</t>
  </si>
  <si>
    <t>航天彩虹</t>
  </si>
  <si>
    <t>www.lixinger.com/analytics/company/sz/002389/2389/detail</t>
  </si>
  <si>
    <t>优刻得</t>
  </si>
  <si>
    <t>www.lixinger.com/analytics/company/sh/688158/688158/detail</t>
  </si>
  <si>
    <t>科恒股份</t>
  </si>
  <si>
    <t>www.lixinger.com/analytics/company/sz/300340/300340/detail</t>
  </si>
  <si>
    <t>迪普科技</t>
  </si>
  <si>
    <t>www.lixinger.com/analytics/company/sz/300768/300768/detail</t>
  </si>
  <si>
    <t>东南网架</t>
  </si>
  <si>
    <t>www.lixinger.com/analytics/company/sz/002135/2135/detail</t>
  </si>
  <si>
    <t>哈三联</t>
  </si>
  <si>
    <t>www.lixinger.com/analytics/company/sz/002900/2900/detail</t>
  </si>
  <si>
    <t>宏川智慧</t>
  </si>
  <si>
    <t>www.lixinger.com/analytics/company/sz/002930/2930/detail</t>
  </si>
  <si>
    <t>皖天然气</t>
  </si>
  <si>
    <t>www.lixinger.com/analytics/company/sh/603689/603689/detail</t>
  </si>
  <si>
    <t>恒丰纸业</t>
  </si>
  <si>
    <t>www.lixinger.com/analytics/company/sh/600356/600356/detail</t>
  </si>
  <si>
    <t>达华智能</t>
  </si>
  <si>
    <t>www.lixinger.com/analytics/company/sz/002512/2512/detail</t>
  </si>
  <si>
    <t>退市中新</t>
  </si>
  <si>
    <t>www.lixinger.com/analytics/company/sh/603996/603996/detail</t>
  </si>
  <si>
    <t>吉宏股份</t>
  </si>
  <si>
    <t>www.lixinger.com/analytics/company/sz/002803/2803/detail</t>
  </si>
  <si>
    <t>飞荣达</t>
  </si>
  <si>
    <t>www.lixinger.com/analytics/company/sz/300602/300602/detail</t>
  </si>
  <si>
    <t>惠博普</t>
  </si>
  <si>
    <t>油气及炼化工程</t>
  </si>
  <si>
    <t>www.lixinger.com/analytics/company/sz/002554/2554/detail</t>
  </si>
  <si>
    <t>富春环保</t>
  </si>
  <si>
    <t>www.lixinger.com/analytics/company/sz/002479/2479/detail</t>
  </si>
  <si>
    <t>亚太股份</t>
  </si>
  <si>
    <t>www.lixinger.com/analytics/company/sz/002284/2284/detail</t>
  </si>
  <si>
    <t>新诺威</t>
  </si>
  <si>
    <t>www.lixinger.com/analytics/company/sz/300765/300765/detail</t>
  </si>
  <si>
    <t>六国化工</t>
  </si>
  <si>
    <t>www.lixinger.com/analytics/company/sh/600470/600470/detail</t>
  </si>
  <si>
    <t>南京港</t>
  </si>
  <si>
    <t>www.lixinger.com/analytics/company/sz/002040/2040/detail</t>
  </si>
  <si>
    <t>岭南控股</t>
  </si>
  <si>
    <t>旅游综合</t>
  </si>
  <si>
    <t>www.lixinger.com/analytics/company/sz/000524/524/detail</t>
  </si>
  <si>
    <t>金雷股份</t>
  </si>
  <si>
    <t>www.lixinger.com/analytics/company/sz/300443/300443/detail</t>
  </si>
  <si>
    <t>赞宇科技</t>
  </si>
  <si>
    <t>www.lixinger.com/analytics/company/sz/002637/2637/detail</t>
  </si>
  <si>
    <t>中信出版</t>
  </si>
  <si>
    <t>www.lixinger.com/analytics/company/sz/300788/300788/detail</t>
  </si>
  <si>
    <t>英维克</t>
  </si>
  <si>
    <t>www.lixinger.com/analytics/company/sz/002837/2837/detail</t>
  </si>
  <si>
    <t>金时科技</t>
  </si>
  <si>
    <t>www.lixinger.com/analytics/company/sz/002951/2951/detail</t>
  </si>
  <si>
    <t>大港股份</t>
  </si>
  <si>
    <t>www.lixinger.com/analytics/company/sz/002077/2077/detail</t>
  </si>
  <si>
    <t>天润工业</t>
  </si>
  <si>
    <t>www.lixinger.com/analytics/company/sz/002283/2283/detail</t>
  </si>
  <si>
    <t>汇鸿集团</t>
  </si>
  <si>
    <t>www.lixinger.com/analytics/company/sh/600981/600981/detail</t>
  </si>
  <si>
    <t>双杰电气</t>
  </si>
  <si>
    <t>www.lixinger.com/analytics/company/sz/300444/300444/detail</t>
  </si>
  <si>
    <t>电魂网络</t>
  </si>
  <si>
    <t>www.lixinger.com/analytics/company/sh/603258/603258/detail</t>
  </si>
  <si>
    <t>合兴股份</t>
  </si>
  <si>
    <t>www.lixinger.com/analytics/company/sh/605005/605005/detail</t>
  </si>
  <si>
    <t>盛通股份</t>
  </si>
  <si>
    <t>www.lixinger.com/analytics/company/sz/002599/2599/detail</t>
  </si>
  <si>
    <t>昇兴股份</t>
  </si>
  <si>
    <t>www.lixinger.com/analytics/company/sz/002752/2752/detail</t>
  </si>
  <si>
    <t>铜冠铜箔</t>
  </si>
  <si>
    <t>www.lixinger.com/analytics/company/sz/301217/301217/detail</t>
  </si>
  <si>
    <t>确成股份</t>
  </si>
  <si>
    <t>www.lixinger.com/analytics/company/sh/605183/605183/detail</t>
  </si>
  <si>
    <t>海特高新</t>
  </si>
  <si>
    <t>www.lixinger.com/analytics/company/sz/002023/2023/detail</t>
  </si>
  <si>
    <t>万孚生物</t>
  </si>
  <si>
    <t>www.lixinger.com/analytics/company/sz/300482/300482/detail</t>
  </si>
  <si>
    <t>三雄极光</t>
  </si>
  <si>
    <t>www.lixinger.com/analytics/company/sz/300625/300625/detail</t>
  </si>
  <si>
    <t>爱美客</t>
  </si>
  <si>
    <t>www.lixinger.com/analytics/company/sz/300896/300896/detail</t>
  </si>
  <si>
    <t>华仁药业</t>
  </si>
  <si>
    <t>www.lixinger.com/analytics/company/sz/300110/300110/detail</t>
  </si>
  <si>
    <t>掌阅科技</t>
  </si>
  <si>
    <t>文字媒体</t>
  </si>
  <si>
    <t>www.lixinger.com/analytics/company/sh/603533/603533/detail</t>
  </si>
  <si>
    <t>丽臣实业</t>
  </si>
  <si>
    <t>www.lixinger.com/analytics/company/sz/001218/1218/detail</t>
  </si>
  <si>
    <t>垒知集团</t>
  </si>
  <si>
    <t>www.lixinger.com/analytics/company/sz/002398/2398/detail</t>
  </si>
  <si>
    <t>高盟新材</t>
  </si>
  <si>
    <t>www.lixinger.com/analytics/company/sz/300200/300200/detail</t>
  </si>
  <si>
    <t>博彦科技</t>
  </si>
  <si>
    <t>www.lixinger.com/analytics/company/sz/002649/2649/detail</t>
  </si>
  <si>
    <t>云海金属</t>
  </si>
  <si>
    <t>www.lixinger.com/analytics/company/sz/002182/2182/detail</t>
  </si>
  <si>
    <t>天康生物</t>
  </si>
  <si>
    <t>www.lixinger.com/analytics/company/sz/002100/2100/detail</t>
  </si>
  <si>
    <t>恩华药业</t>
  </si>
  <si>
    <t>www.lixinger.com/analytics/company/sz/002262/2262/detail</t>
  </si>
  <si>
    <t>珠海港</t>
  </si>
  <si>
    <t>www.lixinger.com/analytics/company/sz/000507/507/detail</t>
  </si>
  <si>
    <t>好太太</t>
  </si>
  <si>
    <t>www.lixinger.com/analytics/company/sh/603848/603848/detail</t>
  </si>
  <si>
    <t>华荣股份</t>
  </si>
  <si>
    <t>www.lixinger.com/analytics/company/sh/603855/603855/detail</t>
  </si>
  <si>
    <t>江西长运</t>
  </si>
  <si>
    <t>www.lixinger.com/analytics/company/sh/600561/600561/detail</t>
  </si>
  <si>
    <t>奥海科技</t>
  </si>
  <si>
    <t>www.lixinger.com/analytics/company/sz/002993/2993/detail</t>
  </si>
  <si>
    <t>龙泉股份</t>
  </si>
  <si>
    <t>www.lixinger.com/analytics/company/sz/002671/2671/detail</t>
  </si>
  <si>
    <t>得邦照明</t>
  </si>
  <si>
    <t>www.lixinger.com/analytics/company/sh/603303/603303/detail</t>
  </si>
  <si>
    <t>汉钟精机</t>
  </si>
  <si>
    <t>www.lixinger.com/analytics/company/sz/002158/2158/detail</t>
  </si>
  <si>
    <t>苏州龙杰</t>
  </si>
  <si>
    <t>www.lixinger.com/analytics/company/sh/603332/603332/detail</t>
  </si>
  <si>
    <t>沙钢股份</t>
  </si>
  <si>
    <t>www.lixinger.com/analytics/company/sz/002075/2075/detail</t>
  </si>
  <si>
    <t>云赛智联</t>
  </si>
  <si>
    <t>www.lixinger.com/analytics/company/sh/600602/600602/detail</t>
  </si>
  <si>
    <t>金信诺</t>
  </si>
  <si>
    <t>www.lixinger.com/analytics/company/sz/300252/300252/detail</t>
  </si>
  <si>
    <t>湘佳股份</t>
  </si>
  <si>
    <t>www.lixinger.com/analytics/company/sz/002982/2982/detail</t>
  </si>
  <si>
    <t>东华软件</t>
  </si>
  <si>
    <t>www.lixinger.com/analytics/company/sz/002065/2065/detail</t>
  </si>
  <si>
    <t>长华股份</t>
  </si>
  <si>
    <t>www.lixinger.com/analytics/company/sh/605018/605018/detail</t>
  </si>
  <si>
    <t>华铭智能</t>
  </si>
  <si>
    <t>www.lixinger.com/analytics/company/sz/300462/300462/detail</t>
  </si>
  <si>
    <t>皇庭国际</t>
  </si>
  <si>
    <t>www.lixinger.com/analytics/company/sz/000056/56/detail</t>
  </si>
  <si>
    <t>伊之密</t>
  </si>
  <si>
    <t>www.lixinger.com/analytics/company/sz/300415/300415/detail</t>
  </si>
  <si>
    <t>常山北明</t>
  </si>
  <si>
    <t>www.lixinger.com/analytics/company/sz/000158/158/detail</t>
  </si>
  <si>
    <t>国茂股份</t>
  </si>
  <si>
    <t>www.lixinger.com/analytics/company/sh/603915/603915/detail</t>
  </si>
  <si>
    <t>合康新能</t>
  </si>
  <si>
    <t>www.lixinger.com/analytics/company/sz/300048/300048/detail</t>
  </si>
  <si>
    <t>太原重工</t>
  </si>
  <si>
    <t>www.lixinger.com/analytics/company/sh/600169/600169/detail</t>
  </si>
  <si>
    <t>鲁北化工</t>
  </si>
  <si>
    <t>www.lixinger.com/analytics/company/sh/600727/600727/detail</t>
  </si>
  <si>
    <t>东箭科技</t>
  </si>
  <si>
    <t>www.lixinger.com/analytics/company/sz/300978/300978/detail</t>
  </si>
  <si>
    <t>艾比森</t>
  </si>
  <si>
    <t>www.lixinger.com/analytics/company/sz/300389/300389/detail</t>
  </si>
  <si>
    <t>一鸣食品</t>
  </si>
  <si>
    <t>www.lixinger.com/analytics/company/sh/605179/605179/detail</t>
  </si>
  <si>
    <t>飞利信</t>
  </si>
  <si>
    <t>www.lixinger.com/analytics/company/sz/300287/300287/detail</t>
  </si>
  <si>
    <t>京粮控股</t>
  </si>
  <si>
    <t>www.lixinger.com/analytics/company/sz/000505/505/detail</t>
  </si>
  <si>
    <t>宇瞳光学</t>
  </si>
  <si>
    <t>www.lixinger.com/analytics/company/sz/300790/300790/detail</t>
  </si>
  <si>
    <t>中曼石油</t>
  </si>
  <si>
    <t>www.lixinger.com/analytics/company/sh/603619/603619/detail</t>
  </si>
  <si>
    <t>奥普家居</t>
  </si>
  <si>
    <t>www.lixinger.com/analytics/company/sh/603551/603551/detail</t>
  </si>
  <si>
    <t>福安药业</t>
  </si>
  <si>
    <t>www.lixinger.com/analytics/company/sz/300194/300194/detail</t>
  </si>
  <si>
    <t>安科生物</t>
  </si>
  <si>
    <t>www.lixinger.com/analytics/company/sz/300009/300009/detail</t>
  </si>
  <si>
    <t>理工能科</t>
  </si>
  <si>
    <t>www.lixinger.com/analytics/company/sz/002322/2322/detail</t>
  </si>
  <si>
    <t>中光学</t>
  </si>
  <si>
    <t>www.lixinger.com/analytics/company/sz/002189/2189/detail</t>
  </si>
  <si>
    <t>风范股份</t>
  </si>
  <si>
    <t>www.lixinger.com/analytics/company/sh/601700/601700/detail</t>
  </si>
  <si>
    <t>丽江股份</t>
  </si>
  <si>
    <t>www.lixinger.com/analytics/company/sz/002033/2033/detail</t>
  </si>
  <si>
    <t>嘉事堂</t>
  </si>
  <si>
    <t>www.lixinger.com/analytics/company/sz/002462/2462/detail</t>
  </si>
  <si>
    <t>芒果超媒</t>
  </si>
  <si>
    <t>视频媒体</t>
  </si>
  <si>
    <t>www.lixinger.com/analytics/company/sz/300413/300413/detail</t>
  </si>
  <si>
    <t>金石资源</t>
  </si>
  <si>
    <t>www.lixinger.com/analytics/company/sh/603505/603505/detail</t>
  </si>
  <si>
    <t>天健集团</t>
  </si>
  <si>
    <t>www.lixinger.com/analytics/company/sz/000090/90/detail</t>
  </si>
  <si>
    <t>三特索道</t>
  </si>
  <si>
    <t>www.lixinger.com/analytics/company/sz/002159/2159/detail</t>
  </si>
  <si>
    <t>ST大洲</t>
  </si>
  <si>
    <t>www.lixinger.com/analytics/company/sz/000571/571/detail</t>
  </si>
  <si>
    <t>捷荣技术</t>
  </si>
  <si>
    <t>www.lixinger.com/analytics/company/sz/002855/2855/detail</t>
  </si>
  <si>
    <t>设研院</t>
  </si>
  <si>
    <t>www.lixinger.com/analytics/company/sz/300732/300732/detail</t>
  </si>
  <si>
    <t>妙可蓝多</t>
  </si>
  <si>
    <t>www.lixinger.com/analytics/company/sh/600882/600882/detail</t>
  </si>
  <si>
    <t>亚光科技</t>
  </si>
  <si>
    <t>www.lixinger.com/analytics/company/sz/300123/300123/detail</t>
  </si>
  <si>
    <t>浔兴股份</t>
  </si>
  <si>
    <t>www.lixinger.com/analytics/company/sz/002098/2098/detail</t>
  </si>
  <si>
    <t>王力安防</t>
  </si>
  <si>
    <t>www.lixinger.com/analytics/company/sh/605268/605268/detail</t>
  </si>
  <si>
    <t>迪瑞医疗</t>
  </si>
  <si>
    <t>www.lixinger.com/analytics/company/sz/300396/300396/detail</t>
  </si>
  <si>
    <t>湖北广电</t>
  </si>
  <si>
    <t>www.lixinger.com/analytics/company/sz/000665/665/detail</t>
  </si>
  <si>
    <t>泰和新材</t>
  </si>
  <si>
    <t>www.lixinger.com/analytics/company/sz/002254/2254/detail</t>
  </si>
  <si>
    <t>神州信息</t>
  </si>
  <si>
    <t>www.lixinger.com/analytics/company/sz/000555/555/detail</t>
  </si>
  <si>
    <t>富临精工</t>
  </si>
  <si>
    <t>www.lixinger.com/analytics/company/sz/300432/300432/detail</t>
  </si>
  <si>
    <t>德方纳米</t>
  </si>
  <si>
    <t>www.lixinger.com/analytics/company/sz/300769/300769/detail</t>
  </si>
  <si>
    <t>司尔特</t>
  </si>
  <si>
    <t>www.lixinger.com/analytics/company/sz/002538/2538/detail</t>
  </si>
  <si>
    <t>川恒股份</t>
  </si>
  <si>
    <t>www.lixinger.com/analytics/company/sz/002895/2895/detail</t>
  </si>
  <si>
    <t>恒林股份</t>
  </si>
  <si>
    <t>www.lixinger.com/analytics/company/sh/603661/603661/detail</t>
  </si>
  <si>
    <t>雅化集团</t>
  </si>
  <si>
    <t>www.lixinger.com/analytics/company/sz/002497/2497/detail</t>
  </si>
  <si>
    <t>杭州热电</t>
  </si>
  <si>
    <t>www.lixinger.com/analytics/company/sh/605011/605011/detail</t>
  </si>
  <si>
    <t>泉峰汽车</t>
  </si>
  <si>
    <t>www.lixinger.com/analytics/company/sh/603982/603982/detail</t>
  </si>
  <si>
    <t>精华制药</t>
  </si>
  <si>
    <t>www.lixinger.com/analytics/company/sz/002349/2349/detail</t>
  </si>
  <si>
    <t>醋化股份</t>
  </si>
  <si>
    <t>www.lixinger.com/analytics/company/sh/603968/603968/detail</t>
  </si>
  <si>
    <t>洪通燃气</t>
  </si>
  <si>
    <t>www.lixinger.com/analytics/company/sh/605169/605169/detail</t>
  </si>
  <si>
    <t>ST奇信</t>
  </si>
  <si>
    <t>www.lixinger.com/analytics/company/sz/002781/2781/detail</t>
  </si>
  <si>
    <t>宁波港</t>
  </si>
  <si>
    <t>www.lixinger.com/analytics/company/sh/601018/601018/detail</t>
  </si>
  <si>
    <t>天正电气</t>
  </si>
  <si>
    <t>www.lixinger.com/analytics/company/sh/605066/605066/detail</t>
  </si>
  <si>
    <t>紫天科技</t>
  </si>
  <si>
    <t>www.lixinger.com/analytics/company/sz/300280/300280/detail</t>
  </si>
  <si>
    <t>卓然股份</t>
  </si>
  <si>
    <t>www.lixinger.com/analytics/company/sh/688121/688121/detail</t>
  </si>
  <si>
    <t>江苏雷利</t>
  </si>
  <si>
    <t>www.lixinger.com/analytics/company/sz/300660/300660/detail</t>
  </si>
  <si>
    <t>创元科技</t>
  </si>
  <si>
    <t>www.lixinger.com/analytics/company/sz/000551/551/detail</t>
  </si>
  <si>
    <t>金河生物</t>
  </si>
  <si>
    <t>www.lixinger.com/analytics/company/sz/002688/2688/detail</t>
  </si>
  <si>
    <t>华贸物流</t>
  </si>
  <si>
    <t>www.lixinger.com/analytics/company/sh/603128/603128/detail</t>
  </si>
  <si>
    <t>天喻信息</t>
  </si>
  <si>
    <t>www.lixinger.com/analytics/company/sz/300205/300205/detail</t>
  </si>
  <si>
    <t>齐峰新材</t>
  </si>
  <si>
    <t>www.lixinger.com/analytics/company/sz/002521/2521/detail</t>
  </si>
  <si>
    <t>南都电源</t>
  </si>
  <si>
    <t>www.lixinger.com/analytics/company/sz/300068/300068/detail</t>
  </si>
  <si>
    <t>乐山电力</t>
  </si>
  <si>
    <t>www.lixinger.com/analytics/company/sh/600644/600644/detail</t>
  </si>
  <si>
    <t>凯龙股份</t>
  </si>
  <si>
    <t>www.lixinger.com/analytics/company/sz/002783/2783/detail</t>
  </si>
  <si>
    <t>华康股份</t>
  </si>
  <si>
    <t>www.lixinger.com/analytics/company/sh/605077/605077/detail</t>
  </si>
  <si>
    <t>东方精工</t>
  </si>
  <si>
    <t>印刷包装机械</t>
  </si>
  <si>
    <t>www.lixinger.com/analytics/company/sz/002611/2611/detail</t>
  </si>
  <si>
    <t>奥飞娱乐</t>
  </si>
  <si>
    <t>www.lixinger.com/analytics/company/sz/002292/2292/detail</t>
  </si>
  <si>
    <t>一品红</t>
  </si>
  <si>
    <t>www.lixinger.com/analytics/company/sz/300723/300723/detail</t>
  </si>
  <si>
    <t>海尔生物</t>
  </si>
  <si>
    <t>www.lixinger.com/analytics/company/sh/688139/688139/detail</t>
  </si>
  <si>
    <t>天药股份</t>
  </si>
  <si>
    <t>www.lixinger.com/analytics/company/sh/600488/600488/detail</t>
  </si>
  <si>
    <t>通达股份</t>
  </si>
  <si>
    <t>www.lixinger.com/analytics/company/sz/002560/2560/detail</t>
  </si>
  <si>
    <t>南大光电</t>
  </si>
  <si>
    <t>www.lixinger.com/analytics/company/sz/300346/300346/detail</t>
  </si>
  <si>
    <t>雪天盐业</t>
  </si>
  <si>
    <t>www.lixinger.com/analytics/company/sh/600929/600929/detail</t>
  </si>
  <si>
    <t>康冠科技</t>
  </si>
  <si>
    <t>www.lixinger.com/analytics/company/sz/001308/1308/detail</t>
  </si>
  <si>
    <t>海得控制</t>
  </si>
  <si>
    <t>www.lixinger.com/analytics/company/sz/002184/2184/detail</t>
  </si>
  <si>
    <t>黄河旋风</t>
  </si>
  <si>
    <t>www.lixinger.com/analytics/company/sh/600172/600172/detail</t>
  </si>
  <si>
    <t>顺网科技</t>
  </si>
  <si>
    <t>www.lixinger.com/analytics/company/sz/300113/300113/detail</t>
  </si>
  <si>
    <t>藏格矿业</t>
  </si>
  <si>
    <t>www.lixinger.com/analytics/company/sz/000408/408/detail</t>
  </si>
  <si>
    <t>奥佳华</t>
  </si>
  <si>
    <t>www.lixinger.com/analytics/company/sz/002614/2614/detail</t>
  </si>
  <si>
    <t>红旗连锁</t>
  </si>
  <si>
    <t>www.lixinger.com/analytics/company/sz/002697/2697/detail</t>
  </si>
  <si>
    <t>城市传媒</t>
  </si>
  <si>
    <t>www.lixinger.com/analytics/company/sh/600229/600229/detail</t>
  </si>
  <si>
    <t>欧普康视</t>
  </si>
  <si>
    <t>www.lixinger.com/analytics/company/sz/300595/300595/detail</t>
  </si>
  <si>
    <t>铭普光磁</t>
  </si>
  <si>
    <t>www.lixinger.com/analytics/company/sz/002902/2902/detail</t>
  </si>
  <si>
    <t>华兰疫苗</t>
  </si>
  <si>
    <t>www.lixinger.com/analytics/company/sz/301207/301207/detail</t>
  </si>
  <si>
    <t>金刚玻璃</t>
  </si>
  <si>
    <t>www.lixinger.com/analytics/company/sz/300093/300093/detail</t>
  </si>
  <si>
    <t>双良节能</t>
  </si>
  <si>
    <t>www.lixinger.com/analytics/company/sh/600481/600481/detail</t>
  </si>
  <si>
    <t>南岭民爆</t>
  </si>
  <si>
    <t>www.lixinger.com/analytics/company/sz/002096/2096/detail</t>
  </si>
  <si>
    <t>楚天科技</t>
  </si>
  <si>
    <t>www.lixinger.com/analytics/company/sz/300358/300358/detail</t>
  </si>
  <si>
    <t>会稽山</t>
  </si>
  <si>
    <t>www.lixinger.com/analytics/company/sh/601579/601579/detail</t>
  </si>
  <si>
    <t>卓翼科技</t>
  </si>
  <si>
    <t>www.lixinger.com/analytics/company/sz/002369/2369/detail</t>
  </si>
  <si>
    <t>世嘉科技</t>
  </si>
  <si>
    <t>www.lixinger.com/analytics/company/sz/002796/2796/detail</t>
  </si>
  <si>
    <t>双箭股份</t>
  </si>
  <si>
    <t>其他橡胶制品</t>
  </si>
  <si>
    <t>www.lixinger.com/analytics/company/sz/002381/2381/detail</t>
  </si>
  <si>
    <t>奥美医疗</t>
  </si>
  <si>
    <t>www.lixinger.com/analytics/company/sz/002950/2950/detail</t>
  </si>
  <si>
    <t>万泰生物</t>
  </si>
  <si>
    <t>www.lixinger.com/analytics/company/sh/603392/603392/detail</t>
  </si>
  <si>
    <t>金盘科技</t>
  </si>
  <si>
    <t>www.lixinger.com/analytics/company/sh/688676/688676/detail</t>
  </si>
  <si>
    <t>台海核电</t>
  </si>
  <si>
    <t>www.lixinger.com/analytics/company/sz/002366/2366/detail</t>
  </si>
  <si>
    <t>九鼎投资</t>
  </si>
  <si>
    <t>资产管理</t>
  </si>
  <si>
    <t>www.lixinger.com/analytics/company/sh/600053/600053/detail</t>
  </si>
  <si>
    <t>东兴证券</t>
  </si>
  <si>
    <t>www.lixinger.com/analytics/company/sh/601198/601198/detail</t>
  </si>
  <si>
    <t>南兴股份</t>
  </si>
  <si>
    <t>www.lixinger.com/analytics/company/sz/002757/2757/detail</t>
  </si>
  <si>
    <t>大族数控</t>
  </si>
  <si>
    <t>www.lixinger.com/analytics/company/sz/301200/301200/detail</t>
  </si>
  <si>
    <t>润欣科技</t>
  </si>
  <si>
    <t>www.lixinger.com/analytics/company/sz/300493/300493/detail</t>
  </si>
  <si>
    <t>复旦张江</t>
  </si>
  <si>
    <t>www.lixinger.com/analytics/company/sh/688505/688505/detail</t>
  </si>
  <si>
    <t>新时达</t>
  </si>
  <si>
    <t>www.lixinger.com/analytics/company/sz/002527/2527/detail</t>
  </si>
  <si>
    <t>常铝股份</t>
  </si>
  <si>
    <t>www.lixinger.com/analytics/company/sz/002160/2160/detail</t>
  </si>
  <si>
    <t>信隆健康</t>
  </si>
  <si>
    <t>www.lixinger.com/analytics/company/sz/002105/2105/detail</t>
  </si>
  <si>
    <t>乾照光电</t>
  </si>
  <si>
    <t>www.lixinger.com/analytics/company/sz/300102/300102/detail</t>
  </si>
  <si>
    <t>帝欧家居</t>
  </si>
  <si>
    <t>www.lixinger.com/analytics/company/sz/002798/2798/detail</t>
  </si>
  <si>
    <t>积成电子</t>
  </si>
  <si>
    <t>www.lixinger.com/analytics/company/sz/002339/2339/detail</t>
  </si>
  <si>
    <t>八方股份</t>
  </si>
  <si>
    <t>www.lixinger.com/analytics/company/sh/603489/603489/detail</t>
  </si>
  <si>
    <t>鑫科材料</t>
  </si>
  <si>
    <t>www.lixinger.com/analytics/company/sh/600255/600255/detail</t>
  </si>
  <si>
    <t>力生制药</t>
  </si>
  <si>
    <t>www.lixinger.com/analytics/company/sz/002393/2393/detail</t>
  </si>
  <si>
    <t>新乡化纤</t>
  </si>
  <si>
    <t>www.lixinger.com/analytics/company/sz/000949/949/detail</t>
  </si>
  <si>
    <t>鲁阳节能</t>
  </si>
  <si>
    <t>www.lixinger.com/analytics/company/sz/002088/2088/detail</t>
  </si>
  <si>
    <t>松霖科技</t>
  </si>
  <si>
    <t>www.lixinger.com/analytics/company/sh/603992/603992/detail</t>
  </si>
  <si>
    <t>英洛华</t>
  </si>
  <si>
    <t>www.lixinger.com/analytics/company/sz/000795/795/detail</t>
  </si>
  <si>
    <t>大唐电信</t>
  </si>
  <si>
    <t>www.lixinger.com/analytics/company/sh/600198/600198/detail</t>
  </si>
  <si>
    <t>佳电股份</t>
  </si>
  <si>
    <t>www.lixinger.com/analytics/company/sz/000922/922/detail</t>
  </si>
  <si>
    <t>光迅科技</t>
  </si>
  <si>
    <t>www.lixinger.com/analytics/company/sz/002281/2281/detail</t>
  </si>
  <si>
    <t>海力风电</t>
  </si>
  <si>
    <t>www.lixinger.com/analytics/company/sz/301155/301155/detail</t>
  </si>
  <si>
    <t>紫光国微</t>
  </si>
  <si>
    <t>www.lixinger.com/analytics/company/sz/002049/2049/detail</t>
  </si>
  <si>
    <t>中持股份</t>
  </si>
  <si>
    <t>www.lixinger.com/analytics/company/sh/603903/603903/detail</t>
  </si>
  <si>
    <t>锦和商业</t>
  </si>
  <si>
    <t>www.lixinger.com/analytics/company/sh/603682/603682/detail</t>
  </si>
  <si>
    <t>航天电器</t>
  </si>
  <si>
    <t>www.lixinger.com/analytics/company/sz/002025/2025/detail</t>
  </si>
  <si>
    <t>汇洁股份</t>
  </si>
  <si>
    <t>www.lixinger.com/analytics/company/sz/002763/2763/detail</t>
  </si>
  <si>
    <t>力源信息</t>
  </si>
  <si>
    <t>www.lixinger.com/analytics/company/sz/300184/300184/detail</t>
  </si>
  <si>
    <t>天山铝业</t>
  </si>
  <si>
    <t>www.lixinger.com/analytics/company/sz/002532/2532/detail</t>
  </si>
  <si>
    <t>中新赛克</t>
  </si>
  <si>
    <t>www.lixinger.com/analytics/company/sz/002912/2912/detail</t>
  </si>
  <si>
    <t>达瑞电子</t>
  </si>
  <si>
    <t>www.lixinger.com/analytics/company/sz/300976/300976/detail</t>
  </si>
  <si>
    <t>立高食品</t>
  </si>
  <si>
    <t>www.lixinger.com/analytics/company/sz/300973/300973/detail</t>
  </si>
  <si>
    <t>金麒麟</t>
  </si>
  <si>
    <t>www.lixinger.com/analytics/company/sh/603586/603586/detail</t>
  </si>
  <si>
    <t>生益电子</t>
  </si>
  <si>
    <t>www.lixinger.com/analytics/company/sh/688183/688183/detail</t>
  </si>
  <si>
    <t>康辰药业</t>
  </si>
  <si>
    <t>www.lixinger.com/analytics/company/sh/603590/603590/detail</t>
  </si>
  <si>
    <t>保变电气</t>
  </si>
  <si>
    <t>www.lixinger.com/analytics/company/sh/600550/600550/detail</t>
  </si>
  <si>
    <t>科沃斯</t>
  </si>
  <si>
    <t>www.lixinger.com/analytics/company/sh/603486/603486/detail</t>
  </si>
  <si>
    <t>盐田港</t>
  </si>
  <si>
    <t>www.lixinger.com/analytics/company/sz/000088/88/detail</t>
  </si>
  <si>
    <t>振华科技</t>
  </si>
  <si>
    <t>www.lixinger.com/analytics/company/sz/000733/733/detail</t>
  </si>
  <si>
    <t>航天电子</t>
  </si>
  <si>
    <t>www.lixinger.com/analytics/company/sh/600879/600879/detail</t>
  </si>
  <si>
    <t>幸福蓝海</t>
  </si>
  <si>
    <t>www.lixinger.com/analytics/company/sz/300528/300528/detail</t>
  </si>
  <si>
    <t>ST新城</t>
  </si>
  <si>
    <t>www.lixinger.com/analytics/company/sz/000809/809/detail</t>
  </si>
  <si>
    <t>隆华科技</t>
  </si>
  <si>
    <t>www.lixinger.com/analytics/company/sz/300263/300263/detail</t>
  </si>
  <si>
    <t>九牧王</t>
  </si>
  <si>
    <t>www.lixinger.com/analytics/company/sh/601566/601566/detail</t>
  </si>
  <si>
    <t>森林包装</t>
  </si>
  <si>
    <t>www.lixinger.com/analytics/company/sh/605500/605500/detail</t>
  </si>
  <si>
    <t>汇通能源</t>
  </si>
  <si>
    <t>www.lixinger.com/analytics/company/sh/600605/600605/detail</t>
  </si>
  <si>
    <t>力合科技</t>
  </si>
  <si>
    <t>www.lixinger.com/analytics/company/sz/300800/300800/detail</t>
  </si>
  <si>
    <t>三力士</t>
  </si>
  <si>
    <t>www.lixinger.com/analytics/company/sz/002224/2224/detail</t>
  </si>
  <si>
    <t>新智认知</t>
  </si>
  <si>
    <t>www.lixinger.com/analytics/company/sh/603869/603869/detail</t>
  </si>
  <si>
    <t>康德莱</t>
  </si>
  <si>
    <t>www.lixinger.com/analytics/company/sh/603987/603987/detail</t>
  </si>
  <si>
    <t>立霸股份</t>
  </si>
  <si>
    <t>www.lixinger.com/analytics/company/sh/603519/603519/detail</t>
  </si>
  <si>
    <t>红宝丽</t>
  </si>
  <si>
    <t>www.lixinger.com/analytics/company/sz/002165/2165/detail</t>
  </si>
  <si>
    <t>福瑞股份</t>
  </si>
  <si>
    <t>www.lixinger.com/analytics/company/sz/300049/300049/detail</t>
  </si>
  <si>
    <t>中船科技</t>
  </si>
  <si>
    <t>www.lixinger.com/analytics/company/sh/600072/600072/detail</t>
  </si>
  <si>
    <t>远东传动</t>
  </si>
  <si>
    <t>www.lixinger.com/analytics/company/sz/002406/2406/detail</t>
  </si>
  <si>
    <t>长源东谷</t>
  </si>
  <si>
    <t>www.lixinger.com/analytics/company/sh/603950/603950/detail</t>
  </si>
  <si>
    <t>凯利泰</t>
  </si>
  <si>
    <t>www.lixinger.com/analytics/company/sz/300326/300326/detail</t>
  </si>
  <si>
    <t>蓝丰生化</t>
  </si>
  <si>
    <t>www.lixinger.com/analytics/company/sz/002513/2513/detail</t>
  </si>
  <si>
    <t>中旗股份</t>
  </si>
  <si>
    <t>www.lixinger.com/analytics/company/sz/300575/300575/detail</t>
  </si>
  <si>
    <t>海洋王</t>
  </si>
  <si>
    <t>www.lixinger.com/analytics/company/sz/002724/2724/detail</t>
  </si>
  <si>
    <t>凯中精密</t>
  </si>
  <si>
    <t>www.lixinger.com/analytics/company/sz/002823/2823/detail</t>
  </si>
  <si>
    <t>雪迪龙</t>
  </si>
  <si>
    <t>www.lixinger.com/analytics/company/sz/002658/2658/detail</t>
  </si>
  <si>
    <t>中信博</t>
  </si>
  <si>
    <t>www.lixinger.com/analytics/company/sh/688408/688408/detail</t>
  </si>
  <si>
    <t>风语筑</t>
  </si>
  <si>
    <t>其他数字媒体</t>
  </si>
  <si>
    <t>www.lixinger.com/analytics/company/sh/603466/603466/detail</t>
  </si>
  <si>
    <t>富临运业</t>
  </si>
  <si>
    <t>www.lixinger.com/analytics/company/sz/002357/2357/detail</t>
  </si>
  <si>
    <t>南微医学</t>
  </si>
  <si>
    <t>www.lixinger.com/analytics/company/sh/688029/688029/detail</t>
  </si>
  <si>
    <t>金房节能</t>
  </si>
  <si>
    <t>www.lixinger.com/analytics/company/sz/001210/1210/detail</t>
  </si>
  <si>
    <t>杰克股份</t>
  </si>
  <si>
    <t>纺织服装设备</t>
  </si>
  <si>
    <t>www.lixinger.com/analytics/company/sh/603337/603337/detail</t>
  </si>
  <si>
    <t>九号公司</t>
  </si>
  <si>
    <t>www.lixinger.com/analytics/company/sh/689009/689009/detail</t>
  </si>
  <si>
    <t>众生药业</t>
  </si>
  <si>
    <t>www.lixinger.com/analytics/company/sz/002317/2317/detail</t>
  </si>
  <si>
    <t>中材国际</t>
  </si>
  <si>
    <t>www.lixinger.com/analytics/company/sh/600970/600970/detail</t>
  </si>
  <si>
    <t>航天长峰</t>
  </si>
  <si>
    <t>www.lixinger.com/analytics/company/sh/600855/600855/detail</t>
  </si>
  <si>
    <t>佳沃食品</t>
  </si>
  <si>
    <t>www.lixinger.com/analytics/company/sz/300268/300268/detail</t>
  </si>
  <si>
    <t>中矿资源</t>
  </si>
  <si>
    <t>www.lixinger.com/analytics/company/sz/002738/2738/detail</t>
  </si>
  <si>
    <t>大元泵业</t>
  </si>
  <si>
    <t>www.lixinger.com/analytics/company/sh/603757/603757/detail</t>
  </si>
  <si>
    <t>雄韬股份</t>
  </si>
  <si>
    <t>www.lixinger.com/analytics/company/sz/002733/2733/detail</t>
  </si>
  <si>
    <t>科华生物</t>
  </si>
  <si>
    <t>www.lixinger.com/analytics/company/sz/002022/2022/detail</t>
  </si>
  <si>
    <t>同庆楼</t>
  </si>
  <si>
    <t>餐饮</t>
  </si>
  <si>
    <t>www.lixinger.com/analytics/company/sh/605108/605108/detail</t>
  </si>
  <si>
    <t>学大教育</t>
  </si>
  <si>
    <t>www.lixinger.com/analytics/company/sz/000526/526/detail</t>
  </si>
  <si>
    <t>SST佳通</t>
  </si>
  <si>
    <t>www.lixinger.com/analytics/company/sh/600182/600182/detail</t>
  </si>
  <si>
    <t>龙蟠科技</t>
  </si>
  <si>
    <t>www.lixinger.com/analytics/company/sh/603906/603906/detail</t>
  </si>
  <si>
    <t>智光电气</t>
  </si>
  <si>
    <t>www.lixinger.com/analytics/company/sz/002169/2169/detail</t>
  </si>
  <si>
    <t>亚联发展</t>
  </si>
  <si>
    <t>www.lixinger.com/analytics/company/sz/002316/2316/detail</t>
  </si>
  <si>
    <t>亚威股份</t>
  </si>
  <si>
    <t>www.lixinger.com/analytics/company/sz/002559/2559/detail</t>
  </si>
  <si>
    <t>司太立</t>
  </si>
  <si>
    <t>www.lixinger.com/analytics/company/sh/603520/603520/detail</t>
  </si>
  <si>
    <t>润达医疗</t>
  </si>
  <si>
    <t>www.lixinger.com/analytics/company/sh/603108/603108/detail</t>
  </si>
  <si>
    <t>金鹰重工</t>
  </si>
  <si>
    <t>www.lixinger.com/analytics/company/sz/301048/301048/detail</t>
  </si>
  <si>
    <t>松芝股份</t>
  </si>
  <si>
    <t>www.lixinger.com/analytics/company/sz/002454/2454/detail</t>
  </si>
  <si>
    <t>华软科技</t>
  </si>
  <si>
    <t>www.lixinger.com/analytics/company/sz/002453/2453/detail</t>
  </si>
  <si>
    <t>新天科技</t>
  </si>
  <si>
    <t>www.lixinger.com/analytics/company/sz/300259/300259/detail</t>
  </si>
  <si>
    <t>中京电子</t>
  </si>
  <si>
    <t>www.lixinger.com/analytics/company/sz/002579/2579/detail</t>
  </si>
  <si>
    <t>三星新材</t>
  </si>
  <si>
    <t>www.lixinger.com/analytics/company/sh/603578/603578/detail</t>
  </si>
  <si>
    <t>*ST信威</t>
  </si>
  <si>
    <t>www.lixinger.com/analytics/company/sh/600485/600485/detail</t>
  </si>
  <si>
    <t>科德教育</t>
  </si>
  <si>
    <t>www.lixinger.com/analytics/company/sz/300192/300192/detail</t>
  </si>
  <si>
    <t>爱慕股份</t>
  </si>
  <si>
    <t>www.lixinger.com/analytics/company/sh/603511/603511/detail</t>
  </si>
  <si>
    <t>华特达因</t>
  </si>
  <si>
    <t>www.lixinger.com/analytics/company/sz/000915/915/detail</t>
  </si>
  <si>
    <t>帅丰电器</t>
  </si>
  <si>
    <t>www.lixinger.com/analytics/company/sh/605336/605336/detail</t>
  </si>
  <si>
    <t>中铁装配</t>
  </si>
  <si>
    <t>www.lixinger.com/analytics/company/sz/300374/300374/detail</t>
  </si>
  <si>
    <t>东方创业</t>
  </si>
  <si>
    <t>www.lixinger.com/analytics/company/sh/600278/600278/detail</t>
  </si>
  <si>
    <t>光峰科技</t>
  </si>
  <si>
    <t>www.lixinger.com/analytics/company/sh/688007/688007/detail</t>
  </si>
  <si>
    <t>雄塑科技</t>
  </si>
  <si>
    <t>www.lixinger.com/analytics/company/sz/300599/300599/detail</t>
  </si>
  <si>
    <t>今飞凯达</t>
  </si>
  <si>
    <t>www.lixinger.com/analytics/company/sz/002863/2863/detail</t>
  </si>
  <si>
    <t>中源协和</t>
  </si>
  <si>
    <t>www.lixinger.com/analytics/company/sh/600645/600645/detail</t>
  </si>
  <si>
    <t>宜通世纪</t>
  </si>
  <si>
    <t>www.lixinger.com/analytics/company/sz/300310/300310/detail</t>
  </si>
  <si>
    <t>珠海中富</t>
  </si>
  <si>
    <t>www.lixinger.com/analytics/company/sz/000659/659/detail</t>
  </si>
  <si>
    <t>全筑股份</t>
  </si>
  <si>
    <t>www.lixinger.com/analytics/company/sh/603030/603030/detail</t>
  </si>
  <si>
    <t>烽火电子</t>
  </si>
  <si>
    <t>www.lixinger.com/analytics/company/sz/000561/561/detail</t>
  </si>
  <si>
    <t>铁流股份</t>
  </si>
  <si>
    <t>www.lixinger.com/analytics/company/sh/603926/603926/detail</t>
  </si>
  <si>
    <t>顾地科技</t>
  </si>
  <si>
    <t>www.lixinger.com/analytics/company/sz/002694/2694/detail</t>
  </si>
  <si>
    <t>麦捷科技</t>
  </si>
  <si>
    <t>www.lixinger.com/analytics/company/sz/300319/300319/detail</t>
  </si>
  <si>
    <t>百傲化学</t>
  </si>
  <si>
    <t>www.lixinger.com/analytics/company/sh/603360/603360/detail</t>
  </si>
  <si>
    <t>柏楚电子</t>
  </si>
  <si>
    <t>www.lixinger.com/analytics/company/sh/688188/688188/detail</t>
  </si>
  <si>
    <t>永安药业</t>
  </si>
  <si>
    <t>www.lixinger.com/analytics/company/sz/002365/2365/detail</t>
  </si>
  <si>
    <t>美吉姆</t>
  </si>
  <si>
    <t>www.lixinger.com/analytics/company/sz/002621/2621/detail</t>
  </si>
  <si>
    <t>东材科技</t>
  </si>
  <si>
    <t>www.lixinger.com/analytics/company/sh/601208/601208/detail</t>
  </si>
  <si>
    <t>天润乳业</t>
  </si>
  <si>
    <t>www.lixinger.com/analytics/company/sh/600419/600419/detail</t>
  </si>
  <si>
    <t>红相股份</t>
  </si>
  <si>
    <t>www.lixinger.com/analytics/company/sz/300427/300427/detail</t>
  </si>
  <si>
    <t>德尔股份</t>
  </si>
  <si>
    <t>www.lixinger.com/analytics/company/sz/300473/300473/detail</t>
  </si>
  <si>
    <t>广日股份</t>
  </si>
  <si>
    <t>www.lixinger.com/analytics/company/sh/600894/600894/detail</t>
  </si>
  <si>
    <t>鼎捷软件</t>
  </si>
  <si>
    <t>www.lixinger.com/analytics/company/sz/300378/300378/detail</t>
  </si>
  <si>
    <t>新经典</t>
  </si>
  <si>
    <t>www.lixinger.com/analytics/company/sh/603096/603096/detail</t>
  </si>
  <si>
    <t>泛微网络</t>
  </si>
  <si>
    <t>www.lixinger.com/analytics/company/sh/603039/603039/detail</t>
  </si>
  <si>
    <t>佳发教育</t>
  </si>
  <si>
    <t>www.lixinger.com/analytics/company/sz/300559/300559/detail</t>
  </si>
  <si>
    <t>太辰光</t>
  </si>
  <si>
    <t>www.lixinger.com/analytics/company/sz/300570/300570/detail</t>
  </si>
  <si>
    <t>秀强股份</t>
  </si>
  <si>
    <t>www.lixinger.com/analytics/company/sz/300160/300160/detail</t>
  </si>
  <si>
    <t>甘源食品</t>
  </si>
  <si>
    <t>www.lixinger.com/analytics/company/sz/002991/2991/detail</t>
  </si>
  <si>
    <t>锐明技术</t>
  </si>
  <si>
    <t>www.lixinger.com/analytics/company/sz/002970/2970/detail</t>
  </si>
  <si>
    <t>海格通信</t>
  </si>
  <si>
    <t>www.lixinger.com/analytics/company/sz/002465/2465/detail</t>
  </si>
  <si>
    <t>三达膜</t>
  </si>
  <si>
    <t>www.lixinger.com/analytics/company/sh/688101/688101/detail</t>
  </si>
  <si>
    <t>博敏电子</t>
  </si>
  <si>
    <t>www.lixinger.com/analytics/company/sh/603936/603936/detail</t>
  </si>
  <si>
    <t>翠微股份</t>
  </si>
  <si>
    <t>www.lixinger.com/analytics/company/sh/603123/603123/detail</t>
  </si>
  <si>
    <t>珀莱雅</t>
  </si>
  <si>
    <t>www.lixinger.com/analytics/company/sh/603605/603605/detail</t>
  </si>
  <si>
    <t>凯发电气</t>
  </si>
  <si>
    <t>www.lixinger.com/analytics/company/sz/300407/300407/detail</t>
  </si>
  <si>
    <t>新化股份</t>
  </si>
  <si>
    <t>www.lixinger.com/analytics/company/sh/603867/603867/detail</t>
  </si>
  <si>
    <t>灵康药业</t>
  </si>
  <si>
    <t>www.lixinger.com/analytics/company/sh/603669/603669/detail</t>
  </si>
  <si>
    <t>水星家纺</t>
  </si>
  <si>
    <t>www.lixinger.com/analytics/company/sh/603365/603365/detail</t>
  </si>
  <si>
    <t>露笑科技</t>
  </si>
  <si>
    <t>www.lixinger.com/analytics/company/sz/002617/2617/detail</t>
  </si>
  <si>
    <t>豪能股份</t>
  </si>
  <si>
    <t>www.lixinger.com/analytics/company/sh/603809/603809/detail</t>
  </si>
  <si>
    <t>*ST华电Ｂ</t>
  </si>
  <si>
    <t>www.lixinger.com/analytics/company/sh/900937/900937/detail</t>
  </si>
  <si>
    <t>欢乐家</t>
  </si>
  <si>
    <t>www.lixinger.com/analytics/company/sz/300997/300997/detail</t>
  </si>
  <si>
    <t>海南瑞泽</t>
  </si>
  <si>
    <t>www.lixinger.com/analytics/company/sz/002596/2596/detail</t>
  </si>
  <si>
    <t>文灿股份</t>
  </si>
  <si>
    <t>www.lixinger.com/analytics/company/sh/603348/603348/detail</t>
  </si>
  <si>
    <t>阳谷华泰</t>
  </si>
  <si>
    <t>www.lixinger.com/analytics/company/sz/300121/300121/detail</t>
  </si>
  <si>
    <t>长城退</t>
  </si>
  <si>
    <t>www.lixinger.com/analytics/company/sz/002071/2071/detail</t>
  </si>
  <si>
    <t>五洲新春</t>
  </si>
  <si>
    <t>www.lixinger.com/analytics/company/sh/603667/603667/detail</t>
  </si>
  <si>
    <t>卫宁健康</t>
  </si>
  <si>
    <t>www.lixinger.com/analytics/company/sz/300253/300253/detail</t>
  </si>
  <si>
    <t>杰瑞股份</t>
  </si>
  <si>
    <t>www.lixinger.com/analytics/company/sz/002353/2353/detail</t>
  </si>
  <si>
    <t>*ST安控</t>
  </si>
  <si>
    <t>www.lixinger.com/analytics/company/sz/300370/300370/detail</t>
  </si>
  <si>
    <t>我武生物</t>
  </si>
  <si>
    <t>www.lixinger.com/analytics/company/sz/300357/300357/detail</t>
  </si>
  <si>
    <t>佳力图</t>
  </si>
  <si>
    <t>www.lixinger.com/analytics/company/sh/603912/603912/detail</t>
  </si>
  <si>
    <t>百克生物</t>
  </si>
  <si>
    <t>www.lixinger.com/analytics/company/sh/688276/688276/detail</t>
  </si>
  <si>
    <t>退市华业</t>
  </si>
  <si>
    <t>www.lixinger.com/analytics/company/sh/600240/600240/detail</t>
  </si>
  <si>
    <t>火炬电子</t>
  </si>
  <si>
    <t>www.lixinger.com/analytics/company/sh/603678/603678/detail</t>
  </si>
  <si>
    <t>仙乐健康</t>
  </si>
  <si>
    <t>www.lixinger.com/analytics/company/sz/300791/300791/detail</t>
  </si>
  <si>
    <t>春立医疗</t>
  </si>
  <si>
    <t>www.lixinger.com/analytics/company/sh/688236/688236/detail</t>
  </si>
  <si>
    <t>莱美药业</t>
  </si>
  <si>
    <t>www.lixinger.com/analytics/company/sz/300006/300006/detail</t>
  </si>
  <si>
    <t>锦泓集团</t>
  </si>
  <si>
    <t>www.lixinger.com/analytics/company/sh/603518/603518/detail</t>
  </si>
  <si>
    <t>易华录</t>
  </si>
  <si>
    <t>www.lixinger.com/analytics/company/sz/300212/300212/detail</t>
  </si>
  <si>
    <t>金达莱</t>
  </si>
  <si>
    <t>www.lixinger.com/analytics/company/sh/688057/688057/detail</t>
  </si>
  <si>
    <t>辉煌科技</t>
  </si>
  <si>
    <t>www.lixinger.com/analytics/company/sz/002296/2296/detail</t>
  </si>
  <si>
    <t>东方钽业</t>
  </si>
  <si>
    <t>www.lixinger.com/analytics/company/sz/000962/962/detail</t>
  </si>
  <si>
    <t>锦江在线</t>
  </si>
  <si>
    <t>www.lixinger.com/analytics/company/sh/600650/600650/detail</t>
  </si>
  <si>
    <t>道通科技</t>
  </si>
  <si>
    <t>www.lixinger.com/analytics/company/sh/688208/688208/detail</t>
  </si>
  <si>
    <t>大金重工</t>
  </si>
  <si>
    <t>www.lixinger.com/analytics/company/sz/002487/2487/detail</t>
  </si>
  <si>
    <t>电光科技</t>
  </si>
  <si>
    <t>www.lixinger.com/analytics/company/sz/002730/2730/detail</t>
  </si>
  <si>
    <t>国科微</t>
  </si>
  <si>
    <t>www.lixinger.com/analytics/company/sz/300672/300672/detail</t>
  </si>
  <si>
    <t>安车检测</t>
  </si>
  <si>
    <t>www.lixinger.com/analytics/company/sz/300572/300572/detail</t>
  </si>
  <si>
    <t>乐凯胶片</t>
  </si>
  <si>
    <t>www.lixinger.com/analytics/company/sh/600135/600135/detail</t>
  </si>
  <si>
    <t>威胜信息</t>
  </si>
  <si>
    <t>www.lixinger.com/analytics/company/sh/688100/688100/detail</t>
  </si>
  <si>
    <t>南华仪器</t>
  </si>
  <si>
    <t>www.lixinger.com/analytics/company/sz/300417/300417/detail</t>
  </si>
  <si>
    <t>新农股份</t>
  </si>
  <si>
    <t>www.lixinger.com/analytics/company/sz/002942/2942/detail</t>
  </si>
  <si>
    <t>深南电B</t>
  </si>
  <si>
    <t>www.lixinger.com/analytics/company/sz/200037/200037/detail</t>
  </si>
  <si>
    <t>惠达卫浴</t>
  </si>
  <si>
    <t>www.lixinger.com/analytics/company/sh/603385/603385/detail</t>
  </si>
  <si>
    <t>江淮汽车</t>
  </si>
  <si>
    <t>www.lixinger.com/analytics/company/sh/600418/600418/detail</t>
  </si>
  <si>
    <t>梦天家居</t>
  </si>
  <si>
    <t>www.lixinger.com/analytics/company/sh/603216/603216/detail</t>
  </si>
  <si>
    <t>宝馨科技</t>
  </si>
  <si>
    <t>www.lixinger.com/analytics/company/sz/002514/2514/detail</t>
  </si>
  <si>
    <t>基蛋生物</t>
  </si>
  <si>
    <t>www.lixinger.com/analytics/company/sh/603387/603387/detail</t>
  </si>
  <si>
    <t>徐家汇</t>
  </si>
  <si>
    <t>www.lixinger.com/analytics/company/sz/002561/2561/detail</t>
  </si>
  <si>
    <t>税友股份</t>
  </si>
  <si>
    <t>www.lixinger.com/analytics/company/sh/603171/603171/detail</t>
  </si>
  <si>
    <t>天目湖</t>
  </si>
  <si>
    <t>www.lixinger.com/analytics/company/sh/603136/603136/detail</t>
  </si>
  <si>
    <t>煌上煌</t>
  </si>
  <si>
    <t>www.lixinger.com/analytics/company/sz/002695/2695/detail</t>
  </si>
  <si>
    <t>九华旅游</t>
  </si>
  <si>
    <t>www.lixinger.com/analytics/company/sh/603199/603199/detail</t>
  </si>
  <si>
    <t>力鼎光电</t>
  </si>
  <si>
    <t>www.lixinger.com/analytics/company/sh/605118/605118/detail</t>
  </si>
  <si>
    <t>华大基因</t>
  </si>
  <si>
    <t>www.lixinger.com/analytics/company/sz/300676/300676/detail</t>
  </si>
  <si>
    <t>福蓉科技</t>
  </si>
  <si>
    <t>www.lixinger.com/analytics/company/sh/603327/603327/detail</t>
  </si>
  <si>
    <t>慈文传媒</t>
  </si>
  <si>
    <t>www.lixinger.com/analytics/company/sz/002343/2343/detail</t>
  </si>
  <si>
    <t>可靠股份</t>
  </si>
  <si>
    <t>www.lixinger.com/analytics/company/sz/301009/301009/detail</t>
  </si>
  <si>
    <t>海峡环保</t>
  </si>
  <si>
    <t>www.lixinger.com/analytics/company/sh/603817/603817/detail</t>
  </si>
  <si>
    <t>广和通</t>
  </si>
  <si>
    <t>www.lixinger.com/analytics/company/sz/300638/300638/detail</t>
  </si>
  <si>
    <t>国光连锁</t>
  </si>
  <si>
    <t>www.lixinger.com/analytics/company/sh/605188/605188/detail</t>
  </si>
  <si>
    <t>克来机电</t>
  </si>
  <si>
    <t>其他自动化设备</t>
  </si>
  <si>
    <t>www.lixinger.com/analytics/company/sh/603960/603960/detail</t>
  </si>
  <si>
    <t>三和管桩</t>
  </si>
  <si>
    <t>www.lixinger.com/analytics/company/sz/003037/3037/detail</t>
  </si>
  <si>
    <t>捷昌驱动</t>
  </si>
  <si>
    <t>www.lixinger.com/analytics/company/sh/603583/603583/detail</t>
  </si>
  <si>
    <t>特一药业</t>
  </si>
  <si>
    <t>www.lixinger.com/analytics/company/sz/002728/2728/detail</t>
  </si>
  <si>
    <t>*ST瑞德</t>
  </si>
  <si>
    <t>www.lixinger.com/analytics/company/sh/600666/600666/detail</t>
  </si>
  <si>
    <t>拓尔思</t>
  </si>
  <si>
    <t>www.lixinger.com/analytics/company/sz/300229/300229/detail</t>
  </si>
  <si>
    <t>华联股份</t>
  </si>
  <si>
    <t>www.lixinger.com/analytics/company/sz/000882/882/detail</t>
  </si>
  <si>
    <t>云南旅游</t>
  </si>
  <si>
    <t>www.lixinger.com/analytics/company/sz/002059/2059/detail</t>
  </si>
  <si>
    <t>宏柏新材</t>
  </si>
  <si>
    <t>www.lixinger.com/analytics/company/sh/605366/605366/detail</t>
  </si>
  <si>
    <t>通润装备</t>
  </si>
  <si>
    <t>www.lixinger.com/analytics/company/sz/002150/2150/detail</t>
  </si>
  <si>
    <t>七一二</t>
  </si>
  <si>
    <t>www.lixinger.com/analytics/company/sh/603712/603712/detail</t>
  </si>
  <si>
    <t>冠豪高新</t>
  </si>
  <si>
    <t>www.lixinger.com/analytics/company/sh/600433/600433/detail</t>
  </si>
  <si>
    <t>回天新材</t>
  </si>
  <si>
    <t>www.lixinger.com/analytics/company/sz/300041/300041/detail</t>
  </si>
  <si>
    <t>珍宝岛</t>
  </si>
  <si>
    <t>www.lixinger.com/analytics/company/sh/603567/603567/detail</t>
  </si>
  <si>
    <t>英特集团</t>
  </si>
  <si>
    <t>www.lixinger.com/analytics/company/sz/000411/411/detail</t>
  </si>
  <si>
    <t>丽人丽妆</t>
  </si>
  <si>
    <t>www.lixinger.com/analytics/company/sh/605136/605136/detail</t>
  </si>
  <si>
    <t>山东威达</t>
  </si>
  <si>
    <t>www.lixinger.com/analytics/company/sz/002026/2026/detail</t>
  </si>
  <si>
    <t>明阳电路</t>
  </si>
  <si>
    <t>www.lixinger.com/analytics/company/sz/300739/300739/detail</t>
  </si>
  <si>
    <t>江苏舜天</t>
  </si>
  <si>
    <t>www.lixinger.com/analytics/company/sh/600287/600287/detail</t>
  </si>
  <si>
    <t>超图软件</t>
  </si>
  <si>
    <t>www.lixinger.com/analytics/company/sz/300036/300036/detail</t>
  </si>
  <si>
    <t>纽威数控</t>
  </si>
  <si>
    <t>www.lixinger.com/analytics/company/sh/688697/688697/detail</t>
  </si>
  <si>
    <t>航锦科技</t>
  </si>
  <si>
    <t>www.lixinger.com/analytics/company/sz/000818/818/detail</t>
  </si>
  <si>
    <t>中颖电子</t>
  </si>
  <si>
    <t>www.lixinger.com/analytics/company/sz/300327/300327/detail</t>
  </si>
  <si>
    <t>芯能科技</t>
  </si>
  <si>
    <t>www.lixinger.com/analytics/company/sh/603105/603105/detail</t>
  </si>
  <si>
    <t>保税科技</t>
  </si>
  <si>
    <t>www.lixinger.com/analytics/company/sh/600794/600794/detail</t>
  </si>
  <si>
    <t>华媒控股</t>
  </si>
  <si>
    <t>www.lixinger.com/analytics/company/sz/000607/607/detail</t>
  </si>
  <si>
    <t>正威新材</t>
  </si>
  <si>
    <t>www.lixinger.com/analytics/company/sz/002201/2201/detail</t>
  </si>
  <si>
    <t>鲍斯股份</t>
  </si>
  <si>
    <t>www.lixinger.com/analytics/company/sz/300441/300441/detail</t>
  </si>
  <si>
    <t>中农立华</t>
  </si>
  <si>
    <t>www.lixinger.com/analytics/company/sh/603970/603970/detail</t>
  </si>
  <si>
    <t>宝泰隆</t>
  </si>
  <si>
    <t>www.lixinger.com/analytics/company/sh/601011/601011/detail</t>
  </si>
  <si>
    <t>光莆股份</t>
  </si>
  <si>
    <t>www.lixinger.com/analytics/company/sz/300632/300632/detail</t>
  </si>
  <si>
    <t>海天精工</t>
  </si>
  <si>
    <t>www.lixinger.com/analytics/company/sh/601882/601882/detail</t>
  </si>
  <si>
    <t>燕塘乳业</t>
  </si>
  <si>
    <t>www.lixinger.com/analytics/company/sz/002732/2732/detail</t>
  </si>
  <si>
    <t>彩讯股份</t>
  </si>
  <si>
    <t>www.lixinger.com/analytics/company/sz/300634/300634/detail</t>
  </si>
  <si>
    <t>诺邦股份</t>
  </si>
  <si>
    <t>www.lixinger.com/analytics/company/sh/603238/603238/detail</t>
  </si>
  <si>
    <t>集友股份</t>
  </si>
  <si>
    <t>www.lixinger.com/analytics/company/sh/603429/603429/detail</t>
  </si>
  <si>
    <t>佳士科技</t>
  </si>
  <si>
    <t>www.lixinger.com/analytics/company/sz/300193/300193/detail</t>
  </si>
  <si>
    <t>金新农</t>
  </si>
  <si>
    <t>www.lixinger.com/analytics/company/sz/002548/2548/detail</t>
  </si>
  <si>
    <t>东亚药业</t>
  </si>
  <si>
    <t>www.lixinger.com/analytics/company/sh/605177/605177/detail</t>
  </si>
  <si>
    <t>安恒信息</t>
  </si>
  <si>
    <t>www.lixinger.com/analytics/company/sh/688023/688023/detail</t>
  </si>
  <si>
    <t>大连热电</t>
  </si>
  <si>
    <t>www.lixinger.com/analytics/company/sh/600719/600719/detail</t>
  </si>
  <si>
    <t>*ST光一</t>
  </si>
  <si>
    <t>www.lixinger.com/analytics/company/sz/300356/300356/detail</t>
  </si>
  <si>
    <t>盛路通信</t>
  </si>
  <si>
    <t>www.lixinger.com/analytics/company/sz/002446/2446/detail</t>
  </si>
  <si>
    <t>红日药业</t>
  </si>
  <si>
    <t>www.lixinger.com/analytics/company/sz/300026/300026/detail</t>
  </si>
  <si>
    <t>联明股份</t>
  </si>
  <si>
    <t>www.lixinger.com/analytics/company/sh/603006/603006/detail</t>
  </si>
  <si>
    <t>国光股份</t>
  </si>
  <si>
    <t>www.lixinger.com/analytics/company/sz/002749/2749/detail</t>
  </si>
  <si>
    <t>龙版传媒</t>
  </si>
  <si>
    <t>www.lixinger.com/analytics/company/sh/605577/605577/detail</t>
  </si>
  <si>
    <t>豆神教育</t>
  </si>
  <si>
    <t>www.lixinger.com/analytics/company/sz/300010/300010/detail</t>
  </si>
  <si>
    <t>普利制药</t>
  </si>
  <si>
    <t>www.lixinger.com/analytics/company/sz/300630/300630/detail</t>
  </si>
  <si>
    <t>智莱科技</t>
  </si>
  <si>
    <t>www.lixinger.com/analytics/company/sz/300771/300771/detail</t>
  </si>
  <si>
    <t>古井贡Ｂ</t>
  </si>
  <si>
    <t>www.lixinger.com/analytics/company/sz/200596/200596/detail</t>
  </si>
  <si>
    <t>睿智医药</t>
  </si>
  <si>
    <t>www.lixinger.com/analytics/company/sz/300149/300149/detail</t>
  </si>
  <si>
    <t>三房巷</t>
  </si>
  <si>
    <t>www.lixinger.com/analytics/company/sh/600370/600370/detail</t>
  </si>
  <si>
    <t>爱普股份</t>
  </si>
  <si>
    <t>www.lixinger.com/analytics/company/sh/603020/603020/detail</t>
  </si>
  <si>
    <t>凌云股份</t>
  </si>
  <si>
    <t>www.lixinger.com/analytics/company/sh/600480/600480/detail</t>
  </si>
  <si>
    <t>中创物流</t>
  </si>
  <si>
    <t>www.lixinger.com/analytics/company/sh/603967/603967/detail</t>
  </si>
  <si>
    <t>百川股份</t>
  </si>
  <si>
    <t>www.lixinger.com/analytics/company/sz/002455/2455/detail</t>
  </si>
  <si>
    <t>华绿生物</t>
  </si>
  <si>
    <t>www.lixinger.com/analytics/company/sz/300970/300970/detail</t>
  </si>
  <si>
    <t>新国都</t>
  </si>
  <si>
    <t>www.lixinger.com/analytics/company/sz/300130/300130/detail</t>
  </si>
  <si>
    <t>昂利康</t>
  </si>
  <si>
    <t>www.lixinger.com/analytics/company/sz/002940/2940/detail</t>
  </si>
  <si>
    <t>黑芝麻</t>
  </si>
  <si>
    <t>www.lixinger.com/analytics/company/sz/000716/716/detail</t>
  </si>
  <si>
    <t>星湖科技</t>
  </si>
  <si>
    <t>www.lixinger.com/analytics/company/sh/600866/600866/detail</t>
  </si>
  <si>
    <t>新亚强</t>
  </si>
  <si>
    <t>www.lixinger.com/analytics/company/sh/603155/603155/detail</t>
  </si>
  <si>
    <t>吉药控股</t>
  </si>
  <si>
    <t>www.lixinger.com/analytics/company/sz/300108/300108/detail</t>
  </si>
  <si>
    <t>深粮B</t>
  </si>
  <si>
    <t>www.lixinger.com/analytics/company/sz/200019/200019/detail</t>
  </si>
  <si>
    <t>密尔克卫</t>
  </si>
  <si>
    <t>www.lixinger.com/analytics/company/sh/603713/603713/detail</t>
  </si>
  <si>
    <t>楚江新材</t>
  </si>
  <si>
    <t>www.lixinger.com/analytics/company/sz/002171/2171/detail</t>
  </si>
  <si>
    <t>伟时电子</t>
  </si>
  <si>
    <t>www.lixinger.com/analytics/company/sh/605218/605218/detail</t>
  </si>
  <si>
    <t>万胜智能</t>
  </si>
  <si>
    <t>www.lixinger.com/analytics/company/sz/300882/300882/detail</t>
  </si>
  <si>
    <t>鸣志电器</t>
  </si>
  <si>
    <t>www.lixinger.com/analytics/company/sh/603728/603728/detail</t>
  </si>
  <si>
    <t>菲利华</t>
  </si>
  <si>
    <t>www.lixinger.com/analytics/company/sz/300395/300395/detail</t>
  </si>
  <si>
    <t>内蒙新华</t>
  </si>
  <si>
    <t>www.lixinger.com/analytics/company/sh/603230/603230/detail</t>
  </si>
  <si>
    <t>金龙羽</t>
  </si>
  <si>
    <t>www.lixinger.com/analytics/company/sz/002882/2882/detail</t>
  </si>
  <si>
    <t>天岳先进</t>
  </si>
  <si>
    <t>www.lixinger.com/analytics/company/sh/688234/688234/detail</t>
  </si>
  <si>
    <t>上海物贸</t>
  </si>
  <si>
    <t>www.lixinger.com/analytics/company/sh/600822/600822/detail</t>
  </si>
  <si>
    <t>旷达科技</t>
  </si>
  <si>
    <t>www.lixinger.com/analytics/company/sz/002516/2516/detail</t>
  </si>
  <si>
    <t>汉宇集团</t>
  </si>
  <si>
    <t>www.lixinger.com/analytics/company/sz/300403/300403/detail</t>
  </si>
  <si>
    <t>益盛药业</t>
  </si>
  <si>
    <t>www.lixinger.com/analytics/company/sz/002566/2566/detail</t>
  </si>
  <si>
    <t>上实发展</t>
  </si>
  <si>
    <t>www.lixinger.com/analytics/company/sh/600748/600748/detail</t>
  </si>
  <si>
    <t>天宜上佳</t>
  </si>
  <si>
    <t>www.lixinger.com/analytics/company/sh/688033/688033/detail</t>
  </si>
  <si>
    <t>山东赫达</t>
  </si>
  <si>
    <t>www.lixinger.com/analytics/company/sz/002810/2810/detail</t>
  </si>
  <si>
    <t>万顺新材</t>
  </si>
  <si>
    <t>www.lixinger.com/analytics/company/sz/300057/300057/detail</t>
  </si>
  <si>
    <t>优博讯</t>
  </si>
  <si>
    <t>www.lixinger.com/analytics/company/sz/300531/300531/detail</t>
  </si>
  <si>
    <t>康欣新材</t>
  </si>
  <si>
    <t>www.lixinger.com/analytics/company/sh/600076/600076/detail</t>
  </si>
  <si>
    <t>广百股份</t>
  </si>
  <si>
    <t>www.lixinger.com/analytics/company/sz/002187/2187/detail</t>
  </si>
  <si>
    <t>引力传媒</t>
  </si>
  <si>
    <t>www.lixinger.com/analytics/company/sh/603598/603598/detail</t>
  </si>
  <si>
    <t>法兰泰克</t>
  </si>
  <si>
    <t>www.lixinger.com/analytics/company/sh/603966/603966/detail</t>
  </si>
  <si>
    <t>银都股份</t>
  </si>
  <si>
    <t>www.lixinger.com/analytics/company/sh/603277/603277/detail</t>
  </si>
  <si>
    <t>虹软科技</t>
  </si>
  <si>
    <t>www.lixinger.com/analytics/company/sh/688088/688088/detail</t>
  </si>
  <si>
    <t>湘电股份</t>
  </si>
  <si>
    <t>www.lixinger.com/analytics/company/sh/600416/600416/detail</t>
  </si>
  <si>
    <t>合纵科技</t>
  </si>
  <si>
    <t>www.lixinger.com/analytics/company/sz/300477/300477/detail</t>
  </si>
  <si>
    <t>天沃科技</t>
  </si>
  <si>
    <t>www.lixinger.com/analytics/company/sz/002564/2564/detail</t>
  </si>
  <si>
    <t>寿仙谷</t>
  </si>
  <si>
    <t>www.lixinger.com/analytics/company/sh/603896/603896/detail</t>
  </si>
  <si>
    <t>宁波韵升</t>
  </si>
  <si>
    <t>www.lixinger.com/analytics/company/sh/600366/600366/detail</t>
  </si>
  <si>
    <t>贵广网络</t>
  </si>
  <si>
    <t>www.lixinger.com/analytics/company/sh/600996/600996/detail</t>
  </si>
  <si>
    <t>潮宏基</t>
  </si>
  <si>
    <t>www.lixinger.com/analytics/company/sz/002345/2345/detail</t>
  </si>
  <si>
    <t>申达股份</t>
  </si>
  <si>
    <t>www.lixinger.com/analytics/company/sh/600626/600626/detail</t>
  </si>
  <si>
    <t>巨力索具</t>
  </si>
  <si>
    <t>www.lixinger.com/analytics/company/sz/002342/2342/detail</t>
  </si>
  <si>
    <t>北京科锐</t>
  </si>
  <si>
    <t>www.lixinger.com/analytics/company/sz/002350/2350/detail</t>
  </si>
  <si>
    <t>登海种业</t>
  </si>
  <si>
    <t>种子</t>
  </si>
  <si>
    <t>www.lixinger.com/analytics/company/sz/002041/2041/detail</t>
  </si>
  <si>
    <t>易尚展示</t>
  </si>
  <si>
    <t>会展服务</t>
  </si>
  <si>
    <t>www.lixinger.com/analytics/company/sz/002751/2751/detail</t>
  </si>
  <si>
    <t>寒锐钴业</t>
  </si>
  <si>
    <t>www.lixinger.com/analytics/company/sz/300618/300618/detail</t>
  </si>
  <si>
    <t>嵘泰股份</t>
  </si>
  <si>
    <t>www.lixinger.com/analytics/company/sh/605133/605133/detail</t>
  </si>
  <si>
    <t>大东南</t>
  </si>
  <si>
    <t>www.lixinger.com/analytics/company/sz/002263/2263/detail</t>
  </si>
  <si>
    <t>星期六</t>
  </si>
  <si>
    <t>www.lixinger.com/analytics/company/sz/002291/2291/detail</t>
  </si>
  <si>
    <t>华通热力</t>
  </si>
  <si>
    <t>www.lixinger.com/analytics/company/sz/002893/2893/detail</t>
  </si>
  <si>
    <t>*ST众应</t>
  </si>
  <si>
    <t>www.lixinger.com/analytics/company/sz/002464/2464/detail</t>
  </si>
  <si>
    <t>海达股份</t>
  </si>
  <si>
    <t>www.lixinger.com/analytics/company/sz/300320/300320/detail</t>
  </si>
  <si>
    <t>珠江钢琴</t>
  </si>
  <si>
    <t>娱乐用品</t>
  </si>
  <si>
    <t>www.lixinger.com/analytics/company/sz/002678/2678/detail</t>
  </si>
  <si>
    <t>万盛股份</t>
  </si>
  <si>
    <t>www.lixinger.com/analytics/company/sh/603010/603010/detail</t>
  </si>
  <si>
    <t>朗科智能</t>
  </si>
  <si>
    <t>www.lixinger.com/analytics/company/sz/300543/300543/detail</t>
  </si>
  <si>
    <t>新疆众和</t>
  </si>
  <si>
    <t>www.lixinger.com/analytics/company/sh/600888/600888/detail</t>
  </si>
  <si>
    <t>炬华科技</t>
  </si>
  <si>
    <t>www.lixinger.com/analytics/company/sz/300360/300360/detail</t>
  </si>
  <si>
    <t>深南电A</t>
  </si>
  <si>
    <t>www.lixinger.com/analytics/company/sz/000037/37/detail</t>
  </si>
  <si>
    <t>康盛股份</t>
  </si>
  <si>
    <t>www.lixinger.com/analytics/company/sz/002418/2418/detail</t>
  </si>
  <si>
    <t>蓝特光学</t>
  </si>
  <si>
    <t>www.lixinger.com/analytics/company/sh/688127/688127/detail</t>
  </si>
  <si>
    <t>ST粤泰</t>
  </si>
  <si>
    <t>www.lixinger.com/analytics/company/sh/600393/600393/detail</t>
  </si>
  <si>
    <t>国检集团</t>
  </si>
  <si>
    <t>www.lixinger.com/analytics/company/sh/603060/603060/detail</t>
  </si>
  <si>
    <t>重药控股</t>
  </si>
  <si>
    <t>www.lixinger.com/analytics/company/sz/000950/950/detail</t>
  </si>
  <si>
    <t>东方电气</t>
  </si>
  <si>
    <t>www.lixinger.com/analytics/company/sh/600875/600875/detail</t>
  </si>
  <si>
    <t>万安科技</t>
  </si>
  <si>
    <t>www.lixinger.com/analytics/company/sz/002590/2590/detail</t>
  </si>
  <si>
    <t>泰晶科技</t>
  </si>
  <si>
    <t>www.lixinger.com/analytics/company/sh/603738/603738/detail</t>
  </si>
  <si>
    <t>科美诊断</t>
  </si>
  <si>
    <t>www.lixinger.com/analytics/company/sh/688468/688468/detail</t>
  </si>
  <si>
    <t>立昂技术</t>
  </si>
  <si>
    <t>通信应用增值服务</t>
  </si>
  <si>
    <t>www.lixinger.com/analytics/company/sz/300603/300603/detail</t>
  </si>
  <si>
    <t>保隆科技</t>
  </si>
  <si>
    <t>www.lixinger.com/analytics/company/sh/603197/603197/detail</t>
  </si>
  <si>
    <t>振华股份</t>
  </si>
  <si>
    <t>www.lixinger.com/analytics/company/sh/603067/603067/detail</t>
  </si>
  <si>
    <t>佳禾食品</t>
  </si>
  <si>
    <t>www.lixinger.com/analytics/company/sh/605300/605300/detail</t>
  </si>
  <si>
    <t>博众精工</t>
  </si>
  <si>
    <t>www.lixinger.com/analytics/company/sh/688097/688097/detail</t>
  </si>
  <si>
    <t>永冠新材</t>
  </si>
  <si>
    <t>胶黏剂及胶带</t>
  </si>
  <si>
    <t>www.lixinger.com/analytics/company/sh/603681/603681/detail</t>
  </si>
  <si>
    <t>湖南海利</t>
  </si>
  <si>
    <t>www.lixinger.com/analytics/company/sh/600731/600731/detail</t>
  </si>
  <si>
    <t>英搏尔</t>
  </si>
  <si>
    <t>www.lixinger.com/analytics/company/sz/300681/300681/detail</t>
  </si>
  <si>
    <t>金杯电工</t>
  </si>
  <si>
    <t>www.lixinger.com/analytics/company/sz/002533/2533/detail</t>
  </si>
  <si>
    <t>安通控股</t>
  </si>
  <si>
    <t>www.lixinger.com/analytics/company/sh/600179/600179/detail</t>
  </si>
  <si>
    <t>捷捷微电</t>
  </si>
  <si>
    <t>www.lixinger.com/analytics/company/sz/300623/300623/detail</t>
  </si>
  <si>
    <t>瑞尔特</t>
  </si>
  <si>
    <t>www.lixinger.com/analytics/company/sz/002790/2790/detail</t>
  </si>
  <si>
    <t>电声股份</t>
  </si>
  <si>
    <t>www.lixinger.com/analytics/company/sz/300805/300805/detail</t>
  </si>
  <si>
    <t>综艺股份</t>
  </si>
  <si>
    <t>www.lixinger.com/analytics/company/sh/600770/600770/detail</t>
  </si>
  <si>
    <t>永艺股份</t>
  </si>
  <si>
    <t>www.lixinger.com/analytics/company/sh/603600/603600/detail</t>
  </si>
  <si>
    <t>ST辅仁</t>
  </si>
  <si>
    <t>www.lixinger.com/analytics/company/sh/600781/600781/detail</t>
  </si>
  <si>
    <t>爱丽家居</t>
  </si>
  <si>
    <t>www.lixinger.com/analytics/company/sh/603221/603221/detail</t>
  </si>
  <si>
    <t>振德医疗</t>
  </si>
  <si>
    <t>www.lixinger.com/analytics/company/sh/603301/603301/detail</t>
  </si>
  <si>
    <t>鼎龙股份</t>
  </si>
  <si>
    <t>www.lixinger.com/analytics/company/sz/300054/300054/detail</t>
  </si>
  <si>
    <t>富淼科技</t>
  </si>
  <si>
    <t>www.lixinger.com/analytics/company/sh/688350/688350/detail</t>
  </si>
  <si>
    <t>利民股份</t>
  </si>
  <si>
    <t>www.lixinger.com/analytics/company/sz/002734/2734/detail</t>
  </si>
  <si>
    <t>大业股份</t>
  </si>
  <si>
    <t>www.lixinger.com/analytics/company/sh/603278/603278/detail</t>
  </si>
  <si>
    <t>唐德影视</t>
  </si>
  <si>
    <t>www.lixinger.com/analytics/company/sz/300426/300426/detail</t>
  </si>
  <si>
    <t>新中港</t>
  </si>
  <si>
    <t>www.lixinger.com/analytics/company/sh/605162/605162/detail</t>
  </si>
  <si>
    <t>中创环保</t>
  </si>
  <si>
    <t>www.lixinger.com/analytics/company/sz/300056/300056/detail</t>
  </si>
  <si>
    <t>尤安设计</t>
  </si>
  <si>
    <t>www.lixinger.com/analytics/company/sz/300983/300983/detail</t>
  </si>
  <si>
    <t>天奇股份</t>
  </si>
  <si>
    <t>www.lixinger.com/analytics/company/sz/002009/2009/detail</t>
  </si>
  <si>
    <t>维尔利</t>
  </si>
  <si>
    <t>www.lixinger.com/analytics/company/sz/300190/300190/detail</t>
  </si>
  <si>
    <t>野马电池</t>
  </si>
  <si>
    <t>www.lixinger.com/analytics/company/sh/605378/605378/detail</t>
  </si>
  <si>
    <t>航新科技</t>
  </si>
  <si>
    <t>www.lixinger.com/analytics/company/sz/300424/300424/detail</t>
  </si>
  <si>
    <t>嘉诚国际</t>
  </si>
  <si>
    <t>www.lixinger.com/analytics/company/sh/603535/603535/detail</t>
  </si>
  <si>
    <t>煜邦电力</t>
  </si>
  <si>
    <t>www.lixinger.com/analytics/company/sh/688597/688597/detail</t>
  </si>
  <si>
    <t>创力集团</t>
  </si>
  <si>
    <t>www.lixinger.com/analytics/company/sh/603012/603012/detail</t>
  </si>
  <si>
    <t>神剑股份</t>
  </si>
  <si>
    <t>www.lixinger.com/analytics/company/sz/002361/2361/detail</t>
  </si>
  <si>
    <t>开创国际</t>
  </si>
  <si>
    <t>海洋捕捞</t>
  </si>
  <si>
    <t>www.lixinger.com/analytics/company/sh/600097/600097/detail</t>
  </si>
  <si>
    <t>谱尼测试</t>
  </si>
  <si>
    <t>www.lixinger.com/analytics/company/sz/300887/300887/detail</t>
  </si>
  <si>
    <t>道森股份</t>
  </si>
  <si>
    <t>www.lixinger.com/analytics/company/sh/603800/603800/detail</t>
  </si>
  <si>
    <t>越剑智能</t>
  </si>
  <si>
    <t>www.lixinger.com/analytics/company/sh/603095/603095/detail</t>
  </si>
  <si>
    <t>西昌电力</t>
  </si>
  <si>
    <t>www.lixinger.com/analytics/company/sh/600505/600505/detail</t>
  </si>
  <si>
    <t>亿利达</t>
  </si>
  <si>
    <t>www.lixinger.com/analytics/company/sz/002686/2686/detail</t>
  </si>
  <si>
    <t>华通线缆</t>
  </si>
  <si>
    <t>www.lixinger.com/analytics/company/sh/605196/605196/detail</t>
  </si>
  <si>
    <t>艾迪精密</t>
  </si>
  <si>
    <t>www.lixinger.com/analytics/company/sh/603638/603638/detail</t>
  </si>
  <si>
    <t>南都物业</t>
  </si>
  <si>
    <t>www.lixinger.com/analytics/company/sh/603506/603506/detail</t>
  </si>
  <si>
    <t>上海港湾</t>
  </si>
  <si>
    <t>www.lixinger.com/analytics/company/sh/605598/605598/detail</t>
  </si>
  <si>
    <t>古井贡酒</t>
  </si>
  <si>
    <t>www.lixinger.com/analytics/company/sz/000596/596/detail</t>
  </si>
  <si>
    <t>中科微至</t>
  </si>
  <si>
    <t>www.lixinger.com/analytics/company/sh/688211/688211/detail</t>
  </si>
  <si>
    <t>海容冷链</t>
  </si>
  <si>
    <t>www.lixinger.com/analytics/company/sh/603187/603187/detail</t>
  </si>
  <si>
    <t>启明信息</t>
  </si>
  <si>
    <t>www.lixinger.com/analytics/company/sz/002232/2232/detail</t>
  </si>
  <si>
    <t>千禾味业</t>
  </si>
  <si>
    <t>www.lixinger.com/analytics/company/sh/603027/603027/detail</t>
  </si>
  <si>
    <t>中科江南</t>
  </si>
  <si>
    <t>www.lixinger.com/analytics/company/sz/301153/301153/detail</t>
  </si>
  <si>
    <t>欣贺股份</t>
  </si>
  <si>
    <t>www.lixinger.com/analytics/company/sz/003016/3016/detail</t>
  </si>
  <si>
    <t>农尚环境</t>
  </si>
  <si>
    <t>www.lixinger.com/analytics/company/sz/300536/300536/detail</t>
  </si>
  <si>
    <t>鹏辉能源</t>
  </si>
  <si>
    <t>www.lixinger.com/analytics/company/sz/300438/300438/detail</t>
  </si>
  <si>
    <t>苏州固锝</t>
  </si>
  <si>
    <t>www.lixinger.com/analytics/company/sz/002079/2079/detail</t>
  </si>
  <si>
    <t>优彩资源</t>
  </si>
  <si>
    <t>www.lixinger.com/analytics/company/sz/002998/2998/detail</t>
  </si>
  <si>
    <t>贝仕达克</t>
  </si>
  <si>
    <t>www.lixinger.com/analytics/company/sz/300822/300822/detail</t>
  </si>
  <si>
    <t>派林生物</t>
  </si>
  <si>
    <t>www.lixinger.com/analytics/company/sz/000403/403/detail</t>
  </si>
  <si>
    <t>开立医疗</t>
  </si>
  <si>
    <t>www.lixinger.com/analytics/company/sz/300633/300633/detail</t>
  </si>
  <si>
    <t>数据港</t>
  </si>
  <si>
    <t>www.lixinger.com/analytics/company/sh/603881/603881/detail</t>
  </si>
  <si>
    <t>深粮控股</t>
  </si>
  <si>
    <t>www.lixinger.com/analytics/company/sz/000019/19/detail</t>
  </si>
  <si>
    <t>万控智造</t>
  </si>
  <si>
    <t>www.lixinger.com/analytics/company/sh/603070/603070/detail</t>
  </si>
  <si>
    <t>联德股份</t>
  </si>
  <si>
    <t>www.lixinger.com/analytics/company/sh/605060/605060/detail</t>
  </si>
  <si>
    <t>厚普股份</t>
  </si>
  <si>
    <t>www.lixinger.com/analytics/company/sz/300471/300471/detail</t>
  </si>
  <si>
    <t>星帅尔</t>
  </si>
  <si>
    <t>www.lixinger.com/analytics/company/sz/002860/2860/detail</t>
  </si>
  <si>
    <t>亚玛顿</t>
  </si>
  <si>
    <t>www.lixinger.com/analytics/company/sz/002623/2623/detail</t>
  </si>
  <si>
    <t>宝明科技</t>
  </si>
  <si>
    <t>www.lixinger.com/analytics/company/sz/002992/2992/detail</t>
  </si>
  <si>
    <t>无锡振华</t>
  </si>
  <si>
    <t>www.lixinger.com/analytics/company/sh/605319/605319/detail</t>
  </si>
  <si>
    <t>劲仔食品</t>
  </si>
  <si>
    <t>www.lixinger.com/analytics/company/sz/003000/3000/detail</t>
  </si>
  <si>
    <t>赛微电子</t>
  </si>
  <si>
    <t>www.lixinger.com/analytics/company/sz/300456/300456/detail</t>
  </si>
  <si>
    <t>祖名股份</t>
  </si>
  <si>
    <t>www.lixinger.com/analytics/company/sz/003030/3030/detail</t>
  </si>
  <si>
    <t>康达新材</t>
  </si>
  <si>
    <t>www.lixinger.com/analytics/company/sz/002669/2669/detail</t>
  </si>
  <si>
    <t>桂林旅游</t>
  </si>
  <si>
    <t>www.lixinger.com/analytics/company/sz/000978/978/detail</t>
  </si>
  <si>
    <t>九强生物</t>
  </si>
  <si>
    <t>www.lixinger.com/analytics/company/sz/300406/300406/detail</t>
  </si>
  <si>
    <t>博迁新材</t>
  </si>
  <si>
    <t>www.lixinger.com/analytics/company/sh/605376/605376/detail</t>
  </si>
  <si>
    <t>德必集团</t>
  </si>
  <si>
    <t>www.lixinger.com/analytics/company/sz/300947/300947/detail</t>
  </si>
  <si>
    <t>*ST亚星</t>
  </si>
  <si>
    <t>www.lixinger.com/analytics/company/sh/600319/600319/detail</t>
  </si>
  <si>
    <t>沧州明珠</t>
  </si>
  <si>
    <t>www.lixinger.com/analytics/company/sz/002108/2108/detail</t>
  </si>
  <si>
    <t>道恩股份</t>
  </si>
  <si>
    <t>www.lixinger.com/analytics/company/sz/002838/2838/detail</t>
  </si>
  <si>
    <t>顺灏股份</t>
  </si>
  <si>
    <t>www.lixinger.com/analytics/company/sz/002565/2565/detail</t>
  </si>
  <si>
    <t>飞凯材料</t>
  </si>
  <si>
    <t>www.lixinger.com/analytics/company/sz/300398/300398/detail</t>
  </si>
  <si>
    <t>泸天化</t>
  </si>
  <si>
    <t>www.lixinger.com/analytics/company/sz/000912/912/detail</t>
  </si>
  <si>
    <t>远光软件</t>
  </si>
  <si>
    <t>www.lixinger.com/analytics/company/sz/002063/2063/detail</t>
  </si>
  <si>
    <t>华阳集团</t>
  </si>
  <si>
    <t>www.lixinger.com/analytics/company/sz/002906/2906/detail</t>
  </si>
  <si>
    <t>强力新材</t>
  </si>
  <si>
    <t>www.lixinger.com/analytics/company/sz/300429/300429/detail</t>
  </si>
  <si>
    <t>金石亚药</t>
  </si>
  <si>
    <t>www.lixinger.com/analytics/company/sz/300434/300434/detail</t>
  </si>
  <si>
    <t>振东制药</t>
  </si>
  <si>
    <t>www.lixinger.com/analytics/company/sz/300158/300158/detail</t>
  </si>
  <si>
    <t>瑞丰光电</t>
  </si>
  <si>
    <t>www.lixinger.com/analytics/company/sz/300241/300241/detail</t>
  </si>
  <si>
    <t>博杰股份</t>
  </si>
  <si>
    <t>www.lixinger.com/analytics/company/sz/002975/2975/detail</t>
  </si>
  <si>
    <t>晓鸣股份</t>
  </si>
  <si>
    <t>www.lixinger.com/analytics/company/sz/300967/300967/detail</t>
  </si>
  <si>
    <t>卫光生物</t>
  </si>
  <si>
    <t>www.lixinger.com/analytics/company/sz/002880/2880/detail</t>
  </si>
  <si>
    <t>善水科技</t>
  </si>
  <si>
    <t>www.lixinger.com/analytics/company/sz/301190/301190/detail</t>
  </si>
  <si>
    <t>恒星科技</t>
  </si>
  <si>
    <t>www.lixinger.com/analytics/company/sz/002132/2132/detail</t>
  </si>
  <si>
    <t>振华Ｂ股</t>
  </si>
  <si>
    <t>www.lixinger.com/analytics/company/sh/900947/900947/detail</t>
  </si>
  <si>
    <t>捷强装备</t>
  </si>
  <si>
    <t>www.lixinger.com/analytics/company/sz/300875/300875/detail</t>
  </si>
  <si>
    <t>华明装备</t>
  </si>
  <si>
    <t>www.lixinger.com/analytics/company/sz/002270/2270/detail</t>
  </si>
  <si>
    <t>贵绳股份</t>
  </si>
  <si>
    <t>www.lixinger.com/analytics/company/sh/600992/600992/detail</t>
  </si>
  <si>
    <t>畅联股份</t>
  </si>
  <si>
    <t>www.lixinger.com/analytics/company/sh/603648/603648/detail</t>
  </si>
  <si>
    <t>盐津铺子</t>
  </si>
  <si>
    <t>www.lixinger.com/analytics/company/sz/002847/2847/detail</t>
  </si>
  <si>
    <t>百合花</t>
  </si>
  <si>
    <t>涂料油墨</t>
  </si>
  <si>
    <t>www.lixinger.com/analytics/company/sh/603823/603823/detail</t>
  </si>
  <si>
    <t>京北方</t>
  </si>
  <si>
    <t>www.lixinger.com/analytics/company/sz/002987/2987/detail</t>
  </si>
  <si>
    <t>中红医疗</t>
  </si>
  <si>
    <t>www.lixinger.com/analytics/company/sz/300981/300981/detail</t>
  </si>
  <si>
    <t>奥拓电子</t>
  </si>
  <si>
    <t>www.lixinger.com/analytics/company/sz/002587/2587/detail</t>
  </si>
  <si>
    <t>数字政通</t>
  </si>
  <si>
    <t>www.lixinger.com/analytics/company/sz/300075/300075/detail</t>
  </si>
  <si>
    <t>海象新材</t>
  </si>
  <si>
    <t>www.lixinger.com/analytics/company/sz/003011/3011/detail</t>
  </si>
  <si>
    <t>行动教育</t>
  </si>
  <si>
    <t>www.lixinger.com/analytics/company/sh/605098/605098/detail</t>
  </si>
  <si>
    <t>国泰集团</t>
  </si>
  <si>
    <t>www.lixinger.com/analytics/company/sh/603977/603977/detail</t>
  </si>
  <si>
    <t>舒华体育</t>
  </si>
  <si>
    <t>www.lixinger.com/analytics/company/sh/605299/605299/detail</t>
  </si>
  <si>
    <t>威创股份</t>
  </si>
  <si>
    <t>www.lixinger.com/analytics/company/sz/002308/2308/detail</t>
  </si>
  <si>
    <t>康华生物</t>
  </si>
  <si>
    <t>www.lixinger.com/analytics/company/sz/300841/300841/detail</t>
  </si>
  <si>
    <t>兆讯传媒</t>
  </si>
  <si>
    <t>www.lixinger.com/analytics/company/sz/301102/301102/detail</t>
  </si>
  <si>
    <t>方正电机</t>
  </si>
  <si>
    <t>www.lixinger.com/analytics/company/sz/002196/2196/detail</t>
  </si>
  <si>
    <t>华恒生物</t>
  </si>
  <si>
    <t>www.lixinger.com/analytics/company/sh/688639/688639/detail</t>
  </si>
  <si>
    <t>瑞斯康达</t>
  </si>
  <si>
    <t>www.lixinger.com/analytics/company/sh/603803/603803/detail</t>
  </si>
  <si>
    <t>长盛轴承</t>
  </si>
  <si>
    <t>www.lixinger.com/analytics/company/sz/300718/300718/detail</t>
  </si>
  <si>
    <t>辰欣药业</t>
  </si>
  <si>
    <t>www.lixinger.com/analytics/company/sh/603367/603367/detail</t>
  </si>
  <si>
    <t>诚意药业</t>
  </si>
  <si>
    <t>www.lixinger.com/analytics/company/sh/603811/603811/detail</t>
  </si>
  <si>
    <t>湘油泵</t>
  </si>
  <si>
    <t>www.lixinger.com/analytics/company/sh/603319/603319/detail</t>
  </si>
  <si>
    <t>东信和平</t>
  </si>
  <si>
    <t>www.lixinger.com/analytics/company/sz/002017/2017/detail</t>
  </si>
  <si>
    <t>北新路桥</t>
  </si>
  <si>
    <t>www.lixinger.com/analytics/company/sz/002307/2307/detail</t>
  </si>
  <si>
    <t>宇信科技</t>
  </si>
  <si>
    <t>www.lixinger.com/analytics/company/sz/300674/300674/detail</t>
  </si>
  <si>
    <t>佳讯飞鸿</t>
  </si>
  <si>
    <t>www.lixinger.com/analytics/company/sz/300213/300213/detail</t>
  </si>
  <si>
    <t>启迪环境</t>
  </si>
  <si>
    <t>www.lixinger.com/analytics/company/sz/000826/826/detail</t>
  </si>
  <si>
    <t>西麦食品</t>
  </si>
  <si>
    <t>www.lixinger.com/analytics/company/sz/002956/2956/detail</t>
  </si>
  <si>
    <t>国芳集团</t>
  </si>
  <si>
    <t>www.lixinger.com/analytics/company/sh/601086/601086/detail</t>
  </si>
  <si>
    <t>奥锐特</t>
  </si>
  <si>
    <t>www.lixinger.com/analytics/company/sh/605116/605116/detail</t>
  </si>
  <si>
    <t>美诺华</t>
  </si>
  <si>
    <t>www.lixinger.com/analytics/company/sh/603538/603538/detail</t>
  </si>
  <si>
    <t>卓越新能</t>
  </si>
  <si>
    <t>www.lixinger.com/analytics/company/sh/688196/688196/detail</t>
  </si>
  <si>
    <t>维力医疗</t>
  </si>
  <si>
    <t>www.lixinger.com/analytics/company/sh/603309/603309/detail</t>
  </si>
  <si>
    <t>诺普信</t>
  </si>
  <si>
    <t>www.lixinger.com/analytics/company/sz/002215/2215/detail</t>
  </si>
  <si>
    <t>德美化工</t>
  </si>
  <si>
    <t>www.lixinger.com/analytics/company/sz/002054/2054/detail</t>
  </si>
  <si>
    <t>梅雁吉祥</t>
  </si>
  <si>
    <t>www.lixinger.com/analytics/company/sh/600868/600868/detail</t>
  </si>
  <si>
    <t>闽发铝业</t>
  </si>
  <si>
    <t>www.lixinger.com/analytics/company/sz/002578/2578/detail</t>
  </si>
  <si>
    <t>万辰生物</t>
  </si>
  <si>
    <t>www.lixinger.com/analytics/company/sz/300972/300972/detail</t>
  </si>
  <si>
    <t>出版传媒</t>
  </si>
  <si>
    <t>www.lixinger.com/analytics/company/sh/601999/601999/detail</t>
  </si>
  <si>
    <t>天孚通信</t>
  </si>
  <si>
    <t>www.lixinger.com/analytics/company/sz/300394/300394/detail</t>
  </si>
  <si>
    <t>精准信息</t>
  </si>
  <si>
    <t>www.lixinger.com/analytics/company/sz/300099/300099/detail</t>
  </si>
  <si>
    <t>凯盛新材</t>
  </si>
  <si>
    <t>www.lixinger.com/analytics/company/sz/301069/301069/detail</t>
  </si>
  <si>
    <t>瓦轴B</t>
  </si>
  <si>
    <t>www.lixinger.com/analytics/company/sz/200706/200706/detail</t>
  </si>
  <si>
    <t>英联股份</t>
  </si>
  <si>
    <t>www.lixinger.com/analytics/company/sz/002846/2846/detail</t>
  </si>
  <si>
    <t>贝斯特</t>
  </si>
  <si>
    <t>www.lixinger.com/analytics/company/sz/300580/300580/detail</t>
  </si>
  <si>
    <t>佳云科技</t>
  </si>
  <si>
    <t>www.lixinger.com/analytics/company/sz/300242/300242/detail</t>
  </si>
  <si>
    <t>华蓝集团</t>
  </si>
  <si>
    <t>www.lixinger.com/analytics/company/sz/301027/301027/detail</t>
  </si>
  <si>
    <t>泰和科技</t>
  </si>
  <si>
    <t>www.lixinger.com/analytics/company/sz/300801/300801/detail</t>
  </si>
  <si>
    <t>长鸿高科</t>
  </si>
  <si>
    <t>www.lixinger.com/analytics/company/sh/605008/605008/detail</t>
  </si>
  <si>
    <t>新华百货</t>
  </si>
  <si>
    <t>www.lixinger.com/analytics/company/sh/600785/600785/detail</t>
  </si>
  <si>
    <t>安源煤业</t>
  </si>
  <si>
    <t>www.lixinger.com/analytics/company/sh/600397/600397/detail</t>
  </si>
  <si>
    <t>新点软件</t>
  </si>
  <si>
    <t>www.lixinger.com/analytics/company/sh/688232/688232/detail</t>
  </si>
  <si>
    <t>仲景食品</t>
  </si>
  <si>
    <t>www.lixinger.com/analytics/company/sz/300908/300908/detail</t>
  </si>
  <si>
    <t>新开普</t>
  </si>
  <si>
    <t>www.lixinger.com/analytics/company/sz/300248/300248/detail</t>
  </si>
  <si>
    <t>锋尚文化</t>
  </si>
  <si>
    <t>www.lixinger.com/analytics/company/sz/300860/300860/detail</t>
  </si>
  <si>
    <t>鸿远电子</t>
  </si>
  <si>
    <t>www.lixinger.com/analytics/company/sh/603267/603267/detail</t>
  </si>
  <si>
    <t>宏和科技</t>
  </si>
  <si>
    <t>www.lixinger.com/analytics/company/sh/603256/603256/detail</t>
  </si>
  <si>
    <t>迅游科技</t>
  </si>
  <si>
    <t>www.lixinger.com/analytics/company/sz/300467/300467/detail</t>
  </si>
  <si>
    <t>透景生命</t>
  </si>
  <si>
    <t>www.lixinger.com/analytics/company/sz/300642/300642/detail</t>
  </si>
  <si>
    <t>科顺股份</t>
  </si>
  <si>
    <t>www.lixinger.com/analytics/company/sz/300737/300737/detail</t>
  </si>
  <si>
    <t>快克股份</t>
  </si>
  <si>
    <t>www.lixinger.com/analytics/company/sh/603203/603203/detail</t>
  </si>
  <si>
    <t>全通教育</t>
  </si>
  <si>
    <t>www.lixinger.com/analytics/company/sz/300359/300359/detail</t>
  </si>
  <si>
    <t>南网科技</t>
  </si>
  <si>
    <t>www.lixinger.com/analytics/company/sh/688248/688248/detail</t>
  </si>
  <si>
    <t>美达股份</t>
  </si>
  <si>
    <t>www.lixinger.com/analytics/company/sz/000782/782/detail</t>
  </si>
  <si>
    <t>春秋电子</t>
  </si>
  <si>
    <t>www.lixinger.com/analytics/company/sh/603890/603890/detail</t>
  </si>
  <si>
    <t>西部创业</t>
  </si>
  <si>
    <t>www.lixinger.com/analytics/company/sz/000557/557/detail</t>
  </si>
  <si>
    <t>上海机电</t>
  </si>
  <si>
    <t>www.lixinger.com/analytics/company/sh/600835/600835/detail</t>
  </si>
  <si>
    <t>柯力传感</t>
  </si>
  <si>
    <t>www.lixinger.com/analytics/company/sh/603662/603662/detail</t>
  </si>
  <si>
    <t>赛升药业</t>
  </si>
  <si>
    <t>www.lixinger.com/analytics/company/sz/300485/300485/detail</t>
  </si>
  <si>
    <t>浙江众成</t>
  </si>
  <si>
    <t>www.lixinger.com/analytics/company/sz/002522/2522/detail</t>
  </si>
  <si>
    <t>海螺新材</t>
  </si>
  <si>
    <t>www.lixinger.com/analytics/company/sz/000619/619/detail</t>
  </si>
  <si>
    <t>美联新材</t>
  </si>
  <si>
    <t>www.lixinger.com/analytics/company/sz/300586/300586/detail</t>
  </si>
  <si>
    <t>华胜天成</t>
  </si>
  <si>
    <t>www.lixinger.com/analytics/company/sh/600410/600410/detail</t>
  </si>
  <si>
    <t>贵航股份</t>
  </si>
  <si>
    <t>www.lixinger.com/analytics/company/sh/600523/600523/detail</t>
  </si>
  <si>
    <t>上海雅仕</t>
  </si>
  <si>
    <t>www.lixinger.com/analytics/company/sh/603329/603329/detail</t>
  </si>
  <si>
    <t>厦钨新能</t>
  </si>
  <si>
    <t>www.lixinger.com/analytics/company/sh/688778/688778/detail</t>
  </si>
  <si>
    <t>中天精装</t>
  </si>
  <si>
    <t>www.lixinger.com/analytics/company/sz/002989/2989/detail</t>
  </si>
  <si>
    <t>乐惠国际</t>
  </si>
  <si>
    <t>www.lixinger.com/analytics/company/sh/603076/603076/detail</t>
  </si>
  <si>
    <t>甘咨询</t>
  </si>
  <si>
    <t>www.lixinger.com/analytics/company/sz/000779/779/detail</t>
  </si>
  <si>
    <t>国盾量子</t>
  </si>
  <si>
    <t>www.lixinger.com/analytics/company/sh/688027/688027/detail</t>
  </si>
  <si>
    <t>天桥起重</t>
  </si>
  <si>
    <t>www.lixinger.com/analytics/company/sz/002523/2523/detail</t>
  </si>
  <si>
    <t>华达新材</t>
  </si>
  <si>
    <t>www.lixinger.com/analytics/company/sh/605158/605158/detail</t>
  </si>
  <si>
    <t>高伟达</t>
  </si>
  <si>
    <t>www.lixinger.com/analytics/company/sz/300465/300465/detail</t>
  </si>
  <si>
    <t>圣龙股份</t>
  </si>
  <si>
    <t>www.lixinger.com/analytics/company/sh/603178/603178/detail</t>
  </si>
  <si>
    <t>久远银海</t>
  </si>
  <si>
    <t>www.lixinger.com/analytics/company/sz/002777/2777/detail</t>
  </si>
  <si>
    <t>中原内配</t>
  </si>
  <si>
    <t>www.lixinger.com/analytics/company/sz/002448/2448/detail</t>
  </si>
  <si>
    <t>广电计量</t>
  </si>
  <si>
    <t>www.lixinger.com/analytics/company/sz/002967/2967/detail</t>
  </si>
  <si>
    <t>恒铭达</t>
  </si>
  <si>
    <t>www.lixinger.com/analytics/company/sz/002947/2947/detail</t>
  </si>
  <si>
    <t>通达电气</t>
  </si>
  <si>
    <t>www.lixinger.com/analytics/company/sh/603390/603390/detail</t>
  </si>
  <si>
    <t>通源石油</t>
  </si>
  <si>
    <t>www.lixinger.com/analytics/company/sz/300164/300164/detail</t>
  </si>
  <si>
    <t>凯迪股份</t>
  </si>
  <si>
    <t>www.lixinger.com/analytics/company/sh/605288/605288/detail</t>
  </si>
  <si>
    <t>麦克奥迪</t>
  </si>
  <si>
    <t>www.lixinger.com/analytics/company/sz/300341/300341/detail</t>
  </si>
  <si>
    <t>中石科技</t>
  </si>
  <si>
    <t>www.lixinger.com/analytics/company/sz/300684/300684/detail</t>
  </si>
  <si>
    <t>广电网络</t>
  </si>
  <si>
    <t>www.lixinger.com/analytics/company/sh/600831/600831/detail</t>
  </si>
  <si>
    <t>模塑科技</t>
  </si>
  <si>
    <t>www.lixinger.com/analytics/company/sz/000700/700/detail</t>
  </si>
  <si>
    <t>四川九洲</t>
  </si>
  <si>
    <t>www.lixinger.com/analytics/company/sz/000801/801/detail</t>
  </si>
  <si>
    <t>远方信息</t>
  </si>
  <si>
    <t>www.lixinger.com/analytics/company/sz/300306/300306/detail</t>
  </si>
  <si>
    <t>成都先导</t>
  </si>
  <si>
    <t>www.lixinger.com/analytics/company/sh/688222/688222/detail</t>
  </si>
  <si>
    <t>众信旅游</t>
  </si>
  <si>
    <t>www.lixinger.com/analytics/company/sz/002707/2707/detail</t>
  </si>
  <si>
    <t>嘉亨家化</t>
  </si>
  <si>
    <t>www.lixinger.com/analytics/company/sz/300955/300955/detail</t>
  </si>
  <si>
    <t>皖通科技</t>
  </si>
  <si>
    <t>www.lixinger.com/analytics/company/sz/002331/2331/detail</t>
  </si>
  <si>
    <t>久其软件</t>
  </si>
  <si>
    <t>www.lixinger.com/analytics/company/sz/002279/2279/detail</t>
  </si>
  <si>
    <t>浩洋股份</t>
  </si>
  <si>
    <t>www.lixinger.com/analytics/company/sz/300833/300833/detail</t>
  </si>
  <si>
    <t>大中矿业</t>
  </si>
  <si>
    <t>www.lixinger.com/analytics/company/sz/001203/1203/detail</t>
  </si>
  <si>
    <t>汉森制药</t>
  </si>
  <si>
    <t>www.lixinger.com/analytics/company/sz/002412/2412/detail</t>
  </si>
  <si>
    <t>红豆股份</t>
  </si>
  <si>
    <t>www.lixinger.com/analytics/company/sh/600400/600400/detail</t>
  </si>
  <si>
    <t>ST海越</t>
  </si>
  <si>
    <t>www.lixinger.com/analytics/company/sh/600387/600387/detail</t>
  </si>
  <si>
    <t>三鑫医疗</t>
  </si>
  <si>
    <t>www.lixinger.com/analytics/company/sz/300453/300453/detail</t>
  </si>
  <si>
    <t>安联锐视</t>
  </si>
  <si>
    <t>www.lixinger.com/analytics/company/sz/301042/301042/detail</t>
  </si>
  <si>
    <t>同德化工</t>
  </si>
  <si>
    <t>www.lixinger.com/analytics/company/sz/002360/2360/detail</t>
  </si>
  <si>
    <t>万达信息</t>
  </si>
  <si>
    <t>www.lixinger.com/analytics/company/sz/300168/300168/detail</t>
  </si>
  <si>
    <t>永创智能</t>
  </si>
  <si>
    <t>www.lixinger.com/analytics/company/sh/603901/603901/detail</t>
  </si>
  <si>
    <t>冠盛股份</t>
  </si>
  <si>
    <t>www.lixinger.com/analytics/company/sh/605088/605088/detail</t>
  </si>
  <si>
    <t>*ST海伦</t>
  </si>
  <si>
    <t>www.lixinger.com/analytics/company/sz/300201/300201/detail</t>
  </si>
  <si>
    <t>ST高升</t>
  </si>
  <si>
    <t>www.lixinger.com/analytics/company/sz/000971/971/detail</t>
  </si>
  <si>
    <t>晋西车轴</t>
  </si>
  <si>
    <t>www.lixinger.com/analytics/company/sh/600495/600495/detail</t>
  </si>
  <si>
    <t>利安隆</t>
  </si>
  <si>
    <t>www.lixinger.com/analytics/company/sz/300596/300596/detail</t>
  </si>
  <si>
    <t>亚太科技</t>
  </si>
  <si>
    <t>www.lixinger.com/analytics/company/sz/002540/2540/detail</t>
  </si>
  <si>
    <t>能辉科技</t>
  </si>
  <si>
    <t>www.lixinger.com/analytics/company/sz/301046/301046/detail</t>
  </si>
  <si>
    <t>开元教育</t>
  </si>
  <si>
    <t>www.lixinger.com/analytics/company/sz/300338/300338/detail</t>
  </si>
  <si>
    <t>ST海投</t>
  </si>
  <si>
    <t>www.lixinger.com/analytics/company/sz/000616/616/detail</t>
  </si>
  <si>
    <t>东睦股份</t>
  </si>
  <si>
    <t>www.lixinger.com/analytics/company/sh/600114/600114/detail</t>
  </si>
  <si>
    <t>国网英大</t>
  </si>
  <si>
    <t>www.lixinger.com/analytics/company/sh/600517/600517/detail</t>
  </si>
  <si>
    <t>神州泰岳</t>
  </si>
  <si>
    <t>www.lixinger.com/analytics/company/sz/300002/300002/detail</t>
  </si>
  <si>
    <t>硕贝德</t>
  </si>
  <si>
    <t>www.lixinger.com/analytics/company/sz/300322/300322/detail</t>
  </si>
  <si>
    <t>新联电子</t>
  </si>
  <si>
    <t>www.lixinger.com/analytics/company/sz/002546/2546/detail</t>
  </si>
  <si>
    <t>华谊B股</t>
  </si>
  <si>
    <t>www.lixinger.com/analytics/company/sh/900909/900909/detail</t>
  </si>
  <si>
    <t>阳光股份</t>
  </si>
  <si>
    <t>www.lixinger.com/analytics/company/sz/000608/608/detail</t>
  </si>
  <si>
    <t>财富趋势</t>
  </si>
  <si>
    <t>www.lixinger.com/analytics/company/sh/688318/688318/detail</t>
  </si>
  <si>
    <t>三联虹普</t>
  </si>
  <si>
    <t>www.lixinger.com/analytics/company/sz/300384/300384/detail</t>
  </si>
  <si>
    <t>中关村</t>
  </si>
  <si>
    <t>www.lixinger.com/analytics/company/sz/000931/931/detail</t>
  </si>
  <si>
    <t>大胜达</t>
  </si>
  <si>
    <t>www.lixinger.com/analytics/company/sh/603687/603687/detail</t>
  </si>
  <si>
    <t>华测导航</t>
  </si>
  <si>
    <t>www.lixinger.com/analytics/company/sz/300627/300627/detail</t>
  </si>
  <si>
    <t>金洲管道</t>
  </si>
  <si>
    <t>www.lixinger.com/analytics/company/sz/002443/2443/detail</t>
  </si>
  <si>
    <t>瑞泰科技</t>
  </si>
  <si>
    <t>www.lixinger.com/analytics/company/sz/002066/2066/detail</t>
  </si>
  <si>
    <t>安科瑞</t>
  </si>
  <si>
    <t>www.lixinger.com/analytics/company/sz/300286/300286/detail</t>
  </si>
  <si>
    <t>易德龙</t>
  </si>
  <si>
    <t>www.lixinger.com/analytics/company/sh/603380/603380/detail</t>
  </si>
  <si>
    <t>通宇通讯</t>
  </si>
  <si>
    <t>www.lixinger.com/analytics/company/sz/002792/2792/detail</t>
  </si>
  <si>
    <t>通光线缆</t>
  </si>
  <si>
    <t>www.lixinger.com/analytics/company/sz/300265/300265/detail</t>
  </si>
  <si>
    <t>杰美特</t>
  </si>
  <si>
    <t>www.lixinger.com/analytics/company/sz/300868/300868/detail</t>
  </si>
  <si>
    <t>和邦生物</t>
  </si>
  <si>
    <t>www.lixinger.com/analytics/company/sh/603077/603077/detail</t>
  </si>
  <si>
    <t>顺博合金</t>
  </si>
  <si>
    <t>www.lixinger.com/analytics/company/sz/002996/2996/detail</t>
  </si>
  <si>
    <t>国脉科技</t>
  </si>
  <si>
    <t>www.lixinger.com/analytics/company/sz/002093/2093/detail</t>
  </si>
  <si>
    <t>科林电气</t>
  </si>
  <si>
    <t>www.lixinger.com/analytics/company/sh/603050/603050/detail</t>
  </si>
  <si>
    <t>ST顺利</t>
  </si>
  <si>
    <t>www.lixinger.com/analytics/company/sz/000606/606/detail</t>
  </si>
  <si>
    <t>方盛制药</t>
  </si>
  <si>
    <t>www.lixinger.com/analytics/company/sh/603998/603998/detail</t>
  </si>
  <si>
    <t>奕东电子</t>
  </si>
  <si>
    <t>www.lixinger.com/analytics/company/sz/301123/301123/detail</t>
  </si>
  <si>
    <t>渝开发</t>
  </si>
  <si>
    <t>www.lixinger.com/analytics/company/sz/000514/514/detail</t>
  </si>
  <si>
    <t>闽东电力</t>
  </si>
  <si>
    <t>www.lixinger.com/analytics/company/sz/000993/993/detail</t>
  </si>
  <si>
    <t>雪人股份</t>
  </si>
  <si>
    <t>www.lixinger.com/analytics/company/sz/002639/2639/detail</t>
  </si>
  <si>
    <t>聚力文化</t>
  </si>
  <si>
    <t>www.lixinger.com/analytics/company/sz/002247/2247/detail</t>
  </si>
  <si>
    <t>千红制药</t>
  </si>
  <si>
    <t>www.lixinger.com/analytics/company/sz/002550/2550/detail</t>
  </si>
  <si>
    <t>倍加洁</t>
  </si>
  <si>
    <t>洗护用品</t>
  </si>
  <si>
    <t>www.lixinger.com/analytics/company/sh/603059/603059/detail</t>
  </si>
  <si>
    <t>振邦智能</t>
  </si>
  <si>
    <t>www.lixinger.com/analytics/company/sz/003028/3028/detail</t>
  </si>
  <si>
    <t>ST目药</t>
  </si>
  <si>
    <t>www.lixinger.com/analytics/company/sh/600671/600671/detail</t>
  </si>
  <si>
    <t>ST龙韵</t>
  </si>
  <si>
    <t>www.lixinger.com/analytics/company/sh/603729/603729/detail</t>
  </si>
  <si>
    <t>华微电子</t>
  </si>
  <si>
    <t>www.lixinger.com/analytics/company/sh/600360/600360/detail</t>
  </si>
  <si>
    <t>安利股份</t>
  </si>
  <si>
    <t>www.lixinger.com/analytics/company/sz/300218/300218/detail</t>
  </si>
  <si>
    <t>闽灿坤Ｂ</t>
  </si>
  <si>
    <t>www.lixinger.com/analytics/company/sz/200512/200512/detail</t>
  </si>
  <si>
    <t>电工合金</t>
  </si>
  <si>
    <t>www.lixinger.com/analytics/company/sz/300697/300697/detail</t>
  </si>
  <si>
    <t>宝利国际</t>
  </si>
  <si>
    <t>www.lixinger.com/analytics/company/sz/300135/300135/detail</t>
  </si>
  <si>
    <t>浙江东日</t>
  </si>
  <si>
    <t>www.lixinger.com/analytics/company/sh/600113/600113/detail</t>
  </si>
  <si>
    <t>郑中设计</t>
  </si>
  <si>
    <t>www.lixinger.com/analytics/company/sz/002811/2811/detail</t>
  </si>
  <si>
    <t>鹏都农牧</t>
  </si>
  <si>
    <t>www.lixinger.com/analytics/company/sz/002505/2505/detail</t>
  </si>
  <si>
    <t>剑桥科技</t>
  </si>
  <si>
    <t>www.lixinger.com/analytics/company/sh/603083/603083/detail</t>
  </si>
  <si>
    <t>博深股份</t>
  </si>
  <si>
    <t>www.lixinger.com/analytics/company/sz/002282/2282/detail</t>
  </si>
  <si>
    <t>倍杰特</t>
  </si>
  <si>
    <t>www.lixinger.com/analytics/company/sz/300774/300774/detail</t>
  </si>
  <si>
    <t>睿创微纳</t>
  </si>
  <si>
    <t>www.lixinger.com/analytics/company/sh/688002/688002/detail</t>
  </si>
  <si>
    <t>圣阳股份</t>
  </si>
  <si>
    <t>www.lixinger.com/analytics/company/sz/002580/2580/detail</t>
  </si>
  <si>
    <t>嘉欣丝绸</t>
  </si>
  <si>
    <t>www.lixinger.com/analytics/company/sz/002404/2404/detail</t>
  </si>
  <si>
    <t>百大集团</t>
  </si>
  <si>
    <t>www.lixinger.com/analytics/company/sh/600865/600865/detail</t>
  </si>
  <si>
    <t>中汽股份</t>
  </si>
  <si>
    <t>www.lixinger.com/analytics/company/sz/301215/301215/detail</t>
  </si>
  <si>
    <t>格林精密</t>
  </si>
  <si>
    <t>www.lixinger.com/analytics/company/sz/300968/300968/detail</t>
  </si>
  <si>
    <t>中锐股份</t>
  </si>
  <si>
    <t>www.lixinger.com/analytics/company/sz/002374/2374/detail</t>
  </si>
  <si>
    <t>德昌股份</t>
  </si>
  <si>
    <t>www.lixinger.com/analytics/company/sh/605555/605555/detail</t>
  </si>
  <si>
    <t>奥普特</t>
  </si>
  <si>
    <t>www.lixinger.com/analytics/company/sh/688686/688686/detail</t>
  </si>
  <si>
    <t>科思股份</t>
  </si>
  <si>
    <t>www.lixinger.com/analytics/company/sz/300856/300856/detail</t>
  </si>
  <si>
    <t>宜华健康</t>
  </si>
  <si>
    <t>www.lixinger.com/analytics/company/sz/000150/150/detail</t>
  </si>
  <si>
    <t>四方达</t>
  </si>
  <si>
    <t>www.lixinger.com/analytics/company/sz/300179/300179/detail</t>
  </si>
  <si>
    <t>筑博设计</t>
  </si>
  <si>
    <t>www.lixinger.com/analytics/company/sz/300564/300564/detail</t>
  </si>
  <si>
    <t>安彩高科</t>
  </si>
  <si>
    <t>www.lixinger.com/analytics/company/sh/600207/600207/detail</t>
  </si>
  <si>
    <t>北陆药业</t>
  </si>
  <si>
    <t>www.lixinger.com/analytics/company/sz/300016/300016/detail</t>
  </si>
  <si>
    <t>隆华新材</t>
  </si>
  <si>
    <t>www.lixinger.com/analytics/company/sz/301149/301149/detail</t>
  </si>
  <si>
    <t>云意电气</t>
  </si>
  <si>
    <t>www.lixinger.com/analytics/company/sz/300304/300304/detail</t>
  </si>
  <si>
    <t>金富科技</t>
  </si>
  <si>
    <t>www.lixinger.com/analytics/company/sz/003018/3018/detail</t>
  </si>
  <si>
    <t>中兴商业</t>
  </si>
  <si>
    <t>www.lixinger.com/analytics/company/sz/000715/715/detail</t>
  </si>
  <si>
    <t>翔宇医疗</t>
  </si>
  <si>
    <t>www.lixinger.com/analytics/company/sh/688626/688626/detail</t>
  </si>
  <si>
    <t>艾华集团</t>
  </si>
  <si>
    <t>www.lixinger.com/analytics/company/sh/603989/603989/detail</t>
  </si>
  <si>
    <t>张家界</t>
  </si>
  <si>
    <t>www.lixinger.com/analytics/company/sz/000430/430/detail</t>
  </si>
  <si>
    <t>长缆科技</t>
  </si>
  <si>
    <t>www.lixinger.com/analytics/company/sz/002879/2879/detail</t>
  </si>
  <si>
    <t>金丹科技</t>
  </si>
  <si>
    <t>www.lixinger.com/analytics/company/sz/300829/300829/detail</t>
  </si>
  <si>
    <t>*ST丹邦</t>
  </si>
  <si>
    <t>www.lixinger.com/analytics/company/sz/002618/2618/detail</t>
  </si>
  <si>
    <t>中建环能</t>
  </si>
  <si>
    <t>www.lixinger.com/analytics/company/sz/300425/300425/detail</t>
  </si>
  <si>
    <t>千金药业</t>
  </si>
  <si>
    <t>www.lixinger.com/analytics/company/sh/600479/600479/detail</t>
  </si>
  <si>
    <t>斯莱克</t>
  </si>
  <si>
    <t>www.lixinger.com/analytics/company/sz/300382/300382/detail</t>
  </si>
  <si>
    <t>万泽股份</t>
  </si>
  <si>
    <t>www.lixinger.com/analytics/company/sz/000534/534/detail</t>
  </si>
  <si>
    <t>乔治白</t>
  </si>
  <si>
    <t>www.lixinger.com/analytics/company/sz/002687/2687/detail</t>
  </si>
  <si>
    <t>科前生物</t>
  </si>
  <si>
    <t>www.lixinger.com/analytics/company/sh/688526/688526/detail</t>
  </si>
  <si>
    <t>三圣股份</t>
  </si>
  <si>
    <t>www.lixinger.com/analytics/company/sz/002742/2742/detail</t>
  </si>
  <si>
    <t>赛伍技术</t>
  </si>
  <si>
    <t>www.lixinger.com/analytics/company/sh/603212/603212/detail</t>
  </si>
  <si>
    <t>保龄宝</t>
  </si>
  <si>
    <t>www.lixinger.com/analytics/company/sz/002286/2286/detail</t>
  </si>
  <si>
    <t>久日新材</t>
  </si>
  <si>
    <t>www.lixinger.com/analytics/company/sh/688199/688199/detail</t>
  </si>
  <si>
    <t>三盛教育</t>
  </si>
  <si>
    <t>www.lixinger.com/analytics/company/sz/300282/300282/detail</t>
  </si>
  <si>
    <t>神驰机电</t>
  </si>
  <si>
    <t>www.lixinger.com/analytics/company/sh/603109/603109/detail</t>
  </si>
  <si>
    <t>恒基达鑫</t>
  </si>
  <si>
    <t>www.lixinger.com/analytics/company/sz/002492/2492/detail</t>
  </si>
  <si>
    <t>京华激光</t>
  </si>
  <si>
    <t>综合包装</t>
  </si>
  <si>
    <t>www.lixinger.com/analytics/company/sh/603607/603607/detail</t>
  </si>
  <si>
    <t>有友食品</t>
  </si>
  <si>
    <t>www.lixinger.com/analytics/company/sh/603697/603697/detail</t>
  </si>
  <si>
    <t>天汽模</t>
  </si>
  <si>
    <t>www.lixinger.com/analytics/company/sz/002510/2510/detail</t>
  </si>
  <si>
    <t>星徽股份</t>
  </si>
  <si>
    <t>www.lixinger.com/analytics/company/sz/300464/300464/detail</t>
  </si>
  <si>
    <t>瀛通通讯</t>
  </si>
  <si>
    <t>www.lixinger.com/analytics/company/sz/002861/2861/detail</t>
  </si>
  <si>
    <t>济民医疗</t>
  </si>
  <si>
    <t>www.lixinger.com/analytics/company/sh/603222/603222/detail</t>
  </si>
  <si>
    <t>焦点科技</t>
  </si>
  <si>
    <t>www.lixinger.com/analytics/company/sz/002315/2315/detail</t>
  </si>
  <si>
    <t>神通科技</t>
  </si>
  <si>
    <t>www.lixinger.com/analytics/company/sh/605228/605228/detail</t>
  </si>
  <si>
    <t>*ST上普</t>
  </si>
  <si>
    <t>www.lixinger.com/analytics/company/sh/600680/600680/detail</t>
  </si>
  <si>
    <t>中衡设计</t>
  </si>
  <si>
    <t>www.lixinger.com/analytics/company/sh/603017/603017/detail</t>
  </si>
  <si>
    <t>宸展光电</t>
  </si>
  <si>
    <t>www.lixinger.com/analytics/company/sz/003019/3019/detail</t>
  </si>
  <si>
    <t>拓维信息</t>
  </si>
  <si>
    <t>www.lixinger.com/analytics/company/sz/002261/2261/detail</t>
  </si>
  <si>
    <t>新疆火炬</t>
  </si>
  <si>
    <t>www.lixinger.com/analytics/company/sh/603080/603080/detail</t>
  </si>
  <si>
    <t>兆丰股份</t>
  </si>
  <si>
    <t>www.lixinger.com/analytics/company/sz/300695/300695/detail</t>
  </si>
  <si>
    <t>艾德生物</t>
  </si>
  <si>
    <t>www.lixinger.com/analytics/company/sz/300685/300685/detail</t>
  </si>
  <si>
    <t>瑞贝卡</t>
  </si>
  <si>
    <t>其他饰品</t>
  </si>
  <si>
    <t>www.lixinger.com/analytics/company/sh/600439/600439/detail</t>
  </si>
  <si>
    <t>派克新材</t>
  </si>
  <si>
    <t>www.lixinger.com/analytics/company/sh/605123/605123/detail</t>
  </si>
  <si>
    <t>利扬芯片</t>
  </si>
  <si>
    <t>www.lixinger.com/analytics/company/sh/688135/688135/detail</t>
  </si>
  <si>
    <t>华辰装备</t>
  </si>
  <si>
    <t>www.lixinger.com/analytics/company/sz/300809/300809/detail</t>
  </si>
  <si>
    <t>润都股份</t>
  </si>
  <si>
    <t>www.lixinger.com/analytics/company/sz/002923/2923/detail</t>
  </si>
  <si>
    <t>固德威</t>
  </si>
  <si>
    <t>www.lixinger.com/analytics/company/sh/688390/688390/detail</t>
  </si>
  <si>
    <t>李子园</t>
  </si>
  <si>
    <t>www.lixinger.com/analytics/company/sh/605337/605337/detail</t>
  </si>
  <si>
    <t>高凌信息</t>
  </si>
  <si>
    <t>www.lixinger.com/analytics/company/sh/688175/688175/detail</t>
  </si>
  <si>
    <t>威龙股份</t>
  </si>
  <si>
    <t>www.lixinger.com/analytics/company/sh/603779/603779/detail</t>
  </si>
  <si>
    <t>富士莱</t>
  </si>
  <si>
    <t>www.lixinger.com/analytics/company/sz/301258/301258/detail</t>
  </si>
  <si>
    <t>华金资本</t>
  </si>
  <si>
    <t>www.lixinger.com/analytics/company/sz/000532/532/detail</t>
  </si>
  <si>
    <t>微光股份</t>
  </si>
  <si>
    <t>www.lixinger.com/analytics/company/sz/002801/2801/detail</t>
  </si>
  <si>
    <t>三维股份</t>
  </si>
  <si>
    <t>www.lixinger.com/analytics/company/sh/603033/603033/detail</t>
  </si>
  <si>
    <t>西部黄金</t>
  </si>
  <si>
    <t>www.lixinger.com/analytics/company/sh/601069/601069/detail</t>
  </si>
  <si>
    <t>赛腾股份</t>
  </si>
  <si>
    <t>www.lixinger.com/analytics/company/sh/603283/603283/detail</t>
  </si>
  <si>
    <t>秋田微</t>
  </si>
  <si>
    <t>www.lixinger.com/analytics/company/sz/300939/300939/detail</t>
  </si>
  <si>
    <t>立方制药</t>
  </si>
  <si>
    <t>www.lixinger.com/analytics/company/sz/003020/3020/detail</t>
  </si>
  <si>
    <t>永清环保</t>
  </si>
  <si>
    <t>www.lixinger.com/analytics/company/sz/300187/300187/detail</t>
  </si>
  <si>
    <t>三元生物</t>
  </si>
  <si>
    <t>www.lixinger.com/analytics/company/sz/301206/301206/detail</t>
  </si>
  <si>
    <t>欧科亿</t>
  </si>
  <si>
    <t>www.lixinger.com/analytics/company/sh/688308/688308/detail</t>
  </si>
  <si>
    <t>广弘控股</t>
  </si>
  <si>
    <t>www.lixinger.com/analytics/company/sz/000529/529/detail</t>
  </si>
  <si>
    <t>阳光乳业</t>
  </si>
  <si>
    <t>www.lixinger.com/analytics/company/sz/001318/1318/detail</t>
  </si>
  <si>
    <t>丽岛新材</t>
  </si>
  <si>
    <t>www.lixinger.com/analytics/company/sh/603937/603937/detail</t>
  </si>
  <si>
    <t>雪松发展</t>
  </si>
  <si>
    <t>www.lixinger.com/analytics/company/sz/002485/2485/detail</t>
  </si>
  <si>
    <t>英科再生</t>
  </si>
  <si>
    <t>www.lixinger.com/analytics/company/sh/688087/688087/detail</t>
  </si>
  <si>
    <t>智动力</t>
  </si>
  <si>
    <t>www.lixinger.com/analytics/company/sz/300686/300686/detail</t>
  </si>
  <si>
    <t>北摩高科</t>
  </si>
  <si>
    <t>www.lixinger.com/analytics/company/sz/002985/2985/detail</t>
  </si>
  <si>
    <t>恒光股份</t>
  </si>
  <si>
    <t>www.lixinger.com/analytics/company/sz/301118/301118/detail</t>
  </si>
  <si>
    <t>华峰铝业</t>
  </si>
  <si>
    <t>www.lixinger.com/analytics/company/sh/601702/601702/detail</t>
  </si>
  <si>
    <t>昭衍新药</t>
  </si>
  <si>
    <t>www.lixinger.com/analytics/company/sh/603127/603127/detail</t>
  </si>
  <si>
    <t>海汽集团</t>
  </si>
  <si>
    <t>www.lixinger.com/analytics/company/sh/603069/603069/detail</t>
  </si>
  <si>
    <t>中化岩土</t>
  </si>
  <si>
    <t>www.lixinger.com/analytics/company/sz/002542/2542/detail</t>
  </si>
  <si>
    <t>清源股份</t>
  </si>
  <si>
    <t>www.lixinger.com/analytics/company/sh/603628/603628/detail</t>
  </si>
  <si>
    <t>侨银股份</t>
  </si>
  <si>
    <t>www.lixinger.com/analytics/company/sz/002973/2973/detail</t>
  </si>
  <si>
    <t>红蜻蜓</t>
  </si>
  <si>
    <t>www.lixinger.com/analytics/company/sh/603116/603116/detail</t>
  </si>
  <si>
    <t>星源材质</t>
  </si>
  <si>
    <t>www.lixinger.com/analytics/company/sz/300568/300568/detail</t>
  </si>
  <si>
    <t>天华超净</t>
  </si>
  <si>
    <t>www.lixinger.com/analytics/company/sz/300390/300390/detail</t>
  </si>
  <si>
    <t>金牛化工</t>
  </si>
  <si>
    <t>www.lixinger.com/analytics/company/sh/600722/600722/detail</t>
  </si>
  <si>
    <t>百利电气</t>
  </si>
  <si>
    <t>www.lixinger.com/analytics/company/sh/600468/600468/detail</t>
  </si>
  <si>
    <t>壹网壹创</t>
  </si>
  <si>
    <t>www.lixinger.com/analytics/company/sz/300792/300792/detail</t>
  </si>
  <si>
    <t>银信科技</t>
  </si>
  <si>
    <t>www.lixinger.com/analytics/company/sz/300231/300231/detail</t>
  </si>
  <si>
    <t>双环科技</t>
  </si>
  <si>
    <t>www.lixinger.com/analytics/company/sz/000707/707/detail</t>
  </si>
  <si>
    <t>江苏阳光</t>
  </si>
  <si>
    <t>www.lixinger.com/analytics/company/sh/600220/600220/detail</t>
  </si>
  <si>
    <t>海晨股份</t>
  </si>
  <si>
    <t>www.lixinger.com/analytics/company/sz/300873/300873/detail</t>
  </si>
  <si>
    <t>名雕股份</t>
  </si>
  <si>
    <t>www.lixinger.com/analytics/company/sz/002830/2830/detail</t>
  </si>
  <si>
    <t>东方环宇</t>
  </si>
  <si>
    <t>www.lixinger.com/analytics/company/sh/603706/603706/detail</t>
  </si>
  <si>
    <t>二六三</t>
  </si>
  <si>
    <t>www.lixinger.com/analytics/company/sz/002467/2467/detail</t>
  </si>
  <si>
    <t>华瓷股份</t>
  </si>
  <si>
    <t>www.lixinger.com/analytics/company/sz/001216/1216/detail</t>
  </si>
  <si>
    <t>中润资源</t>
  </si>
  <si>
    <t>www.lixinger.com/analytics/company/sz/000506/506/detail</t>
  </si>
  <si>
    <t>唯科科技</t>
  </si>
  <si>
    <t>www.lixinger.com/analytics/company/sz/301196/301196/detail</t>
  </si>
  <si>
    <t>上声电子</t>
  </si>
  <si>
    <t>www.lixinger.com/analytics/company/sh/688533/688533/detail</t>
  </si>
  <si>
    <t>和顺石油</t>
  </si>
  <si>
    <t>www.lixinger.com/analytics/company/sh/603353/603353/detail</t>
  </si>
  <si>
    <t>福莱新材</t>
  </si>
  <si>
    <t>www.lixinger.com/analytics/company/sh/605488/605488/detail</t>
  </si>
  <si>
    <t>华融化学</t>
  </si>
  <si>
    <t>www.lixinger.com/analytics/company/sz/301256/301256/detail</t>
  </si>
  <si>
    <t>明新旭腾</t>
  </si>
  <si>
    <t>www.lixinger.com/analytics/company/sh/605068/605068/detail</t>
  </si>
  <si>
    <t>南大环境</t>
  </si>
  <si>
    <t>www.lixinger.com/analytics/company/sz/300864/300864/detail</t>
  </si>
  <si>
    <t>软控股份</t>
  </si>
  <si>
    <t>www.lixinger.com/analytics/company/sz/002073/2073/detail</t>
  </si>
  <si>
    <t>鹏翎股份</t>
  </si>
  <si>
    <t>www.lixinger.com/analytics/company/sz/300375/300375/detail</t>
  </si>
  <si>
    <t>ST中安</t>
  </si>
  <si>
    <t>www.lixinger.com/analytics/company/sh/600654/600654/detail</t>
  </si>
  <si>
    <t>爱克股份</t>
  </si>
  <si>
    <t>www.lixinger.com/analytics/company/sz/300889/300889/detail</t>
  </si>
  <si>
    <t>ST柏龙</t>
  </si>
  <si>
    <t>www.lixinger.com/analytics/company/sz/002776/2776/detail</t>
  </si>
  <si>
    <t>圣邦股份</t>
  </si>
  <si>
    <t>www.lixinger.com/analytics/company/sz/300661/300661/detail</t>
  </si>
  <si>
    <t>葫芦娃</t>
  </si>
  <si>
    <t>www.lixinger.com/analytics/company/sh/605199/605199/detail</t>
  </si>
  <si>
    <t>瑞联新材</t>
  </si>
  <si>
    <t>www.lixinger.com/analytics/company/sh/688550/688550/detail</t>
  </si>
  <si>
    <t>韩建河山</t>
  </si>
  <si>
    <t>www.lixinger.com/analytics/company/sh/603616/603616/detail</t>
  </si>
  <si>
    <t>ST天圣</t>
  </si>
  <si>
    <t>www.lixinger.com/analytics/company/sz/002872/2872/detail</t>
  </si>
  <si>
    <t>广济药业</t>
  </si>
  <si>
    <t>www.lixinger.com/analytics/company/sz/000952/952/detail</t>
  </si>
  <si>
    <t>城地香江</t>
  </si>
  <si>
    <t>www.lixinger.com/analytics/company/sh/603887/603887/detail</t>
  </si>
  <si>
    <t>裕兴股份</t>
  </si>
  <si>
    <t>www.lixinger.com/analytics/company/sz/300305/300305/detail</t>
  </si>
  <si>
    <t>大西洋</t>
  </si>
  <si>
    <t>www.lixinger.com/analytics/company/sh/600558/600558/detail</t>
  </si>
  <si>
    <t>西部材料</t>
  </si>
  <si>
    <t>www.lixinger.com/analytics/company/sz/002149/2149/detail</t>
  </si>
  <si>
    <t>锦浪科技</t>
  </si>
  <si>
    <t>www.lixinger.com/analytics/company/sz/300763/300763/detail</t>
  </si>
  <si>
    <t>心脉医疗</t>
  </si>
  <si>
    <t>www.lixinger.com/analytics/company/sh/688016/688016/detail</t>
  </si>
  <si>
    <t>格林达</t>
  </si>
  <si>
    <t>www.lixinger.com/analytics/company/sh/603931/603931/detail</t>
  </si>
  <si>
    <t>东百集团</t>
  </si>
  <si>
    <t>www.lixinger.com/analytics/company/sh/600693/600693/detail</t>
  </si>
  <si>
    <t>*ST中基</t>
  </si>
  <si>
    <t>www.lixinger.com/analytics/company/sz/000972/972/detail</t>
  </si>
  <si>
    <t>中科创达</t>
  </si>
  <si>
    <t>www.lixinger.com/analytics/company/sz/300496/300496/detail</t>
  </si>
  <si>
    <t>开润股份</t>
  </si>
  <si>
    <t>www.lixinger.com/analytics/company/sz/300577/300577/detail</t>
  </si>
  <si>
    <t>经纬恒润</t>
  </si>
  <si>
    <t>www.lixinger.com/analytics/company/sh/688326/688326/detail</t>
  </si>
  <si>
    <t>澳弘电子</t>
  </si>
  <si>
    <t>www.lixinger.com/analytics/company/sh/605058/605058/detail</t>
  </si>
  <si>
    <t>杭萧钢构</t>
  </si>
  <si>
    <t>www.lixinger.com/analytics/company/sh/600477/600477/detail</t>
  </si>
  <si>
    <t>苑东生物</t>
  </si>
  <si>
    <t>www.lixinger.com/analytics/company/sh/688513/688513/detail</t>
  </si>
  <si>
    <t>盛剑环境</t>
  </si>
  <si>
    <t>www.lixinger.com/analytics/company/sh/603324/603324/detail</t>
  </si>
  <si>
    <t>思特威</t>
  </si>
  <si>
    <t>www.lixinger.com/analytics/company/sh/688213/688213/detail</t>
  </si>
  <si>
    <t>伟思医疗</t>
  </si>
  <si>
    <t>www.lixinger.com/analytics/company/sh/688580/688580/detail</t>
  </si>
  <si>
    <t>银河磁体</t>
  </si>
  <si>
    <t>www.lixinger.com/analytics/company/sz/300127/300127/detail</t>
  </si>
  <si>
    <t>金鸿顺</t>
  </si>
  <si>
    <t>www.lixinger.com/analytics/company/sh/603922/603922/detail</t>
  </si>
  <si>
    <t>协和电子</t>
  </si>
  <si>
    <t>www.lixinger.com/analytics/company/sh/605258/605258/detail</t>
  </si>
  <si>
    <t>海目星</t>
  </si>
  <si>
    <t>www.lixinger.com/analytics/company/sh/688559/688559/detail</t>
  </si>
  <si>
    <t>英飞特</t>
  </si>
  <si>
    <t>www.lixinger.com/analytics/company/sz/300582/300582/detail</t>
  </si>
  <si>
    <t>奥来德</t>
  </si>
  <si>
    <t>www.lixinger.com/analytics/company/sh/688378/688378/detail</t>
  </si>
  <si>
    <t>奥特佳</t>
  </si>
  <si>
    <t>www.lixinger.com/analytics/company/sz/002239/2239/detail</t>
  </si>
  <si>
    <t>坤彩科技</t>
  </si>
  <si>
    <t>www.lixinger.com/analytics/company/sh/603826/603826/detail</t>
  </si>
  <si>
    <t>顺钠股份</t>
  </si>
  <si>
    <t>www.lixinger.com/analytics/company/sz/000533/533/detail</t>
  </si>
  <si>
    <t>三人行</t>
  </si>
  <si>
    <t>www.lixinger.com/analytics/company/sh/605168/605168/detail</t>
  </si>
  <si>
    <t>北斗星通</t>
  </si>
  <si>
    <t>www.lixinger.com/analytics/company/sz/002151/2151/detail</t>
  </si>
  <si>
    <t>国新文化</t>
  </si>
  <si>
    <t>www.lixinger.com/analytics/company/sh/600636/600636/detail</t>
  </si>
  <si>
    <t>庄园牧场</t>
  </si>
  <si>
    <t>www.lixinger.com/analytics/company/sz/002910/2910/detail</t>
  </si>
  <si>
    <t>濮阳惠成</t>
  </si>
  <si>
    <t>www.lixinger.com/analytics/company/sz/300481/300481/detail</t>
  </si>
  <si>
    <t>金龙机电</t>
  </si>
  <si>
    <t>www.lixinger.com/analytics/company/sz/300032/300032/detail</t>
  </si>
  <si>
    <t>普莱柯</t>
  </si>
  <si>
    <t>www.lixinger.com/analytics/company/sh/603566/603566/detail</t>
  </si>
  <si>
    <t>圣济堂</t>
  </si>
  <si>
    <t>www.lixinger.com/analytics/company/sh/600227/600227/detail</t>
  </si>
  <si>
    <t>通源环境</t>
  </si>
  <si>
    <t>www.lixinger.com/analytics/company/sh/688679/688679/detail</t>
  </si>
  <si>
    <t>川大智胜</t>
  </si>
  <si>
    <t>www.lixinger.com/analytics/company/sz/002253/2253/detail</t>
  </si>
  <si>
    <t>环球印务</t>
  </si>
  <si>
    <t>www.lixinger.com/analytics/company/sz/002799/2799/detail</t>
  </si>
  <si>
    <t>尚荣医疗</t>
  </si>
  <si>
    <t>www.lixinger.com/analytics/company/sz/002551/2551/detail</t>
  </si>
  <si>
    <t>茶花股份</t>
  </si>
  <si>
    <t>www.lixinger.com/analytics/company/sh/603615/603615/detail</t>
  </si>
  <si>
    <t>宁水集团</t>
  </si>
  <si>
    <t>www.lixinger.com/analytics/company/sh/603700/603700/detail</t>
  </si>
  <si>
    <t>明冠新材</t>
  </si>
  <si>
    <t>www.lixinger.com/analytics/company/sh/688560/688560/detail</t>
  </si>
  <si>
    <t>大千生态</t>
  </si>
  <si>
    <t>www.lixinger.com/analytics/company/sh/603955/603955/detail</t>
  </si>
  <si>
    <t>天邑股份</t>
  </si>
  <si>
    <t>www.lixinger.com/analytics/company/sz/300504/300504/detail</t>
  </si>
  <si>
    <t>海能实业</t>
  </si>
  <si>
    <t>www.lixinger.com/analytics/company/sz/300787/300787/detail</t>
  </si>
  <si>
    <t>三角防务</t>
  </si>
  <si>
    <t>www.lixinger.com/analytics/company/sz/300775/300775/detail</t>
  </si>
  <si>
    <t>绿田机械</t>
  </si>
  <si>
    <t>www.lixinger.com/analytics/company/sh/605259/605259/detail</t>
  </si>
  <si>
    <t>君亭酒店</t>
  </si>
  <si>
    <t>www.lixinger.com/analytics/company/sz/301073/301073/detail</t>
  </si>
  <si>
    <t>正源股份</t>
  </si>
  <si>
    <t>www.lixinger.com/analytics/company/sh/600321/600321/detail</t>
  </si>
  <si>
    <t>东方嘉盛</t>
  </si>
  <si>
    <t>www.lixinger.com/analytics/company/sz/002889/2889/detail</t>
  </si>
  <si>
    <t>华星创业</t>
  </si>
  <si>
    <t>www.lixinger.com/analytics/company/sz/300025/300025/detail</t>
  </si>
  <si>
    <t>惠云钛业</t>
  </si>
  <si>
    <t>www.lixinger.com/analytics/company/sz/300891/300891/detail</t>
  </si>
  <si>
    <t>福日电子</t>
  </si>
  <si>
    <t>www.lixinger.com/analytics/company/sh/600203/600203/detail</t>
  </si>
  <si>
    <t>梦网科技</t>
  </si>
  <si>
    <t>www.lixinger.com/analytics/company/sz/002123/2123/detail</t>
  </si>
  <si>
    <t>迎丰股份</t>
  </si>
  <si>
    <t>www.lixinger.com/analytics/company/sh/605055/605055/detail</t>
  </si>
  <si>
    <t>科隆股份</t>
  </si>
  <si>
    <t>www.lixinger.com/analytics/company/sz/300405/300405/detail</t>
  </si>
  <si>
    <t>真爱美家</t>
  </si>
  <si>
    <t>www.lixinger.com/analytics/company/sz/003041/3041/detail</t>
  </si>
  <si>
    <t>众望布艺</t>
  </si>
  <si>
    <t>www.lixinger.com/analytics/company/sh/605003/605003/detail</t>
  </si>
  <si>
    <t>赛诺医疗</t>
  </si>
  <si>
    <t>www.lixinger.com/analytics/company/sh/688108/688108/detail</t>
  </si>
  <si>
    <t>锦富技术</t>
  </si>
  <si>
    <t>www.lixinger.com/analytics/company/sz/300128/300128/detail</t>
  </si>
  <si>
    <t>拉芳家化</t>
  </si>
  <si>
    <t>www.lixinger.com/analytics/company/sh/603630/603630/detail</t>
  </si>
  <si>
    <t>豪美新材</t>
  </si>
  <si>
    <t>www.lixinger.com/analytics/company/sz/002988/2988/detail</t>
  </si>
  <si>
    <t>凌志软件</t>
  </si>
  <si>
    <t>www.lixinger.com/analytics/company/sh/688588/688588/detail</t>
  </si>
  <si>
    <t>奥飞数据</t>
  </si>
  <si>
    <t>www.lixinger.com/analytics/company/sz/300738/300738/detail</t>
  </si>
  <si>
    <t>日科化学</t>
  </si>
  <si>
    <t>www.lixinger.com/analytics/company/sz/300214/300214/detail</t>
  </si>
  <si>
    <t>中触媒</t>
  </si>
  <si>
    <t>www.lixinger.com/analytics/company/sh/688267/688267/detail</t>
  </si>
  <si>
    <t>潍柴重机</t>
  </si>
  <si>
    <t>www.lixinger.com/analytics/company/sz/000880/880/detail</t>
  </si>
  <si>
    <t>达嘉维康</t>
  </si>
  <si>
    <t>www.lixinger.com/analytics/company/sz/301126/301126/detail</t>
  </si>
  <si>
    <t>杭可科技</t>
  </si>
  <si>
    <t>www.lixinger.com/analytics/company/sh/688006/688006/detail</t>
  </si>
  <si>
    <t>启迪设计</t>
  </si>
  <si>
    <t>www.lixinger.com/analytics/company/sz/300500/300500/detail</t>
  </si>
  <si>
    <t>燕麦科技</t>
  </si>
  <si>
    <t>www.lixinger.com/analytics/company/sh/688312/688312/detail</t>
  </si>
  <si>
    <t>上海贝岭</t>
  </si>
  <si>
    <t>www.lixinger.com/analytics/company/sh/600171/600171/detail</t>
  </si>
  <si>
    <t>旗天科技</t>
  </si>
  <si>
    <t>www.lixinger.com/analytics/company/sz/300061/300061/detail</t>
  </si>
  <si>
    <t>动力源</t>
  </si>
  <si>
    <t>www.lixinger.com/analytics/company/sh/600405/600405/detail</t>
  </si>
  <si>
    <t>盛讯达</t>
  </si>
  <si>
    <t>www.lixinger.com/analytics/company/sz/300518/300518/detail</t>
  </si>
  <si>
    <t>安居宝</t>
  </si>
  <si>
    <t>www.lixinger.com/analytics/company/sz/300155/300155/detail</t>
  </si>
  <si>
    <t>奥维通信</t>
  </si>
  <si>
    <t>www.lixinger.com/analytics/company/sz/002231/2231/detail</t>
  </si>
  <si>
    <t>四方新材</t>
  </si>
  <si>
    <t>www.lixinger.com/analytics/company/sh/605122/605122/detail</t>
  </si>
  <si>
    <t>传智教育</t>
  </si>
  <si>
    <t>www.lixinger.com/analytics/company/sz/003032/3032/detail</t>
  </si>
  <si>
    <t>华瑞股份</t>
  </si>
  <si>
    <t>www.lixinger.com/analytics/company/sz/300626/300626/detail</t>
  </si>
  <si>
    <t>运达科技</t>
  </si>
  <si>
    <t>www.lixinger.com/analytics/company/sz/300440/300440/detail</t>
  </si>
  <si>
    <t>天普股份</t>
  </si>
  <si>
    <t>www.lixinger.com/analytics/company/sh/605255/605255/detail</t>
  </si>
  <si>
    <t>隆基机械</t>
  </si>
  <si>
    <t>www.lixinger.com/analytics/company/sz/002363/2363/detail</t>
  </si>
  <si>
    <t>晶方科技</t>
  </si>
  <si>
    <t>www.lixinger.com/analytics/company/sh/603005/603005/detail</t>
  </si>
  <si>
    <t>中微公司</t>
  </si>
  <si>
    <t>半导体设备</t>
  </si>
  <si>
    <t>www.lixinger.com/analytics/company/sh/688012/688012/detail</t>
  </si>
  <si>
    <t>科新机电</t>
  </si>
  <si>
    <t>www.lixinger.com/analytics/company/sz/300092/300092/detail</t>
  </si>
  <si>
    <t>伟隆股份</t>
  </si>
  <si>
    <t>www.lixinger.com/analytics/company/sz/002871/2871/detail</t>
  </si>
  <si>
    <t>杭华股份</t>
  </si>
  <si>
    <t>www.lixinger.com/analytics/company/sh/688571/688571/detail</t>
  </si>
  <si>
    <t>士兰微</t>
  </si>
  <si>
    <t>www.lixinger.com/analytics/company/sh/600460/600460/detail</t>
  </si>
  <si>
    <t>嘉澳环保</t>
  </si>
  <si>
    <t>www.lixinger.com/analytics/company/sh/603822/603822/detail</t>
  </si>
  <si>
    <t>兴业股份</t>
  </si>
  <si>
    <t>www.lixinger.com/analytics/company/sh/603928/603928/detail</t>
  </si>
  <si>
    <t>杭齿前进</t>
  </si>
  <si>
    <t>www.lixinger.com/analytics/company/sh/601177/601177/detail</t>
  </si>
  <si>
    <t>悦心健康</t>
  </si>
  <si>
    <t>www.lixinger.com/analytics/company/sz/002162/2162/detail</t>
  </si>
  <si>
    <t>百亚股份</t>
  </si>
  <si>
    <t>www.lixinger.com/analytics/company/sz/003006/3006/detail</t>
  </si>
  <si>
    <t>丰乐种业</t>
  </si>
  <si>
    <t>www.lixinger.com/analytics/company/sz/000713/713/detail</t>
  </si>
  <si>
    <t>永新光学</t>
  </si>
  <si>
    <t>www.lixinger.com/analytics/company/sh/603297/603297/detail</t>
  </si>
  <si>
    <t>嘉必优</t>
  </si>
  <si>
    <t>www.lixinger.com/analytics/company/sh/688089/688089/detail</t>
  </si>
  <si>
    <t>南风股份</t>
  </si>
  <si>
    <t>www.lixinger.com/analytics/company/sz/300004/300004/detail</t>
  </si>
  <si>
    <t>戎美股份</t>
  </si>
  <si>
    <t>www.lixinger.com/analytics/company/sz/301088/301088/detail</t>
  </si>
  <si>
    <t>品渥食品</t>
  </si>
  <si>
    <t>www.lixinger.com/analytics/company/sz/300892/300892/detail</t>
  </si>
  <si>
    <t>神火股份</t>
  </si>
  <si>
    <t>www.lixinger.com/analytics/company/sz/000933/933/detail</t>
  </si>
  <si>
    <t>起帆电缆</t>
  </si>
  <si>
    <t>www.lixinger.com/analytics/company/sh/605222/605222/detail</t>
  </si>
  <si>
    <t>正裕工业</t>
  </si>
  <si>
    <t>www.lixinger.com/analytics/company/sh/603089/603089/detail</t>
  </si>
  <si>
    <t>长阳科技</t>
  </si>
  <si>
    <t>www.lixinger.com/analytics/company/sh/688299/688299/detail</t>
  </si>
  <si>
    <t>赛福天</t>
  </si>
  <si>
    <t>www.lixinger.com/analytics/company/sh/603028/603028/detail</t>
  </si>
  <si>
    <t>中泰股份</t>
  </si>
  <si>
    <t>www.lixinger.com/analytics/company/sz/300435/300435/detail</t>
  </si>
  <si>
    <t>汇通集团</t>
  </si>
  <si>
    <t>www.lixinger.com/analytics/company/sh/603176/603176/detail</t>
  </si>
  <si>
    <t>安诺其</t>
  </si>
  <si>
    <t>www.lixinger.com/analytics/company/sz/300067/300067/detail</t>
  </si>
  <si>
    <t>值得买</t>
  </si>
  <si>
    <t>www.lixinger.com/analytics/company/sz/300785/300785/detail</t>
  </si>
  <si>
    <t>方邦股份</t>
  </si>
  <si>
    <t>www.lixinger.com/analytics/company/sh/688020/688020/detail</t>
  </si>
  <si>
    <t>长龄液压</t>
  </si>
  <si>
    <t>www.lixinger.com/analytics/company/sh/605389/605389/detail</t>
  </si>
  <si>
    <t>梦百合</t>
  </si>
  <si>
    <t>www.lixinger.com/analytics/company/sh/603313/603313/detail</t>
  </si>
  <si>
    <t>威尔药业</t>
  </si>
  <si>
    <t>www.lixinger.com/analytics/company/sh/603351/603351/detail</t>
  </si>
  <si>
    <t>富信科技</t>
  </si>
  <si>
    <t>www.lixinger.com/analytics/company/sh/688662/688662/detail</t>
  </si>
  <si>
    <t>乐歌股份</t>
  </si>
  <si>
    <t>www.lixinger.com/analytics/company/sz/300729/300729/detail</t>
  </si>
  <si>
    <t>智度股份</t>
  </si>
  <si>
    <t>www.lixinger.com/analytics/company/sz/000676/676/detail</t>
  </si>
  <si>
    <t>湖南发展</t>
  </si>
  <si>
    <t>www.lixinger.com/analytics/company/sz/000722/722/detail</t>
  </si>
  <si>
    <t>爱婴室</t>
  </si>
  <si>
    <t>www.lixinger.com/analytics/company/sh/603214/603214/detail</t>
  </si>
  <si>
    <t>佐力药业</t>
  </si>
  <si>
    <t>www.lixinger.com/analytics/company/sz/300181/300181/detail</t>
  </si>
  <si>
    <t>五方光电</t>
  </si>
  <si>
    <t>www.lixinger.com/analytics/company/sz/002962/2962/detail</t>
  </si>
  <si>
    <t>新华锦</t>
  </si>
  <si>
    <t>www.lixinger.com/analytics/company/sh/600735/600735/detail</t>
  </si>
  <si>
    <t>美邦股份</t>
  </si>
  <si>
    <t>www.lixinger.com/analytics/company/sh/605033/605033/detail</t>
  </si>
  <si>
    <t>凯恩股份</t>
  </si>
  <si>
    <t>www.lixinger.com/analytics/company/sz/002012/2012/detail</t>
  </si>
  <si>
    <t>神奇制药</t>
  </si>
  <si>
    <t>www.lixinger.com/analytics/company/sh/600613/600613/detail</t>
  </si>
  <si>
    <t>创源股份</t>
  </si>
  <si>
    <t>www.lixinger.com/analytics/company/sz/300703/300703/detail</t>
  </si>
  <si>
    <t>西上海</t>
  </si>
  <si>
    <t>www.lixinger.com/analytics/company/sh/605151/605151/detail</t>
  </si>
  <si>
    <t>上海沿浦</t>
  </si>
  <si>
    <t>www.lixinger.com/analytics/company/sh/605128/605128/detail</t>
  </si>
  <si>
    <t>西仪股份</t>
  </si>
  <si>
    <t>www.lixinger.com/analytics/company/sz/002265/2265/detail</t>
  </si>
  <si>
    <t>海波重科</t>
  </si>
  <si>
    <t>www.lixinger.com/analytics/company/sz/300517/300517/detail</t>
  </si>
  <si>
    <t>经纬辉开</t>
  </si>
  <si>
    <t>www.lixinger.com/analytics/company/sz/300120/300120/detail</t>
  </si>
  <si>
    <t>华统股份</t>
  </si>
  <si>
    <t>www.lixinger.com/analytics/company/sz/002840/2840/detail</t>
  </si>
  <si>
    <t>玉马遮阳</t>
  </si>
  <si>
    <t>www.lixinger.com/analytics/company/sz/300993/300993/detail</t>
  </si>
  <si>
    <t>同力日升</t>
  </si>
  <si>
    <t>www.lixinger.com/analytics/company/sh/605286/605286/detail</t>
  </si>
  <si>
    <t>迪威迅</t>
  </si>
  <si>
    <t>www.lixinger.com/analytics/company/sz/300167/300167/detail</t>
  </si>
  <si>
    <t>龙高股份</t>
  </si>
  <si>
    <t>www.lixinger.com/analytics/company/sh/605086/605086/detail</t>
  </si>
  <si>
    <t>宝信Ｂ</t>
  </si>
  <si>
    <t>www.lixinger.com/analytics/company/sh/900926/900926/detail</t>
  </si>
  <si>
    <t>德力股份</t>
  </si>
  <si>
    <t>www.lixinger.com/analytics/company/sz/002571/2571/detail</t>
  </si>
  <si>
    <t>广博股份</t>
  </si>
  <si>
    <t>www.lixinger.com/analytics/company/sz/002103/2103/detail</t>
  </si>
  <si>
    <t>药石科技</t>
  </si>
  <si>
    <t>www.lixinger.com/analytics/company/sz/300725/300725/detail</t>
  </si>
  <si>
    <t>信捷电气</t>
  </si>
  <si>
    <t>www.lixinger.com/analytics/company/sh/603416/603416/detail</t>
  </si>
  <si>
    <t>友讯达</t>
  </si>
  <si>
    <t>www.lixinger.com/analytics/company/sz/300514/300514/detail</t>
  </si>
  <si>
    <t>开普检测</t>
  </si>
  <si>
    <t>www.lixinger.com/analytics/company/sz/003008/3008/detail</t>
  </si>
  <si>
    <t>地铁设计</t>
  </si>
  <si>
    <t>www.lixinger.com/analytics/company/sz/003013/3013/detail</t>
  </si>
  <si>
    <t>家联科技</t>
  </si>
  <si>
    <t>www.lixinger.com/analytics/company/sz/301193/301193/detail</t>
  </si>
  <si>
    <t>新兴装备</t>
  </si>
  <si>
    <t>www.lixinger.com/analytics/company/sz/002933/2933/detail</t>
  </si>
  <si>
    <t>春光科技</t>
  </si>
  <si>
    <t>www.lixinger.com/analytics/company/sh/603657/603657/detail</t>
  </si>
  <si>
    <t>中金辐照</t>
  </si>
  <si>
    <t>其他专业服务</t>
  </si>
  <si>
    <t>www.lixinger.com/analytics/company/sz/300962/300962/detail</t>
  </si>
  <si>
    <t>安纳达</t>
  </si>
  <si>
    <t>www.lixinger.com/analytics/company/sz/002136/2136/detail</t>
  </si>
  <si>
    <t>赢合科技</t>
  </si>
  <si>
    <t>www.lixinger.com/analytics/company/sz/300457/300457/detail</t>
  </si>
  <si>
    <t>可立克</t>
  </si>
  <si>
    <t>www.lixinger.com/analytics/company/sz/002782/2782/detail</t>
  </si>
  <si>
    <t>华正新材</t>
  </si>
  <si>
    <t>www.lixinger.com/analytics/company/sh/603186/603186/detail</t>
  </si>
  <si>
    <t>广电电气</t>
  </si>
  <si>
    <t>www.lixinger.com/analytics/company/sh/601616/601616/detail</t>
  </si>
  <si>
    <t>*ST星星</t>
  </si>
  <si>
    <t>www.lixinger.com/analytics/company/sz/300256/300256/detail</t>
  </si>
  <si>
    <t>银宝山新</t>
  </si>
  <si>
    <t>www.lixinger.com/analytics/company/sz/002786/2786/detail</t>
  </si>
  <si>
    <t>宏达高科</t>
  </si>
  <si>
    <t>www.lixinger.com/analytics/company/sz/002144/2144/detail</t>
  </si>
  <si>
    <t>利德曼</t>
  </si>
  <si>
    <t>www.lixinger.com/analytics/company/sz/300289/300289/detail</t>
  </si>
  <si>
    <t>氯碱Ｂ股</t>
  </si>
  <si>
    <t>www.lixinger.com/analytics/company/sh/900908/900908/detail</t>
  </si>
  <si>
    <t>赢时胜</t>
  </si>
  <si>
    <t>www.lixinger.com/analytics/company/sz/300377/300377/detail</t>
  </si>
  <si>
    <t>派能科技</t>
  </si>
  <si>
    <t>www.lixinger.com/analytics/company/sh/688063/688063/detail</t>
  </si>
  <si>
    <t>亚信安全</t>
  </si>
  <si>
    <t>www.lixinger.com/analytics/company/sh/688225/688225/detail</t>
  </si>
  <si>
    <t>福莱蒽特</t>
  </si>
  <si>
    <t>www.lixinger.com/analytics/company/sh/605566/605566/detail</t>
  </si>
  <si>
    <t>津膜科技</t>
  </si>
  <si>
    <t>www.lixinger.com/analytics/company/sz/300334/300334/detail</t>
  </si>
  <si>
    <t>依依股份</t>
  </si>
  <si>
    <t>www.lixinger.com/analytics/company/sz/001206/1206/detail</t>
  </si>
  <si>
    <t>海鸥住工</t>
  </si>
  <si>
    <t>www.lixinger.com/analytics/company/sz/002084/2084/detail</t>
  </si>
  <si>
    <t>英力股份</t>
  </si>
  <si>
    <t>www.lixinger.com/analytics/company/sz/300956/300956/detail</t>
  </si>
  <si>
    <t>华尔泰</t>
  </si>
  <si>
    <t>www.lixinger.com/analytics/company/sz/001217/1217/detail</t>
  </si>
  <si>
    <t>长白山</t>
  </si>
  <si>
    <t>www.lixinger.com/analytics/company/sh/603099/603099/detail</t>
  </si>
  <si>
    <t>中鲁Ｂ</t>
  </si>
  <si>
    <t>www.lixinger.com/analytics/company/sz/200992/200992/detail</t>
  </si>
  <si>
    <t>科远智慧</t>
  </si>
  <si>
    <t>www.lixinger.com/analytics/company/sz/002380/2380/detail</t>
  </si>
  <si>
    <t>特宝生物</t>
  </si>
  <si>
    <t>www.lixinger.com/analytics/company/sh/688278/688278/detail</t>
  </si>
  <si>
    <t>科锐国际</t>
  </si>
  <si>
    <t>人力资源服务</t>
  </si>
  <si>
    <t>www.lixinger.com/analytics/company/sz/300662/300662/detail</t>
  </si>
  <si>
    <t>万兴科技</t>
  </si>
  <si>
    <t>www.lixinger.com/analytics/company/sz/300624/300624/detail</t>
  </si>
  <si>
    <t>华鹏飞</t>
  </si>
  <si>
    <t>www.lixinger.com/analytics/company/sz/300350/300350/detail</t>
  </si>
  <si>
    <t>长方集团</t>
  </si>
  <si>
    <t>www.lixinger.com/analytics/company/sz/300301/300301/detail</t>
  </si>
  <si>
    <t>西大门</t>
  </si>
  <si>
    <t>www.lixinger.com/analytics/company/sh/605155/605155/detail</t>
  </si>
  <si>
    <t>南亚新材</t>
  </si>
  <si>
    <t>www.lixinger.com/analytics/company/sh/688519/688519/detail</t>
  </si>
  <si>
    <t>长城电工</t>
  </si>
  <si>
    <t>www.lixinger.com/analytics/company/sh/600192/600192/detail</t>
  </si>
  <si>
    <t>贝瑞基因</t>
  </si>
  <si>
    <t>www.lixinger.com/analytics/company/sz/000710/710/detail</t>
  </si>
  <si>
    <t>光庭信息</t>
  </si>
  <si>
    <t>www.lixinger.com/analytics/company/sz/301221/301221/detail</t>
  </si>
  <si>
    <t>漱玉平民</t>
  </si>
  <si>
    <t>www.lixinger.com/analytics/company/sz/301017/301017/detail</t>
  </si>
  <si>
    <t>长春燃气</t>
  </si>
  <si>
    <t>www.lixinger.com/analytics/company/sh/600333/600333/detail</t>
  </si>
  <si>
    <t>中密控股</t>
  </si>
  <si>
    <t>www.lixinger.com/analytics/company/sz/300470/300470/detail</t>
  </si>
  <si>
    <t>丰山集团</t>
  </si>
  <si>
    <t>www.lixinger.com/analytics/company/sh/603810/603810/detail</t>
  </si>
  <si>
    <t>瑞丰高材</t>
  </si>
  <si>
    <t>www.lixinger.com/analytics/company/sz/300243/300243/detail</t>
  </si>
  <si>
    <t>拱东医疗</t>
  </si>
  <si>
    <t>www.lixinger.com/analytics/company/sh/605369/605369/detail</t>
  </si>
  <si>
    <t>协创数据</t>
  </si>
  <si>
    <t>www.lixinger.com/analytics/company/sz/300857/300857/detail</t>
  </si>
  <si>
    <t>长春一东</t>
  </si>
  <si>
    <t>www.lixinger.com/analytics/company/sh/600148/600148/detail</t>
  </si>
  <si>
    <t>拓斯达</t>
  </si>
  <si>
    <t>www.lixinger.com/analytics/company/sz/300607/300607/detail</t>
  </si>
  <si>
    <t>川金诺</t>
  </si>
  <si>
    <t>www.lixinger.com/analytics/company/sz/300505/300505/detail</t>
  </si>
  <si>
    <t>ST联建</t>
  </si>
  <si>
    <t>www.lixinger.com/analytics/company/sz/300269/300269/detail</t>
  </si>
  <si>
    <t>恒辉安防</t>
  </si>
  <si>
    <t>www.lixinger.com/analytics/company/sz/300952/300952/detail</t>
  </si>
  <si>
    <t>沧州大化</t>
  </si>
  <si>
    <t>www.lixinger.com/analytics/company/sh/600230/600230/detail</t>
  </si>
  <si>
    <t>华丰股份</t>
  </si>
  <si>
    <t>www.lixinger.com/analytics/company/sh/605100/605100/detail</t>
  </si>
  <si>
    <t>浙江仙通</t>
  </si>
  <si>
    <t>www.lixinger.com/analytics/company/sh/603239/603239/detail</t>
  </si>
  <si>
    <t>中材节能</t>
  </si>
  <si>
    <t>www.lixinger.com/analytics/company/sh/603126/603126/detail</t>
  </si>
  <si>
    <t>百合股份</t>
  </si>
  <si>
    <t>www.lixinger.com/analytics/company/sh/603102/603102/detail</t>
  </si>
  <si>
    <t>神马电力</t>
  </si>
  <si>
    <t>www.lixinger.com/analytics/company/sh/603530/603530/detail</t>
  </si>
  <si>
    <t>密封科技</t>
  </si>
  <si>
    <t>www.lixinger.com/analytics/company/sz/301020/301020/detail</t>
  </si>
  <si>
    <t>征和工业</t>
  </si>
  <si>
    <t>www.lixinger.com/analytics/company/sz/003033/3033/detail</t>
  </si>
  <si>
    <t>冠龙节能</t>
  </si>
  <si>
    <t>www.lixinger.com/analytics/company/sz/301151/301151/detail</t>
  </si>
  <si>
    <t>顶点软件</t>
  </si>
  <si>
    <t>www.lixinger.com/analytics/company/sh/603383/603383/detail</t>
  </si>
  <si>
    <t>铜峰电子</t>
  </si>
  <si>
    <t>www.lixinger.com/analytics/company/sh/600237/600237/detail</t>
  </si>
  <si>
    <t>北辰实业</t>
  </si>
  <si>
    <t>www.lixinger.com/analytics/company/sh/601588/601588/detail</t>
  </si>
  <si>
    <t>激智科技</t>
  </si>
  <si>
    <t>www.lixinger.com/analytics/company/sz/300566/300566/detail</t>
  </si>
  <si>
    <t>华立股份</t>
  </si>
  <si>
    <t>www.lixinger.com/analytics/company/sh/603038/603038/detail</t>
  </si>
  <si>
    <t>何氏眼科</t>
  </si>
  <si>
    <t>www.lixinger.com/analytics/company/sz/301103/301103/detail</t>
  </si>
  <si>
    <t>昌红科技</t>
  </si>
  <si>
    <t>www.lixinger.com/analytics/company/sz/300151/300151/detail</t>
  </si>
  <si>
    <t>哈焊华通</t>
  </si>
  <si>
    <t>www.lixinger.com/analytics/company/sz/301137/301137/detail</t>
  </si>
  <si>
    <t>万业企业</t>
  </si>
  <si>
    <t>www.lixinger.com/analytics/company/sh/600641/600641/detail</t>
  </si>
  <si>
    <t>*ST当代</t>
  </si>
  <si>
    <t>www.lixinger.com/analytics/company/sz/000673/673/detail</t>
  </si>
  <si>
    <t>交大思诺</t>
  </si>
  <si>
    <t>www.lixinger.com/analytics/company/sz/300851/300851/detail</t>
  </si>
  <si>
    <t>深天地Ａ</t>
  </si>
  <si>
    <t>www.lixinger.com/analytics/company/sz/000023/23/detail</t>
  </si>
  <si>
    <t>图南股份</t>
  </si>
  <si>
    <t>www.lixinger.com/analytics/company/sz/300855/300855/detail</t>
  </si>
  <si>
    <t>沃特股份</t>
  </si>
  <si>
    <t>www.lixinger.com/analytics/company/sz/002886/2886/detail</t>
  </si>
  <si>
    <t>ST安泰</t>
  </si>
  <si>
    <t>www.lixinger.com/analytics/company/sh/600408/600408/detail</t>
  </si>
  <si>
    <t>大庆华科</t>
  </si>
  <si>
    <t>www.lixinger.com/analytics/company/sz/000985/985/detail</t>
  </si>
  <si>
    <t>四方精创</t>
  </si>
  <si>
    <t>www.lixinger.com/analytics/company/sz/300468/300468/detail</t>
  </si>
  <si>
    <t>飞天诚信</t>
  </si>
  <si>
    <t>www.lixinger.com/analytics/company/sz/300386/300386/detail</t>
  </si>
  <si>
    <t>ST辉丰</t>
  </si>
  <si>
    <t>www.lixinger.com/analytics/company/sz/002496/2496/detail</t>
  </si>
  <si>
    <t>浩云科技</t>
  </si>
  <si>
    <t>www.lixinger.com/analytics/company/sz/300448/300448/detail</t>
  </si>
  <si>
    <t>浙江震元</t>
  </si>
  <si>
    <t>www.lixinger.com/analytics/company/sz/000705/705/detail</t>
  </si>
  <si>
    <t>春晖智控</t>
  </si>
  <si>
    <t>www.lixinger.com/analytics/company/sz/300943/300943/detail</t>
  </si>
  <si>
    <t>万隆光电</t>
  </si>
  <si>
    <t>www.lixinger.com/analytics/company/sz/300710/300710/detail</t>
  </si>
  <si>
    <t>万祥科技</t>
  </si>
  <si>
    <t>www.lixinger.com/analytics/company/sz/301180/301180/detail</t>
  </si>
  <si>
    <t>ST中昌</t>
  </si>
  <si>
    <t>www.lixinger.com/analytics/company/sh/600242/600242/detail</t>
  </si>
  <si>
    <t>*ST西域</t>
  </si>
  <si>
    <t>www.lixinger.com/analytics/company/sz/300859/300859/detail</t>
  </si>
  <si>
    <t>容百科技</t>
  </si>
  <si>
    <t>www.lixinger.com/analytics/company/sh/688005/688005/detail</t>
  </si>
  <si>
    <t>三丰智能</t>
  </si>
  <si>
    <t>www.lixinger.com/analytics/company/sz/300276/300276/detail</t>
  </si>
  <si>
    <t>世茂能源</t>
  </si>
  <si>
    <t>www.lixinger.com/analytics/company/sh/605028/605028/detail</t>
  </si>
  <si>
    <t>龙利得</t>
  </si>
  <si>
    <t>www.lixinger.com/analytics/company/sz/300883/300883/detail</t>
  </si>
  <si>
    <t>华盛昌</t>
  </si>
  <si>
    <t>www.lixinger.com/analytics/company/sz/002980/2980/detail</t>
  </si>
  <si>
    <t>鸿富瀚</t>
  </si>
  <si>
    <t>www.lixinger.com/analytics/company/sz/301086/301086/detail</t>
  </si>
  <si>
    <t>东方材料</t>
  </si>
  <si>
    <t>www.lixinger.com/analytics/company/sh/603110/603110/detail</t>
  </si>
  <si>
    <t>亚星锚链</t>
  </si>
  <si>
    <t>www.lixinger.com/analytics/company/sh/601890/601890/detail</t>
  </si>
  <si>
    <t>铭科精技</t>
  </si>
  <si>
    <t>www.lixinger.com/analytics/company/sz/001319/1319/detail</t>
  </si>
  <si>
    <t>新坐标</t>
  </si>
  <si>
    <t>www.lixinger.com/analytics/company/sh/603040/603040/detail</t>
  </si>
  <si>
    <t>华纳药厂</t>
  </si>
  <si>
    <t>www.lixinger.com/analytics/company/sh/688799/688799/detail</t>
  </si>
  <si>
    <t>美邦服饰</t>
  </si>
  <si>
    <t>www.lixinger.com/analytics/company/sz/002269/2269/detail</t>
  </si>
  <si>
    <t>罗欣药业</t>
  </si>
  <si>
    <t>www.lixinger.com/analytics/company/sz/002793/2793/detail</t>
  </si>
  <si>
    <t>贵州三力</t>
  </si>
  <si>
    <t>www.lixinger.com/analytics/company/sh/603439/603439/detail</t>
  </si>
  <si>
    <t>中辰股份</t>
  </si>
  <si>
    <t>www.lixinger.com/analytics/company/sz/300933/300933/detail</t>
  </si>
  <si>
    <t>利君股份</t>
  </si>
  <si>
    <t>www.lixinger.com/analytics/company/sz/002651/2651/detail</t>
  </si>
  <si>
    <t>诚益通</t>
  </si>
  <si>
    <t>www.lixinger.com/analytics/company/sz/300430/300430/detail</t>
  </si>
  <si>
    <t>日播时尚</t>
  </si>
  <si>
    <t>www.lixinger.com/analytics/company/sh/603196/603196/detail</t>
  </si>
  <si>
    <t>吉贝尔</t>
  </si>
  <si>
    <t>www.lixinger.com/analytics/company/sh/688566/688566/detail</t>
  </si>
  <si>
    <t>中贝通信</t>
  </si>
  <si>
    <t>www.lixinger.com/analytics/company/sh/603220/603220/detail</t>
  </si>
  <si>
    <t>青岛金王</t>
  </si>
  <si>
    <t>www.lixinger.com/analytics/company/sz/002094/2094/detail</t>
  </si>
  <si>
    <t>理邦仪器</t>
  </si>
  <si>
    <t>www.lixinger.com/analytics/company/sz/300206/300206/detail</t>
  </si>
  <si>
    <t>中天火箭</t>
  </si>
  <si>
    <t>www.lixinger.com/analytics/company/sz/003009/3009/detail</t>
  </si>
  <si>
    <t>亚泰集团</t>
  </si>
  <si>
    <t>www.lixinger.com/analytics/company/sh/600881/600881/detail</t>
  </si>
  <si>
    <t>新亚电子</t>
  </si>
  <si>
    <t>www.lixinger.com/analytics/company/sh/605277/605277/detail</t>
  </si>
  <si>
    <t>华立科技</t>
  </si>
  <si>
    <t>www.lixinger.com/analytics/company/sz/301011/301011/detail</t>
  </si>
  <si>
    <t>博思软件</t>
  </si>
  <si>
    <t>www.lixinger.com/analytics/company/sz/300525/300525/detail</t>
  </si>
  <si>
    <t>凯美特气</t>
  </si>
  <si>
    <t>www.lixinger.com/analytics/company/sz/002549/2549/detail</t>
  </si>
  <si>
    <t>天地在线</t>
  </si>
  <si>
    <t>www.lixinger.com/analytics/company/sz/002995/2995/detail</t>
  </si>
  <si>
    <t>芯瑞达</t>
  </si>
  <si>
    <t>www.lixinger.com/analytics/company/sz/002983/2983/detail</t>
  </si>
  <si>
    <t>开能健康</t>
  </si>
  <si>
    <t>www.lixinger.com/analytics/company/sz/300272/300272/detail</t>
  </si>
  <si>
    <t>亚星客车</t>
  </si>
  <si>
    <t>www.lixinger.com/analytics/company/sh/600213/600213/detail</t>
  </si>
  <si>
    <t>福昕软件</t>
  </si>
  <si>
    <t>www.lixinger.com/analytics/company/sh/688095/688095/detail</t>
  </si>
  <si>
    <t>江苏神通</t>
  </si>
  <si>
    <t>www.lixinger.com/analytics/company/sz/002438/2438/detail</t>
  </si>
  <si>
    <t>奇精机械</t>
  </si>
  <si>
    <t>www.lixinger.com/analytics/company/sh/603677/603677/detail</t>
  </si>
  <si>
    <t>博俊科技</t>
  </si>
  <si>
    <t>www.lixinger.com/analytics/company/sz/300926/300926/detail</t>
  </si>
  <si>
    <t>咸亨国际</t>
  </si>
  <si>
    <t>www.lixinger.com/analytics/company/sh/605056/605056/detail</t>
  </si>
  <si>
    <t>汇绿生态</t>
  </si>
  <si>
    <t>www.lixinger.com/analytics/company/sz/001267/1267/detail</t>
  </si>
  <si>
    <t>天奈科技</t>
  </si>
  <si>
    <t>www.lixinger.com/analytics/company/sh/688116/688116/detail</t>
  </si>
  <si>
    <t>雪浪环境</t>
  </si>
  <si>
    <t>www.lixinger.com/analytics/company/sz/300385/300385/detail</t>
  </si>
  <si>
    <t>中简科技</t>
  </si>
  <si>
    <t>www.lixinger.com/analytics/company/sz/300777/300777/detail</t>
  </si>
  <si>
    <t>联创股份</t>
  </si>
  <si>
    <t>www.lixinger.com/analytics/company/sz/300343/300343/detail</t>
  </si>
  <si>
    <t>大洋生物</t>
  </si>
  <si>
    <t>www.lixinger.com/analytics/company/sz/003017/3017/detail</t>
  </si>
  <si>
    <t>陕西金叶</t>
  </si>
  <si>
    <t>www.lixinger.com/analytics/company/sz/000812/812/detail</t>
  </si>
  <si>
    <t>润阳科技</t>
  </si>
  <si>
    <t>www.lixinger.com/analytics/company/sz/300920/300920/detail</t>
  </si>
  <si>
    <t>铭利达</t>
  </si>
  <si>
    <t>www.lixinger.com/analytics/company/sz/301268/301268/detail</t>
  </si>
  <si>
    <t>东亚机械</t>
  </si>
  <si>
    <t>www.lixinger.com/analytics/company/sz/301028/301028/detail</t>
  </si>
  <si>
    <t>神工股份</t>
  </si>
  <si>
    <t>www.lixinger.com/analytics/company/sh/688233/688233/detail</t>
  </si>
  <si>
    <t>三羊马</t>
  </si>
  <si>
    <t>www.lixinger.com/analytics/company/sz/001317/1317/detail</t>
  </si>
  <si>
    <t>凯普生物</t>
  </si>
  <si>
    <t>www.lixinger.com/analytics/company/sz/300639/300639/detail</t>
  </si>
  <si>
    <t>埃斯顿</t>
  </si>
  <si>
    <t>www.lixinger.com/analytics/company/sz/002747/2747/detail</t>
  </si>
  <si>
    <t>维康药业</t>
  </si>
  <si>
    <t>www.lixinger.com/analytics/company/sz/300878/300878/detail</t>
  </si>
  <si>
    <t>海锅股份</t>
  </si>
  <si>
    <t>www.lixinger.com/analytics/company/sz/301063/301063/detail</t>
  </si>
  <si>
    <t>清水源</t>
  </si>
  <si>
    <t>www.lixinger.com/analytics/company/sz/300437/300437/detail</t>
  </si>
  <si>
    <t>盛弘股份</t>
  </si>
  <si>
    <t>www.lixinger.com/analytics/company/sz/300693/300693/detail</t>
  </si>
  <si>
    <t>匠心家居</t>
  </si>
  <si>
    <t>www.lixinger.com/analytics/company/sz/301061/301061/detail</t>
  </si>
  <si>
    <t>洪兴股份</t>
  </si>
  <si>
    <t>www.lixinger.com/analytics/company/sz/001209/1209/detail</t>
  </si>
  <si>
    <t>四川金顶</t>
  </si>
  <si>
    <t>www.lixinger.com/analytics/company/sh/600678/600678/detail</t>
  </si>
  <si>
    <t>金花股份</t>
  </si>
  <si>
    <t>www.lixinger.com/analytics/company/sh/600080/600080/detail</t>
  </si>
  <si>
    <t>章源钨业</t>
  </si>
  <si>
    <t>www.lixinger.com/analytics/company/sz/002378/2378/detail</t>
  </si>
  <si>
    <t>巴比食品</t>
  </si>
  <si>
    <t>www.lixinger.com/analytics/company/sh/605338/605338/detail</t>
  </si>
  <si>
    <t>洪汇新材</t>
  </si>
  <si>
    <t>www.lixinger.com/analytics/company/sz/002802/2802/detail</t>
  </si>
  <si>
    <t>奥康国际</t>
  </si>
  <si>
    <t>www.lixinger.com/analytics/company/sh/603001/603001/detail</t>
  </si>
  <si>
    <t>移为通信</t>
  </si>
  <si>
    <t>www.lixinger.com/analytics/company/sz/300590/300590/detail</t>
  </si>
  <si>
    <t>今天国际</t>
  </si>
  <si>
    <t>www.lixinger.com/analytics/company/sz/300532/300532/detail</t>
  </si>
  <si>
    <t>汉嘉设计</t>
  </si>
  <si>
    <t>www.lixinger.com/analytics/company/sz/300746/300746/detail</t>
  </si>
  <si>
    <t>中来股份</t>
  </si>
  <si>
    <t>www.lixinger.com/analytics/company/sz/300393/300393/detail</t>
  </si>
  <si>
    <t>华录百纳</t>
  </si>
  <si>
    <t>www.lixinger.com/analytics/company/sz/300291/300291/detail</t>
  </si>
  <si>
    <t>中际联合</t>
  </si>
  <si>
    <t>www.lixinger.com/analytics/company/sh/605305/605305/detail</t>
  </si>
  <si>
    <t>润和软件</t>
  </si>
  <si>
    <t>www.lixinger.com/analytics/company/sz/300339/300339/detail</t>
  </si>
  <si>
    <t>青鸟消防</t>
  </si>
  <si>
    <t>www.lixinger.com/analytics/company/sz/002960/2960/detail</t>
  </si>
  <si>
    <t>粤桂股份</t>
  </si>
  <si>
    <t>www.lixinger.com/analytics/company/sz/000833/833/detail</t>
  </si>
  <si>
    <t>新易盛</t>
  </si>
  <si>
    <t>www.lixinger.com/analytics/company/sz/300502/300502/detail</t>
  </si>
  <si>
    <t>香山股份</t>
  </si>
  <si>
    <t>www.lixinger.com/analytics/company/sz/002870/2870/detail</t>
  </si>
  <si>
    <t>创识科技</t>
  </si>
  <si>
    <t>www.lixinger.com/analytics/company/sz/300941/300941/detail</t>
  </si>
  <si>
    <t>松炀资源</t>
  </si>
  <si>
    <t>www.lixinger.com/analytics/company/sh/603863/603863/detail</t>
  </si>
  <si>
    <t>国新B股</t>
  </si>
  <si>
    <t>www.lixinger.com/analytics/company/sh/900913/900913/detail</t>
  </si>
  <si>
    <t>洪涛股份</t>
  </si>
  <si>
    <t>www.lixinger.com/analytics/company/sz/002325/2325/detail</t>
  </si>
  <si>
    <t>中国长城</t>
  </si>
  <si>
    <t>www.lixinger.com/analytics/company/sz/000066/66/detail</t>
  </si>
  <si>
    <t>新炬网络</t>
  </si>
  <si>
    <t>www.lixinger.com/analytics/company/sh/605398/605398/detail</t>
  </si>
  <si>
    <t>瑞凌股份</t>
  </si>
  <si>
    <t>www.lixinger.com/analytics/company/sz/300154/300154/detail</t>
  </si>
  <si>
    <t>长亮科技</t>
  </si>
  <si>
    <t>www.lixinger.com/analytics/company/sz/300348/300348/detail</t>
  </si>
  <si>
    <t>同大股份</t>
  </si>
  <si>
    <t>www.lixinger.com/analytics/company/sz/300321/300321/detail</t>
  </si>
  <si>
    <t>天泽信息</t>
  </si>
  <si>
    <t>www.lixinger.com/analytics/company/sz/300209/300209/detail</t>
  </si>
  <si>
    <t>百川畅银</t>
  </si>
  <si>
    <t>www.lixinger.com/analytics/company/sz/300614/300614/detail</t>
  </si>
  <si>
    <t>国统股份</t>
  </si>
  <si>
    <t>www.lixinger.com/analytics/company/sz/002205/2205/detail</t>
  </si>
  <si>
    <t>榕基软件</t>
  </si>
  <si>
    <t>www.lixinger.com/analytics/company/sz/002474/2474/detail</t>
  </si>
  <si>
    <t>华致酒行</t>
  </si>
  <si>
    <t>www.lixinger.com/analytics/company/sz/300755/300755/detail</t>
  </si>
  <si>
    <t>雷迪克</t>
  </si>
  <si>
    <t>www.lixinger.com/analytics/company/sz/300652/300652/detail</t>
  </si>
  <si>
    <t>恒锋工具</t>
  </si>
  <si>
    <t>www.lixinger.com/analytics/company/sz/300488/300488/detail</t>
  </si>
  <si>
    <t>钢研高纳</t>
  </si>
  <si>
    <t>www.lixinger.com/analytics/company/sz/300034/300034/detail</t>
  </si>
  <si>
    <t>徕木股份</t>
  </si>
  <si>
    <t>www.lixinger.com/analytics/company/sh/603633/603633/detail</t>
  </si>
  <si>
    <t>豪尔赛</t>
  </si>
  <si>
    <t>www.lixinger.com/analytics/company/sz/002963/2963/detail</t>
  </si>
  <si>
    <t>*ST嘉信</t>
  </si>
  <si>
    <t>www.lixinger.com/analytics/company/sz/300071/300071/detail</t>
  </si>
  <si>
    <t>宏华数科</t>
  </si>
  <si>
    <t>www.lixinger.com/analytics/company/sh/688789/688789/detail</t>
  </si>
  <si>
    <t>瑞玛精密</t>
  </si>
  <si>
    <t>www.lixinger.com/analytics/company/sz/002976/2976/detail</t>
  </si>
  <si>
    <t>宜安科技</t>
  </si>
  <si>
    <t>www.lixinger.com/analytics/company/sz/300328/300328/detail</t>
  </si>
  <si>
    <t>康惠制药</t>
  </si>
  <si>
    <t>www.lixinger.com/analytics/company/sh/603139/603139/detail</t>
  </si>
  <si>
    <t>鼎汉技术</t>
  </si>
  <si>
    <t>www.lixinger.com/analytics/company/sz/300011/300011/detail</t>
  </si>
  <si>
    <t>盛视科技</t>
  </si>
  <si>
    <t>www.lixinger.com/analytics/company/sz/002990/2990/detail</t>
  </si>
  <si>
    <t>元琛科技</t>
  </si>
  <si>
    <t>www.lixinger.com/analytics/company/sh/688659/688659/detail</t>
  </si>
  <si>
    <t>华源控股</t>
  </si>
  <si>
    <t>www.lixinger.com/analytics/company/sz/002787/2787/detail</t>
  </si>
  <si>
    <t>腾龙股份</t>
  </si>
  <si>
    <t>www.lixinger.com/analytics/company/sh/603158/603158/detail</t>
  </si>
  <si>
    <t>洁雅股份</t>
  </si>
  <si>
    <t>www.lixinger.com/analytics/company/sz/301108/301108/detail</t>
  </si>
  <si>
    <t>硕世生物</t>
  </si>
  <si>
    <t>www.lixinger.com/analytics/company/sh/688399/688399/detail</t>
  </si>
  <si>
    <t>胜蓝股份</t>
  </si>
  <si>
    <t>www.lixinger.com/analytics/company/sz/300843/300843/detail</t>
  </si>
  <si>
    <t>银河微电</t>
  </si>
  <si>
    <t>www.lixinger.com/analytics/company/sh/688689/688689/detail</t>
  </si>
  <si>
    <t>卫信康</t>
  </si>
  <si>
    <t>www.lixinger.com/analytics/company/sh/603676/603676/detail</t>
  </si>
  <si>
    <t>益民集团</t>
  </si>
  <si>
    <t>www.lixinger.com/analytics/company/sh/600824/600824/detail</t>
  </si>
  <si>
    <t>福晶科技</t>
  </si>
  <si>
    <t>www.lixinger.com/analytics/company/sz/002222/2222/detail</t>
  </si>
  <si>
    <t>冠城大通</t>
  </si>
  <si>
    <t>www.lixinger.com/analytics/company/sh/600067/600067/detail</t>
  </si>
  <si>
    <t>迪生力</t>
  </si>
  <si>
    <t>www.lixinger.com/analytics/company/sh/603335/603335/detail</t>
  </si>
  <si>
    <t>天鹅股份</t>
  </si>
  <si>
    <t>www.lixinger.com/analytics/company/sh/603029/603029/detail</t>
  </si>
  <si>
    <t>会畅通讯</t>
  </si>
  <si>
    <t>www.lixinger.com/analytics/company/sz/300578/300578/detail</t>
  </si>
  <si>
    <t>亿田智能</t>
  </si>
  <si>
    <t>www.lixinger.com/analytics/company/sz/300911/300911/detail</t>
  </si>
  <si>
    <t>惠发食品</t>
  </si>
  <si>
    <t>www.lixinger.com/analytics/company/sh/603536/603536/detail</t>
  </si>
  <si>
    <t>回盛生物</t>
  </si>
  <si>
    <t>www.lixinger.com/analytics/company/sz/300871/300871/detail</t>
  </si>
  <si>
    <t>哈尔斯</t>
  </si>
  <si>
    <t>www.lixinger.com/analytics/company/sz/002615/2615/detail</t>
  </si>
  <si>
    <t>证通电子</t>
  </si>
  <si>
    <t>www.lixinger.com/analytics/company/sz/002197/2197/detail</t>
  </si>
  <si>
    <t>博世科</t>
  </si>
  <si>
    <t>www.lixinger.com/analytics/company/sz/300422/300422/detail</t>
  </si>
  <si>
    <t>中旗新材</t>
  </si>
  <si>
    <t>www.lixinger.com/analytics/company/sz/001212/1212/detail</t>
  </si>
  <si>
    <t>雷科防务</t>
  </si>
  <si>
    <t>www.lixinger.com/analytics/company/sz/002413/2413/detail</t>
  </si>
  <si>
    <t>翰宇药业</t>
  </si>
  <si>
    <t>www.lixinger.com/analytics/company/sz/300199/300199/detail</t>
  </si>
  <si>
    <t>第一医药</t>
  </si>
  <si>
    <t>www.lixinger.com/analytics/company/sh/600833/600833/detail</t>
  </si>
  <si>
    <t>东易日盛</t>
  </si>
  <si>
    <t>www.lixinger.com/analytics/company/sz/002713/2713/detail</t>
  </si>
  <si>
    <t>泰慕士</t>
  </si>
  <si>
    <t>www.lixinger.com/analytics/company/sz/001234/1234/detail</t>
  </si>
  <si>
    <t>中欣氟材</t>
  </si>
  <si>
    <t>www.lixinger.com/analytics/company/sz/002915/2915/detail</t>
  </si>
  <si>
    <t>广聚能源</t>
  </si>
  <si>
    <t>www.lixinger.com/analytics/company/sz/000096/96/detail</t>
  </si>
  <si>
    <t>润禾材料</t>
  </si>
  <si>
    <t>www.lixinger.com/analytics/company/sz/300727/300727/detail</t>
  </si>
  <si>
    <t>竞业达</t>
  </si>
  <si>
    <t>www.lixinger.com/analytics/company/sz/003005/3005/detail</t>
  </si>
  <si>
    <t>禾望电气</t>
  </si>
  <si>
    <t>www.lixinger.com/analytics/company/sh/603063/603063/detail</t>
  </si>
  <si>
    <t>富春股份</t>
  </si>
  <si>
    <t>www.lixinger.com/analytics/company/sz/300299/300299/detail</t>
  </si>
  <si>
    <t>联赢激光</t>
  </si>
  <si>
    <t>www.lixinger.com/analytics/company/sh/688518/688518/detail</t>
  </si>
  <si>
    <t>光云科技</t>
  </si>
  <si>
    <t>www.lixinger.com/analytics/company/sh/688365/688365/detail</t>
  </si>
  <si>
    <t>春雪食品</t>
  </si>
  <si>
    <t>www.lixinger.com/analytics/company/sh/605567/605567/detail</t>
  </si>
  <si>
    <t>晨化股份</t>
  </si>
  <si>
    <t>www.lixinger.com/analytics/company/sz/300610/300610/detail</t>
  </si>
  <si>
    <t>爱乐达</t>
  </si>
  <si>
    <t>www.lixinger.com/analytics/company/sz/300696/300696/detail</t>
  </si>
  <si>
    <t>首都在线</t>
  </si>
  <si>
    <t>www.lixinger.com/analytics/company/sz/300846/300846/detail</t>
  </si>
  <si>
    <t>合力科技</t>
  </si>
  <si>
    <t>www.lixinger.com/analytics/company/sh/603917/603917/detail</t>
  </si>
  <si>
    <t>达刚控股</t>
  </si>
  <si>
    <t>www.lixinger.com/analytics/company/sz/300103/300103/detail</t>
  </si>
  <si>
    <t>法狮龙</t>
  </si>
  <si>
    <t>www.lixinger.com/analytics/company/sh/605318/605318/detail</t>
  </si>
  <si>
    <t>正海生物</t>
  </si>
  <si>
    <t>www.lixinger.com/analytics/company/sz/300653/300653/detail</t>
  </si>
  <si>
    <t>国盛智科</t>
  </si>
  <si>
    <t>www.lixinger.com/analytics/company/sh/688558/688558/detail</t>
  </si>
  <si>
    <t>凯众股份</t>
  </si>
  <si>
    <t>www.lixinger.com/analytics/company/sh/603037/603037/detail</t>
  </si>
  <si>
    <t>华翔股份</t>
  </si>
  <si>
    <t>www.lixinger.com/analytics/company/sh/603112/603112/detail</t>
  </si>
  <si>
    <t>超达装备</t>
  </si>
  <si>
    <t>www.lixinger.com/analytics/company/sz/301186/301186/detail</t>
  </si>
  <si>
    <t>凯因科技</t>
  </si>
  <si>
    <t>www.lixinger.com/analytics/company/sh/688687/688687/detail</t>
  </si>
  <si>
    <t>兆新股份</t>
  </si>
  <si>
    <t>www.lixinger.com/analytics/company/sz/002256/2256/detail</t>
  </si>
  <si>
    <t>浙矿股份</t>
  </si>
  <si>
    <t>www.lixinger.com/analytics/company/sz/300837/300837/detail</t>
  </si>
  <si>
    <t>华锐精密</t>
  </si>
  <si>
    <t>www.lixinger.com/analytics/company/sh/688059/688059/detail</t>
  </si>
  <si>
    <t>清溢光电</t>
  </si>
  <si>
    <t>www.lixinger.com/analytics/company/sh/688138/688138/detail</t>
  </si>
  <si>
    <t>浙江黎明</t>
  </si>
  <si>
    <t>www.lixinger.com/analytics/company/sh/603048/603048/detail</t>
  </si>
  <si>
    <t>多伦科技</t>
  </si>
  <si>
    <t>www.lixinger.com/analytics/company/sh/603528/603528/detail</t>
  </si>
  <si>
    <t>梅轮电梯</t>
  </si>
  <si>
    <t>www.lixinger.com/analytics/company/sh/603321/603321/detail</t>
  </si>
  <si>
    <t>标榜股份</t>
  </si>
  <si>
    <t>www.lixinger.com/analytics/company/sz/301181/301181/detail</t>
  </si>
  <si>
    <t>晶瑞电材</t>
  </si>
  <si>
    <t>www.lixinger.com/analytics/company/sz/300655/300655/detail</t>
  </si>
  <si>
    <t>乐鑫科技</t>
  </si>
  <si>
    <t>www.lixinger.com/analytics/company/sh/688018/688018/detail</t>
  </si>
  <si>
    <t>粤华包Ｂ</t>
  </si>
  <si>
    <t>www.lixinger.com/analytics/company/sz/200986/200986/detail</t>
  </si>
  <si>
    <t>江苏博云</t>
  </si>
  <si>
    <t>www.lixinger.com/analytics/company/sz/301003/301003/detail</t>
  </si>
  <si>
    <t>金枫酒业</t>
  </si>
  <si>
    <t>www.lixinger.com/analytics/company/sh/600616/600616/detail</t>
  </si>
  <si>
    <t>博通股份</t>
  </si>
  <si>
    <t>www.lixinger.com/analytics/company/sh/600455/600455/detail</t>
  </si>
  <si>
    <t>江海股份</t>
  </si>
  <si>
    <t>www.lixinger.com/analytics/company/sz/002484/2484/detail</t>
  </si>
  <si>
    <t>飞鹿股份</t>
  </si>
  <si>
    <t>www.lixinger.com/analytics/company/sz/300665/300665/detail</t>
  </si>
  <si>
    <t>东宏股份</t>
  </si>
  <si>
    <t>www.lixinger.com/analytics/company/sh/603856/603856/detail</t>
  </si>
  <si>
    <t>冠中生态</t>
  </si>
  <si>
    <t>www.lixinger.com/analytics/company/sz/300948/300948/detail</t>
  </si>
  <si>
    <t>同为股份</t>
  </si>
  <si>
    <t>www.lixinger.com/analytics/company/sz/002835/2835/detail</t>
  </si>
  <si>
    <t>来伊份</t>
  </si>
  <si>
    <t>www.lixinger.com/analytics/company/sh/603777/603777/detail</t>
  </si>
  <si>
    <t>金发拉比</t>
  </si>
  <si>
    <t>www.lixinger.com/analytics/company/sz/002762/2762/detail</t>
  </si>
  <si>
    <t>国中水务</t>
  </si>
  <si>
    <t>www.lixinger.com/analytics/company/sh/600187/600187/detail</t>
  </si>
  <si>
    <t>瑞松科技</t>
  </si>
  <si>
    <t>www.lixinger.com/analytics/company/sh/688090/688090/detail</t>
  </si>
  <si>
    <t>朗玛信息</t>
  </si>
  <si>
    <t>www.lixinger.com/analytics/company/sz/300288/300288/detail</t>
  </si>
  <si>
    <t>永茂泰</t>
  </si>
  <si>
    <t>www.lixinger.com/analytics/company/sh/605208/605208/detail</t>
  </si>
  <si>
    <t>菲林格尔</t>
  </si>
  <si>
    <t>www.lixinger.com/analytics/company/sh/603226/603226/detail</t>
  </si>
  <si>
    <t>新瀚新材</t>
  </si>
  <si>
    <t>www.lixinger.com/analytics/company/sz/301076/301076/detail</t>
  </si>
  <si>
    <t>海立Ｂ股</t>
  </si>
  <si>
    <t>www.lixinger.com/analytics/company/sh/900910/900910/detail</t>
  </si>
  <si>
    <t>皮阿诺</t>
  </si>
  <si>
    <t>www.lixinger.com/analytics/company/sz/002853/2853/detail</t>
  </si>
  <si>
    <t>瑞德智能</t>
  </si>
  <si>
    <t>www.lixinger.com/analytics/company/sz/301135/301135/detail</t>
  </si>
  <si>
    <t>盛航股份</t>
  </si>
  <si>
    <t>www.lixinger.com/analytics/company/sz/001205/1205/detail</t>
  </si>
  <si>
    <t>融捷健康</t>
  </si>
  <si>
    <t>www.lixinger.com/analytics/company/sz/300247/300247/detail</t>
  </si>
  <si>
    <t>兴通股份</t>
  </si>
  <si>
    <t>www.lixinger.com/analytics/company/sh/603209/603209/detail</t>
  </si>
  <si>
    <t>帝尔激光</t>
  </si>
  <si>
    <t>www.lixinger.com/analytics/company/sz/300776/300776/detail</t>
  </si>
  <si>
    <t>汇中股份</t>
  </si>
  <si>
    <t>www.lixinger.com/analytics/company/sz/300371/300371/detail</t>
  </si>
  <si>
    <t>搜于特</t>
  </si>
  <si>
    <t>www.lixinger.com/analytics/company/sz/002503/2503/detail</t>
  </si>
  <si>
    <t>中大力德</t>
  </si>
  <si>
    <t>www.lixinger.com/analytics/company/sz/002896/2896/detail</t>
  </si>
  <si>
    <t>博硕科技</t>
  </si>
  <si>
    <t>www.lixinger.com/analytics/company/sz/300951/300951/detail</t>
  </si>
  <si>
    <t>泰坦股份</t>
  </si>
  <si>
    <t>www.lixinger.com/analytics/company/sz/003036/3036/detail</t>
  </si>
  <si>
    <t>光韵达</t>
  </si>
  <si>
    <t>www.lixinger.com/analytics/company/sz/300227/300227/detail</t>
  </si>
  <si>
    <t>八亿时空</t>
  </si>
  <si>
    <t>www.lixinger.com/analytics/company/sh/688181/688181/detail</t>
  </si>
  <si>
    <t>西藏矿业</t>
  </si>
  <si>
    <t>www.lixinger.com/analytics/company/sz/000762/762/detail</t>
  </si>
  <si>
    <t>交大昂立</t>
  </si>
  <si>
    <t>www.lixinger.com/analytics/company/sh/600530/600530/detail</t>
  </si>
  <si>
    <t>盛德鑫泰</t>
  </si>
  <si>
    <t>www.lixinger.com/analytics/company/sz/300881/300881/detail</t>
  </si>
  <si>
    <t>五洲特纸</t>
  </si>
  <si>
    <t>www.lixinger.com/analytics/company/sh/605007/605007/detail</t>
  </si>
  <si>
    <t>蓝盾光电</t>
  </si>
  <si>
    <t>www.lixinger.com/analytics/company/sz/300862/300862/detail</t>
  </si>
  <si>
    <t>海程邦达</t>
  </si>
  <si>
    <t>www.lixinger.com/analytics/company/sh/603836/603836/detail</t>
  </si>
  <si>
    <t>中望软件</t>
  </si>
  <si>
    <t>www.lixinger.com/analytics/company/sh/688083/688083/detail</t>
  </si>
  <si>
    <t>华骐环保</t>
  </si>
  <si>
    <t>www.lixinger.com/analytics/company/sz/300929/300929/detail</t>
  </si>
  <si>
    <t>争光股份</t>
  </si>
  <si>
    <t>www.lixinger.com/analytics/company/sz/301092/301092/detail</t>
  </si>
  <si>
    <t>宁波东力</t>
  </si>
  <si>
    <t>www.lixinger.com/analytics/company/sz/002164/2164/detail</t>
  </si>
  <si>
    <t>皇马科技</t>
  </si>
  <si>
    <t>www.lixinger.com/analytics/company/sh/603181/603181/detail</t>
  </si>
  <si>
    <t>科拓生物</t>
  </si>
  <si>
    <t>www.lixinger.com/analytics/company/sz/300858/300858/detail</t>
  </si>
  <si>
    <t>新光药业</t>
  </si>
  <si>
    <t>www.lixinger.com/analytics/company/sz/300519/300519/detail</t>
  </si>
  <si>
    <t>德联集团</t>
  </si>
  <si>
    <t>www.lixinger.com/analytics/company/sz/002666/2666/detail</t>
  </si>
  <si>
    <t>博士眼镜</t>
  </si>
  <si>
    <t>www.lixinger.com/analytics/company/sz/300622/300622/detail</t>
  </si>
  <si>
    <t>锦港Ｂ股</t>
  </si>
  <si>
    <t>www.lixinger.com/analytics/company/sh/900952/900952/detail</t>
  </si>
  <si>
    <t>上能电气</t>
  </si>
  <si>
    <t>www.lixinger.com/analytics/company/sz/300827/300827/detail</t>
  </si>
  <si>
    <t>新赛股份</t>
  </si>
  <si>
    <t>www.lixinger.com/analytics/company/sh/600540/600540/detail</t>
  </si>
  <si>
    <t>凯立新材</t>
  </si>
  <si>
    <t>www.lixinger.com/analytics/company/sh/688269/688269/detail</t>
  </si>
  <si>
    <t>斯迪克</t>
  </si>
  <si>
    <t>www.lixinger.com/analytics/company/sz/300806/300806/detail</t>
  </si>
  <si>
    <t>海辰药业</t>
  </si>
  <si>
    <t>www.lixinger.com/analytics/company/sz/300584/300584/detail</t>
  </si>
  <si>
    <t>传艺科技</t>
  </si>
  <si>
    <t>www.lixinger.com/analytics/company/sz/002866/2866/detail</t>
  </si>
  <si>
    <t>中宠股份</t>
  </si>
  <si>
    <t>宠物食品</t>
  </si>
  <si>
    <t>www.lixinger.com/analytics/company/sz/002891/2891/detail</t>
  </si>
  <si>
    <t>朗迪集团</t>
  </si>
  <si>
    <t>www.lixinger.com/analytics/company/sh/603726/603726/detail</t>
  </si>
  <si>
    <t>大立科技</t>
  </si>
  <si>
    <t>www.lixinger.com/analytics/company/sz/002214/2214/detail</t>
  </si>
  <si>
    <t>致远互联</t>
  </si>
  <si>
    <t>www.lixinger.com/analytics/company/sh/688369/688369/detail</t>
  </si>
  <si>
    <t>双塔食品</t>
  </si>
  <si>
    <t>www.lixinger.com/analytics/company/sz/002481/2481/detail</t>
  </si>
  <si>
    <t>金冠电气</t>
  </si>
  <si>
    <t>www.lixinger.com/analytics/company/sh/688517/688517/detail</t>
  </si>
  <si>
    <t>麦趣尔</t>
  </si>
  <si>
    <t>www.lixinger.com/analytics/company/sz/002719/2719/detail</t>
  </si>
  <si>
    <t>柯利达</t>
  </si>
  <si>
    <t>www.lixinger.com/analytics/company/sh/603828/603828/detail</t>
  </si>
  <si>
    <t>中岩大地</t>
  </si>
  <si>
    <t>www.lixinger.com/analytics/company/sz/003001/3001/detail</t>
  </si>
  <si>
    <t>创新医疗</t>
  </si>
  <si>
    <t>www.lixinger.com/analytics/company/sz/002173/2173/detail</t>
  </si>
  <si>
    <t>兴源环境</t>
  </si>
  <si>
    <t>www.lixinger.com/analytics/company/sz/300266/300266/detail</t>
  </si>
  <si>
    <t>嘉环科技</t>
  </si>
  <si>
    <t>www.lixinger.com/analytics/company/sh/603206/603206/detail</t>
  </si>
  <si>
    <t>中农联合</t>
  </si>
  <si>
    <t>www.lixinger.com/analytics/company/sz/003042/3042/detail</t>
  </si>
  <si>
    <t>海融科技</t>
  </si>
  <si>
    <t>www.lixinger.com/analytics/company/sz/300915/300915/detail</t>
  </si>
  <si>
    <t>御银股份</t>
  </si>
  <si>
    <t>www.lixinger.com/analytics/company/sz/002177/2177/detail</t>
  </si>
  <si>
    <t>西陇科学</t>
  </si>
  <si>
    <t>www.lixinger.com/analytics/company/sz/002584/2584/detail</t>
  </si>
  <si>
    <t>海顺新材</t>
  </si>
  <si>
    <t>www.lixinger.com/analytics/company/sz/300501/300501/detail</t>
  </si>
  <si>
    <t>和远气体</t>
  </si>
  <si>
    <t>www.lixinger.com/analytics/company/sz/002971/2971/detail</t>
  </si>
  <si>
    <t>利和兴</t>
  </si>
  <si>
    <t>www.lixinger.com/analytics/company/sz/301013/301013/detail</t>
  </si>
  <si>
    <t>酷特智能</t>
  </si>
  <si>
    <t>www.lixinger.com/analytics/company/sz/300840/300840/detail</t>
  </si>
  <si>
    <t>生意宝</t>
  </si>
  <si>
    <t>www.lixinger.com/analytics/company/sz/002095/2095/detail</t>
  </si>
  <si>
    <t>万东医疗</t>
  </si>
  <si>
    <t>www.lixinger.com/analytics/company/sh/600055/600055/detail</t>
  </si>
  <si>
    <t>新城市</t>
  </si>
  <si>
    <t>www.lixinger.com/analytics/company/sz/300778/300778/detail</t>
  </si>
  <si>
    <t>光启技术</t>
  </si>
  <si>
    <t>www.lixinger.com/analytics/company/sz/002625/2625/detail</t>
  </si>
  <si>
    <t>ST天润</t>
  </si>
  <si>
    <t>www.lixinger.com/analytics/company/sz/002113/2113/detail</t>
  </si>
  <si>
    <t>江丰电子</t>
  </si>
  <si>
    <t>www.lixinger.com/analytics/company/sz/300666/300666/detail</t>
  </si>
  <si>
    <t>深圳瑞捷</t>
  </si>
  <si>
    <t>www.lixinger.com/analytics/company/sz/300977/300977/detail</t>
  </si>
  <si>
    <t>新宏泽</t>
  </si>
  <si>
    <t>www.lixinger.com/analytics/company/sz/002836/2836/detail</t>
  </si>
  <si>
    <t>永和股份</t>
  </si>
  <si>
    <t>www.lixinger.com/analytics/company/sh/605020/605020/detail</t>
  </si>
  <si>
    <t>泰瑞机器</t>
  </si>
  <si>
    <t>www.lixinger.com/analytics/company/sh/603289/603289/detail</t>
  </si>
  <si>
    <t>泰尔股份</t>
  </si>
  <si>
    <t>www.lixinger.com/analytics/company/sz/002347/2347/detail</t>
  </si>
  <si>
    <t>雅本化学</t>
  </si>
  <si>
    <t>www.lixinger.com/analytics/company/sz/300261/300261/detail</t>
  </si>
  <si>
    <t>元隆雅图</t>
  </si>
  <si>
    <t>www.lixinger.com/analytics/company/sz/002878/2878/detail</t>
  </si>
  <si>
    <t>塞力医疗</t>
  </si>
  <si>
    <t>www.lixinger.com/analytics/company/sh/603716/603716/detail</t>
  </si>
  <si>
    <t>雅运股份</t>
  </si>
  <si>
    <t>www.lixinger.com/analytics/company/sh/603790/603790/detail</t>
  </si>
  <si>
    <t>壶化股份</t>
  </si>
  <si>
    <t>www.lixinger.com/analytics/company/sz/003002/3002/detail</t>
  </si>
  <si>
    <t>镇洋发展</t>
  </si>
  <si>
    <t>www.lixinger.com/analytics/company/sh/603213/603213/detail</t>
  </si>
  <si>
    <t>科大国创</t>
  </si>
  <si>
    <t>www.lixinger.com/analytics/company/sz/300520/300520/detail</t>
  </si>
  <si>
    <t>建科机械</t>
  </si>
  <si>
    <t>www.lixinger.com/analytics/company/sz/300823/300823/detail</t>
  </si>
  <si>
    <t>凤形股份</t>
  </si>
  <si>
    <t>www.lixinger.com/analytics/company/sz/002760/2760/detail</t>
  </si>
  <si>
    <t>华生科技</t>
  </si>
  <si>
    <t>www.lixinger.com/analytics/company/sh/605180/605180/detail</t>
  </si>
  <si>
    <t>*ST圣亚</t>
  </si>
  <si>
    <t>www.lixinger.com/analytics/company/sh/600593/600593/detail</t>
  </si>
  <si>
    <t>达安基因</t>
  </si>
  <si>
    <t>www.lixinger.com/analytics/company/sz/002030/2030/detail</t>
  </si>
  <si>
    <t>建业股份</t>
  </si>
  <si>
    <t>www.lixinger.com/analytics/company/sh/603948/603948/detail</t>
  </si>
  <si>
    <t>上海艾录</t>
  </si>
  <si>
    <t>www.lixinger.com/analytics/company/sz/301062/301062/detail</t>
  </si>
  <si>
    <t>视觉中国</t>
  </si>
  <si>
    <t>图片媒体</t>
  </si>
  <si>
    <t>www.lixinger.com/analytics/company/sz/000681/681/detail</t>
  </si>
  <si>
    <t>康隆达</t>
  </si>
  <si>
    <t>www.lixinger.com/analytics/company/sh/603665/603665/detail</t>
  </si>
  <si>
    <t>冠昊生物</t>
  </si>
  <si>
    <t>www.lixinger.com/analytics/company/sz/300238/300238/detail</t>
  </si>
  <si>
    <t>绿岛风</t>
  </si>
  <si>
    <t>www.lixinger.com/analytics/company/sz/301043/301043/detail</t>
  </si>
  <si>
    <t>海星股份</t>
  </si>
  <si>
    <t>www.lixinger.com/analytics/company/sh/603115/603115/detail</t>
  </si>
  <si>
    <t>正虹科技</t>
  </si>
  <si>
    <t>www.lixinger.com/analytics/company/sz/000702/702/detail</t>
  </si>
  <si>
    <t>中富电路</t>
  </si>
  <si>
    <t>www.lixinger.com/analytics/company/sz/300814/300814/detail</t>
  </si>
  <si>
    <t>鼎信通讯</t>
  </si>
  <si>
    <t>www.lixinger.com/analytics/company/sh/603421/603421/detail</t>
  </si>
  <si>
    <t>普门科技</t>
  </si>
  <si>
    <t>www.lixinger.com/analytics/company/sh/688389/688389/detail</t>
  </si>
  <si>
    <t>合诚股份</t>
  </si>
  <si>
    <t>www.lixinger.com/analytics/company/sh/603909/603909/detail</t>
  </si>
  <si>
    <t>德马科技</t>
  </si>
  <si>
    <t>www.lixinger.com/analytics/company/sh/688360/688360/detail</t>
  </si>
  <si>
    <t>奥泰生物</t>
  </si>
  <si>
    <t>www.lixinger.com/analytics/company/sh/688606/688606/detail</t>
  </si>
  <si>
    <t>欧陆通</t>
  </si>
  <si>
    <t>www.lixinger.com/analytics/company/sz/300870/300870/detail</t>
  </si>
  <si>
    <t>斯瑞新材</t>
  </si>
  <si>
    <t>www.lixinger.com/analytics/company/sh/688102/688102/detail</t>
  </si>
  <si>
    <t>望变电气</t>
  </si>
  <si>
    <t>www.lixinger.com/analytics/company/sh/603191/603191/detail</t>
  </si>
  <si>
    <t>山西焦化</t>
  </si>
  <si>
    <t>www.lixinger.com/analytics/company/sh/600740/600740/detail</t>
  </si>
  <si>
    <t>海联讯</t>
  </si>
  <si>
    <t>www.lixinger.com/analytics/company/sz/300277/300277/detail</t>
  </si>
  <si>
    <t>隆平高科</t>
  </si>
  <si>
    <t>www.lixinger.com/analytics/company/sz/000998/998/detail</t>
  </si>
  <si>
    <t>天禄科技</t>
  </si>
  <si>
    <t>www.lixinger.com/analytics/company/sz/301045/301045/detail</t>
  </si>
  <si>
    <t>锦盛新材</t>
  </si>
  <si>
    <t>www.lixinger.com/analytics/company/sz/300849/300849/detail</t>
  </si>
  <si>
    <t>九典制药</t>
  </si>
  <si>
    <t>www.lixinger.com/analytics/company/sz/300705/300705/detail</t>
  </si>
  <si>
    <t>万事利</t>
  </si>
  <si>
    <t>www.lixinger.com/analytics/company/sz/301066/301066/detail</t>
  </si>
  <si>
    <t>美利云</t>
  </si>
  <si>
    <t>www.lixinger.com/analytics/company/sz/000815/815/detail</t>
  </si>
  <si>
    <t>金春股份</t>
  </si>
  <si>
    <t>www.lixinger.com/analytics/company/sz/300877/300877/detail</t>
  </si>
  <si>
    <t>明月镜片</t>
  </si>
  <si>
    <t>www.lixinger.com/analytics/company/sz/301101/301101/detail</t>
  </si>
  <si>
    <t>雪龙集团</t>
  </si>
  <si>
    <t>www.lixinger.com/analytics/company/sh/603949/603949/detail</t>
  </si>
  <si>
    <t>华谊兄弟</t>
  </si>
  <si>
    <t>www.lixinger.com/analytics/company/sz/300027/300027/detail</t>
  </si>
  <si>
    <t>新莱应材</t>
  </si>
  <si>
    <t>www.lixinger.com/analytics/company/sz/300260/300260/detail</t>
  </si>
  <si>
    <t>金科环境</t>
  </si>
  <si>
    <t>www.lixinger.com/analytics/company/sh/688466/688466/detail</t>
  </si>
  <si>
    <t>迦南智能</t>
  </si>
  <si>
    <t>www.lixinger.com/analytics/company/sz/300880/300880/detail</t>
  </si>
  <si>
    <t>空港股份</t>
  </si>
  <si>
    <t>产业地产</t>
  </si>
  <si>
    <t>www.lixinger.com/analytics/company/sh/600463/600463/detail</t>
  </si>
  <si>
    <t>安必平</t>
  </si>
  <si>
    <t>www.lixinger.com/analytics/company/sh/688393/688393/detail</t>
  </si>
  <si>
    <t>威派格</t>
  </si>
  <si>
    <t>www.lixinger.com/analytics/company/sh/603956/603956/detail</t>
  </si>
  <si>
    <t>*ST乐材</t>
  </si>
  <si>
    <t>www.lixinger.com/analytics/company/sz/300446/300446/detail</t>
  </si>
  <si>
    <t>江航装备</t>
  </si>
  <si>
    <t>www.lixinger.com/analytics/company/sh/688586/688586/detail</t>
  </si>
  <si>
    <t>卡倍亿</t>
  </si>
  <si>
    <t>www.lixinger.com/analytics/company/sz/300863/300863/detail</t>
  </si>
  <si>
    <t>汇得科技</t>
  </si>
  <si>
    <t>www.lixinger.com/analytics/company/sh/603192/603192/detail</t>
  </si>
  <si>
    <t>美瑞新材</t>
  </si>
  <si>
    <t>www.lixinger.com/analytics/company/sz/300848/300848/detail</t>
  </si>
  <si>
    <t>中粮工科</t>
  </si>
  <si>
    <t>www.lixinger.com/analytics/company/sz/301058/301058/detail</t>
  </si>
  <si>
    <t>艾为电子</t>
  </si>
  <si>
    <t>www.lixinger.com/analytics/company/sh/688798/688798/detail</t>
  </si>
  <si>
    <t>星华反光</t>
  </si>
  <si>
    <t>www.lixinger.com/analytics/company/sz/301077/301077/detail</t>
  </si>
  <si>
    <t>瑞纳智能</t>
  </si>
  <si>
    <t>www.lixinger.com/analytics/company/sz/301129/301129/detail</t>
  </si>
  <si>
    <t>雷尔伟</t>
  </si>
  <si>
    <t>www.lixinger.com/analytics/company/sz/301016/301016/detail</t>
  </si>
  <si>
    <t>久之洋</t>
  </si>
  <si>
    <t>www.lixinger.com/analytics/company/sz/300516/300516/detail</t>
  </si>
  <si>
    <t>动力Ｂ股</t>
  </si>
  <si>
    <t>www.lixinger.com/analytics/company/sh/900920/900920/detail</t>
  </si>
  <si>
    <t>万讯自控</t>
  </si>
  <si>
    <t>www.lixinger.com/analytics/company/sz/300112/300112/detail</t>
  </si>
  <si>
    <t>两面针</t>
  </si>
  <si>
    <t>www.lixinger.com/analytics/company/sh/600249/600249/detail</t>
  </si>
  <si>
    <t>炼石航空</t>
  </si>
  <si>
    <t>www.lixinger.com/analytics/company/sz/000697/697/detail</t>
  </si>
  <si>
    <t>双枪科技</t>
  </si>
  <si>
    <t>www.lixinger.com/analytics/company/sz/001211/1211/detail</t>
  </si>
  <si>
    <t>戴维医疗</t>
  </si>
  <si>
    <t>www.lixinger.com/analytics/company/sz/300314/300314/detail</t>
  </si>
  <si>
    <t>奥精医疗</t>
  </si>
  <si>
    <t>www.lixinger.com/analytics/company/sh/688613/688613/detail</t>
  </si>
  <si>
    <t>斯达半导</t>
  </si>
  <si>
    <t>www.lixinger.com/analytics/company/sh/603290/603290/detail</t>
  </si>
  <si>
    <t>泰山石油</t>
  </si>
  <si>
    <t>www.lixinger.com/analytics/company/sz/000554/554/detail</t>
  </si>
  <si>
    <t>特力Ｂ</t>
  </si>
  <si>
    <t>www.lixinger.com/analytics/company/sz/200025/200025/detail</t>
  </si>
  <si>
    <t>晶华新材</t>
  </si>
  <si>
    <t>www.lixinger.com/analytics/company/sh/603683/603683/detail</t>
  </si>
  <si>
    <t>汉王科技</t>
  </si>
  <si>
    <t>www.lixinger.com/analytics/company/sz/002362/2362/detail</t>
  </si>
  <si>
    <t>深水规院</t>
  </si>
  <si>
    <t>www.lixinger.com/analytics/company/sz/301038/301038/detail</t>
  </si>
  <si>
    <t>金海高科</t>
  </si>
  <si>
    <t>www.lixinger.com/analytics/company/sh/603311/603311/detail</t>
  </si>
  <si>
    <t>全信股份</t>
  </si>
  <si>
    <t>www.lixinger.com/analytics/company/sz/300447/300447/detail</t>
  </si>
  <si>
    <t>中元股份</t>
  </si>
  <si>
    <t>www.lixinger.com/analytics/company/sz/300018/300018/detail</t>
  </si>
  <si>
    <t>江南高纤</t>
  </si>
  <si>
    <t>www.lixinger.com/analytics/company/sh/600527/600527/detail</t>
  </si>
  <si>
    <t>瑞鹄模具</t>
  </si>
  <si>
    <t>www.lixinger.com/analytics/company/sz/002997/2997/detail</t>
  </si>
  <si>
    <t>鹏欣资源</t>
  </si>
  <si>
    <t>www.lixinger.com/analytics/company/sh/600490/600490/detail</t>
  </si>
  <si>
    <t>罗曼股份</t>
  </si>
  <si>
    <t>www.lixinger.com/analytics/company/sh/605289/605289/detail</t>
  </si>
  <si>
    <t>奥翔药业</t>
  </si>
  <si>
    <t>www.lixinger.com/analytics/company/sh/603229/603229/detail</t>
  </si>
  <si>
    <t>东方通</t>
  </si>
  <si>
    <t>www.lixinger.com/analytics/company/sz/300379/300379/detail</t>
  </si>
  <si>
    <t>天舟文化</t>
  </si>
  <si>
    <t>www.lixinger.com/analytics/company/sz/300148/300148/detail</t>
  </si>
  <si>
    <t>张小泉</t>
  </si>
  <si>
    <t>www.lixinger.com/analytics/company/sz/301055/301055/detail</t>
  </si>
  <si>
    <t>赛象科技</t>
  </si>
  <si>
    <t>www.lixinger.com/analytics/company/sz/002337/2337/detail</t>
  </si>
  <si>
    <t>四会富仕</t>
  </si>
  <si>
    <t>www.lixinger.com/analytics/company/sz/300852/300852/detail</t>
  </si>
  <si>
    <t>富春染织</t>
  </si>
  <si>
    <t>www.lixinger.com/analytics/company/sh/605189/605189/detail</t>
  </si>
  <si>
    <t>景嘉微</t>
  </si>
  <si>
    <t>www.lixinger.com/analytics/company/sz/300474/300474/detail</t>
  </si>
  <si>
    <t>信测标准</t>
  </si>
  <si>
    <t>www.lixinger.com/analytics/company/sz/300938/300938/detail</t>
  </si>
  <si>
    <t>雄帝科技</t>
  </si>
  <si>
    <t>www.lixinger.com/analytics/company/sz/300546/300546/detail</t>
  </si>
  <si>
    <t>欧圣电气</t>
  </si>
  <si>
    <t>www.lixinger.com/analytics/company/sz/301187/301187/detail</t>
  </si>
  <si>
    <t>海泰发展</t>
  </si>
  <si>
    <t>www.lixinger.com/analytics/company/sh/600082/600082/detail</t>
  </si>
  <si>
    <t>德迈仕</t>
  </si>
  <si>
    <t>www.lixinger.com/analytics/company/sz/301007/301007/detail</t>
  </si>
  <si>
    <t>千味央厨</t>
  </si>
  <si>
    <t>www.lixinger.com/analytics/company/sz/001215/1215/detail</t>
  </si>
  <si>
    <t>拓新药业</t>
  </si>
  <si>
    <t>www.lixinger.com/analytics/company/sz/301089/301089/detail</t>
  </si>
  <si>
    <t>富邦股份</t>
  </si>
  <si>
    <t>www.lixinger.com/analytics/company/sz/300387/300387/detail</t>
  </si>
  <si>
    <t>丰林集团</t>
  </si>
  <si>
    <t>www.lixinger.com/analytics/company/sh/601996/601996/detail</t>
  </si>
  <si>
    <t>思特奇</t>
  </si>
  <si>
    <t>www.lixinger.com/analytics/company/sz/300608/300608/detail</t>
  </si>
  <si>
    <t>我乐家居</t>
  </si>
  <si>
    <t>www.lixinger.com/analytics/company/sh/603326/603326/detail</t>
  </si>
  <si>
    <t>蠡湖股份</t>
  </si>
  <si>
    <t>www.lixinger.com/analytics/company/sz/300694/300694/detail</t>
  </si>
  <si>
    <t>京城股份</t>
  </si>
  <si>
    <t>www.lixinger.com/analytics/company/sh/600860/600860/detail</t>
  </si>
  <si>
    <t>耀皮Ｂ股</t>
  </si>
  <si>
    <t>www.lixinger.com/analytics/company/sh/900918/900918/detail</t>
  </si>
  <si>
    <t>冰川网络</t>
  </si>
  <si>
    <t>www.lixinger.com/analytics/company/sz/300533/300533/detail</t>
  </si>
  <si>
    <t>浙江自然</t>
  </si>
  <si>
    <t>www.lixinger.com/analytics/company/sh/605080/605080/detail</t>
  </si>
  <si>
    <t>蒙泰高新</t>
  </si>
  <si>
    <t>www.lixinger.com/analytics/company/sz/300876/300876/detail</t>
  </si>
  <si>
    <t>恒帅股份</t>
  </si>
  <si>
    <t>www.lixinger.com/analytics/company/sz/300969/300969/detail</t>
  </si>
  <si>
    <t>华兰股份</t>
  </si>
  <si>
    <t>www.lixinger.com/analytics/company/sz/301093/301093/detail</t>
  </si>
  <si>
    <t>呈和科技</t>
  </si>
  <si>
    <t>www.lixinger.com/analytics/company/sh/688625/688625/detail</t>
  </si>
  <si>
    <t>诺禾致源</t>
  </si>
  <si>
    <t>其他医疗服务</t>
  </si>
  <si>
    <t>www.lixinger.com/analytics/company/sh/688315/688315/detail</t>
  </si>
  <si>
    <t>宇顺电子</t>
  </si>
  <si>
    <t>www.lixinger.com/analytics/company/sz/002289/2289/detail</t>
  </si>
  <si>
    <t>天龙股份</t>
  </si>
  <si>
    <t>www.lixinger.com/analytics/company/sh/603266/603266/detail</t>
  </si>
  <si>
    <t>正帆科技</t>
  </si>
  <si>
    <t>www.lixinger.com/analytics/company/sh/688596/688596/detail</t>
  </si>
  <si>
    <t>华宏科技</t>
  </si>
  <si>
    <t>www.lixinger.com/analytics/company/sz/002645/2645/detail</t>
  </si>
  <si>
    <t>森霸传感</t>
  </si>
  <si>
    <t>www.lixinger.com/analytics/company/sz/300701/300701/detail</t>
  </si>
  <si>
    <t>中胤时尚</t>
  </si>
  <si>
    <t>www.lixinger.com/analytics/company/sz/300901/300901/detail</t>
  </si>
  <si>
    <t>中达安</t>
  </si>
  <si>
    <t>www.lixinger.com/analytics/company/sz/300635/300635/detail</t>
  </si>
  <si>
    <t>浪潮软件</t>
  </si>
  <si>
    <t>www.lixinger.com/analytics/company/sh/600756/600756/detail</t>
  </si>
  <si>
    <t>新通联</t>
  </si>
  <si>
    <t>www.lixinger.com/analytics/company/sh/603022/603022/detail</t>
  </si>
  <si>
    <t>安集科技</t>
  </si>
  <si>
    <t>www.lixinger.com/analytics/company/sh/688019/688019/detail</t>
  </si>
  <si>
    <t>蕾奥规划</t>
  </si>
  <si>
    <t>www.lixinger.com/analytics/company/sz/300989/300989/detail</t>
  </si>
  <si>
    <t>熊猫乳品</t>
  </si>
  <si>
    <t>www.lixinger.com/analytics/company/sz/300898/300898/detail</t>
  </si>
  <si>
    <t>中孚信息</t>
  </si>
  <si>
    <t>www.lixinger.com/analytics/company/sz/300659/300659/detail</t>
  </si>
  <si>
    <t>青山纸业</t>
  </si>
  <si>
    <t>www.lixinger.com/analytics/company/sh/600103/600103/detail</t>
  </si>
  <si>
    <t>上海亚虹</t>
  </si>
  <si>
    <t>www.lixinger.com/analytics/company/sh/603159/603159/detail</t>
  </si>
  <si>
    <t>维业股份</t>
  </si>
  <si>
    <t>www.lixinger.com/analytics/company/sz/300621/300621/detail</t>
  </si>
  <si>
    <t>新晨科技</t>
  </si>
  <si>
    <t>www.lixinger.com/analytics/company/sz/300542/300542/detail</t>
  </si>
  <si>
    <t>高铁电气</t>
  </si>
  <si>
    <t>www.lixinger.com/analytics/company/sh/688285/688285/detail</t>
  </si>
  <si>
    <t>北方股份</t>
  </si>
  <si>
    <t>www.lixinger.com/analytics/company/sh/600262/600262/detail</t>
  </si>
  <si>
    <t>海泰新光</t>
  </si>
  <si>
    <t>www.lixinger.com/analytics/company/sh/688677/688677/detail</t>
  </si>
  <si>
    <t>欧比特</t>
  </si>
  <si>
    <t>www.lixinger.com/analytics/company/sz/300053/300053/detail</t>
  </si>
  <si>
    <t>威腾电气</t>
  </si>
  <si>
    <t>www.lixinger.com/analytics/company/sh/688226/688226/detail</t>
  </si>
  <si>
    <t>海天瑞声</t>
  </si>
  <si>
    <t>www.lixinger.com/analytics/company/sh/688787/688787/detail</t>
  </si>
  <si>
    <t>深华发Ｂ</t>
  </si>
  <si>
    <t>www.lixinger.com/analytics/company/sz/200020/200020/detail</t>
  </si>
  <si>
    <t>德固特</t>
  </si>
  <si>
    <t>www.lixinger.com/analytics/company/sz/300950/300950/detail</t>
  </si>
  <si>
    <t>派瑞股份</t>
  </si>
  <si>
    <t>www.lixinger.com/analytics/company/sz/300831/300831/detail</t>
  </si>
  <si>
    <t>香雪制药</t>
  </si>
  <si>
    <t>www.lixinger.com/analytics/company/sz/300147/300147/detail</t>
  </si>
  <si>
    <t>中船汉光</t>
  </si>
  <si>
    <t>www.lixinger.com/analytics/company/sz/300847/300847/detail</t>
  </si>
  <si>
    <t>沃尔德</t>
  </si>
  <si>
    <t>www.lixinger.com/analytics/company/sh/688028/688028/detail</t>
  </si>
  <si>
    <t>苏试试验</t>
  </si>
  <si>
    <t>www.lixinger.com/analytics/company/sz/300416/300416/detail</t>
  </si>
  <si>
    <t>盛天网络</t>
  </si>
  <si>
    <t>www.lixinger.com/analytics/company/sz/300494/300494/detail</t>
  </si>
  <si>
    <t>晨光新材</t>
  </si>
  <si>
    <t>www.lixinger.com/analytics/company/sh/605399/605399/detail</t>
  </si>
  <si>
    <t>宏达电子</t>
  </si>
  <si>
    <t>www.lixinger.com/analytics/company/sz/300726/300726/detail</t>
  </si>
  <si>
    <t>世纪天鸿</t>
  </si>
  <si>
    <t>www.lixinger.com/analytics/company/sz/300654/300654/detail</t>
  </si>
  <si>
    <t>北鼎股份</t>
  </si>
  <si>
    <t>www.lixinger.com/analytics/company/sz/300824/300824/detail</t>
  </si>
  <si>
    <t>瑞华泰</t>
  </si>
  <si>
    <t>www.lixinger.com/analytics/company/sh/688323/688323/detail</t>
  </si>
  <si>
    <t>日辰股份</t>
  </si>
  <si>
    <t>www.lixinger.com/analytics/company/sh/603755/603755/detail</t>
  </si>
  <si>
    <t>格尔软件</t>
  </si>
  <si>
    <t>www.lixinger.com/analytics/company/sh/603232/603232/detail</t>
  </si>
  <si>
    <t>风光股份</t>
  </si>
  <si>
    <t>www.lixinger.com/analytics/company/sz/301100/301100/detail</t>
  </si>
  <si>
    <t>炬芯科技</t>
  </si>
  <si>
    <t>www.lixinger.com/analytics/company/sh/688049/688049/detail</t>
  </si>
  <si>
    <t>华培动力</t>
  </si>
  <si>
    <t>www.lixinger.com/analytics/company/sh/603121/603121/detail</t>
  </si>
  <si>
    <t>松原股份</t>
  </si>
  <si>
    <t>www.lixinger.com/analytics/company/sz/300893/300893/detail</t>
  </si>
  <si>
    <t>三友联众</t>
  </si>
  <si>
    <t>www.lixinger.com/analytics/company/sz/300932/300932/detail</t>
  </si>
  <si>
    <t>赛伦生物</t>
  </si>
  <si>
    <t>www.lixinger.com/analytics/company/sh/688163/688163/detail</t>
  </si>
  <si>
    <t>硅宝科技</t>
  </si>
  <si>
    <t>www.lixinger.com/analytics/company/sz/300019/300019/detail</t>
  </si>
  <si>
    <t>万润科技</t>
  </si>
  <si>
    <t>www.lixinger.com/analytics/company/sz/002654/2654/detail</t>
  </si>
  <si>
    <t>中通国脉</t>
  </si>
  <si>
    <t>www.lixinger.com/analytics/company/sh/603559/603559/detail</t>
  </si>
  <si>
    <t>宝莱特</t>
  </si>
  <si>
    <t>www.lixinger.com/analytics/company/sz/300246/300246/detail</t>
  </si>
  <si>
    <t>光洋股份</t>
  </si>
  <si>
    <t>www.lixinger.com/analytics/company/sz/002708/2708/detail</t>
  </si>
  <si>
    <t>恒天海龙</t>
  </si>
  <si>
    <t>www.lixinger.com/analytics/company/sz/000677/677/detail</t>
  </si>
  <si>
    <t>天和防务</t>
  </si>
  <si>
    <t>www.lixinger.com/analytics/company/sz/300397/300397/detail</t>
  </si>
  <si>
    <t>弘讯科技</t>
  </si>
  <si>
    <t>www.lixinger.com/analytics/company/sh/603015/603015/detail</t>
  </si>
  <si>
    <t>英杰电气</t>
  </si>
  <si>
    <t>www.lixinger.com/analytics/company/sz/300820/300820/detail</t>
  </si>
  <si>
    <t>日久光电</t>
  </si>
  <si>
    <t>www.lixinger.com/analytics/company/sz/003015/3015/detail</t>
  </si>
  <si>
    <t>共达电声</t>
  </si>
  <si>
    <t>www.lixinger.com/analytics/company/sz/002655/2655/detail</t>
  </si>
  <si>
    <t>纳尔股份</t>
  </si>
  <si>
    <t>www.lixinger.com/analytics/company/sz/002825/2825/detail</t>
  </si>
  <si>
    <t>联瑞新材</t>
  </si>
  <si>
    <t>www.lixinger.com/analytics/company/sh/688300/688300/detail</t>
  </si>
  <si>
    <t>亚钾国际</t>
  </si>
  <si>
    <t>www.lixinger.com/analytics/company/sz/000893/893/detail</t>
  </si>
  <si>
    <t>北矿科技</t>
  </si>
  <si>
    <t>www.lixinger.com/analytics/company/sh/600980/600980/detail</t>
  </si>
  <si>
    <t>荣科科技</t>
  </si>
  <si>
    <t>www.lixinger.com/analytics/company/sz/300290/300290/detail</t>
  </si>
  <si>
    <t>福立旺</t>
  </si>
  <si>
    <t>www.lixinger.com/analytics/company/sh/688678/688678/detail</t>
  </si>
  <si>
    <t>迈拓股份</t>
  </si>
  <si>
    <t>www.lixinger.com/analytics/company/sz/301006/301006/detail</t>
  </si>
  <si>
    <t>得利斯</t>
  </si>
  <si>
    <t>www.lixinger.com/analytics/company/sz/002330/2330/detail</t>
  </si>
  <si>
    <t>创业慧康</t>
  </si>
  <si>
    <t>www.lixinger.com/analytics/company/sz/300451/300451/detail</t>
  </si>
  <si>
    <t>力诺特玻</t>
  </si>
  <si>
    <t>www.lixinger.com/analytics/company/sz/301188/301188/detail</t>
  </si>
  <si>
    <t>致远新能</t>
  </si>
  <si>
    <t>www.lixinger.com/analytics/company/sz/300985/300985/detail</t>
  </si>
  <si>
    <t>祥生医疗</t>
  </si>
  <si>
    <t>www.lixinger.com/analytics/company/sh/688358/688358/detail</t>
  </si>
  <si>
    <t>西藏旅游</t>
  </si>
  <si>
    <t>www.lixinger.com/analytics/company/sh/600749/600749/detail</t>
  </si>
  <si>
    <t>龙力退</t>
  </si>
  <si>
    <t>www.lixinger.com/analytics/company/sz/002604/2604/detail</t>
  </si>
  <si>
    <t>新开源</t>
  </si>
  <si>
    <t>www.lixinger.com/analytics/company/sz/300109/300109/detail</t>
  </si>
  <si>
    <t>山河药辅</t>
  </si>
  <si>
    <t>www.lixinger.com/analytics/company/sz/300452/300452/detail</t>
  </si>
  <si>
    <t>三江购物</t>
  </si>
  <si>
    <t>www.lixinger.com/analytics/company/sh/601116/601116/detail</t>
  </si>
  <si>
    <t>皇氏集团</t>
  </si>
  <si>
    <t>www.lixinger.com/analytics/company/sz/002329/2329/detail</t>
  </si>
  <si>
    <t>力盛赛车</t>
  </si>
  <si>
    <t>www.lixinger.com/analytics/company/sz/002858/2858/detail</t>
  </si>
  <si>
    <t>蓝黛科技</t>
  </si>
  <si>
    <t>www.lixinger.com/analytics/company/sz/002765/2765/detail</t>
  </si>
  <si>
    <t>光正眼科</t>
  </si>
  <si>
    <t>www.lixinger.com/analytics/company/sz/002524/2524/detail</t>
  </si>
  <si>
    <t>特力Ａ</t>
  </si>
  <si>
    <t>www.lixinger.com/analytics/company/sz/000025/25/detail</t>
  </si>
  <si>
    <t>金沃股份</t>
  </si>
  <si>
    <t>www.lixinger.com/analytics/company/sz/300984/300984/detail</t>
  </si>
  <si>
    <t>松发股份</t>
  </si>
  <si>
    <t>www.lixinger.com/analytics/company/sh/603268/603268/detail</t>
  </si>
  <si>
    <t>信安世纪</t>
  </si>
  <si>
    <t>www.lixinger.com/analytics/company/sh/688201/688201/detail</t>
  </si>
  <si>
    <t>中晟高科</t>
  </si>
  <si>
    <t>www.lixinger.com/analytics/company/sz/002778/2778/detail</t>
  </si>
  <si>
    <t>艾可蓝</t>
  </si>
  <si>
    <t>www.lixinger.com/analytics/company/sz/300816/300816/detail</t>
  </si>
  <si>
    <t>科安达</t>
  </si>
  <si>
    <t>www.lixinger.com/analytics/company/sz/002972/2972/detail</t>
  </si>
  <si>
    <t>元利科技</t>
  </si>
  <si>
    <t>www.lixinger.com/analytics/company/sh/603217/603217/detail</t>
  </si>
  <si>
    <t>天元股份</t>
  </si>
  <si>
    <t>www.lixinger.com/analytics/company/sz/003003/3003/detail</t>
  </si>
  <si>
    <t>双飞股份</t>
  </si>
  <si>
    <t>www.lixinger.com/analytics/company/sz/300817/300817/detail</t>
  </si>
  <si>
    <t>慈星股份</t>
  </si>
  <si>
    <t>www.lixinger.com/analytics/company/sz/300307/300307/detail</t>
  </si>
  <si>
    <t>沃格光电</t>
  </si>
  <si>
    <t>www.lixinger.com/analytics/company/sh/603773/603773/detail</t>
  </si>
  <si>
    <t>先惠技术</t>
  </si>
  <si>
    <t>www.lixinger.com/analytics/company/sh/688155/688155/detail</t>
  </si>
  <si>
    <t>安德利</t>
  </si>
  <si>
    <t>www.lixinger.com/analytics/company/sh/603031/603031/detail</t>
  </si>
  <si>
    <t>禾信仪器</t>
  </si>
  <si>
    <t>www.lixinger.com/analytics/company/sh/688622/688622/detail</t>
  </si>
  <si>
    <t>恒大高新</t>
  </si>
  <si>
    <t>www.lixinger.com/analytics/company/sz/002591/2591/detail</t>
  </si>
  <si>
    <t>新宏泰</t>
  </si>
  <si>
    <t>www.lixinger.com/analytics/company/sh/603016/603016/detail</t>
  </si>
  <si>
    <t>鼎通科技</t>
  </si>
  <si>
    <t>www.lixinger.com/analytics/company/sh/688668/688668/detail</t>
  </si>
  <si>
    <t>爱朋医疗</t>
  </si>
  <si>
    <t>www.lixinger.com/analytics/company/sz/300753/300753/detail</t>
  </si>
  <si>
    <t>喜悦智行</t>
  </si>
  <si>
    <t>www.lixinger.com/analytics/company/sz/301198/301198/detail</t>
  </si>
  <si>
    <t>天安新材</t>
  </si>
  <si>
    <t>www.lixinger.com/analytics/company/sh/603725/603725/detail</t>
  </si>
  <si>
    <t>通用电梯</t>
  </si>
  <si>
    <t>www.lixinger.com/analytics/company/sz/300931/300931/detail</t>
  </si>
  <si>
    <t>纽威股份</t>
  </si>
  <si>
    <t>www.lixinger.com/analytics/company/sh/603699/603699/detail</t>
  </si>
  <si>
    <t>日丰股份</t>
  </si>
  <si>
    <t>www.lixinger.com/analytics/company/sz/002953/2953/detail</t>
  </si>
  <si>
    <t>亿通科技</t>
  </si>
  <si>
    <t>www.lixinger.com/analytics/company/sz/300211/300211/detail</t>
  </si>
  <si>
    <t>科力尔</t>
  </si>
  <si>
    <t>www.lixinger.com/analytics/company/sz/002892/2892/detail</t>
  </si>
  <si>
    <t>之江生物</t>
  </si>
  <si>
    <t>www.lixinger.com/analytics/company/sh/688317/688317/detail</t>
  </si>
  <si>
    <t>华研精机</t>
  </si>
  <si>
    <t>www.lixinger.com/analytics/company/sz/301138/301138/detail</t>
  </si>
  <si>
    <t>星球石墨</t>
  </si>
  <si>
    <t>www.lixinger.com/analytics/company/sh/688633/688633/detail</t>
  </si>
  <si>
    <t>兰剑智能</t>
  </si>
  <si>
    <t>www.lixinger.com/analytics/company/sh/688557/688557/detail</t>
  </si>
  <si>
    <t>中视传媒</t>
  </si>
  <si>
    <t>www.lixinger.com/analytics/company/sh/600088/600088/detail</t>
  </si>
  <si>
    <t>三德科技</t>
  </si>
  <si>
    <t>www.lixinger.com/analytics/company/sz/300515/300515/detail</t>
  </si>
  <si>
    <t>迪威尔</t>
  </si>
  <si>
    <t>www.lixinger.com/analytics/company/sh/688377/688377/detail</t>
  </si>
  <si>
    <t>建研设计</t>
  </si>
  <si>
    <t>www.lixinger.com/analytics/company/sz/301167/301167/detail</t>
  </si>
  <si>
    <t>吉大正元</t>
  </si>
  <si>
    <t>www.lixinger.com/analytics/company/sz/003029/3029/detail</t>
  </si>
  <si>
    <t>华阳国际</t>
  </si>
  <si>
    <t>www.lixinger.com/analytics/company/sz/002949/2949/detail</t>
  </si>
  <si>
    <t>佳禾智能</t>
  </si>
  <si>
    <t>www.lixinger.com/analytics/company/sz/300793/300793/detail</t>
  </si>
  <si>
    <t>健麾信息</t>
  </si>
  <si>
    <t>www.lixinger.com/analytics/company/sh/605186/605186/detail</t>
  </si>
  <si>
    <t>许继电气</t>
  </si>
  <si>
    <t>www.lixinger.com/analytics/company/sz/000400/400/detail</t>
  </si>
  <si>
    <t>四创电子</t>
  </si>
  <si>
    <t>www.lixinger.com/analytics/company/sh/600990/600990/detail</t>
  </si>
  <si>
    <t>新锐股份</t>
  </si>
  <si>
    <t>www.lixinger.com/analytics/company/sh/688257/688257/detail</t>
  </si>
  <si>
    <t>泉阳泉</t>
  </si>
  <si>
    <t>www.lixinger.com/analytics/company/sh/600189/600189/detail</t>
  </si>
  <si>
    <t>金陵体育</t>
  </si>
  <si>
    <t>www.lixinger.com/analytics/company/sz/300651/300651/detail</t>
  </si>
  <si>
    <t>德宏股份</t>
  </si>
  <si>
    <t>www.lixinger.com/analytics/company/sh/603701/603701/detail</t>
  </si>
  <si>
    <t>唯捷创芯</t>
  </si>
  <si>
    <t>www.lixinger.com/analytics/company/sh/688153/688153/detail</t>
  </si>
  <si>
    <t>华虹计通</t>
  </si>
  <si>
    <t>www.lixinger.com/analytics/company/sz/300330/300330/detail</t>
  </si>
  <si>
    <t>泰恩康</t>
  </si>
  <si>
    <t>www.lixinger.com/analytics/company/sz/301263/301263/detail</t>
  </si>
  <si>
    <t>王子新材</t>
  </si>
  <si>
    <t>www.lixinger.com/analytics/company/sz/002735/2735/detail</t>
  </si>
  <si>
    <t>华凯创意</t>
  </si>
  <si>
    <t>www.lixinger.com/analytics/company/sz/300592/300592/detail</t>
  </si>
  <si>
    <t>科创新源</t>
  </si>
  <si>
    <t>www.lixinger.com/analytics/company/sz/300731/300731/detail</t>
  </si>
  <si>
    <t>国恩股份</t>
  </si>
  <si>
    <t>www.lixinger.com/analytics/company/sz/002768/2768/detail</t>
  </si>
  <si>
    <t>湘潭电化</t>
  </si>
  <si>
    <t>www.lixinger.com/analytics/company/sz/002125/2125/detail</t>
  </si>
  <si>
    <t>博汇股份</t>
  </si>
  <si>
    <t>www.lixinger.com/analytics/company/sz/300839/300839/detail</t>
  </si>
  <si>
    <t>新洁能</t>
  </si>
  <si>
    <t>www.lixinger.com/analytics/company/sh/605111/605111/detail</t>
  </si>
  <si>
    <t>乐心医疗</t>
  </si>
  <si>
    <t>www.lixinger.com/analytics/company/sz/300562/300562/detail</t>
  </si>
  <si>
    <t>吉林化纤</t>
  </si>
  <si>
    <t>www.lixinger.com/analytics/company/sz/000420/420/detail</t>
  </si>
  <si>
    <t>通化金马</t>
  </si>
  <si>
    <t>www.lixinger.com/analytics/company/sz/000766/766/detail</t>
  </si>
  <si>
    <t>直真科技</t>
  </si>
  <si>
    <t>www.lixinger.com/analytics/company/sz/003007/3007/detail</t>
  </si>
  <si>
    <t>美思德</t>
  </si>
  <si>
    <t>www.lixinger.com/analytics/company/sh/603041/603041/detail</t>
  </si>
  <si>
    <t>数字认证</t>
  </si>
  <si>
    <t>www.lixinger.com/analytics/company/sz/300579/300579/detail</t>
  </si>
  <si>
    <t>凤凰光学</t>
  </si>
  <si>
    <t>www.lixinger.com/analytics/company/sh/600071/600071/detail</t>
  </si>
  <si>
    <t>易天股份</t>
  </si>
  <si>
    <t>www.lixinger.com/analytics/company/sz/300812/300812/detail</t>
  </si>
  <si>
    <t>兆龙互连</t>
  </si>
  <si>
    <t>www.lixinger.com/analytics/company/sz/300913/300913/detail</t>
  </si>
  <si>
    <t>弘信电子</t>
  </si>
  <si>
    <t>www.lixinger.com/analytics/company/sz/300657/300657/detail</t>
  </si>
  <si>
    <t>深华发Ａ</t>
  </si>
  <si>
    <t>www.lixinger.com/analytics/company/sz/000020/20/detail</t>
  </si>
  <si>
    <t>健民集团</t>
  </si>
  <si>
    <t>www.lixinger.com/analytics/company/sh/600976/600976/detail</t>
  </si>
  <si>
    <t>沃顿科技</t>
  </si>
  <si>
    <t>www.lixinger.com/analytics/company/sz/000920/920/detail</t>
  </si>
  <si>
    <t>海昌新材</t>
  </si>
  <si>
    <t>www.lixinger.com/analytics/company/sz/300885/300885/detail</t>
  </si>
  <si>
    <t>陆家Ｂ股</t>
  </si>
  <si>
    <t>www.lixinger.com/analytics/company/sh/900932/900932/detail</t>
  </si>
  <si>
    <t>炬申股份</t>
  </si>
  <si>
    <t>www.lixinger.com/analytics/company/sz/001202/1202/detail</t>
  </si>
  <si>
    <t>延江股份</t>
  </si>
  <si>
    <t>www.lixinger.com/analytics/company/sz/300658/300658/detail</t>
  </si>
  <si>
    <t>光库科技</t>
  </si>
  <si>
    <t>www.lixinger.com/analytics/company/sz/300620/300620/detail</t>
  </si>
  <si>
    <t>华特气体</t>
  </si>
  <si>
    <t>www.lixinger.com/analytics/company/sh/688268/688268/detail</t>
  </si>
  <si>
    <t>绿康生化</t>
  </si>
  <si>
    <t>www.lixinger.com/analytics/company/sz/002868/2868/detail</t>
  </si>
  <si>
    <t>兴齐眼药</t>
  </si>
  <si>
    <t>www.lixinger.com/analytics/company/sz/300573/300573/detail</t>
  </si>
  <si>
    <t>世华科技</t>
  </si>
  <si>
    <t>www.lixinger.com/analytics/company/sh/688093/688093/detail</t>
  </si>
  <si>
    <t>跃岭股份</t>
  </si>
  <si>
    <t>www.lixinger.com/analytics/company/sz/002725/2725/detail</t>
  </si>
  <si>
    <t>聚辰股份</t>
  </si>
  <si>
    <t>www.lixinger.com/analytics/company/sh/688123/688123/detail</t>
  </si>
  <si>
    <t>嘉益股份</t>
  </si>
  <si>
    <t>www.lixinger.com/analytics/company/sz/301004/301004/detail</t>
  </si>
  <si>
    <t>深桑达Ａ</t>
  </si>
  <si>
    <t>www.lixinger.com/analytics/company/sz/000032/32/detail</t>
  </si>
  <si>
    <t>永和智控</t>
  </si>
  <si>
    <t>www.lixinger.com/analytics/company/sz/002795/2795/detail</t>
  </si>
  <si>
    <t>聚杰微纤</t>
  </si>
  <si>
    <t>www.lixinger.com/analytics/company/sz/300819/300819/detail</t>
  </si>
  <si>
    <t>中晶科技</t>
  </si>
  <si>
    <t>www.lixinger.com/analytics/company/sz/003026/3026/detail</t>
  </si>
  <si>
    <t>矩子科技</t>
  </si>
  <si>
    <t>www.lixinger.com/analytics/company/sz/300802/300802/detail</t>
  </si>
  <si>
    <t>神开股份</t>
  </si>
  <si>
    <t>www.lixinger.com/analytics/company/sz/002278/2278/detail</t>
  </si>
  <si>
    <t>中捷精工</t>
  </si>
  <si>
    <t>www.lixinger.com/analytics/company/sz/301072/301072/detail</t>
  </si>
  <si>
    <t>*ST新光</t>
  </si>
  <si>
    <t>www.lixinger.com/analytics/company/sz/002147/2147/detail</t>
  </si>
  <si>
    <t>味知香</t>
  </si>
  <si>
    <t>www.lixinger.com/analytics/company/sh/605089/605089/detail</t>
  </si>
  <si>
    <t>雷赛智能</t>
  </si>
  <si>
    <t>www.lixinger.com/analytics/company/sz/002979/2979/detail</t>
  </si>
  <si>
    <t>盛美上海</t>
  </si>
  <si>
    <t>www.lixinger.com/analytics/company/sh/688082/688082/detail</t>
  </si>
  <si>
    <t>奥尼电子</t>
  </si>
  <si>
    <t>www.lixinger.com/analytics/company/sz/301189/301189/detail</t>
  </si>
  <si>
    <t>申菱环境</t>
  </si>
  <si>
    <t>www.lixinger.com/analytics/company/sz/301018/301018/detail</t>
  </si>
  <si>
    <t>松井股份</t>
  </si>
  <si>
    <t>www.lixinger.com/analytics/company/sh/688157/688157/detail</t>
  </si>
  <si>
    <t>宁波色母</t>
  </si>
  <si>
    <t>www.lixinger.com/analytics/company/sz/301019/301019/detail</t>
  </si>
  <si>
    <t>科翔股份</t>
  </si>
  <si>
    <t>www.lixinger.com/analytics/company/sz/300903/300903/detail</t>
  </si>
  <si>
    <t>青岛食品</t>
  </si>
  <si>
    <t>www.lixinger.com/analytics/company/sz/001219/1219/detail</t>
  </si>
  <si>
    <t>联盛化学</t>
  </si>
  <si>
    <t>www.lixinger.com/analytics/company/sz/301212/301212/detail</t>
  </si>
  <si>
    <t>桂发祥</t>
  </si>
  <si>
    <t>www.lixinger.com/analytics/company/sz/002820/2820/detail</t>
  </si>
  <si>
    <t>泰福泵业</t>
  </si>
  <si>
    <t>www.lixinger.com/analytics/company/sz/300992/300992/detail</t>
  </si>
  <si>
    <t>盈建科</t>
  </si>
  <si>
    <t>www.lixinger.com/analytics/company/sz/300935/300935/detail</t>
  </si>
  <si>
    <t>奥普光电</t>
  </si>
  <si>
    <t>www.lixinger.com/analytics/company/sz/002338/2338/detail</t>
  </si>
  <si>
    <t>中电环保</t>
  </si>
  <si>
    <t>www.lixinger.com/analytics/company/sz/300172/300172/detail</t>
  </si>
  <si>
    <t>南凌科技</t>
  </si>
  <si>
    <t>www.lixinger.com/analytics/company/sz/300921/300921/detail</t>
  </si>
  <si>
    <t>怡合达</t>
  </si>
  <si>
    <t>www.lixinger.com/analytics/company/sz/301029/301029/detail</t>
  </si>
  <si>
    <t>百诚医药</t>
  </si>
  <si>
    <t>www.lixinger.com/analytics/company/sz/301096/301096/detail</t>
  </si>
  <si>
    <t>鸥玛软件</t>
  </si>
  <si>
    <t>www.lixinger.com/analytics/company/sz/301185/301185/detail</t>
  </si>
  <si>
    <t>普联软件</t>
  </si>
  <si>
    <t>www.lixinger.com/analytics/company/sz/300996/300996/detail</t>
  </si>
  <si>
    <t>宝丽迪</t>
  </si>
  <si>
    <t>www.lixinger.com/analytics/company/sz/300905/300905/detail</t>
  </si>
  <si>
    <t>凯盛科技</t>
  </si>
  <si>
    <t>www.lixinger.com/analytics/company/sh/600552/600552/detail</t>
  </si>
  <si>
    <t>金陵饭店</t>
  </si>
  <si>
    <t>www.lixinger.com/analytics/company/sh/601007/601007/detail</t>
  </si>
  <si>
    <t>恒盛能源</t>
  </si>
  <si>
    <t>www.lixinger.com/analytics/company/sh/605580/605580/detail</t>
  </si>
  <si>
    <t>国光电气</t>
  </si>
  <si>
    <t>www.lixinger.com/analytics/company/sh/688776/688776/detail</t>
  </si>
  <si>
    <t>永安林业</t>
  </si>
  <si>
    <t>www.lixinger.com/analytics/company/sz/000663/663/detail</t>
  </si>
  <si>
    <t>水发燃气</t>
  </si>
  <si>
    <t>www.lixinger.com/analytics/company/sh/603318/603318/detail</t>
  </si>
  <si>
    <t>伟创电气</t>
  </si>
  <si>
    <t>www.lixinger.com/analytics/company/sh/688698/688698/detail</t>
  </si>
  <si>
    <t>康拓红外</t>
  </si>
  <si>
    <t>www.lixinger.com/analytics/company/sz/300455/300455/detail</t>
  </si>
  <si>
    <t>兰卫医学</t>
  </si>
  <si>
    <t>www.lixinger.com/analytics/company/sz/301060/301060/detail</t>
  </si>
  <si>
    <t>通达动力</t>
  </si>
  <si>
    <t>www.lixinger.com/analytics/company/sz/002576/2576/detail</t>
  </si>
  <si>
    <t>泽达易盛</t>
  </si>
  <si>
    <t>www.lixinger.com/analytics/company/sh/688555/688555/detail</t>
  </si>
  <si>
    <t>开勒股份</t>
  </si>
  <si>
    <t>www.lixinger.com/analytics/company/sz/301070/301070/detail</t>
  </si>
  <si>
    <t>中国海防</t>
  </si>
  <si>
    <t>www.lixinger.com/analytics/company/sh/600764/600764/detail</t>
  </si>
  <si>
    <t>*ST利源</t>
  </si>
  <si>
    <t>www.lixinger.com/analytics/company/sz/002501/2501/detail</t>
  </si>
  <si>
    <t>国机精工</t>
  </si>
  <si>
    <t>www.lixinger.com/analytics/company/sz/002046/2046/detail</t>
  </si>
  <si>
    <t>东来技术</t>
  </si>
  <si>
    <t>www.lixinger.com/analytics/company/sh/688129/688129/detail</t>
  </si>
  <si>
    <t>西力科技</t>
  </si>
  <si>
    <t>www.lixinger.com/analytics/company/sh/688616/688616/detail</t>
  </si>
  <si>
    <t>安妮股份</t>
  </si>
  <si>
    <t>www.lixinger.com/analytics/company/sz/002235/2235/detail</t>
  </si>
  <si>
    <t>ST榕泰</t>
  </si>
  <si>
    <t>www.lixinger.com/analytics/company/sh/600589/600589/detail</t>
  </si>
  <si>
    <t>中能电气</t>
  </si>
  <si>
    <t>www.lixinger.com/analytics/company/sz/300062/300062/detail</t>
  </si>
  <si>
    <t>上海沪工</t>
  </si>
  <si>
    <t>www.lixinger.com/analytics/company/sh/603131/603131/detail</t>
  </si>
  <si>
    <t>华信新材</t>
  </si>
  <si>
    <t>www.lixinger.com/analytics/company/sz/300717/300717/detail</t>
  </si>
  <si>
    <t>建研院</t>
  </si>
  <si>
    <t>www.lixinger.com/analytics/company/sh/603183/603183/detail</t>
  </si>
  <si>
    <t>仟源医药</t>
  </si>
  <si>
    <t>www.lixinger.com/analytics/company/sz/300254/300254/detail</t>
  </si>
  <si>
    <t>太龙股份</t>
  </si>
  <si>
    <t>www.lixinger.com/analytics/company/sz/300650/300650/detail</t>
  </si>
  <si>
    <t>长江材料</t>
  </si>
  <si>
    <t>www.lixinger.com/analytics/company/sz/001296/1296/detail</t>
  </si>
  <si>
    <t>兴民智通</t>
  </si>
  <si>
    <t>www.lixinger.com/analytics/company/sz/002355/2355/detail</t>
  </si>
  <si>
    <t>退市富控</t>
  </si>
  <si>
    <t>www.lixinger.com/analytics/company/sh/600634/600634/detail</t>
  </si>
  <si>
    <t>中公高科</t>
  </si>
  <si>
    <t>www.lixinger.com/analytics/company/sh/603860/603860/detail</t>
  </si>
  <si>
    <t>展鹏科技</t>
  </si>
  <si>
    <t>www.lixinger.com/analytics/company/sh/603488/603488/detail</t>
  </si>
  <si>
    <t>博亚精工</t>
  </si>
  <si>
    <t>www.lixinger.com/analytics/company/sz/300971/300971/detail</t>
  </si>
  <si>
    <t>美迪凯</t>
  </si>
  <si>
    <t>www.lixinger.com/analytics/company/sh/688079/688079/detail</t>
  </si>
  <si>
    <t>联翔股份</t>
  </si>
  <si>
    <t>www.lixinger.com/analytics/company/sh/603272/603272/detail</t>
  </si>
  <si>
    <t>莱特光电</t>
  </si>
  <si>
    <t>www.lixinger.com/analytics/company/sh/688150/688150/detail</t>
  </si>
  <si>
    <t>南极光</t>
  </si>
  <si>
    <t>www.lixinger.com/analytics/company/sz/300940/300940/detail</t>
  </si>
  <si>
    <t>君禾股份</t>
  </si>
  <si>
    <t>www.lixinger.com/analytics/company/sh/603617/603617/detail</t>
  </si>
  <si>
    <t>以岭药业</t>
  </si>
  <si>
    <t>www.lixinger.com/analytics/company/sz/002603/2603/detail</t>
  </si>
  <si>
    <t>南方精工</t>
  </si>
  <si>
    <t>www.lixinger.com/analytics/company/sz/002553/2553/detail</t>
  </si>
  <si>
    <t>晶丰明源</t>
  </si>
  <si>
    <t>www.lixinger.com/analytics/company/sh/688368/688368/detail</t>
  </si>
  <si>
    <t>新金路</t>
  </si>
  <si>
    <t>www.lixinger.com/analytics/company/sz/000510/510/detail</t>
  </si>
  <si>
    <t>浩欧博</t>
  </si>
  <si>
    <t>www.lixinger.com/analytics/company/sh/688656/688656/detail</t>
  </si>
  <si>
    <t>利柏特</t>
  </si>
  <si>
    <t>www.lixinger.com/analytics/company/sh/605167/605167/detail</t>
  </si>
  <si>
    <t>全聚德</t>
  </si>
  <si>
    <t>www.lixinger.com/analytics/company/sz/002186/2186/detail</t>
  </si>
  <si>
    <t>德尔未来</t>
  </si>
  <si>
    <t>www.lixinger.com/analytics/company/sz/002631/2631/detail</t>
  </si>
  <si>
    <t>中瓷电子</t>
  </si>
  <si>
    <t>www.lixinger.com/analytics/company/sz/003031/3031/detail</t>
  </si>
  <si>
    <t>亚辉龙</t>
  </si>
  <si>
    <t>www.lixinger.com/analytics/company/sh/688575/688575/detail</t>
  </si>
  <si>
    <t>钢研纳克</t>
  </si>
  <si>
    <t>www.lixinger.com/analytics/company/sz/300797/300797/detail</t>
  </si>
  <si>
    <t>康斯特</t>
  </si>
  <si>
    <t>www.lixinger.com/analytics/company/sz/300445/300445/detail</t>
  </si>
  <si>
    <t>中海达</t>
  </si>
  <si>
    <t>www.lixinger.com/analytics/company/sz/300177/300177/detail</t>
  </si>
  <si>
    <t>中马传动</t>
  </si>
  <si>
    <t>www.lixinger.com/analytics/company/sh/603767/603767/detail</t>
  </si>
  <si>
    <t>汇纳科技</t>
  </si>
  <si>
    <t>www.lixinger.com/analytics/company/sz/300609/300609/detail</t>
  </si>
  <si>
    <t>盘龙药业</t>
  </si>
  <si>
    <t>www.lixinger.com/analytics/company/sz/002864/2864/detail</t>
  </si>
  <si>
    <t>华亚智能</t>
  </si>
  <si>
    <t>www.lixinger.com/analytics/company/sz/003043/3043/detail</t>
  </si>
  <si>
    <t>优利德</t>
  </si>
  <si>
    <t>www.lixinger.com/analytics/company/sh/688628/688628/detail</t>
  </si>
  <si>
    <t>联得装备</t>
  </si>
  <si>
    <t>www.lixinger.com/analytics/company/sz/300545/300545/detail</t>
  </si>
  <si>
    <t>迪贝电气</t>
  </si>
  <si>
    <t>www.lixinger.com/analytics/company/sh/603320/603320/detail</t>
  </si>
  <si>
    <t>万通智控</t>
  </si>
  <si>
    <t>www.lixinger.com/analytics/company/sz/300643/300643/detail</t>
  </si>
  <si>
    <t>诚达药业</t>
  </si>
  <si>
    <t>www.lixinger.com/analytics/company/sz/301201/301201/detail</t>
  </si>
  <si>
    <t>易瑞生物</t>
  </si>
  <si>
    <t>www.lixinger.com/analytics/company/sz/300942/300942/detail</t>
  </si>
  <si>
    <t>新日股份</t>
  </si>
  <si>
    <t>www.lixinger.com/analytics/company/sh/603787/603787/detail</t>
  </si>
  <si>
    <t>睿能科技</t>
  </si>
  <si>
    <t>www.lixinger.com/analytics/company/sh/603933/603933/detail</t>
  </si>
  <si>
    <t>杭州柯林</t>
  </si>
  <si>
    <t>www.lixinger.com/analytics/company/sh/688611/688611/detail</t>
  </si>
  <si>
    <t>新风光</t>
  </si>
  <si>
    <t>www.lixinger.com/analytics/company/sh/688663/688663/detail</t>
  </si>
  <si>
    <t>宏昌科技</t>
  </si>
  <si>
    <t>www.lixinger.com/analytics/company/sz/301008/301008/detail</t>
  </si>
  <si>
    <t>立方数科</t>
  </si>
  <si>
    <t>www.lixinger.com/analytics/company/sz/300344/300344/detail</t>
  </si>
  <si>
    <t>新雷能</t>
  </si>
  <si>
    <t>www.lixinger.com/analytics/company/sz/300593/300593/detail</t>
  </si>
  <si>
    <t>中环海陆</t>
  </si>
  <si>
    <t>www.lixinger.com/analytics/company/sz/301040/301040/detail</t>
  </si>
  <si>
    <t>浙商中拓</t>
  </si>
  <si>
    <t>www.lixinger.com/analytics/company/sz/000906/906/detail</t>
  </si>
  <si>
    <t>冠石科技</t>
  </si>
  <si>
    <t>www.lixinger.com/analytics/company/sh/605588/605588/detail</t>
  </si>
  <si>
    <t>双成药业</t>
  </si>
  <si>
    <t>www.lixinger.com/analytics/company/sz/002693/2693/detail</t>
  </si>
  <si>
    <t>古鳌科技</t>
  </si>
  <si>
    <t>www.lixinger.com/analytics/company/sz/300551/300551/detail</t>
  </si>
  <si>
    <t>捷安高科</t>
  </si>
  <si>
    <t>www.lixinger.com/analytics/company/sz/300845/300845/detail</t>
  </si>
  <si>
    <t>禾盛新材</t>
  </si>
  <si>
    <t>www.lixinger.com/analytics/company/sz/002290/2290/detail</t>
  </si>
  <si>
    <t>富佳股份</t>
  </si>
  <si>
    <t>www.lixinger.com/analytics/company/sh/603219/603219/detail</t>
  </si>
  <si>
    <t>苏文电能</t>
  </si>
  <si>
    <t>www.lixinger.com/analytics/company/sz/300982/300982/detail</t>
  </si>
  <si>
    <t>汉得信息</t>
  </si>
  <si>
    <t>www.lixinger.com/analytics/company/sz/300170/300170/detail</t>
  </si>
  <si>
    <t>仕佳光子</t>
  </si>
  <si>
    <t>www.lixinger.com/analytics/company/sh/688313/688313/detail</t>
  </si>
  <si>
    <t>丰原药业</t>
  </si>
  <si>
    <t>www.lixinger.com/analytics/company/sz/000153/153/detail</t>
  </si>
  <si>
    <t>奥雅设计</t>
  </si>
  <si>
    <t>www.lixinger.com/analytics/company/sz/300949/300949/detail</t>
  </si>
  <si>
    <t>国新健康</t>
  </si>
  <si>
    <t>www.lixinger.com/analytics/company/sz/000503/503/detail</t>
  </si>
  <si>
    <t>中装建设</t>
  </si>
  <si>
    <t>www.lixinger.com/analytics/company/sz/002822/2822/detail</t>
  </si>
  <si>
    <t>文投控股</t>
  </si>
  <si>
    <t>www.lixinger.com/analytics/company/sh/600715/600715/detail</t>
  </si>
  <si>
    <t>西点药业</t>
  </si>
  <si>
    <t>www.lixinger.com/analytics/company/sz/301130/301130/detail</t>
  </si>
  <si>
    <t>惠威科技</t>
  </si>
  <si>
    <t>www.lixinger.com/analytics/company/sz/002888/2888/detail</t>
  </si>
  <si>
    <t>华森制药</t>
  </si>
  <si>
    <t>www.lixinger.com/analytics/company/sz/002907/2907/detail</t>
  </si>
  <si>
    <t>浙江恒威</t>
  </si>
  <si>
    <t>www.lixinger.com/analytics/company/sz/301222/301222/detail</t>
  </si>
  <si>
    <t>三超新材</t>
  </si>
  <si>
    <t>www.lixinger.com/analytics/company/sz/300554/300554/detail</t>
  </si>
  <si>
    <t>明志科技</t>
  </si>
  <si>
    <t>www.lixinger.com/analytics/company/sh/688355/688355/detail</t>
  </si>
  <si>
    <t>中钢天源</t>
  </si>
  <si>
    <t>www.lixinger.com/analytics/company/sz/002057/2057/detail</t>
  </si>
  <si>
    <t>美力科技</t>
  </si>
  <si>
    <t>www.lixinger.com/analytics/company/sz/300611/300611/detail</t>
  </si>
  <si>
    <t>唯赛勃</t>
  </si>
  <si>
    <t>www.lixinger.com/analytics/company/sh/688718/688718/detail</t>
  </si>
  <si>
    <t>天益医疗</t>
  </si>
  <si>
    <t>www.lixinger.com/analytics/company/sz/301097/301097/detail</t>
  </si>
  <si>
    <t>翔丰华</t>
  </si>
  <si>
    <t>www.lixinger.com/analytics/company/sz/300890/300890/detail</t>
  </si>
  <si>
    <t>金力泰</t>
  </si>
  <si>
    <t>www.lixinger.com/analytics/company/sz/300225/300225/detail</t>
  </si>
  <si>
    <t>蔚蓝生物</t>
  </si>
  <si>
    <t>www.lixinger.com/analytics/company/sh/603739/603739/detail</t>
  </si>
  <si>
    <t>药康生物</t>
  </si>
  <si>
    <t>www.lixinger.com/analytics/company/sh/688046/688046/detail</t>
  </si>
  <si>
    <t>正海磁材</t>
  </si>
  <si>
    <t>www.lixinger.com/analytics/company/sz/300224/300224/detail</t>
  </si>
  <si>
    <t>隆盛科技</t>
  </si>
  <si>
    <t>www.lixinger.com/analytics/company/sz/300680/300680/detail</t>
  </si>
  <si>
    <t>华神科技</t>
  </si>
  <si>
    <t>www.lixinger.com/analytics/company/sz/000790/790/detail</t>
  </si>
  <si>
    <t>锋龙股份</t>
  </si>
  <si>
    <t>www.lixinger.com/analytics/company/sz/002931/2931/detail</t>
  </si>
  <si>
    <t>新元科技</t>
  </si>
  <si>
    <t>www.lixinger.com/analytics/company/sz/300472/300472/detail</t>
  </si>
  <si>
    <t>东方电热</t>
  </si>
  <si>
    <t>www.lixinger.com/analytics/company/sz/300217/300217/detail</t>
  </si>
  <si>
    <t>万邦达</t>
  </si>
  <si>
    <t>www.lixinger.com/analytics/company/sz/300055/300055/detail</t>
  </si>
  <si>
    <t>强瑞技术</t>
  </si>
  <si>
    <t>www.lixinger.com/analytics/company/sz/301128/301128/detail</t>
  </si>
  <si>
    <t>帝科股份</t>
  </si>
  <si>
    <t>www.lixinger.com/analytics/company/sz/300842/300842/detail</t>
  </si>
  <si>
    <t>中毅达</t>
  </si>
  <si>
    <t>www.lixinger.com/analytics/company/sh/600610/600610/detail</t>
  </si>
  <si>
    <t>金太阳</t>
  </si>
  <si>
    <t>www.lixinger.com/analytics/company/sz/300606/300606/detail</t>
  </si>
  <si>
    <t>沐邦高科</t>
  </si>
  <si>
    <t>www.lixinger.com/analytics/company/sh/603398/603398/detail</t>
  </si>
  <si>
    <t>隆利科技</t>
  </si>
  <si>
    <t>www.lixinger.com/analytics/company/sz/300752/300752/detail</t>
  </si>
  <si>
    <t>*ST新文</t>
  </si>
  <si>
    <t>www.lixinger.com/analytics/company/sz/300336/300336/detail</t>
  </si>
  <si>
    <t>百龙创园</t>
  </si>
  <si>
    <t>www.lixinger.com/analytics/company/sh/605016/605016/detail</t>
  </si>
  <si>
    <t>晶雪节能</t>
  </si>
  <si>
    <t>www.lixinger.com/analytics/company/sz/301010/301010/detail</t>
  </si>
  <si>
    <t>创益通</t>
  </si>
  <si>
    <t>www.lixinger.com/analytics/company/sz/300991/300991/detail</t>
  </si>
  <si>
    <t>佰仁医疗</t>
  </si>
  <si>
    <t>www.lixinger.com/analytics/company/sh/688198/688198/detail</t>
  </si>
  <si>
    <t>*ST吉艾</t>
  </si>
  <si>
    <t>www.lixinger.com/analytics/company/sz/300309/300309/detail</t>
  </si>
  <si>
    <t>长江投资</t>
  </si>
  <si>
    <t>www.lixinger.com/analytics/company/sh/600119/600119/detail</t>
  </si>
  <si>
    <t>建科院</t>
  </si>
  <si>
    <t>www.lixinger.com/analytics/company/sz/300675/300675/detail</t>
  </si>
  <si>
    <t>易联众</t>
  </si>
  <si>
    <t>www.lixinger.com/analytics/company/sz/300096/300096/detail</t>
  </si>
  <si>
    <t>银禧科技</t>
  </si>
  <si>
    <t>www.lixinger.com/analytics/company/sz/300221/300221/detail</t>
  </si>
  <si>
    <t>永吉股份</t>
  </si>
  <si>
    <t>www.lixinger.com/analytics/company/sh/603058/603058/detail</t>
  </si>
  <si>
    <t>东威科技</t>
  </si>
  <si>
    <t>www.lixinger.com/analytics/company/sh/688700/688700/detail</t>
  </si>
  <si>
    <t>ST银河</t>
  </si>
  <si>
    <t>www.lixinger.com/analytics/company/sz/000806/806/detail</t>
  </si>
  <si>
    <t>惠泉啤酒</t>
  </si>
  <si>
    <t>www.lixinger.com/analytics/company/sh/600573/600573/detail</t>
  </si>
  <si>
    <t>原尚股份</t>
  </si>
  <si>
    <t>www.lixinger.com/analytics/company/sh/603813/603813/detail</t>
  </si>
  <si>
    <t>聚石化学</t>
  </si>
  <si>
    <t>www.lixinger.com/analytics/company/sh/688669/688669/detail</t>
  </si>
  <si>
    <t>福成股份</t>
  </si>
  <si>
    <t>www.lixinger.com/analytics/company/sh/600965/600965/detail</t>
  </si>
  <si>
    <t>海特生物</t>
  </si>
  <si>
    <t>www.lixinger.com/analytics/company/sz/300683/300683/detail</t>
  </si>
  <si>
    <t>京泉华</t>
  </si>
  <si>
    <t>www.lixinger.com/analytics/company/sz/002885/2885/detail</t>
  </si>
  <si>
    <t>国林科技</t>
  </si>
  <si>
    <t>www.lixinger.com/analytics/company/sz/300786/300786/detail</t>
  </si>
  <si>
    <t>新世界</t>
  </si>
  <si>
    <t>www.lixinger.com/analytics/company/sh/600628/600628/detail</t>
  </si>
  <si>
    <t>恒实科技</t>
  </si>
  <si>
    <t>www.lixinger.com/analytics/company/sz/300513/300513/detail</t>
  </si>
  <si>
    <t>康平科技</t>
  </si>
  <si>
    <t>www.lixinger.com/analytics/company/sz/300907/300907/detail</t>
  </si>
  <si>
    <t>顶固集创</t>
  </si>
  <si>
    <t>www.lixinger.com/analytics/company/sz/300749/300749/detail</t>
  </si>
  <si>
    <t>美晨生态</t>
  </si>
  <si>
    <t>www.lixinger.com/analytics/company/sz/300237/300237/detail</t>
  </si>
  <si>
    <t>金冠股份</t>
  </si>
  <si>
    <t>www.lixinger.com/analytics/company/sz/300510/300510/detail</t>
  </si>
  <si>
    <t>江南奕帆</t>
  </si>
  <si>
    <t>www.lixinger.com/analytics/company/sz/301023/301023/detail</t>
  </si>
  <si>
    <t>温州宏丰</t>
  </si>
  <si>
    <t>www.lixinger.com/analytics/company/sz/300283/300283/detail</t>
  </si>
  <si>
    <t>鸿泉物联</t>
  </si>
  <si>
    <t>www.lixinger.com/analytics/company/sh/688288/688288/detail</t>
  </si>
  <si>
    <t>仁智股份</t>
  </si>
  <si>
    <t>www.lixinger.com/analytics/company/sz/002629/2629/detail</t>
  </si>
  <si>
    <t>爱威科技</t>
  </si>
  <si>
    <t>www.lixinger.com/analytics/company/sh/688067/688067/detail</t>
  </si>
  <si>
    <t>宏达股份</t>
  </si>
  <si>
    <t>www.lixinger.com/analytics/company/sh/600331/600331/detail</t>
  </si>
  <si>
    <t>沃森生物</t>
  </si>
  <si>
    <t>www.lixinger.com/analytics/company/sz/300142/300142/detail</t>
  </si>
  <si>
    <t>德生科技</t>
  </si>
  <si>
    <t>www.lixinger.com/analytics/company/sz/002908/2908/detail</t>
  </si>
  <si>
    <t>联诚精密</t>
  </si>
  <si>
    <t>www.lixinger.com/analytics/company/sz/002921/2921/detail</t>
  </si>
  <si>
    <t>三友医疗</t>
  </si>
  <si>
    <t>www.lixinger.com/analytics/company/sh/688085/688085/detail</t>
  </si>
  <si>
    <t>祥源新材</t>
  </si>
  <si>
    <t>www.lixinger.com/analytics/company/sz/300980/300980/detail</t>
  </si>
  <si>
    <t>山东章鼓</t>
  </si>
  <si>
    <t>www.lixinger.com/analytics/company/sz/002598/2598/detail</t>
  </si>
  <si>
    <t>利通电子</t>
  </si>
  <si>
    <t>www.lixinger.com/analytics/company/sh/603629/603629/detail</t>
  </si>
  <si>
    <t>森赫股份</t>
  </si>
  <si>
    <t>www.lixinger.com/analytics/company/sz/301056/301056/detail</t>
  </si>
  <si>
    <t>同益中</t>
  </si>
  <si>
    <t>www.lixinger.com/analytics/company/sh/688722/688722/detail</t>
  </si>
  <si>
    <t>华业香料</t>
  </si>
  <si>
    <t>www.lixinger.com/analytics/company/sz/300886/300886/detail</t>
  </si>
  <si>
    <t>博瑞医药</t>
  </si>
  <si>
    <t>www.lixinger.com/analytics/company/sh/688166/688166/detail</t>
  </si>
  <si>
    <t>黄山Ｂ股</t>
  </si>
  <si>
    <t>www.lixinger.com/analytics/company/sh/900942/900942/detail</t>
  </si>
  <si>
    <t>中南文化</t>
  </si>
  <si>
    <t>www.lixinger.com/analytics/company/sz/002445/2445/detail</t>
  </si>
  <si>
    <t>金百泽</t>
  </si>
  <si>
    <t>www.lixinger.com/analytics/company/sz/301041/301041/detail</t>
  </si>
  <si>
    <t>洁特生物</t>
  </si>
  <si>
    <t>www.lixinger.com/analytics/company/sh/688026/688026/detail</t>
  </si>
  <si>
    <t>新华网</t>
  </si>
  <si>
    <t>www.lixinger.com/analytics/company/sh/603888/603888/detail</t>
  </si>
  <si>
    <t>赛科希德</t>
  </si>
  <si>
    <t>www.lixinger.com/analytics/company/sh/688338/688338/detail</t>
  </si>
  <si>
    <t>漫步者</t>
  </si>
  <si>
    <t>www.lixinger.com/analytics/company/sz/002351/2351/detail</t>
  </si>
  <si>
    <t>川发龙蟒</t>
  </si>
  <si>
    <t>www.lixinger.com/analytics/company/sz/002312/2312/detail</t>
  </si>
  <si>
    <t>超越科技</t>
  </si>
  <si>
    <t>www.lixinger.com/analytics/company/sz/301049/301049/detail</t>
  </si>
  <si>
    <t>创维数字</t>
  </si>
  <si>
    <t>www.lixinger.com/analytics/company/sz/000810/810/detail</t>
  </si>
  <si>
    <t>联测科技</t>
  </si>
  <si>
    <t>www.lixinger.com/analytics/company/sh/688113/688113/detail</t>
  </si>
  <si>
    <t>阿尔特</t>
  </si>
  <si>
    <t>www.lixinger.com/analytics/company/sz/300825/300825/detail</t>
  </si>
  <si>
    <t>神宇股份</t>
  </si>
  <si>
    <t>www.lixinger.com/analytics/company/sz/300563/300563/detail</t>
  </si>
  <si>
    <t>中复神鹰</t>
  </si>
  <si>
    <t>www.lixinger.com/analytics/company/sh/688295/688295/detail</t>
  </si>
  <si>
    <t>建工修复</t>
  </si>
  <si>
    <t>www.lixinger.com/analytics/company/sz/300958/300958/detail</t>
  </si>
  <si>
    <t>三祥新材</t>
  </si>
  <si>
    <t>www.lixinger.com/analytics/company/sh/603663/603663/detail</t>
  </si>
  <si>
    <t>赛特新材</t>
  </si>
  <si>
    <t>www.lixinger.com/analytics/company/sh/688398/688398/detail</t>
  </si>
  <si>
    <t>久吾高科</t>
  </si>
  <si>
    <t>www.lixinger.com/analytics/company/sz/300631/300631/detail</t>
  </si>
  <si>
    <t>华峰测控</t>
  </si>
  <si>
    <t>www.lixinger.com/analytics/company/sh/688200/688200/detail</t>
  </si>
  <si>
    <t>金轮股份</t>
  </si>
  <si>
    <t>www.lixinger.com/analytics/company/sz/002722/2722/detail</t>
  </si>
  <si>
    <t>莎普爱思</t>
  </si>
  <si>
    <t>www.lixinger.com/analytics/company/sh/603168/603168/detail</t>
  </si>
  <si>
    <t>同兴环保</t>
  </si>
  <si>
    <t>www.lixinger.com/analytics/company/sz/003027/3027/detail</t>
  </si>
  <si>
    <t>奇德新材</t>
  </si>
  <si>
    <t>www.lixinger.com/analytics/company/sz/300995/300995/detail</t>
  </si>
  <si>
    <t>扬帆新材</t>
  </si>
  <si>
    <t>www.lixinger.com/analytics/company/sz/300637/300637/detail</t>
  </si>
  <si>
    <t>海利生物</t>
  </si>
  <si>
    <t>www.lixinger.com/analytics/company/sh/603718/603718/detail</t>
  </si>
  <si>
    <t>华菱线缆</t>
  </si>
  <si>
    <t>www.lixinger.com/analytics/company/sz/001208/1208/detail</t>
  </si>
  <si>
    <t>米奥会展</t>
  </si>
  <si>
    <t>www.lixinger.com/analytics/company/sz/300795/300795/detail</t>
  </si>
  <si>
    <t>易明医药</t>
  </si>
  <si>
    <t>www.lixinger.com/analytics/company/sz/002826/2826/detail</t>
  </si>
  <si>
    <t>春兰股份</t>
  </si>
  <si>
    <t>www.lixinger.com/analytics/company/sh/600854/600854/detail</t>
  </si>
  <si>
    <t>棒杰股份</t>
  </si>
  <si>
    <t>www.lixinger.com/analytics/company/sz/002634/2634/detail</t>
  </si>
  <si>
    <t>金钟股份</t>
  </si>
  <si>
    <t>www.lixinger.com/analytics/company/sz/301133/301133/detail</t>
  </si>
  <si>
    <t>大烨智能</t>
  </si>
  <si>
    <t>www.lixinger.com/analytics/company/sz/300670/300670/detail</t>
  </si>
  <si>
    <t>四环生物</t>
  </si>
  <si>
    <t>www.lixinger.com/analytics/company/sz/000518/518/detail</t>
  </si>
  <si>
    <t>浙农股份</t>
  </si>
  <si>
    <t>www.lixinger.com/analytics/company/sz/002758/2758/detail</t>
  </si>
  <si>
    <t>圣达生物</t>
  </si>
  <si>
    <t>www.lixinger.com/analytics/company/sh/603079/603079/detail</t>
  </si>
  <si>
    <t>向日葵</t>
  </si>
  <si>
    <t>www.lixinger.com/analytics/company/sz/300111/300111/detail</t>
  </si>
  <si>
    <t>新柴股份</t>
  </si>
  <si>
    <t>www.lixinger.com/analytics/company/sz/301032/301032/detail</t>
  </si>
  <si>
    <t>莱尔科技</t>
  </si>
  <si>
    <t>www.lixinger.com/analytics/company/sh/688683/688683/detail</t>
  </si>
  <si>
    <t>美迪西</t>
  </si>
  <si>
    <t>www.lixinger.com/analytics/company/sh/688202/688202/detail</t>
  </si>
  <si>
    <t>东贝Ｂ股</t>
  </si>
  <si>
    <t>www.lixinger.com/analytics/company/sh/900956/900956/detail</t>
  </si>
  <si>
    <t>必创科技</t>
  </si>
  <si>
    <t>www.lixinger.com/analytics/company/sz/300667/300667/detail</t>
  </si>
  <si>
    <t>鸿博股份</t>
  </si>
  <si>
    <t>www.lixinger.com/analytics/company/sz/002229/2229/detail</t>
  </si>
  <si>
    <t>威唐工业</t>
  </si>
  <si>
    <t>www.lixinger.com/analytics/company/sz/300707/300707/detail</t>
  </si>
  <si>
    <t>双一科技</t>
  </si>
  <si>
    <t>www.lixinger.com/analytics/company/sz/300690/300690/detail</t>
  </si>
  <si>
    <t>光力科技</t>
  </si>
  <si>
    <t>www.lixinger.com/analytics/company/sz/300480/300480/detail</t>
  </si>
  <si>
    <t>康拓医疗</t>
  </si>
  <si>
    <t>www.lixinger.com/analytics/company/sh/688314/688314/detail</t>
  </si>
  <si>
    <t>大连电瓷</t>
  </si>
  <si>
    <t>www.lixinger.com/analytics/company/sz/002606/2606/detail</t>
  </si>
  <si>
    <t>采纳股份</t>
  </si>
  <si>
    <t>www.lixinger.com/analytics/company/sz/301122/301122/detail</t>
  </si>
  <si>
    <t>光华科技</t>
  </si>
  <si>
    <t>www.lixinger.com/analytics/company/sz/002741/2741/detail</t>
  </si>
  <si>
    <t>赛托生物</t>
  </si>
  <si>
    <t>www.lixinger.com/analytics/company/sz/300583/300583/detail</t>
  </si>
  <si>
    <t>飞力达</t>
  </si>
  <si>
    <t>www.lixinger.com/analytics/company/sz/300240/300240/detail</t>
  </si>
  <si>
    <t>航亚科技</t>
  </si>
  <si>
    <t>www.lixinger.com/analytics/company/sh/688510/688510/detail</t>
  </si>
  <si>
    <t>特发服务</t>
  </si>
  <si>
    <t>www.lixinger.com/analytics/company/sz/300917/300917/detail</t>
  </si>
  <si>
    <t>惠城环保</t>
  </si>
  <si>
    <t>www.lixinger.com/analytics/company/sz/300779/300779/detail</t>
  </si>
  <si>
    <t>可孚医疗</t>
  </si>
  <si>
    <t>www.lixinger.com/analytics/company/sz/301087/301087/detail</t>
  </si>
  <si>
    <t>宇环数控</t>
  </si>
  <si>
    <t>www.lixinger.com/analytics/company/sz/002903/2903/detail</t>
  </si>
  <si>
    <t>江苏华辰</t>
  </si>
  <si>
    <t>www.lixinger.com/analytics/company/sh/603097/603097/detail</t>
  </si>
  <si>
    <t>英可瑞</t>
  </si>
  <si>
    <t>www.lixinger.com/analytics/company/sz/300713/300713/detail</t>
  </si>
  <si>
    <t>宏德股份</t>
  </si>
  <si>
    <t>www.lixinger.com/analytics/company/sz/301163/301163/detail</t>
  </si>
  <si>
    <t>皓元医药</t>
  </si>
  <si>
    <t>www.lixinger.com/analytics/company/sh/688131/688131/detail</t>
  </si>
  <si>
    <t>阳光诺和</t>
  </si>
  <si>
    <t>www.lixinger.com/analytics/company/sh/688621/688621/detail</t>
  </si>
  <si>
    <t>肇民科技</t>
  </si>
  <si>
    <t>www.lixinger.com/analytics/company/sz/301000/301000/detail</t>
  </si>
  <si>
    <t>恒玄科技</t>
  </si>
  <si>
    <t>www.lixinger.com/analytics/company/sh/688608/688608/detail</t>
  </si>
  <si>
    <t>龙磁科技</t>
  </si>
  <si>
    <t>www.lixinger.com/analytics/company/sz/300835/300835/detail</t>
  </si>
  <si>
    <t>金道科技</t>
  </si>
  <si>
    <t>www.lixinger.com/analytics/company/sz/301279/301279/detail</t>
  </si>
  <si>
    <t>艾迪药业</t>
  </si>
  <si>
    <t>www.lixinger.com/analytics/company/sh/688488/688488/detail</t>
  </si>
  <si>
    <t>阿拉丁</t>
  </si>
  <si>
    <t>www.lixinger.com/analytics/company/sh/688179/688179/detail</t>
  </si>
  <si>
    <t>九洲集团</t>
  </si>
  <si>
    <t>www.lixinger.com/analytics/company/sz/300040/300040/detail</t>
  </si>
  <si>
    <t>华伍股份</t>
  </si>
  <si>
    <t>www.lixinger.com/analytics/company/sz/300095/300095/detail</t>
  </si>
  <si>
    <t>祥鑫科技</t>
  </si>
  <si>
    <t>www.lixinger.com/analytics/company/sz/002965/2965/detail</t>
  </si>
  <si>
    <t>柘中股份</t>
  </si>
  <si>
    <t>www.lixinger.com/analytics/company/sz/002346/2346/detail</t>
  </si>
  <si>
    <t>国风新材</t>
  </si>
  <si>
    <t>www.lixinger.com/analytics/company/sz/000859/859/detail</t>
  </si>
  <si>
    <t>云涌科技</t>
  </si>
  <si>
    <t>www.lixinger.com/analytics/company/sh/688060/688060/detail</t>
  </si>
  <si>
    <t>显盈科技</t>
  </si>
  <si>
    <t>www.lixinger.com/analytics/company/sz/301067/301067/detail</t>
  </si>
  <si>
    <t>金利华电</t>
  </si>
  <si>
    <t>www.lixinger.com/analytics/company/sz/300069/300069/detail</t>
  </si>
  <si>
    <t>华民股份</t>
  </si>
  <si>
    <t>www.lixinger.com/analytics/company/sz/300345/300345/detail</t>
  </si>
  <si>
    <t>澄天伟业</t>
  </si>
  <si>
    <t>www.lixinger.com/analytics/company/sz/300689/300689/detail</t>
  </si>
  <si>
    <t>长远锂科</t>
  </si>
  <si>
    <t>www.lixinger.com/analytics/company/sh/688779/688779/detail</t>
  </si>
  <si>
    <t>卓胜微</t>
  </si>
  <si>
    <t>www.lixinger.com/analytics/company/sz/300782/300782/detail</t>
  </si>
  <si>
    <t>奥特迅</t>
  </si>
  <si>
    <t>www.lixinger.com/analytics/company/sz/002227/2227/detail</t>
  </si>
  <si>
    <t>高斯贝尔</t>
  </si>
  <si>
    <t>www.lixinger.com/analytics/company/sz/002848/2848/detail</t>
  </si>
  <si>
    <t>正川股份</t>
  </si>
  <si>
    <t>www.lixinger.com/analytics/company/sh/603976/603976/detail</t>
  </si>
  <si>
    <t>科陆电子</t>
  </si>
  <si>
    <t>www.lixinger.com/analytics/company/sz/002121/2121/detail</t>
  </si>
  <si>
    <t>亚世光电</t>
  </si>
  <si>
    <t>www.lixinger.com/analytics/company/sz/002952/2952/detail</t>
  </si>
  <si>
    <t>瑞丰新材</t>
  </si>
  <si>
    <t>www.lixinger.com/analytics/company/sz/300910/300910/detail</t>
  </si>
  <si>
    <t>如通股份</t>
  </si>
  <si>
    <t>www.lixinger.com/analytics/company/sh/603036/603036/detail</t>
  </si>
  <si>
    <t>恒银科技</t>
  </si>
  <si>
    <t>www.lixinger.com/analytics/company/sh/603106/603106/detail</t>
  </si>
  <si>
    <t>巨星农牧</t>
  </si>
  <si>
    <t>www.lixinger.com/analytics/company/sh/603477/603477/detail</t>
  </si>
  <si>
    <t>惠泰医疗</t>
  </si>
  <si>
    <t>www.lixinger.com/analytics/company/sh/688617/688617/detail</t>
  </si>
  <si>
    <t>鹿山新材</t>
  </si>
  <si>
    <t>www.lixinger.com/analytics/company/sh/603051/603051/detail</t>
  </si>
  <si>
    <t>ST商城</t>
  </si>
  <si>
    <t>www.lixinger.com/analytics/company/sh/600306/600306/detail</t>
  </si>
  <si>
    <t>深城交</t>
  </si>
  <si>
    <t>www.lixinger.com/analytics/company/sz/301091/301091/detail</t>
  </si>
  <si>
    <t>威帝股份</t>
  </si>
  <si>
    <t>www.lixinger.com/analytics/company/sh/603023/603023/detail</t>
  </si>
  <si>
    <t>德艺文创</t>
  </si>
  <si>
    <t>www.lixinger.com/analytics/company/sz/300640/300640/detail</t>
  </si>
  <si>
    <t>红星发展</t>
  </si>
  <si>
    <t>www.lixinger.com/analytics/company/sh/600367/600367/detail</t>
  </si>
  <si>
    <t>ST远程</t>
  </si>
  <si>
    <t>www.lixinger.com/analytics/company/sz/002692/2692/detail</t>
  </si>
  <si>
    <t>民丰特纸</t>
  </si>
  <si>
    <t>www.lixinger.com/analytics/company/sh/600235/600235/detail</t>
  </si>
  <si>
    <t>纳川股份</t>
  </si>
  <si>
    <t>www.lixinger.com/analytics/company/sz/300198/300198/detail</t>
  </si>
  <si>
    <t>艾隆科技</t>
  </si>
  <si>
    <t>www.lixinger.com/analytics/company/sh/688329/688329/detail</t>
  </si>
  <si>
    <t>东方生物</t>
  </si>
  <si>
    <t>www.lixinger.com/analytics/company/sh/688298/688298/detail</t>
  </si>
  <si>
    <t>德龙汇能</t>
  </si>
  <si>
    <t>www.lixinger.com/analytics/company/sz/000593/593/detail</t>
  </si>
  <si>
    <t>苏大维格</t>
  </si>
  <si>
    <t>www.lixinger.com/analytics/company/sz/300331/300331/detail</t>
  </si>
  <si>
    <t>朝阳科技</t>
  </si>
  <si>
    <t>www.lixinger.com/analytics/company/sz/002981/2981/detail</t>
  </si>
  <si>
    <t>路通视信</t>
  </si>
  <si>
    <t>www.lixinger.com/analytics/company/sz/300555/300555/detail</t>
  </si>
  <si>
    <t>申联生物</t>
  </si>
  <si>
    <t>www.lixinger.com/analytics/company/sh/688098/688098/detail</t>
  </si>
  <si>
    <t>江天化学</t>
  </si>
  <si>
    <t>www.lixinger.com/analytics/company/sz/300927/300927/detail</t>
  </si>
  <si>
    <t>曼卡龙</t>
  </si>
  <si>
    <t>www.lixinger.com/analytics/company/sz/300945/300945/detail</t>
  </si>
  <si>
    <t>卓易信息</t>
  </si>
  <si>
    <t>www.lixinger.com/analytics/company/sh/688258/688258/detail</t>
  </si>
  <si>
    <t>国安达</t>
  </si>
  <si>
    <t>www.lixinger.com/analytics/company/sz/300902/300902/detail</t>
  </si>
  <si>
    <t>骏成科技</t>
  </si>
  <si>
    <t>www.lixinger.com/analytics/company/sz/301106/301106/detail</t>
  </si>
  <si>
    <t>尚纬股份</t>
  </si>
  <si>
    <t>www.lixinger.com/analytics/company/sh/603333/603333/detail</t>
  </si>
  <si>
    <t>宝光股份</t>
  </si>
  <si>
    <t>www.lixinger.com/analytics/company/sh/600379/600379/detail</t>
  </si>
  <si>
    <t>恒久科技</t>
  </si>
  <si>
    <t>www.lixinger.com/analytics/company/sz/002808/2808/detail</t>
  </si>
  <si>
    <t>秦川物联</t>
  </si>
  <si>
    <t>www.lixinger.com/analytics/company/sh/688528/688528/detail</t>
  </si>
  <si>
    <t>日盈电子</t>
  </si>
  <si>
    <t>www.lixinger.com/analytics/company/sh/603286/603286/detail</t>
  </si>
  <si>
    <t>秦安股份</t>
  </si>
  <si>
    <t>www.lixinger.com/analytics/company/sh/603758/603758/detail</t>
  </si>
  <si>
    <t>纬德信息</t>
  </si>
  <si>
    <t>www.lixinger.com/analytics/company/sh/688171/688171/detail</t>
  </si>
  <si>
    <t>普源精电</t>
  </si>
  <si>
    <t>www.lixinger.com/analytics/company/sh/688337/688337/detail</t>
  </si>
  <si>
    <t>北玻股份</t>
  </si>
  <si>
    <t>www.lixinger.com/analytics/company/sz/002613/2613/detail</t>
  </si>
  <si>
    <t>超捷股份</t>
  </si>
  <si>
    <t>www.lixinger.com/analytics/company/sz/301005/301005/detail</t>
  </si>
  <si>
    <t>宝钛股份</t>
  </si>
  <si>
    <t>www.lixinger.com/analytics/company/sh/600456/600456/detail</t>
  </si>
  <si>
    <t>铜牛信息</t>
  </si>
  <si>
    <t>www.lixinger.com/analytics/company/sz/300895/300895/detail</t>
  </si>
  <si>
    <t>汇金科技</t>
  </si>
  <si>
    <t>www.lixinger.com/analytics/company/sz/300561/300561/detail</t>
  </si>
  <si>
    <t>大地熊</t>
  </si>
  <si>
    <t>www.lixinger.com/analytics/company/sh/688077/688077/detail</t>
  </si>
  <si>
    <t>高澜股份</t>
  </si>
  <si>
    <t>www.lixinger.com/analytics/company/sz/300499/300499/detail</t>
  </si>
  <si>
    <t>ST三五</t>
  </si>
  <si>
    <t>www.lixinger.com/analytics/company/sz/300051/300051/detail</t>
  </si>
  <si>
    <t>*ST索菱</t>
  </si>
  <si>
    <t>www.lixinger.com/analytics/company/sz/002766/2766/detail</t>
  </si>
  <si>
    <t>盛洋科技</t>
  </si>
  <si>
    <t>www.lixinger.com/analytics/company/sh/603703/603703/detail</t>
  </si>
  <si>
    <t>长航凤凰</t>
  </si>
  <si>
    <t>www.lixinger.com/analytics/company/sz/000520/520/detail</t>
  </si>
  <si>
    <t>雪峰科技</t>
  </si>
  <si>
    <t>www.lixinger.com/analytics/company/sh/603227/603227/detail</t>
  </si>
  <si>
    <t>黄山胶囊</t>
  </si>
  <si>
    <t>www.lixinger.com/analytics/company/sz/002817/2817/detail</t>
  </si>
  <si>
    <t>测绘股份</t>
  </si>
  <si>
    <t>www.lixinger.com/analytics/company/sz/300826/300826/detail</t>
  </si>
  <si>
    <t>纽泰格</t>
  </si>
  <si>
    <t>www.lixinger.com/analytics/company/sz/301229/301229/detail</t>
  </si>
  <si>
    <t>福鞍股份</t>
  </si>
  <si>
    <t>www.lixinger.com/analytics/company/sh/603315/603315/detail</t>
  </si>
  <si>
    <t>*ST聚龙</t>
  </si>
  <si>
    <t>www.lixinger.com/analytics/company/sz/300202/300202/detail</t>
  </si>
  <si>
    <t>设计总院</t>
  </si>
  <si>
    <t>www.lixinger.com/analytics/company/sh/603357/603357/detail</t>
  </si>
  <si>
    <t>莱伯泰科</t>
  </si>
  <si>
    <t>www.lixinger.com/analytics/company/sh/688056/688056/detail</t>
  </si>
  <si>
    <t>华安鑫创</t>
  </si>
  <si>
    <t>www.lixinger.com/analytics/company/sz/300928/300928/detail</t>
  </si>
  <si>
    <t>沪宁股份</t>
  </si>
  <si>
    <t>www.lixinger.com/analytics/company/sz/300669/300669/detail</t>
  </si>
  <si>
    <t>民德电子</t>
  </si>
  <si>
    <t>www.lixinger.com/analytics/company/sz/300656/300656/detail</t>
  </si>
  <si>
    <t>昀冢科技</t>
  </si>
  <si>
    <t>www.lixinger.com/analytics/company/sh/688260/688260/detail</t>
  </si>
  <si>
    <t>新大正</t>
  </si>
  <si>
    <t>www.lixinger.com/analytics/company/sz/002968/2968/detail</t>
  </si>
  <si>
    <t>博睿数据</t>
  </si>
  <si>
    <t>www.lixinger.com/analytics/company/sh/688229/688229/detail</t>
  </si>
  <si>
    <t>三晖电气</t>
  </si>
  <si>
    <t>www.lixinger.com/analytics/company/sz/002857/2857/detail</t>
  </si>
  <si>
    <t>迈信林</t>
  </si>
  <si>
    <t>www.lixinger.com/analytics/company/sh/688685/688685/detail</t>
  </si>
  <si>
    <t>和顺电气</t>
  </si>
  <si>
    <t>www.lixinger.com/analytics/company/sz/300141/300141/detail</t>
  </si>
  <si>
    <t>键凯科技</t>
  </si>
  <si>
    <t>www.lixinger.com/analytics/company/sh/688356/688356/detail</t>
  </si>
  <si>
    <t>富瀚微</t>
  </si>
  <si>
    <t>www.lixinger.com/analytics/company/sz/300613/300613/detail</t>
  </si>
  <si>
    <t>准油股份</t>
  </si>
  <si>
    <t>www.lixinger.com/analytics/company/sz/002207/2207/detail</t>
  </si>
  <si>
    <t>东沣B退</t>
  </si>
  <si>
    <t>www.lixinger.com/analytics/company/sz/200160/200160/detail</t>
  </si>
  <si>
    <t>宝莫股份</t>
  </si>
  <si>
    <t>www.lixinger.com/analytics/company/sz/002476/2476/detail</t>
  </si>
  <si>
    <t>爱博医疗</t>
  </si>
  <si>
    <t>www.lixinger.com/analytics/company/sh/688050/688050/detail</t>
  </si>
  <si>
    <t>锦鸡股份</t>
  </si>
  <si>
    <t>www.lixinger.com/analytics/company/sz/300798/300798/detail</t>
  </si>
  <si>
    <t>香农芯创</t>
  </si>
  <si>
    <t>www.lixinger.com/analytics/company/sz/300475/300475/detail</t>
  </si>
  <si>
    <t>初灵信息</t>
  </si>
  <si>
    <t>www.lixinger.com/analytics/company/sz/300250/300250/detail</t>
  </si>
  <si>
    <t>世名科技</t>
  </si>
  <si>
    <t>www.lixinger.com/analytics/company/sz/300522/300522/detail</t>
  </si>
  <si>
    <t>汉商集团</t>
  </si>
  <si>
    <t>www.lixinger.com/analytics/company/sh/600774/600774/detail</t>
  </si>
  <si>
    <t>康泰医学</t>
  </si>
  <si>
    <t>www.lixinger.com/analytics/company/sz/300869/300869/detail</t>
  </si>
  <si>
    <t>国立科技</t>
  </si>
  <si>
    <t>www.lixinger.com/analytics/company/sz/300716/300716/detail</t>
  </si>
  <si>
    <t>天银机电</t>
  </si>
  <si>
    <t>www.lixinger.com/analytics/company/sz/300342/300342/detail</t>
  </si>
  <si>
    <t>鸿合科技</t>
  </si>
  <si>
    <t>www.lixinger.com/analytics/company/sz/002955/2955/detail</t>
  </si>
  <si>
    <t>金证股份</t>
  </si>
  <si>
    <t>www.lixinger.com/analytics/company/sh/600446/600446/detail</t>
  </si>
  <si>
    <t>熙菱信息</t>
  </si>
  <si>
    <t>www.lixinger.com/analytics/company/sz/300588/300588/detail</t>
  </si>
  <si>
    <t>天玑科技</t>
  </si>
  <si>
    <t>www.lixinger.com/analytics/company/sz/300245/300245/detail</t>
  </si>
  <si>
    <t>芯朋微</t>
  </si>
  <si>
    <t>www.lixinger.com/analytics/company/sh/688508/688508/detail</t>
  </si>
  <si>
    <t>雷柏科技</t>
  </si>
  <si>
    <t>www.lixinger.com/analytics/company/sz/002577/2577/detail</t>
  </si>
  <si>
    <t>海川智能</t>
  </si>
  <si>
    <t>www.lixinger.com/analytics/company/sz/300720/300720/detail</t>
  </si>
  <si>
    <t>浙海德曼</t>
  </si>
  <si>
    <t>www.lixinger.com/analytics/company/sh/688577/688577/detail</t>
  </si>
  <si>
    <t>科威尔</t>
  </si>
  <si>
    <t>www.lixinger.com/analytics/company/sh/688551/688551/detail</t>
  </si>
  <si>
    <t>哈森股份</t>
  </si>
  <si>
    <t>www.lixinger.com/analytics/company/sh/603958/603958/detail</t>
  </si>
  <si>
    <t>友邦吊顶</t>
  </si>
  <si>
    <t>www.lixinger.com/analytics/company/sz/002718/2718/detail</t>
  </si>
  <si>
    <t>泰永长征</t>
  </si>
  <si>
    <t>www.lixinger.com/analytics/company/sz/002927/2927/detail</t>
  </si>
  <si>
    <t>阳普医疗</t>
  </si>
  <si>
    <t>www.lixinger.com/analytics/company/sz/300030/300030/detail</t>
  </si>
  <si>
    <t>步科股份</t>
  </si>
  <si>
    <t>www.lixinger.com/analytics/company/sh/688160/688160/detail</t>
  </si>
  <si>
    <t>开普云</t>
  </si>
  <si>
    <t>www.lixinger.com/analytics/company/sh/688228/688228/detail</t>
  </si>
  <si>
    <t>集泰股份</t>
  </si>
  <si>
    <t>www.lixinger.com/analytics/company/sz/002909/2909/detail</t>
  </si>
  <si>
    <t>粤万年青</t>
  </si>
  <si>
    <t>www.lixinger.com/analytics/company/sz/301111/301111/detail</t>
  </si>
  <si>
    <t>宝胜股份</t>
  </si>
  <si>
    <t>www.lixinger.com/analytics/company/sh/600973/600973/detail</t>
  </si>
  <si>
    <t>七彩化学</t>
  </si>
  <si>
    <t>www.lixinger.com/analytics/company/sz/300758/300758/detail</t>
  </si>
  <si>
    <t>品茗股份</t>
  </si>
  <si>
    <t>www.lixinger.com/analytics/company/sh/688109/688109/detail</t>
  </si>
  <si>
    <t>四通股份</t>
  </si>
  <si>
    <t>www.lixinger.com/analytics/company/sh/603838/603838/detail</t>
  </si>
  <si>
    <t>未名医药</t>
  </si>
  <si>
    <t>www.lixinger.com/analytics/company/sz/002581/2581/detail</t>
  </si>
  <si>
    <t>赛摩智能</t>
  </si>
  <si>
    <t>www.lixinger.com/analytics/company/sz/300466/300466/detail</t>
  </si>
  <si>
    <t>德石股份</t>
  </si>
  <si>
    <t>www.lixinger.com/analytics/company/sz/301158/301158/detail</t>
  </si>
  <si>
    <t>远信工业</t>
  </si>
  <si>
    <t>www.lixinger.com/analytics/company/sz/301053/301053/detail</t>
  </si>
  <si>
    <t>*ST德新</t>
  </si>
  <si>
    <t>www.lixinger.com/analytics/company/sh/603032/603032/detail</t>
  </si>
  <si>
    <t>金健米业</t>
  </si>
  <si>
    <t>www.lixinger.com/analytics/company/sh/600127/600127/detail</t>
  </si>
  <si>
    <t>铂科新材</t>
  </si>
  <si>
    <t>www.lixinger.com/analytics/company/sz/300811/300811/detail</t>
  </si>
  <si>
    <t>指南针</t>
  </si>
  <si>
    <t>www.lixinger.com/analytics/company/sz/300803/300803/detail</t>
  </si>
  <si>
    <t>加加食品</t>
  </si>
  <si>
    <t>www.lixinger.com/analytics/company/sz/002650/2650/detail</t>
  </si>
  <si>
    <t>山东路桥</t>
  </si>
  <si>
    <t>www.lixinger.com/analytics/company/sz/000498/498/detail</t>
  </si>
  <si>
    <t>佛慈制药</t>
  </si>
  <si>
    <t>www.lixinger.com/analytics/company/sz/002644/2644/detail</t>
  </si>
  <si>
    <t>合锻智能</t>
  </si>
  <si>
    <t>www.lixinger.com/analytics/company/sh/603011/603011/detail</t>
  </si>
  <si>
    <t>四方光电</t>
  </si>
  <si>
    <t>www.lixinger.com/analytics/company/sh/688665/688665/detail</t>
  </si>
  <si>
    <t>博力威</t>
  </si>
  <si>
    <t>www.lixinger.com/analytics/company/sh/688345/688345/detail</t>
  </si>
  <si>
    <t>澳华内镜</t>
  </si>
  <si>
    <t>www.lixinger.com/analytics/company/sh/688212/688212/detail</t>
  </si>
  <si>
    <t>理工导航</t>
  </si>
  <si>
    <t>www.lixinger.com/analytics/company/sh/688282/688282/detail</t>
  </si>
  <si>
    <t>派斯林</t>
  </si>
  <si>
    <t>www.lixinger.com/analytics/company/sh/600215/600215/detail</t>
  </si>
  <si>
    <t>曲江文旅</t>
  </si>
  <si>
    <t>www.lixinger.com/analytics/company/sh/600706/600706/detail</t>
  </si>
  <si>
    <t>天秦装备</t>
  </si>
  <si>
    <t>www.lixinger.com/analytics/company/sz/300922/300922/detail</t>
  </si>
  <si>
    <t>恒通股份</t>
  </si>
  <si>
    <t>www.lixinger.com/analytics/company/sh/603223/603223/detail</t>
  </si>
  <si>
    <t>川环科技</t>
  </si>
  <si>
    <t>www.lixinger.com/analytics/company/sz/300547/300547/detail</t>
  </si>
  <si>
    <t>苏奥传感</t>
  </si>
  <si>
    <t>www.lixinger.com/analytics/company/sz/300507/300507/detail</t>
  </si>
  <si>
    <t>岳阳兴长</t>
  </si>
  <si>
    <t>www.lixinger.com/analytics/company/sz/000819/819/detail</t>
  </si>
  <si>
    <t>上海洗霸</t>
  </si>
  <si>
    <t>www.lixinger.com/analytics/company/sh/603200/603200/detail</t>
  </si>
  <si>
    <t>名家汇</t>
  </si>
  <si>
    <t>www.lixinger.com/analytics/company/sz/300506/300506/detail</t>
  </si>
  <si>
    <t>武进不锈</t>
  </si>
  <si>
    <t>www.lixinger.com/analytics/company/sh/603878/603878/detail</t>
  </si>
  <si>
    <t>诺泰生物</t>
  </si>
  <si>
    <t>www.lixinger.com/analytics/company/sh/688076/688076/detail</t>
  </si>
  <si>
    <t>恒而达</t>
  </si>
  <si>
    <t>www.lixinger.com/analytics/company/sz/300946/300946/detail</t>
  </si>
  <si>
    <t>爱科科技</t>
  </si>
  <si>
    <t>www.lixinger.com/analytics/company/sh/688092/688092/detail</t>
  </si>
  <si>
    <t>长荣股份</t>
  </si>
  <si>
    <t>www.lixinger.com/analytics/company/sz/300195/300195/detail</t>
  </si>
  <si>
    <t>龙溪股份</t>
  </si>
  <si>
    <t>www.lixinger.com/analytics/company/sh/600592/600592/detail</t>
  </si>
  <si>
    <t>伊戈尔</t>
  </si>
  <si>
    <t>www.lixinger.com/analytics/company/sz/002922/2922/detail</t>
  </si>
  <si>
    <t>上海天洋</t>
  </si>
  <si>
    <t>www.lixinger.com/analytics/company/sh/603330/603330/detail</t>
  </si>
  <si>
    <t>清研环境</t>
  </si>
  <si>
    <t>www.lixinger.com/analytics/company/sz/301288/301288/detail</t>
  </si>
  <si>
    <t>至正股份</t>
  </si>
  <si>
    <t>www.lixinger.com/analytics/company/sh/603991/603991/detail</t>
  </si>
  <si>
    <t>多氟多</t>
  </si>
  <si>
    <t>www.lixinger.com/analytics/company/sz/002407/2407/detail</t>
  </si>
  <si>
    <t>芯导科技</t>
  </si>
  <si>
    <t>www.lixinger.com/analytics/company/sh/688230/688230/detail</t>
  </si>
  <si>
    <t>普蕊斯</t>
  </si>
  <si>
    <t>www.lixinger.com/analytics/company/sz/301257/301257/detail</t>
  </si>
  <si>
    <t>广东骏亚</t>
  </si>
  <si>
    <t>www.lixinger.com/analytics/company/sh/603386/603386/detail</t>
  </si>
  <si>
    <t>翔港科技</t>
  </si>
  <si>
    <t>www.lixinger.com/analytics/company/sh/603499/603499/detail</t>
  </si>
  <si>
    <t>贤丰控股</t>
  </si>
  <si>
    <t>www.lixinger.com/analytics/company/sz/002141/2141/detail</t>
  </si>
  <si>
    <t>北清环能</t>
  </si>
  <si>
    <t>www.lixinger.com/analytics/company/sz/000803/803/detail</t>
  </si>
  <si>
    <t>正强股份</t>
  </si>
  <si>
    <t>www.lixinger.com/analytics/company/sz/301119/301119/detail</t>
  </si>
  <si>
    <t>贝斯美</t>
  </si>
  <si>
    <t>www.lixinger.com/analytics/company/sz/300796/300796/detail</t>
  </si>
  <si>
    <t>凯淳股份</t>
  </si>
  <si>
    <t>www.lixinger.com/analytics/company/sz/301001/301001/detail</t>
  </si>
  <si>
    <t>新亚制程</t>
  </si>
  <si>
    <t>www.lixinger.com/analytics/company/sz/002388/2388/detail</t>
  </si>
  <si>
    <t>康芝药业</t>
  </si>
  <si>
    <t>www.lixinger.com/analytics/company/sz/300086/300086/detail</t>
  </si>
  <si>
    <t>蜀道装备</t>
  </si>
  <si>
    <t>www.lixinger.com/analytics/company/sz/300540/300540/detail</t>
  </si>
  <si>
    <t>通业科技</t>
  </si>
  <si>
    <t>www.lixinger.com/analytics/company/sz/300960/300960/detail</t>
  </si>
  <si>
    <t>中洲特材</t>
  </si>
  <si>
    <t>www.lixinger.com/analytics/company/sz/300963/300963/detail</t>
  </si>
  <si>
    <t>晨丰科技</t>
  </si>
  <si>
    <t>www.lixinger.com/analytics/company/sh/603685/603685/detail</t>
  </si>
  <si>
    <t>大宏立</t>
  </si>
  <si>
    <t>www.lixinger.com/analytics/company/sz/300865/300865/detail</t>
  </si>
  <si>
    <t>联合光电</t>
  </si>
  <si>
    <t>www.lixinger.com/analytics/company/sz/300691/300691/detail</t>
  </si>
  <si>
    <t>广哈通信</t>
  </si>
  <si>
    <t>www.lixinger.com/analytics/company/sz/300711/300711/detail</t>
  </si>
  <si>
    <t>丝路视觉</t>
  </si>
  <si>
    <t>www.lixinger.com/analytics/company/sz/300556/300556/detail</t>
  </si>
  <si>
    <t>舒泰神</t>
  </si>
  <si>
    <t>www.lixinger.com/analytics/company/sz/300204/300204/detail</t>
  </si>
  <si>
    <t>新益昌</t>
  </si>
  <si>
    <t>www.lixinger.com/analytics/company/sh/688383/688383/detail</t>
  </si>
  <si>
    <t>科新发展</t>
  </si>
  <si>
    <t>www.lixinger.com/analytics/company/sh/600234/600234/detail</t>
  </si>
  <si>
    <t>江化微</t>
  </si>
  <si>
    <t>www.lixinger.com/analytics/company/sh/603078/603078/detail</t>
  </si>
  <si>
    <t>百胜智能</t>
  </si>
  <si>
    <t>www.lixinger.com/analytics/company/sz/301083/301083/detail</t>
  </si>
  <si>
    <t>东方锆业</t>
  </si>
  <si>
    <t>www.lixinger.com/analytics/company/sz/002167/2167/detail</t>
  </si>
  <si>
    <t>上纬新材</t>
  </si>
  <si>
    <t>www.lixinger.com/analytics/company/sh/688585/688585/detail</t>
  </si>
  <si>
    <t>赛意信息</t>
  </si>
  <si>
    <t>www.lixinger.com/analytics/company/sz/300687/300687/detail</t>
  </si>
  <si>
    <t>铂力特</t>
  </si>
  <si>
    <t>www.lixinger.com/analytics/company/sh/688333/688333/detail</t>
  </si>
  <si>
    <t>和林微纳</t>
  </si>
  <si>
    <t>www.lixinger.com/analytics/company/sh/688661/688661/detail</t>
  </si>
  <si>
    <t>创兴资源</t>
  </si>
  <si>
    <t>www.lixinger.com/analytics/company/sh/600193/600193/detail</t>
  </si>
  <si>
    <t>泛亚微透</t>
  </si>
  <si>
    <t>www.lixinger.com/analytics/company/sh/688386/688386/detail</t>
  </si>
  <si>
    <t>太龙药业</t>
  </si>
  <si>
    <t>www.lixinger.com/analytics/company/sh/600222/600222/detail</t>
  </si>
  <si>
    <t>云赛Ｂ股</t>
  </si>
  <si>
    <t>www.lixinger.com/analytics/company/sh/900901/900901/detail</t>
  </si>
  <si>
    <t>安硕信息</t>
  </si>
  <si>
    <t>www.lixinger.com/analytics/company/sz/300380/300380/detail</t>
  </si>
  <si>
    <t>必得科技</t>
  </si>
  <si>
    <t>www.lixinger.com/analytics/company/sh/605298/605298/detail</t>
  </si>
  <si>
    <t>美尔雅</t>
  </si>
  <si>
    <t>www.lixinger.com/analytics/company/sh/600107/600107/detail</t>
  </si>
  <si>
    <t>华脉科技</t>
  </si>
  <si>
    <t>www.lixinger.com/analytics/company/sh/603042/603042/detail</t>
  </si>
  <si>
    <t>兴业科技</t>
  </si>
  <si>
    <t>www.lixinger.com/analytics/company/sz/002674/2674/detail</t>
  </si>
  <si>
    <t>声迅股份</t>
  </si>
  <si>
    <t>www.lixinger.com/analytics/company/sz/003004/3004/detail</t>
  </si>
  <si>
    <t>百洋医药</t>
  </si>
  <si>
    <t>www.lixinger.com/analytics/company/sz/301015/301015/detail</t>
  </si>
  <si>
    <t>宁波精达</t>
  </si>
  <si>
    <t>www.lixinger.com/analytics/company/sh/603088/603088/detail</t>
  </si>
  <si>
    <t>同飞股份</t>
  </si>
  <si>
    <t>www.lixinger.com/analytics/company/sz/300990/300990/detail</t>
  </si>
  <si>
    <t>福能东方</t>
  </si>
  <si>
    <t>www.lixinger.com/analytics/company/sz/300173/300173/detail</t>
  </si>
  <si>
    <t>锐奇股份</t>
  </si>
  <si>
    <t>www.lixinger.com/analytics/company/sz/300126/300126/detail</t>
  </si>
  <si>
    <t>洛凯股份</t>
  </si>
  <si>
    <t>www.lixinger.com/analytics/company/sh/603829/603829/detail</t>
  </si>
  <si>
    <t>金力永磁</t>
  </si>
  <si>
    <t>www.lixinger.com/analytics/company/sz/300748/300748/detail</t>
  </si>
  <si>
    <t>川网传媒</t>
  </si>
  <si>
    <t>www.lixinger.com/analytics/company/sz/300987/300987/detail</t>
  </si>
  <si>
    <t>德林海</t>
  </si>
  <si>
    <t>www.lixinger.com/analytics/company/sh/688069/688069/detail</t>
  </si>
  <si>
    <t>航天晨光</t>
  </si>
  <si>
    <t>www.lixinger.com/analytics/company/sh/600501/600501/detail</t>
  </si>
  <si>
    <t>敏芯股份</t>
  </si>
  <si>
    <t>www.lixinger.com/analytics/company/sh/688286/688286/detail</t>
  </si>
  <si>
    <t>阿科力</t>
  </si>
  <si>
    <t>www.lixinger.com/analytics/company/sh/603722/603722/detail</t>
  </si>
  <si>
    <t>万向德农</t>
  </si>
  <si>
    <t>www.lixinger.com/analytics/company/sh/600371/600371/detail</t>
  </si>
  <si>
    <t>恒宇信通</t>
  </si>
  <si>
    <t>www.lixinger.com/analytics/company/sz/300965/300965/detail</t>
  </si>
  <si>
    <t>思进智能</t>
  </si>
  <si>
    <t>www.lixinger.com/analytics/company/sz/003025/3025/detail</t>
  </si>
  <si>
    <t>药易购</t>
  </si>
  <si>
    <t>www.lixinger.com/analytics/company/sz/300937/300937/detail</t>
  </si>
  <si>
    <t>泰禾智能</t>
  </si>
  <si>
    <t>www.lixinger.com/analytics/company/sh/603656/603656/detail</t>
  </si>
  <si>
    <t>好利科技</t>
  </si>
  <si>
    <t>www.lixinger.com/analytics/company/sz/002729/2729/detail</t>
  </si>
  <si>
    <t>华自科技</t>
  </si>
  <si>
    <t>www.lixinger.com/analytics/company/sz/300490/300490/detail</t>
  </si>
  <si>
    <t>英诺激光</t>
  </si>
  <si>
    <t>www.lixinger.com/analytics/company/sz/301021/301021/detail</t>
  </si>
  <si>
    <t>新强联</t>
  </si>
  <si>
    <t>www.lixinger.com/analytics/company/sz/300850/300850/detail</t>
  </si>
  <si>
    <t>严牌股份</t>
  </si>
  <si>
    <t>www.lixinger.com/analytics/company/sz/301081/301081/detail</t>
  </si>
  <si>
    <t>电连技术</t>
  </si>
  <si>
    <t>www.lixinger.com/analytics/company/sz/300679/300679/detail</t>
  </si>
  <si>
    <t>义翘神州</t>
  </si>
  <si>
    <t>www.lixinger.com/analytics/company/sz/301047/301047/detail</t>
  </si>
  <si>
    <t>金银河</t>
  </si>
  <si>
    <t>www.lixinger.com/analytics/company/sz/300619/300619/detail</t>
  </si>
  <si>
    <t>实益达</t>
  </si>
  <si>
    <t>www.lixinger.com/analytics/company/sz/002137/2137/detail</t>
  </si>
  <si>
    <t>茂硕电源</t>
  </si>
  <si>
    <t>www.lixinger.com/analytics/company/sz/002660/2660/detail</t>
  </si>
  <si>
    <t>果麦文化</t>
  </si>
  <si>
    <t>www.lixinger.com/analytics/company/sz/301052/301052/detail</t>
  </si>
  <si>
    <t>石英股份</t>
  </si>
  <si>
    <t>www.lixinger.com/analytics/company/sh/603688/603688/detail</t>
  </si>
  <si>
    <t>建龙微纳</t>
  </si>
  <si>
    <t>www.lixinger.com/analytics/company/sh/688357/688357/detail</t>
  </si>
  <si>
    <t>和胜股份</t>
  </si>
  <si>
    <t>www.lixinger.com/analytics/company/sz/002824/2824/detail</t>
  </si>
  <si>
    <t>迦南科技</t>
  </si>
  <si>
    <t>www.lixinger.com/analytics/company/sz/300412/300412/detail</t>
  </si>
  <si>
    <t>和仁科技</t>
  </si>
  <si>
    <t>www.lixinger.com/analytics/company/sz/300550/300550/detail</t>
  </si>
  <si>
    <t>中电电机</t>
  </si>
  <si>
    <t>www.lixinger.com/analytics/company/sh/603988/603988/detail</t>
  </si>
  <si>
    <t>*ST西发</t>
  </si>
  <si>
    <t>www.lixinger.com/analytics/company/sz/000752/752/detail</t>
  </si>
  <si>
    <t>天奥电子</t>
  </si>
  <si>
    <t>www.lixinger.com/analytics/company/sz/002935/2935/detail</t>
  </si>
  <si>
    <t>新大陆</t>
  </si>
  <si>
    <t>www.lixinger.com/analytics/company/sz/000997/997/detail</t>
  </si>
  <si>
    <t>*ST科迪</t>
  </si>
  <si>
    <t>www.lixinger.com/analytics/company/sz/002770/2770/detail</t>
  </si>
  <si>
    <t>上工申贝</t>
  </si>
  <si>
    <t>www.lixinger.com/analytics/company/sh/600843/600843/detail</t>
  </si>
  <si>
    <t>日上集团</t>
  </si>
  <si>
    <t>www.lixinger.com/analytics/company/sz/002593/2593/detail</t>
  </si>
  <si>
    <t>法本信息</t>
  </si>
  <si>
    <t>www.lixinger.com/analytics/company/sz/300925/300925/detail</t>
  </si>
  <si>
    <t>农发种业</t>
  </si>
  <si>
    <t>www.lixinger.com/analytics/company/sh/600313/600313/detail</t>
  </si>
  <si>
    <t>金三江</t>
  </si>
  <si>
    <t>www.lixinger.com/analytics/company/sz/301059/301059/detail</t>
  </si>
  <si>
    <t>祥明智能</t>
  </si>
  <si>
    <t>www.lixinger.com/analytics/company/sz/301226/301226/detail</t>
  </si>
  <si>
    <t>金马游乐</t>
  </si>
  <si>
    <t>www.lixinger.com/analytics/company/sz/300756/300756/detail</t>
  </si>
  <si>
    <t>雷曼光电</t>
  </si>
  <si>
    <t>www.lixinger.com/analytics/company/sz/300162/300162/detail</t>
  </si>
  <si>
    <t>科汇股份</t>
  </si>
  <si>
    <t>www.lixinger.com/analytics/company/sh/688681/688681/detail</t>
  </si>
  <si>
    <t>德恩精工</t>
  </si>
  <si>
    <t>www.lixinger.com/analytics/company/sz/300780/300780/detail</t>
  </si>
  <si>
    <t>博汇科技</t>
  </si>
  <si>
    <t>www.lixinger.com/analytics/company/sh/688004/688004/detail</t>
  </si>
  <si>
    <t>秦川机床</t>
  </si>
  <si>
    <t>www.lixinger.com/analytics/company/sz/000837/837/detail</t>
  </si>
  <si>
    <t>名臣健康</t>
  </si>
  <si>
    <t>www.lixinger.com/analytics/company/sz/002919/2919/detail</t>
  </si>
  <si>
    <t>浙江世宝</t>
  </si>
  <si>
    <t>www.lixinger.com/analytics/company/sz/002703/2703/detail</t>
  </si>
  <si>
    <t>宣亚国际</t>
  </si>
  <si>
    <t>www.lixinger.com/analytics/company/sz/300612/300612/detail</t>
  </si>
  <si>
    <t>祥和实业</t>
  </si>
  <si>
    <t>www.lixinger.com/analytics/company/sh/603500/603500/detail</t>
  </si>
  <si>
    <t>雅艺科技</t>
  </si>
  <si>
    <t>www.lixinger.com/analytics/company/sz/301113/301113/detail</t>
  </si>
  <si>
    <t>大湖股份</t>
  </si>
  <si>
    <t>www.lixinger.com/analytics/company/sh/600257/600257/detail</t>
  </si>
  <si>
    <t>均普智能</t>
  </si>
  <si>
    <t>www.lixinger.com/analytics/company/sh/688306/688306/detail</t>
  </si>
  <si>
    <t>奥联电子</t>
  </si>
  <si>
    <t>www.lixinger.com/analytics/company/sz/300585/300585/detail</t>
  </si>
  <si>
    <t>东方通信</t>
  </si>
  <si>
    <t>www.lixinger.com/analytics/company/sh/600776/600776/detail</t>
  </si>
  <si>
    <t>长高集团</t>
  </si>
  <si>
    <t>www.lixinger.com/analytics/company/sz/002452/2452/detail</t>
  </si>
  <si>
    <t>东微半导</t>
  </si>
  <si>
    <t>www.lixinger.com/analytics/company/sh/688261/688261/detail</t>
  </si>
  <si>
    <t>超讯通信</t>
  </si>
  <si>
    <t>www.lixinger.com/analytics/company/sh/603322/603322/detail</t>
  </si>
  <si>
    <t>倍轻松</t>
  </si>
  <si>
    <t>www.lixinger.com/analytics/company/sh/688793/688793/detail</t>
  </si>
  <si>
    <t>退市秋林</t>
  </si>
  <si>
    <t>www.lixinger.com/analytics/company/sh/600891/600891/detail</t>
  </si>
  <si>
    <t>三孚股份</t>
  </si>
  <si>
    <t>www.lixinger.com/analytics/company/sh/603938/603938/detail</t>
  </si>
  <si>
    <t>航天发展</t>
  </si>
  <si>
    <t>www.lixinger.com/analytics/company/sz/000547/547/detail</t>
  </si>
  <si>
    <t>日月明</t>
  </si>
  <si>
    <t>www.lixinger.com/analytics/company/sz/300906/300906/detail</t>
  </si>
  <si>
    <t>京山轻机</t>
  </si>
  <si>
    <t>www.lixinger.com/analytics/company/sz/000821/821/detail</t>
  </si>
  <si>
    <t>山科智能</t>
  </si>
  <si>
    <t>www.lixinger.com/analytics/company/sz/300897/300897/detail</t>
  </si>
  <si>
    <t>退市鹏起</t>
  </si>
  <si>
    <t>www.lixinger.com/analytics/company/sh/600614/600614/detail</t>
  </si>
  <si>
    <t>探路者</t>
  </si>
  <si>
    <t>运动服装</t>
  </si>
  <si>
    <t>www.lixinger.com/analytics/company/sz/300005/300005/detail</t>
  </si>
  <si>
    <t>ST摩登</t>
  </si>
  <si>
    <t>www.lixinger.com/analytics/company/sz/002656/2656/detail</t>
  </si>
  <si>
    <t>新余国科</t>
  </si>
  <si>
    <t>www.lixinger.com/analytics/company/sz/300722/300722/detail</t>
  </si>
  <si>
    <t>西菱动力</t>
  </si>
  <si>
    <t>www.lixinger.com/analytics/company/sz/300733/300733/detail</t>
  </si>
  <si>
    <t>安记食品</t>
  </si>
  <si>
    <t>www.lixinger.com/analytics/company/sh/603696/603696/detail</t>
  </si>
  <si>
    <t>浙江力诺</t>
  </si>
  <si>
    <t>www.lixinger.com/analytics/company/sz/300838/300838/detail</t>
  </si>
  <si>
    <t>兴图新科</t>
  </si>
  <si>
    <t>www.lixinger.com/analytics/company/sh/688081/688081/detail</t>
  </si>
  <si>
    <t>龙软科技</t>
  </si>
  <si>
    <t>www.lixinger.com/analytics/company/sh/688078/688078/detail</t>
  </si>
  <si>
    <t>能科科技</t>
  </si>
  <si>
    <t>www.lixinger.com/analytics/company/sh/603859/603859/detail</t>
  </si>
  <si>
    <t>上海新阳</t>
  </si>
  <si>
    <t>www.lixinger.com/analytics/company/sz/300236/300236/detail</t>
  </si>
  <si>
    <t>宁波方正</t>
  </si>
  <si>
    <t>www.lixinger.com/analytics/company/sz/300998/300998/detail</t>
  </si>
  <si>
    <t>川润股份</t>
  </si>
  <si>
    <t>www.lixinger.com/analytics/company/sz/002272/2272/detail</t>
  </si>
  <si>
    <t>维宏股份</t>
  </si>
  <si>
    <t>www.lixinger.com/analytics/company/sz/300508/300508/detail</t>
  </si>
  <si>
    <t>狄耐克</t>
  </si>
  <si>
    <t>www.lixinger.com/analytics/company/sz/300884/300884/detail</t>
  </si>
  <si>
    <t>宏昌电子</t>
  </si>
  <si>
    <t>www.lixinger.com/analytics/company/sh/603002/603002/detail</t>
  </si>
  <si>
    <t>京源环保</t>
  </si>
  <si>
    <t>www.lixinger.com/analytics/company/sh/688096/688096/detail</t>
  </si>
  <si>
    <t>登云股份</t>
  </si>
  <si>
    <t>www.lixinger.com/analytics/company/sz/002715/2715/detail</t>
  </si>
  <si>
    <t>紫晶存储</t>
  </si>
  <si>
    <t>www.lixinger.com/analytics/company/sh/688086/688086/detail</t>
  </si>
  <si>
    <t>正弦电气</t>
  </si>
  <si>
    <t>www.lixinger.com/analytics/company/sh/688395/688395/detail</t>
  </si>
  <si>
    <t>读客文化</t>
  </si>
  <si>
    <t>www.lixinger.com/analytics/company/sz/301025/301025/detail</t>
  </si>
  <si>
    <t>宇通重工</t>
  </si>
  <si>
    <t>www.lixinger.com/analytics/company/sh/600817/600817/detail</t>
  </si>
  <si>
    <t>鼎阳科技</t>
  </si>
  <si>
    <t>www.lixinger.com/analytics/company/sh/688112/688112/detail</t>
  </si>
  <si>
    <t>退市银鸽</t>
  </si>
  <si>
    <t>www.lixinger.com/analytics/company/sh/600069/600069/detail</t>
  </si>
  <si>
    <t>东土科技</t>
  </si>
  <si>
    <t>www.lixinger.com/analytics/company/sz/300353/300353/detail</t>
  </si>
  <si>
    <t>耐普矿机</t>
  </si>
  <si>
    <t>www.lixinger.com/analytics/company/sz/300818/300818/detail</t>
  </si>
  <si>
    <t>安靠智电</t>
  </si>
  <si>
    <t>www.lixinger.com/analytics/company/sz/300617/300617/detail</t>
  </si>
  <si>
    <t>大晟文化</t>
  </si>
  <si>
    <t>www.lixinger.com/analytics/company/sh/600892/600892/detail</t>
  </si>
  <si>
    <t>景峰医药</t>
  </si>
  <si>
    <t>www.lixinger.com/analytics/company/sz/000908/908/detail</t>
  </si>
  <si>
    <t>久祺股份</t>
  </si>
  <si>
    <t>www.lixinger.com/analytics/company/sz/300994/300994/detail</t>
  </si>
  <si>
    <t>屹通新材</t>
  </si>
  <si>
    <t>www.lixinger.com/analytics/company/sz/300930/300930/detail</t>
  </si>
  <si>
    <t>汇隆新材</t>
  </si>
  <si>
    <t>www.lixinger.com/analytics/company/sz/301057/301057/detail</t>
  </si>
  <si>
    <t>佳隆股份</t>
  </si>
  <si>
    <t>www.lixinger.com/analytics/company/sz/002495/2495/detail</t>
  </si>
  <si>
    <t>德龙激光</t>
  </si>
  <si>
    <t>www.lixinger.com/analytics/company/sh/688170/688170/detail</t>
  </si>
  <si>
    <t>大恒科技</t>
  </si>
  <si>
    <t>www.lixinger.com/analytics/company/sh/600288/600288/detail</t>
  </si>
  <si>
    <t>科融环境</t>
  </si>
  <si>
    <t>www.lixinger.com/analytics/company/sz/300152/300152/detail</t>
  </si>
  <si>
    <t>多瑞医药</t>
  </si>
  <si>
    <t>www.lixinger.com/analytics/company/sz/301075/301075/detail</t>
  </si>
  <si>
    <t>*ST跨境</t>
  </si>
  <si>
    <t>www.lixinger.com/analytics/company/sz/002640/2640/detail</t>
  </si>
  <si>
    <t>百达精工</t>
  </si>
  <si>
    <t>www.lixinger.com/analytics/company/sh/603331/603331/detail</t>
  </si>
  <si>
    <t>天臣医疗</t>
  </si>
  <si>
    <t>www.lixinger.com/analytics/company/sh/688013/688013/detail</t>
  </si>
  <si>
    <t>南模生物</t>
  </si>
  <si>
    <t>www.lixinger.com/analytics/company/sh/688265/688265/detail</t>
  </si>
  <si>
    <t>依米康</t>
  </si>
  <si>
    <t>www.lixinger.com/analytics/company/sz/300249/300249/detail</t>
  </si>
  <si>
    <t>网达软件</t>
  </si>
  <si>
    <t>www.lixinger.com/analytics/company/sh/603189/603189/detail</t>
  </si>
  <si>
    <t>海默科技</t>
  </si>
  <si>
    <t>www.lixinger.com/analytics/company/sz/300084/300084/detail</t>
  </si>
  <si>
    <t>四维图新</t>
  </si>
  <si>
    <t>www.lixinger.com/analytics/company/sz/002405/2405/detail</t>
  </si>
  <si>
    <t>津荣天宇</t>
  </si>
  <si>
    <t>www.lixinger.com/analytics/company/sz/300988/300988/detail</t>
  </si>
  <si>
    <t>创业黑马</t>
  </si>
  <si>
    <t>www.lixinger.com/analytics/company/sz/300688/300688/detail</t>
  </si>
  <si>
    <t>山水比德</t>
  </si>
  <si>
    <t>www.lixinger.com/analytics/company/sz/300844/300844/detail</t>
  </si>
  <si>
    <t>智洋创新</t>
  </si>
  <si>
    <t>www.lixinger.com/analytics/company/sh/688191/688191/detail</t>
  </si>
  <si>
    <t>前沿生物</t>
  </si>
  <si>
    <t>www.lixinger.com/analytics/company/sh/688221/688221/detail</t>
  </si>
  <si>
    <t>有研新材</t>
  </si>
  <si>
    <t>www.lixinger.com/analytics/company/sh/600206/600206/detail</t>
  </si>
  <si>
    <t>佳都科技</t>
  </si>
  <si>
    <t>www.lixinger.com/analytics/company/sh/600728/600728/detail</t>
  </si>
  <si>
    <t>中文在线</t>
  </si>
  <si>
    <t>www.lixinger.com/analytics/company/sz/300364/300364/detail</t>
  </si>
  <si>
    <t>光智科技</t>
  </si>
  <si>
    <t>www.lixinger.com/analytics/company/sz/300489/300489/detail</t>
  </si>
  <si>
    <t>广生堂</t>
  </si>
  <si>
    <t>www.lixinger.com/analytics/company/sz/300436/300436/detail</t>
  </si>
  <si>
    <t>声光电科</t>
  </si>
  <si>
    <t>www.lixinger.com/analytics/company/sh/600877/600877/detail</t>
  </si>
  <si>
    <t>新天药业</t>
  </si>
  <si>
    <t>www.lixinger.com/analytics/company/sz/002873/2873/detail</t>
  </si>
  <si>
    <t>广晟有色</t>
  </si>
  <si>
    <t>www.lixinger.com/analytics/company/sh/600259/600259/detail</t>
  </si>
  <si>
    <t>鑫铂股份</t>
  </si>
  <si>
    <t>www.lixinger.com/analytics/company/sz/003038/3038/detail</t>
  </si>
  <si>
    <t>宏英智能</t>
  </si>
  <si>
    <t>www.lixinger.com/analytics/company/sz/001266/1266/detail</t>
  </si>
  <si>
    <t>海联金汇</t>
  </si>
  <si>
    <t>www.lixinger.com/analytics/company/sz/002537/2537/detail</t>
  </si>
  <si>
    <t>聚合顺</t>
  </si>
  <si>
    <t>www.lixinger.com/analytics/company/sh/605166/605166/detail</t>
  </si>
  <si>
    <t>南卫股份</t>
  </si>
  <si>
    <t>www.lixinger.com/analytics/company/sh/603880/603880/detail</t>
  </si>
  <si>
    <t>锦在线B</t>
  </si>
  <si>
    <t>www.lixinger.com/analytics/company/sh/900914/900914/detail</t>
  </si>
  <si>
    <t>横河精密</t>
  </si>
  <si>
    <t>www.lixinger.com/analytics/company/sz/300539/300539/detail</t>
  </si>
  <si>
    <t>海泰科</t>
  </si>
  <si>
    <t>www.lixinger.com/analytics/company/sz/301022/301022/detail</t>
  </si>
  <si>
    <t>上海凯鑫</t>
  </si>
  <si>
    <t>www.lixinger.com/analytics/company/sz/300899/300899/detail</t>
  </si>
  <si>
    <t>南新制药</t>
  </si>
  <si>
    <t>www.lixinger.com/analytics/company/sh/688189/688189/detail</t>
  </si>
  <si>
    <t>沙河股份</t>
  </si>
  <si>
    <t>www.lixinger.com/analytics/company/sz/000014/14/detail</t>
  </si>
  <si>
    <t>绿的谐波</t>
  </si>
  <si>
    <t>www.lixinger.com/analytics/company/sh/688017/688017/detail</t>
  </si>
  <si>
    <t>联科科技</t>
  </si>
  <si>
    <t>www.lixinger.com/analytics/company/sz/001207/1207/detail</t>
  </si>
  <si>
    <t>钱江生化</t>
  </si>
  <si>
    <t>www.lixinger.com/analytics/company/sh/600796/600796/detail</t>
  </si>
  <si>
    <t>和顺科技</t>
  </si>
  <si>
    <t>www.lixinger.com/analytics/company/sz/301237/301237/detail</t>
  </si>
  <si>
    <t>南京聚隆</t>
  </si>
  <si>
    <t>www.lixinger.com/analytics/company/sz/300644/300644/detail</t>
  </si>
  <si>
    <t>万德斯</t>
  </si>
  <si>
    <t>www.lixinger.com/analytics/company/sh/688178/688178/detail</t>
  </si>
  <si>
    <t>沃华医药</t>
  </si>
  <si>
    <t>www.lixinger.com/analytics/company/sz/002107/2107/detail</t>
  </si>
  <si>
    <t>ST沪科</t>
  </si>
  <si>
    <t>www.lixinger.com/analytics/company/sh/600608/600608/detail</t>
  </si>
  <si>
    <t>普冉股份</t>
  </si>
  <si>
    <t>www.lixinger.com/analytics/company/sh/688766/688766/detail</t>
  </si>
  <si>
    <t>白云电器</t>
  </si>
  <si>
    <t>www.lixinger.com/analytics/company/sh/603861/603861/detail</t>
  </si>
  <si>
    <t>迈普医学</t>
  </si>
  <si>
    <t>www.lixinger.com/analytics/company/sz/301033/301033/detail</t>
  </si>
  <si>
    <t>海量数据</t>
  </si>
  <si>
    <t>www.lixinger.com/analytics/company/sh/603138/603138/detail</t>
  </si>
  <si>
    <t>ST中捷</t>
  </si>
  <si>
    <t>www.lixinger.com/analytics/company/sz/002021/2021/detail</t>
  </si>
  <si>
    <t>江苏索普</t>
  </si>
  <si>
    <t>www.lixinger.com/analytics/company/sh/600746/600746/detail</t>
  </si>
  <si>
    <t>凯尔达</t>
  </si>
  <si>
    <t>www.lixinger.com/analytics/company/sh/688255/688255/detail</t>
  </si>
  <si>
    <t>华图山鼎</t>
  </si>
  <si>
    <t>www.lixinger.com/analytics/company/sz/300492/300492/detail</t>
  </si>
  <si>
    <t>达威股份</t>
  </si>
  <si>
    <t>www.lixinger.com/analytics/company/sz/300535/300535/detail</t>
  </si>
  <si>
    <t>纵横股份</t>
  </si>
  <si>
    <t>www.lixinger.com/analytics/company/sh/688070/688070/detail</t>
  </si>
  <si>
    <t>新劲刚</t>
  </si>
  <si>
    <t>www.lixinger.com/analytics/company/sz/300629/300629/detail</t>
  </si>
  <si>
    <t>圣诺生物</t>
  </si>
  <si>
    <t>www.lixinger.com/analytics/company/sh/688117/688117/detail</t>
  </si>
  <si>
    <t>佳创视讯</t>
  </si>
  <si>
    <t>www.lixinger.com/analytics/company/sz/300264/300264/detail</t>
  </si>
  <si>
    <t>美格智能</t>
  </si>
  <si>
    <t>www.lixinger.com/analytics/company/sz/002881/2881/detail</t>
  </si>
  <si>
    <t>映翰通</t>
  </si>
  <si>
    <t>www.lixinger.com/analytics/company/sh/688080/688080/detail</t>
  </si>
  <si>
    <t>奕瑞科技</t>
  </si>
  <si>
    <t>www.lixinger.com/analytics/company/sh/688301/688301/detail</t>
  </si>
  <si>
    <t>容知日新</t>
  </si>
  <si>
    <t>www.lixinger.com/analytics/company/sh/688768/688768/detail</t>
  </si>
  <si>
    <t>碳元科技</t>
  </si>
  <si>
    <t>www.lixinger.com/analytics/company/sh/603133/603133/detail</t>
  </si>
  <si>
    <t>力星股份</t>
  </si>
  <si>
    <t>www.lixinger.com/analytics/company/sz/300421/300421/detail</t>
  </si>
  <si>
    <t>路德环境</t>
  </si>
  <si>
    <t>www.lixinger.com/analytics/company/sh/688156/688156/detail</t>
  </si>
  <si>
    <t>理工光科</t>
  </si>
  <si>
    <t>www.lixinger.com/analytics/company/sz/300557/300557/detail</t>
  </si>
  <si>
    <t>万里马</t>
  </si>
  <si>
    <t>www.lixinger.com/analytics/company/sz/300591/300591/detail</t>
  </si>
  <si>
    <t>华力创通</t>
  </si>
  <si>
    <t>www.lixinger.com/analytics/company/sz/300045/300045/detail</t>
  </si>
  <si>
    <t>中源家居</t>
  </si>
  <si>
    <t>www.lixinger.com/analytics/company/sh/603709/603709/detail</t>
  </si>
  <si>
    <t>零点有数</t>
  </si>
  <si>
    <t>www.lixinger.com/analytics/company/sz/301169/301169/detail</t>
  </si>
  <si>
    <t>物贸Ｂ股</t>
  </si>
  <si>
    <t>www.lixinger.com/analytics/company/sh/900927/900927/detail</t>
  </si>
  <si>
    <t>南宁百货</t>
  </si>
  <si>
    <t>www.lixinger.com/analytics/company/sh/600712/600712/detail</t>
  </si>
  <si>
    <t>泰嘉股份</t>
  </si>
  <si>
    <t>www.lixinger.com/analytics/company/sz/002843/2843/detail</t>
  </si>
  <si>
    <t>美丽生态</t>
  </si>
  <si>
    <t>www.lixinger.com/analytics/company/sz/000010/10/detail</t>
  </si>
  <si>
    <t>欣天科技</t>
  </si>
  <si>
    <t>www.lixinger.com/analytics/company/sz/300615/300615/detail</t>
  </si>
  <si>
    <t>艾艾精工</t>
  </si>
  <si>
    <t>www.lixinger.com/analytics/company/sh/603580/603580/detail</t>
  </si>
  <si>
    <t>太和水</t>
  </si>
  <si>
    <t>www.lixinger.com/analytics/company/sh/605081/605081/detail</t>
  </si>
  <si>
    <t>盈康生命</t>
  </si>
  <si>
    <t>www.lixinger.com/analytics/company/sz/300143/300143/detail</t>
  </si>
  <si>
    <t>宏力达</t>
  </si>
  <si>
    <t>www.lixinger.com/analytics/company/sh/688330/688330/detail</t>
  </si>
  <si>
    <t>中熔电气</t>
  </si>
  <si>
    <t>www.lixinger.com/analytics/company/sz/301031/301031/detail</t>
  </si>
  <si>
    <t>*ST中潜</t>
  </si>
  <si>
    <t>www.lixinger.com/analytics/company/sz/300526/300526/detail</t>
  </si>
  <si>
    <t>智明达</t>
  </si>
  <si>
    <t>www.lixinger.com/analytics/company/sh/688636/688636/detail</t>
  </si>
  <si>
    <t>启迪药业</t>
  </si>
  <si>
    <t>www.lixinger.com/analytics/company/sz/000590/590/detail</t>
  </si>
  <si>
    <t>皖仪科技</t>
  </si>
  <si>
    <t>www.lixinger.com/analytics/company/sh/688600/688600/detail</t>
  </si>
  <si>
    <t>安达智能</t>
  </si>
  <si>
    <t>www.lixinger.com/analytics/company/sh/688125/688125/detail</t>
  </si>
  <si>
    <t>泰林生物</t>
  </si>
  <si>
    <t>www.lixinger.com/analytics/company/sz/300813/300813/detail</t>
  </si>
  <si>
    <t>开山股份</t>
  </si>
  <si>
    <t>www.lixinger.com/analytics/company/sz/300257/300257/detail</t>
  </si>
  <si>
    <t>青木股份</t>
  </si>
  <si>
    <t>www.lixinger.com/analytics/company/sz/301110/301110/detail</t>
  </si>
  <si>
    <t>金瑞矿业</t>
  </si>
  <si>
    <t>www.lixinger.com/analytics/company/sh/600714/600714/detail</t>
  </si>
  <si>
    <t>真视通</t>
  </si>
  <si>
    <t>www.lixinger.com/analytics/company/sz/002771/2771/detail</t>
  </si>
  <si>
    <t>英派斯</t>
  </si>
  <si>
    <t>www.lixinger.com/analytics/company/sz/002899/2899/detail</t>
  </si>
  <si>
    <t>杰恩设计</t>
  </si>
  <si>
    <t>www.lixinger.com/analytics/company/sz/300668/300668/detail</t>
  </si>
  <si>
    <t>商络电子</t>
  </si>
  <si>
    <t>www.lixinger.com/analytics/company/sz/300975/300975/detail</t>
  </si>
  <si>
    <t>五洋停车</t>
  </si>
  <si>
    <t>www.lixinger.com/analytics/company/sz/300420/300420/detail</t>
  </si>
  <si>
    <t>陇神戎发</t>
  </si>
  <si>
    <t>www.lixinger.com/analytics/company/sz/300534/300534/detail</t>
  </si>
  <si>
    <t>腾景科技</t>
  </si>
  <si>
    <t>www.lixinger.com/analytics/company/sh/688195/688195/detail</t>
  </si>
  <si>
    <t>恒润股份</t>
  </si>
  <si>
    <t>www.lixinger.com/analytics/company/sh/603985/603985/detail</t>
  </si>
  <si>
    <t>优德精密</t>
  </si>
  <si>
    <t>www.lixinger.com/analytics/company/sz/300549/300549/detail</t>
  </si>
  <si>
    <t>牧高笛</t>
  </si>
  <si>
    <t>www.lixinger.com/analytics/company/sh/603908/603908/detail</t>
  </si>
  <si>
    <t>概伦电子</t>
  </si>
  <si>
    <t>www.lixinger.com/analytics/company/sh/688206/688206/detail</t>
  </si>
  <si>
    <t>信雅达</t>
  </si>
  <si>
    <t>www.lixinger.com/analytics/company/sh/600571/600571/detail</t>
  </si>
  <si>
    <t>创耀科技</t>
  </si>
  <si>
    <t>www.lixinger.com/analytics/company/sh/688259/688259/detail</t>
  </si>
  <si>
    <t>朗博科技</t>
  </si>
  <si>
    <t>www.lixinger.com/analytics/company/sh/603655/603655/detail</t>
  </si>
  <si>
    <t>世纪瑞尔</t>
  </si>
  <si>
    <t>www.lixinger.com/analytics/company/sz/300150/300150/detail</t>
  </si>
  <si>
    <t>本川智能</t>
  </si>
  <si>
    <t>www.lixinger.com/analytics/company/sz/300964/300964/detail</t>
  </si>
  <si>
    <t>嘉戎技术</t>
  </si>
  <si>
    <t>www.lixinger.com/analytics/company/sz/301148/301148/detail</t>
  </si>
  <si>
    <t>中牧股份</t>
  </si>
  <si>
    <t>www.lixinger.com/analytics/company/sh/600195/600195/detail</t>
  </si>
  <si>
    <t>霍莱沃</t>
  </si>
  <si>
    <t>www.lixinger.com/analytics/company/sh/688682/688682/detail</t>
  </si>
  <si>
    <t>盟升电子</t>
  </si>
  <si>
    <t>www.lixinger.com/analytics/company/sh/688311/688311/detail</t>
  </si>
  <si>
    <t>怡达股份</t>
  </si>
  <si>
    <t>www.lixinger.com/analytics/company/sz/300721/300721/detail</t>
  </si>
  <si>
    <t>久量股份</t>
  </si>
  <si>
    <t>www.lixinger.com/analytics/company/sz/300808/300808/detail</t>
  </si>
  <si>
    <t>迈赫股份</t>
  </si>
  <si>
    <t>www.lixinger.com/analytics/company/sz/301199/301199/detail</t>
  </si>
  <si>
    <t>聆达股份</t>
  </si>
  <si>
    <t>www.lixinger.com/analytics/company/sz/300125/300125/detail</t>
  </si>
  <si>
    <t>星网宇达</t>
  </si>
  <si>
    <t>www.lixinger.com/analytics/company/sz/002829/2829/detail</t>
  </si>
  <si>
    <t>*ST邦讯</t>
  </si>
  <si>
    <t>www.lixinger.com/analytics/company/sz/300312/300312/detail</t>
  </si>
  <si>
    <t>天源环保</t>
  </si>
  <si>
    <t>www.lixinger.com/analytics/company/sz/301127/301127/detail</t>
  </si>
  <si>
    <t>梅安森</t>
  </si>
  <si>
    <t>www.lixinger.com/analytics/company/sz/300275/300275/detail</t>
  </si>
  <si>
    <t>宏盛股份</t>
  </si>
  <si>
    <t>www.lixinger.com/analytics/company/sh/603090/603090/detail</t>
  </si>
  <si>
    <t>联创光电</t>
  </si>
  <si>
    <t>www.lixinger.com/analytics/company/sh/600363/600363/detail</t>
  </si>
  <si>
    <t>思林杰</t>
  </si>
  <si>
    <t>www.lixinger.com/analytics/company/sh/688115/688115/detail</t>
  </si>
  <si>
    <t>康普顿</t>
  </si>
  <si>
    <t>www.lixinger.com/analytics/company/sh/603798/603798/detail</t>
  </si>
  <si>
    <t>田中精机</t>
  </si>
  <si>
    <t>www.lixinger.com/analytics/company/sz/300461/300461/detail</t>
  </si>
  <si>
    <t>超频三</t>
  </si>
  <si>
    <t>www.lixinger.com/analytics/company/sz/300647/300647/detail</t>
  </si>
  <si>
    <t>博拓生物</t>
  </si>
  <si>
    <t>www.lixinger.com/analytics/company/sh/688767/688767/detail</t>
  </si>
  <si>
    <t>东尼电子</t>
  </si>
  <si>
    <t>www.lixinger.com/analytics/company/sh/603595/603595/detail</t>
  </si>
  <si>
    <t>爱仕达</t>
  </si>
  <si>
    <t>www.lixinger.com/analytics/company/sz/002403/2403/detail</t>
  </si>
  <si>
    <t>宁通信B</t>
  </si>
  <si>
    <t>www.lixinger.com/analytics/company/sz/200468/200468/detail</t>
  </si>
  <si>
    <t>三旺通信</t>
  </si>
  <si>
    <t>www.lixinger.com/analytics/company/sh/688618/688618/detail</t>
  </si>
  <si>
    <t>宏辉果蔬</t>
  </si>
  <si>
    <t>www.lixinger.com/analytics/company/sh/603336/603336/detail</t>
  </si>
  <si>
    <t>华控赛格</t>
  </si>
  <si>
    <t>www.lixinger.com/analytics/company/sz/000068/68/detail</t>
  </si>
  <si>
    <t>研奥股份</t>
  </si>
  <si>
    <t>www.lixinger.com/analytics/company/sz/300923/300923/detail</t>
  </si>
  <si>
    <t>同益股份</t>
  </si>
  <si>
    <t>www.lixinger.com/analytics/company/sz/300538/300538/detail</t>
  </si>
  <si>
    <t>科泰电源</t>
  </si>
  <si>
    <t>www.lixinger.com/analytics/company/sz/300153/300153/detail</t>
  </si>
  <si>
    <t>博通集成</t>
  </si>
  <si>
    <t>www.lixinger.com/analytics/company/sh/603068/603068/detail</t>
  </si>
  <si>
    <t>科力远</t>
  </si>
  <si>
    <t>www.lixinger.com/analytics/company/sh/600478/600478/detail</t>
  </si>
  <si>
    <t>洪都航空</t>
  </si>
  <si>
    <t>www.lixinger.com/analytics/company/sh/600316/600316/detail</t>
  </si>
  <si>
    <t>万里股份</t>
  </si>
  <si>
    <t>www.lixinger.com/analytics/company/sh/600847/600847/detail</t>
  </si>
  <si>
    <t>金运激光</t>
  </si>
  <si>
    <t>www.lixinger.com/analytics/company/sz/300220/300220/detail</t>
  </si>
  <si>
    <t>天微电子</t>
  </si>
  <si>
    <t>www.lixinger.com/analytics/company/sh/688511/688511/detail</t>
  </si>
  <si>
    <t>东安动力</t>
  </si>
  <si>
    <t>www.lixinger.com/analytics/company/sh/600178/600178/detail</t>
  </si>
  <si>
    <t>机电Ｂ股</t>
  </si>
  <si>
    <t>www.lixinger.com/analytics/company/sh/900925/900925/detail</t>
  </si>
  <si>
    <t>崧盛股份</t>
  </si>
  <si>
    <t>www.lixinger.com/analytics/company/sz/301002/301002/detail</t>
  </si>
  <si>
    <t>天海防务</t>
  </si>
  <si>
    <t>www.lixinger.com/analytics/company/sz/300008/300008/detail</t>
  </si>
  <si>
    <t>浪莎股份</t>
  </si>
  <si>
    <t>www.lixinger.com/analytics/company/sh/600137/600137/detail</t>
  </si>
  <si>
    <t>杭州园林</t>
  </si>
  <si>
    <t>www.lixinger.com/analytics/company/sz/300649/300649/detail</t>
  </si>
  <si>
    <t>永泰运</t>
  </si>
  <si>
    <t>www.lixinger.com/analytics/company/sz/001228/1228/detail</t>
  </si>
  <si>
    <t>力合微</t>
  </si>
  <si>
    <t>www.lixinger.com/analytics/company/sh/688589/688589/detail</t>
  </si>
  <si>
    <t>工大高科</t>
  </si>
  <si>
    <t>www.lixinger.com/analytics/company/sh/688367/688367/detail</t>
  </si>
  <si>
    <t>方直科技</t>
  </si>
  <si>
    <t>www.lixinger.com/analytics/company/sz/300235/300235/detail</t>
  </si>
  <si>
    <t>邵阳液压</t>
  </si>
  <si>
    <t>www.lixinger.com/analytics/company/sz/301079/301079/detail</t>
  </si>
  <si>
    <t>朗源股份</t>
  </si>
  <si>
    <t>www.lixinger.com/analytics/company/sz/300175/300175/detail</t>
  </si>
  <si>
    <t>实丰文化</t>
  </si>
  <si>
    <t>www.lixinger.com/analytics/company/sz/002862/2862/detail</t>
  </si>
  <si>
    <t>申昊科技</t>
  </si>
  <si>
    <t>www.lixinger.com/analytics/company/sz/300853/300853/detail</t>
  </si>
  <si>
    <t>威星智能</t>
  </si>
  <si>
    <t>www.lixinger.com/analytics/company/sz/002849/2849/detail</t>
  </si>
  <si>
    <t>吉大通信</t>
  </si>
  <si>
    <t>www.lixinger.com/analytics/company/sz/300597/300597/detail</t>
  </si>
  <si>
    <t>因赛集团</t>
  </si>
  <si>
    <t>www.lixinger.com/analytics/company/sz/300781/300781/detail</t>
  </si>
  <si>
    <t>安博通</t>
  </si>
  <si>
    <t>www.lixinger.com/analytics/company/sh/688168/688168/detail</t>
  </si>
  <si>
    <t>和科达</t>
  </si>
  <si>
    <t>www.lixinger.com/analytics/company/sz/002816/2816/detail</t>
  </si>
  <si>
    <t>襄阳轴承</t>
  </si>
  <si>
    <t>www.lixinger.com/analytics/company/sz/000678/678/detail</t>
  </si>
  <si>
    <t>金明精机</t>
  </si>
  <si>
    <t>www.lixinger.com/analytics/company/sz/300281/300281/detail</t>
  </si>
  <si>
    <t>融钰集团</t>
  </si>
  <si>
    <t>www.lixinger.com/analytics/company/sz/002622/2622/detail</t>
  </si>
  <si>
    <t>力量钻石</t>
  </si>
  <si>
    <t>www.lixinger.com/analytics/company/sz/301071/301071/detail</t>
  </si>
  <si>
    <t>众源新材</t>
  </si>
  <si>
    <t>www.lixinger.com/analytics/company/sh/603527/603527/detail</t>
  </si>
  <si>
    <t>奥特维</t>
  </si>
  <si>
    <t>www.lixinger.com/analytics/company/sh/688516/688516/detail</t>
  </si>
  <si>
    <t>洛阳玻璃</t>
  </si>
  <si>
    <t>www.lixinger.com/analytics/company/sh/600876/600876/detail</t>
  </si>
  <si>
    <t>实朴检测</t>
  </si>
  <si>
    <t>www.lixinger.com/analytics/company/sz/301228/301228/detail</t>
  </si>
  <si>
    <t>明德生物</t>
  </si>
  <si>
    <t>www.lixinger.com/analytics/company/sz/002932/2932/detail</t>
  </si>
  <si>
    <t>圣湘生物</t>
  </si>
  <si>
    <t>www.lixinger.com/analytics/company/sh/688289/688289/detail</t>
  </si>
  <si>
    <t>华东数控</t>
  </si>
  <si>
    <t>www.lixinger.com/analytics/company/sz/002248/2248/detail</t>
  </si>
  <si>
    <t>康跃科技</t>
  </si>
  <si>
    <t>www.lixinger.com/analytics/company/sz/300391/300391/detail</t>
  </si>
  <si>
    <t>凯文教育</t>
  </si>
  <si>
    <t>学历教育</t>
  </si>
  <si>
    <t>www.lixinger.com/analytics/company/sz/002659/2659/detail</t>
  </si>
  <si>
    <t>麦迪科技</t>
  </si>
  <si>
    <t>www.lixinger.com/analytics/company/sh/603990/603990/detail</t>
  </si>
  <si>
    <t>新筑股份</t>
  </si>
  <si>
    <t>www.lixinger.com/analytics/company/sz/002480/2480/detail</t>
  </si>
  <si>
    <t>上海凤凰</t>
  </si>
  <si>
    <t>www.lixinger.com/analytics/company/sh/600679/600679/detail</t>
  </si>
  <si>
    <t>*ST沪普B</t>
  </si>
  <si>
    <t>www.lixinger.com/analytics/company/sh/900930/900930/detail</t>
  </si>
  <si>
    <t>西部牧业</t>
  </si>
  <si>
    <t>www.lixinger.com/analytics/company/sz/300106/300106/detail</t>
  </si>
  <si>
    <t>天地数码</t>
  </si>
  <si>
    <t>www.lixinger.com/analytics/company/sz/300743/300743/detail</t>
  </si>
  <si>
    <t>新特电气</t>
  </si>
  <si>
    <t>www.lixinger.com/analytics/company/sz/301120/301120/detail</t>
  </si>
  <si>
    <t>康众医疗</t>
  </si>
  <si>
    <t>www.lixinger.com/analytics/company/sh/688607/688607/detail</t>
  </si>
  <si>
    <t>和晶科技</t>
  </si>
  <si>
    <t>www.lixinger.com/analytics/company/sz/300279/300279/detail</t>
  </si>
  <si>
    <t>集智股份</t>
  </si>
  <si>
    <t>www.lixinger.com/analytics/company/sz/300553/300553/detail</t>
  </si>
  <si>
    <t>禾川科技</t>
  </si>
  <si>
    <t>www.lixinger.com/analytics/company/sh/688320/688320/detail</t>
  </si>
  <si>
    <t>佳华科技</t>
  </si>
  <si>
    <t>www.lixinger.com/analytics/company/sh/688051/688051/detail</t>
  </si>
  <si>
    <t>纳微科技</t>
  </si>
  <si>
    <t>www.lixinger.com/analytics/company/sh/688690/688690/detail</t>
  </si>
  <si>
    <t>朗特智能</t>
  </si>
  <si>
    <t>www.lixinger.com/analytics/company/sz/300916/300916/detail</t>
  </si>
  <si>
    <t>开开实业</t>
  </si>
  <si>
    <t>www.lixinger.com/analytics/company/sh/600272/600272/detail</t>
  </si>
  <si>
    <t>凯旺科技</t>
  </si>
  <si>
    <t>www.lixinger.com/analytics/company/sz/301182/301182/detail</t>
  </si>
  <si>
    <t>菜百股份</t>
  </si>
  <si>
    <t>www.lixinger.com/analytics/company/sh/605599/605599/detail</t>
  </si>
  <si>
    <t>中光防雷</t>
  </si>
  <si>
    <t>www.lixinger.com/analytics/company/sz/300414/300414/detail</t>
  </si>
  <si>
    <t>罗普斯金</t>
  </si>
  <si>
    <t>www.lixinger.com/analytics/company/sz/002333/2333/detail</t>
  </si>
  <si>
    <t>杰创智能</t>
  </si>
  <si>
    <t>www.lixinger.com/analytics/company/sz/301248/301248/detail</t>
  </si>
  <si>
    <t>天智航</t>
  </si>
  <si>
    <t>www.lixinger.com/analytics/company/sh/688277/688277/detail</t>
  </si>
  <si>
    <t>华锋股份</t>
  </si>
  <si>
    <t>www.lixinger.com/analytics/company/sz/002806/2806/detail</t>
  </si>
  <si>
    <t>百普赛斯</t>
  </si>
  <si>
    <t>www.lixinger.com/analytics/company/sz/301080/301080/detail</t>
  </si>
  <si>
    <t>智能自控</t>
  </si>
  <si>
    <t>www.lixinger.com/analytics/company/sz/002877/2877/detail</t>
  </si>
  <si>
    <t>世纪鼎利</t>
  </si>
  <si>
    <t>www.lixinger.com/analytics/company/sz/300050/300050/detail</t>
  </si>
  <si>
    <t>彩虹集团</t>
  </si>
  <si>
    <t>www.lixinger.com/analytics/company/sz/003023/3023/detail</t>
  </si>
  <si>
    <t>奥福环保</t>
  </si>
  <si>
    <t>www.lixinger.com/analytics/company/sh/688021/688021/detail</t>
  </si>
  <si>
    <t>*ST艾格</t>
  </si>
  <si>
    <t>www.lixinger.com/analytics/company/sz/002619/2619/detail</t>
  </si>
  <si>
    <t>天瑞仪器</t>
  </si>
  <si>
    <t>www.lixinger.com/analytics/company/sz/300165/300165/detail</t>
  </si>
  <si>
    <t>乐通股份</t>
  </si>
  <si>
    <t>www.lixinger.com/analytics/company/sz/002319/2319/detail</t>
  </si>
  <si>
    <t>安旭生物</t>
  </si>
  <si>
    <t>www.lixinger.com/analytics/company/sh/688075/688075/detail</t>
  </si>
  <si>
    <t>热景生物</t>
  </si>
  <si>
    <t>www.lixinger.com/analytics/company/sh/688068/688068/detail</t>
  </si>
  <si>
    <t>双象股份</t>
  </si>
  <si>
    <t>www.lixinger.com/analytics/company/sz/002395/2395/detail</t>
  </si>
  <si>
    <t>中恒电气</t>
  </si>
  <si>
    <t>www.lixinger.com/analytics/company/sz/002364/2364/detail</t>
  </si>
  <si>
    <t>气派科技</t>
  </si>
  <si>
    <t>www.lixinger.com/analytics/company/sh/688216/688216/detail</t>
  </si>
  <si>
    <t>福光股份</t>
  </si>
  <si>
    <t>www.lixinger.com/analytics/company/sh/688010/688010/detail</t>
  </si>
  <si>
    <t>凯龙高科</t>
  </si>
  <si>
    <t>www.lixinger.com/analytics/company/sz/300912/300912/detail</t>
  </si>
  <si>
    <t>盛新锂能</t>
  </si>
  <si>
    <t>www.lixinger.com/analytics/company/sz/002240/2240/detail</t>
  </si>
  <si>
    <t>复旦复华</t>
  </si>
  <si>
    <t>www.lixinger.com/analytics/company/sh/600624/600624/detail</t>
  </si>
  <si>
    <t>东华测试</t>
  </si>
  <si>
    <t>www.lixinger.com/analytics/company/sz/300354/300354/detail</t>
  </si>
  <si>
    <t>凯马Ｂ</t>
  </si>
  <si>
    <t>www.lixinger.com/analytics/company/sh/900953/900953/detail</t>
  </si>
  <si>
    <t>波导股份</t>
  </si>
  <si>
    <t>www.lixinger.com/analytics/company/sh/600130/600130/detail</t>
  </si>
  <si>
    <t>神奇B股</t>
  </si>
  <si>
    <t>www.lixinger.com/analytics/company/sh/900904/900904/detail</t>
  </si>
  <si>
    <t>瑞晟智能</t>
  </si>
  <si>
    <t>www.lixinger.com/analytics/company/sh/688215/688215/detail</t>
  </si>
  <si>
    <t>ST花王</t>
  </si>
  <si>
    <t>www.lixinger.com/analytics/company/sh/603007/603007/detail</t>
  </si>
  <si>
    <t>峰岹科技</t>
  </si>
  <si>
    <t>www.lixinger.com/analytics/company/sh/688279/688279/detail</t>
  </si>
  <si>
    <t>*ST赫美</t>
  </si>
  <si>
    <t>www.lixinger.com/analytics/company/sz/002356/2356/detail</t>
  </si>
  <si>
    <t>杰普特</t>
  </si>
  <si>
    <t>www.lixinger.com/analytics/company/sh/688025/688025/detail</t>
  </si>
  <si>
    <t>宝兰德</t>
  </si>
  <si>
    <t>www.lixinger.com/analytics/company/sh/688058/688058/detail</t>
  </si>
  <si>
    <t>弘宇股份</t>
  </si>
  <si>
    <t>www.lixinger.com/analytics/company/sz/002890/2890/detail</t>
  </si>
  <si>
    <t>顺威股份</t>
  </si>
  <si>
    <t>www.lixinger.com/analytics/company/sz/002676/2676/detail</t>
  </si>
  <si>
    <t>旭光电子</t>
  </si>
  <si>
    <t>www.lixinger.com/analytics/company/sh/600353/600353/detail</t>
  </si>
  <si>
    <t>国能日新</t>
  </si>
  <si>
    <t>www.lixinger.com/analytics/company/sz/301162/301162/detail</t>
  </si>
  <si>
    <t>世龙实业</t>
  </si>
  <si>
    <t>www.lixinger.com/analytics/company/sz/002748/2748/detail</t>
  </si>
  <si>
    <t>浙江富润</t>
  </si>
  <si>
    <t>www.lixinger.com/analytics/company/sh/600070/600070/detail</t>
  </si>
  <si>
    <t>力源科技</t>
  </si>
  <si>
    <t>www.lixinger.com/analytics/company/sh/688565/688565/detail</t>
  </si>
  <si>
    <t>若羽臣</t>
  </si>
  <si>
    <t>www.lixinger.com/analytics/company/sz/003010/3010/detail</t>
  </si>
  <si>
    <t>永悦科技</t>
  </si>
  <si>
    <t>www.lixinger.com/analytics/company/sh/603879/603879/detail</t>
  </si>
  <si>
    <t>国芯科技</t>
  </si>
  <si>
    <t>www.lixinger.com/analytics/company/sh/688262/688262/detail</t>
  </si>
  <si>
    <t>超华科技</t>
  </si>
  <si>
    <t>www.lixinger.com/analytics/company/sz/002288/2288/detail</t>
  </si>
  <si>
    <t>返利科技</t>
  </si>
  <si>
    <t>www.lixinger.com/analytics/company/sh/600228/600228/detail</t>
  </si>
  <si>
    <t>沪光股份</t>
  </si>
  <si>
    <t>www.lixinger.com/analytics/company/sh/605333/605333/detail</t>
  </si>
  <si>
    <t>华纺股份</t>
  </si>
  <si>
    <t>www.lixinger.com/analytics/company/sh/600448/600448/detail</t>
  </si>
  <si>
    <t>中坚科技</t>
  </si>
  <si>
    <t>www.lixinger.com/analytics/company/sz/002779/2779/detail</t>
  </si>
  <si>
    <t>明微电子</t>
  </si>
  <si>
    <t>www.lixinger.com/analytics/company/sh/688699/688699/detail</t>
  </si>
  <si>
    <t>龙净环保</t>
  </si>
  <si>
    <t>www.lixinger.com/analytics/company/sh/600388/600388/detail</t>
  </si>
  <si>
    <t>金奥博</t>
  </si>
  <si>
    <t>www.lixinger.com/analytics/company/sz/002917/2917/detail</t>
  </si>
  <si>
    <t>经纬纺机</t>
  </si>
  <si>
    <t>www.lixinger.com/analytics/company/sz/000666/666/detail</t>
  </si>
  <si>
    <t>富通信息</t>
  </si>
  <si>
    <t>www.lixinger.com/analytics/company/sz/000836/836/detail</t>
  </si>
  <si>
    <t>天成自控</t>
  </si>
  <si>
    <t>www.lixinger.com/analytics/company/sh/603085/603085/detail</t>
  </si>
  <si>
    <t>欧浦退</t>
  </si>
  <si>
    <t>www.lixinger.com/analytics/company/sz/002711/2711/detail</t>
  </si>
  <si>
    <t>华铁股份</t>
  </si>
  <si>
    <t>www.lixinger.com/analytics/company/sz/000976/976/detail</t>
  </si>
  <si>
    <t>瑞可达</t>
  </si>
  <si>
    <t>www.lixinger.com/analytics/company/sh/688800/688800/detail</t>
  </si>
  <si>
    <t>三川智慧</t>
  </si>
  <si>
    <t>www.lixinger.com/analytics/company/sz/300066/300066/detail</t>
  </si>
  <si>
    <t>台基股份</t>
  </si>
  <si>
    <t>www.lixinger.com/analytics/company/sz/300046/300046/detail</t>
  </si>
  <si>
    <t>龙源技术</t>
  </si>
  <si>
    <t>www.lixinger.com/analytics/company/sz/300105/300105/detail</t>
  </si>
  <si>
    <t>三维天地</t>
  </si>
  <si>
    <t>www.lixinger.com/analytics/company/sz/301159/301159/detail</t>
  </si>
  <si>
    <t>山石网科</t>
  </si>
  <si>
    <t>www.lixinger.com/analytics/company/sh/688030/688030/detail</t>
  </si>
  <si>
    <t>恒为科技</t>
  </si>
  <si>
    <t>www.lixinger.com/analytics/company/sh/603496/603496/detail</t>
  </si>
  <si>
    <t>三维化学</t>
  </si>
  <si>
    <t>www.lixinger.com/analytics/company/sz/002469/2469/detail</t>
  </si>
  <si>
    <t>天津普林</t>
  </si>
  <si>
    <t>www.lixinger.com/analytics/company/sz/002134/2134/detail</t>
  </si>
  <si>
    <t>高测股份</t>
  </si>
  <si>
    <t>www.lixinger.com/analytics/company/sh/688556/688556/detail</t>
  </si>
  <si>
    <t>诺唯赞</t>
  </si>
  <si>
    <t>www.lixinger.com/analytics/company/sh/688105/688105/detail</t>
  </si>
  <si>
    <t>北京君正</t>
  </si>
  <si>
    <t>www.lixinger.com/analytics/company/sz/300223/300223/detail</t>
  </si>
  <si>
    <t>天迈科技</t>
  </si>
  <si>
    <t>www.lixinger.com/analytics/company/sz/300807/300807/detail</t>
  </si>
  <si>
    <t>建车B</t>
  </si>
  <si>
    <t>www.lixinger.com/analytics/company/sz/200054/200054/detail</t>
  </si>
  <si>
    <t>北特科技</t>
  </si>
  <si>
    <t>www.lixinger.com/analytics/company/sh/603009/603009/detail</t>
  </si>
  <si>
    <t>元力股份</t>
  </si>
  <si>
    <t>www.lixinger.com/analytics/company/sz/300174/300174/detail</t>
  </si>
  <si>
    <t>亚康股份</t>
  </si>
  <si>
    <t>www.lixinger.com/analytics/company/sz/301085/301085/detail</t>
  </si>
  <si>
    <t>景业智能</t>
  </si>
  <si>
    <t>www.lixinger.com/analytics/company/sh/688290/688290/detail</t>
  </si>
  <si>
    <t>南华生物</t>
  </si>
  <si>
    <t>www.lixinger.com/analytics/company/sz/000504/504/detail</t>
  </si>
  <si>
    <t>德创环保</t>
  </si>
  <si>
    <t>www.lixinger.com/analytics/company/sh/603177/603177/detail</t>
  </si>
  <si>
    <t>飞马国际</t>
  </si>
  <si>
    <t>www.lixinger.com/analytics/company/sz/002210/2210/detail</t>
  </si>
  <si>
    <t>容大感光</t>
  </si>
  <si>
    <t>www.lixinger.com/analytics/company/sz/300576/300576/detail</t>
  </si>
  <si>
    <t>凤竹纺织</t>
  </si>
  <si>
    <t>www.lixinger.com/analytics/company/sh/600493/600493/detail</t>
  </si>
  <si>
    <t>佳缘科技</t>
  </si>
  <si>
    <t>www.lixinger.com/analytics/company/sz/301117/301117/detail</t>
  </si>
  <si>
    <t>冰山B</t>
  </si>
  <si>
    <t>www.lixinger.com/analytics/company/sz/200530/200530/detail</t>
  </si>
  <si>
    <t>迈得医疗</t>
  </si>
  <si>
    <t>www.lixinger.com/analytics/company/sh/688310/688310/detail</t>
  </si>
  <si>
    <t>神思电子</t>
  </si>
  <si>
    <t>www.lixinger.com/analytics/company/sz/300479/300479/detail</t>
  </si>
  <si>
    <t>申科股份</t>
  </si>
  <si>
    <t>www.lixinger.com/analytics/company/sz/002633/2633/detail</t>
  </si>
  <si>
    <t>深科达</t>
  </si>
  <si>
    <t>www.lixinger.com/analytics/company/sh/688328/688328/detail</t>
  </si>
  <si>
    <t>仁度生物</t>
  </si>
  <si>
    <t>www.lixinger.com/analytics/company/sh/688193/688193/detail</t>
  </si>
  <si>
    <t>智云股份</t>
  </si>
  <si>
    <t>www.lixinger.com/analytics/company/sz/300097/300097/detail</t>
  </si>
  <si>
    <t>ST东洋</t>
  </si>
  <si>
    <t>www.lixinger.com/analytics/company/sz/002086/2086/detail</t>
  </si>
  <si>
    <t>*ST金泰</t>
  </si>
  <si>
    <t>www.lixinger.com/analytics/company/sh/600385/600385/detail</t>
  </si>
  <si>
    <t>悦安新材</t>
  </si>
  <si>
    <t>www.lixinger.com/analytics/company/sh/688786/688786/detail</t>
  </si>
  <si>
    <t>高争民爆</t>
  </si>
  <si>
    <t>www.lixinger.com/analytics/company/sz/002827/2827/detail</t>
  </si>
  <si>
    <t>粤传媒</t>
  </si>
  <si>
    <t>www.lixinger.com/analytics/company/sz/002181/2181/detail</t>
  </si>
  <si>
    <t>嘉应制药</t>
  </si>
  <si>
    <t>www.lixinger.com/analytics/company/sz/002198/2198/detail</t>
  </si>
  <si>
    <t>比依股份</t>
  </si>
  <si>
    <t>www.lixinger.com/analytics/company/sh/603215/603215/detail</t>
  </si>
  <si>
    <t>宝色股份</t>
  </si>
  <si>
    <t>www.lixinger.com/analytics/company/sz/300402/300402/detail</t>
  </si>
  <si>
    <t>渝三峡Ａ</t>
  </si>
  <si>
    <t>www.lixinger.com/analytics/company/sz/000565/565/detail</t>
  </si>
  <si>
    <t>荃银高科</t>
  </si>
  <si>
    <t>www.lixinger.com/analytics/company/sz/300087/300087/detail</t>
  </si>
  <si>
    <t>冰山冷热</t>
  </si>
  <si>
    <t>www.lixinger.com/analytics/company/sz/000530/530/detail</t>
  </si>
  <si>
    <t>ST时万</t>
  </si>
  <si>
    <t>www.lixinger.com/analytics/company/sh/600241/600241/detail</t>
  </si>
  <si>
    <t>淳中科技</t>
  </si>
  <si>
    <t>www.lixinger.com/analytics/company/sh/603516/603516/detail</t>
  </si>
  <si>
    <t>东杰智能</t>
  </si>
  <si>
    <t>www.lixinger.com/analytics/company/sz/300486/300486/detail</t>
  </si>
  <si>
    <t>*ST晨鑫</t>
  </si>
  <si>
    <t>www.lixinger.com/analytics/company/sz/002447/2447/detail</t>
  </si>
  <si>
    <t>中兰环保</t>
  </si>
  <si>
    <t>www.lixinger.com/analytics/company/sz/300854/300854/detail</t>
  </si>
  <si>
    <t>ST星源</t>
  </si>
  <si>
    <t>www.lixinger.com/analytics/company/sz/000005/5/detail</t>
  </si>
  <si>
    <t>芯源微</t>
  </si>
  <si>
    <t>www.lixinger.com/analytics/company/sh/688037/688037/detail</t>
  </si>
  <si>
    <t>延华智能</t>
  </si>
  <si>
    <t>www.lixinger.com/analytics/company/sz/002178/2178/detail</t>
  </si>
  <si>
    <t>锐新科技</t>
  </si>
  <si>
    <t>www.lixinger.com/analytics/company/sz/300828/300828/detail</t>
  </si>
  <si>
    <t>坤恒顺维</t>
  </si>
  <si>
    <t>www.lixinger.com/analytics/company/sh/688283/688283/detail</t>
  </si>
  <si>
    <t>金莱特</t>
  </si>
  <si>
    <t>www.lixinger.com/analytics/company/sz/002723/2723/detail</t>
  </si>
  <si>
    <t>阿石创</t>
  </si>
  <si>
    <t>www.lixinger.com/analytics/company/sz/300706/300706/detail</t>
  </si>
  <si>
    <t>宝鼎科技</t>
  </si>
  <si>
    <t>www.lixinger.com/analytics/company/sz/002552/2552/detail</t>
  </si>
  <si>
    <t>ST和佳</t>
  </si>
  <si>
    <t>www.lixinger.com/analytics/company/sz/300273/300273/detail</t>
  </si>
  <si>
    <t>睿昂基因</t>
  </si>
  <si>
    <t>www.lixinger.com/analytics/company/sh/688217/688217/detail</t>
  </si>
  <si>
    <t>友阿股份</t>
  </si>
  <si>
    <t>www.lixinger.com/analytics/company/sz/002277/2277/detail</t>
  </si>
  <si>
    <t>*ST群兴</t>
  </si>
  <si>
    <t>www.lixinger.com/analytics/company/sz/002575/2575/detail</t>
  </si>
  <si>
    <t>鼎龙文化</t>
  </si>
  <si>
    <t>www.lixinger.com/analytics/company/sz/002502/2502/detail</t>
  </si>
  <si>
    <t>山大地纬</t>
  </si>
  <si>
    <t>www.lixinger.com/analytics/company/sh/688579/688579/detail</t>
  </si>
  <si>
    <t>德利股份</t>
  </si>
  <si>
    <t>www.lixinger.com/analytics/company/sh/605198/605198/detail</t>
  </si>
  <si>
    <t>东晶电子</t>
  </si>
  <si>
    <t>www.lixinger.com/analytics/company/sz/002199/2199/detail</t>
  </si>
  <si>
    <t>中科电气</t>
  </si>
  <si>
    <t>www.lixinger.com/analytics/company/sz/300035/300035/detail</t>
  </si>
  <si>
    <t>安正时尚</t>
  </si>
  <si>
    <t>www.lixinger.com/analytics/company/sh/603839/603839/detail</t>
  </si>
  <si>
    <t>莫高股份</t>
  </si>
  <si>
    <t>www.lixinger.com/analytics/company/sh/600543/600543/detail</t>
  </si>
  <si>
    <t>意华股份</t>
  </si>
  <si>
    <t>www.lixinger.com/analytics/company/sz/002897/2897/detail</t>
  </si>
  <si>
    <t>宝塔实业</t>
  </si>
  <si>
    <t>www.lixinger.com/analytics/company/sz/000595/595/detail</t>
  </si>
  <si>
    <t>金通灵</t>
  </si>
  <si>
    <t>www.lixinger.com/analytics/company/sz/300091/300091/detail</t>
  </si>
  <si>
    <t>中自科技</t>
  </si>
  <si>
    <t>www.lixinger.com/analytics/company/sh/688737/688737/detail</t>
  </si>
  <si>
    <t>新美星</t>
  </si>
  <si>
    <t>www.lixinger.com/analytics/company/sz/300509/300509/detail</t>
  </si>
  <si>
    <t>中科海讯</t>
  </si>
  <si>
    <t>www.lixinger.com/analytics/company/sz/300810/300810/detail</t>
  </si>
  <si>
    <t>博瑞传播</t>
  </si>
  <si>
    <t>www.lixinger.com/analytics/company/sh/600880/600880/detail</t>
  </si>
  <si>
    <t>双乐股份</t>
  </si>
  <si>
    <t>www.lixinger.com/analytics/company/sz/301036/301036/detail</t>
  </si>
  <si>
    <t>本立科技</t>
  </si>
  <si>
    <t>www.lixinger.com/analytics/company/sz/301065/301065/detail</t>
  </si>
  <si>
    <t>优宁维</t>
  </si>
  <si>
    <t>www.lixinger.com/analytics/company/sz/301166/301166/detail</t>
  </si>
  <si>
    <t>冀东装备</t>
  </si>
  <si>
    <t>www.lixinger.com/analytics/company/sz/000856/856/detail</t>
  </si>
  <si>
    <t>*ST深南</t>
  </si>
  <si>
    <t>www.lixinger.com/analytics/company/sz/002417/2417/detail</t>
  </si>
  <si>
    <t>中路股份</t>
  </si>
  <si>
    <t>www.lixinger.com/analytics/company/sh/600818/600818/detail</t>
  </si>
  <si>
    <t>扬电科技</t>
  </si>
  <si>
    <t>www.lixinger.com/analytics/company/sz/301012/301012/detail</t>
  </si>
  <si>
    <t>新光光电</t>
  </si>
  <si>
    <t>www.lixinger.com/analytics/company/sh/688011/688011/detail</t>
  </si>
  <si>
    <t>运机集团</t>
  </si>
  <si>
    <t>www.lixinger.com/analytics/company/sz/001288/1288/detail</t>
  </si>
  <si>
    <t>中毅达B</t>
  </si>
  <si>
    <t>www.lixinger.com/analytics/company/sh/900906/900906/detail</t>
  </si>
  <si>
    <t>北方铜业</t>
  </si>
  <si>
    <t>www.lixinger.com/analytics/company/sz/000737/737/detail</t>
  </si>
  <si>
    <t>爱司凯</t>
  </si>
  <si>
    <t>www.lixinger.com/analytics/company/sz/300521/300521/detail</t>
  </si>
  <si>
    <t>鞍重股份</t>
  </si>
  <si>
    <t>www.lixinger.com/analytics/company/sz/002667/2667/detail</t>
  </si>
  <si>
    <t>汇创达</t>
  </si>
  <si>
    <t>www.lixinger.com/analytics/company/sz/300909/300909/detail</t>
  </si>
  <si>
    <t>万马科技</t>
  </si>
  <si>
    <t>www.lixinger.com/analytics/company/sz/300698/300698/detail</t>
  </si>
  <si>
    <t>精艺股份</t>
  </si>
  <si>
    <t>www.lixinger.com/analytics/company/sz/002295/2295/detail</t>
  </si>
  <si>
    <t>湖南天雁</t>
  </si>
  <si>
    <t>www.lixinger.com/analytics/company/sh/600698/600698/detail</t>
  </si>
  <si>
    <t>高乐股份</t>
  </si>
  <si>
    <t>www.lixinger.com/analytics/company/sz/002348/2348/detail</t>
  </si>
  <si>
    <t>共同药业</t>
  </si>
  <si>
    <t>www.lixinger.com/analytics/company/sz/300966/300966/detail</t>
  </si>
  <si>
    <t>三孚新科</t>
  </si>
  <si>
    <t>www.lixinger.com/analytics/company/sh/688359/688359/detail</t>
  </si>
  <si>
    <t>纳芯微</t>
  </si>
  <si>
    <t>www.lixinger.com/analytics/company/sh/688052/688052/detail</t>
  </si>
  <si>
    <t>杭电股份</t>
  </si>
  <si>
    <t>www.lixinger.com/analytics/company/sh/603618/603618/detail</t>
  </si>
  <si>
    <t>富吉瑞</t>
  </si>
  <si>
    <t>www.lixinger.com/analytics/company/sh/688272/688272/detail</t>
  </si>
  <si>
    <t>赛微微电</t>
  </si>
  <si>
    <t>www.lixinger.com/analytics/company/sh/688325/688325/detail</t>
  </si>
  <si>
    <t>兆日科技</t>
  </si>
  <si>
    <t>www.lixinger.com/analytics/company/sz/300333/300333/detail</t>
  </si>
  <si>
    <t>亿嘉和</t>
  </si>
  <si>
    <t>www.lixinger.com/analytics/company/sh/603666/603666/detail</t>
  </si>
  <si>
    <t>中设股份</t>
  </si>
  <si>
    <t>www.lixinger.com/analytics/company/sz/002883/2883/detail</t>
  </si>
  <si>
    <t>大理药业</t>
  </si>
  <si>
    <t>www.lixinger.com/analytics/company/sh/603963/603963/detail</t>
  </si>
  <si>
    <t>慧辰股份</t>
  </si>
  <si>
    <t>www.lixinger.com/analytics/company/sh/688500/688500/detail</t>
  </si>
  <si>
    <t>丹化科技</t>
  </si>
  <si>
    <t>www.lixinger.com/analytics/company/sh/600844/600844/detail</t>
  </si>
  <si>
    <t>先锋新材</t>
  </si>
  <si>
    <t>www.lixinger.com/analytics/company/sz/300163/300163/detail</t>
  </si>
  <si>
    <t>www.lixinger.com/analytics/company/sz/300024/300024/detail</t>
  </si>
  <si>
    <t>斯太退</t>
  </si>
  <si>
    <t>www.lixinger.com/analytics/company/sz/000760/760/detail</t>
  </si>
  <si>
    <t>楚天龙</t>
  </si>
  <si>
    <t>www.lixinger.com/analytics/company/sz/003040/3040/detail</t>
  </si>
  <si>
    <t>凌云Ｂ股</t>
  </si>
  <si>
    <t>www.lixinger.com/analytics/company/sh/900957/900957/detail</t>
  </si>
  <si>
    <t>*ST天首</t>
  </si>
  <si>
    <t>www.lixinger.com/analytics/company/sz/000611/611/detail</t>
  </si>
  <si>
    <t>国力股份</t>
  </si>
  <si>
    <t>www.lixinger.com/analytics/company/sh/688103/688103/detail</t>
  </si>
  <si>
    <t>宏微科技</t>
  </si>
  <si>
    <t>www.lixinger.com/analytics/company/sh/688711/688711/detail</t>
  </si>
  <si>
    <t>*ST舜喆B</t>
  </si>
  <si>
    <t>www.lixinger.com/analytics/company/sz/200168/200168/detail</t>
  </si>
  <si>
    <t>山东华鹏</t>
  </si>
  <si>
    <t>www.lixinger.com/analytics/company/sh/603021/603021/detail</t>
  </si>
  <si>
    <t>华嵘控股</t>
  </si>
  <si>
    <t>www.lixinger.com/analytics/company/sh/600421/600421/detail</t>
  </si>
  <si>
    <t>天宝退</t>
  </si>
  <si>
    <t>www.lixinger.com/analytics/company/sz/002220/2220/detail</t>
  </si>
  <si>
    <t>云路股份</t>
  </si>
  <si>
    <t>www.lixinger.com/analytics/company/sh/688190/688190/detail</t>
  </si>
  <si>
    <t>上工Ｂ股</t>
  </si>
  <si>
    <t>www.lixinger.com/analytics/company/sh/900924/900924/detail</t>
  </si>
  <si>
    <t>立航科技</t>
  </si>
  <si>
    <t>www.lixinger.com/analytics/company/sh/603261/603261/detail</t>
  </si>
  <si>
    <t>力芯微</t>
  </si>
  <si>
    <t>www.lixinger.com/analytics/company/sh/688601/688601/detail</t>
  </si>
  <si>
    <t>浩丰科技</t>
  </si>
  <si>
    <t>www.lixinger.com/analytics/company/sz/300419/300419/detail</t>
  </si>
  <si>
    <t>东信Ｂ股</t>
  </si>
  <si>
    <t>www.lixinger.com/analytics/company/sh/900941/900941/detail</t>
  </si>
  <si>
    <t>*ST雪莱</t>
  </si>
  <si>
    <t>www.lixinger.com/analytics/company/sz/002076/2076/detail</t>
  </si>
  <si>
    <t>中科通达</t>
  </si>
  <si>
    <t>www.lixinger.com/analytics/company/sh/688038/688038/detail</t>
  </si>
  <si>
    <t>退市鹏B</t>
  </si>
  <si>
    <t>www.lixinger.com/analytics/company/sh/900907/900907/detail</t>
  </si>
  <si>
    <t>神州高铁</t>
  </si>
  <si>
    <t>www.lixinger.com/analytics/company/sz/000008/8/detail</t>
  </si>
  <si>
    <t>*ST东海B</t>
  </si>
  <si>
    <t>www.lixinger.com/analytics/company/sz/200613/200613/detail</t>
  </si>
  <si>
    <t>惠伦晶体</t>
  </si>
  <si>
    <t>www.lixinger.com/analytics/company/sz/300460/300460/detail</t>
  </si>
  <si>
    <t>科兴制药</t>
  </si>
  <si>
    <t>www.lixinger.com/analytics/company/sh/688136/688136/detail</t>
  </si>
  <si>
    <t>长光华芯</t>
  </si>
  <si>
    <t>www.lixinger.com/analytics/company/sh/688048/688048/detail</t>
  </si>
  <si>
    <t>宁波中百</t>
  </si>
  <si>
    <t>www.lixinger.com/analytics/company/sh/600857/600857/detail</t>
  </si>
  <si>
    <t>大地海洋</t>
  </si>
  <si>
    <t>www.lixinger.com/analytics/company/sz/301068/301068/detail</t>
  </si>
  <si>
    <t>ST升达</t>
  </si>
  <si>
    <t>www.lixinger.com/analytics/company/sz/002259/2259/detail</t>
  </si>
  <si>
    <t>巨一科技</t>
  </si>
  <si>
    <t>www.lixinger.com/analytics/company/sh/688162/688162/detail</t>
  </si>
  <si>
    <t>*ST东海A</t>
  </si>
  <si>
    <t>www.lixinger.com/analytics/company/sz/000613/613/detail</t>
  </si>
  <si>
    <t>中英科技</t>
  </si>
  <si>
    <t>www.lixinger.com/analytics/company/sz/300936/300936/detail</t>
  </si>
  <si>
    <t>*ST雅博</t>
  </si>
  <si>
    <t>www.lixinger.com/analytics/company/sz/002323/2323/detail</t>
  </si>
  <si>
    <t>*ST万方</t>
  </si>
  <si>
    <t>www.lixinger.com/analytics/company/sz/000638/638/detail</t>
  </si>
  <si>
    <t>先锋电子</t>
  </si>
  <si>
    <t>www.lixinger.com/analytics/company/sz/002767/2767/detail</t>
  </si>
  <si>
    <t>新宁物流</t>
  </si>
  <si>
    <t>www.lixinger.com/analytics/company/sz/300013/300013/detail</t>
  </si>
  <si>
    <t>龙津药业</t>
  </si>
  <si>
    <t>www.lixinger.com/analytics/company/sz/002750/2750/detail</t>
  </si>
  <si>
    <t>湘邮科技</t>
  </si>
  <si>
    <t>www.lixinger.com/analytics/company/sh/600476/600476/detail</t>
  </si>
  <si>
    <t>思创医惠</t>
  </si>
  <si>
    <t>www.lixinger.com/analytics/company/sz/300078/300078/detail</t>
  </si>
  <si>
    <t>华是科技</t>
  </si>
  <si>
    <t>www.lixinger.com/analytics/company/sz/301218/301218/detail</t>
  </si>
  <si>
    <t>快意电梯</t>
  </si>
  <si>
    <t>www.lixinger.com/analytics/company/sz/002774/2774/detail</t>
  </si>
  <si>
    <t>任子行</t>
  </si>
  <si>
    <t>www.lixinger.com/analytics/company/sz/300311/300311/detail</t>
  </si>
  <si>
    <t>久盛电气</t>
  </si>
  <si>
    <t>www.lixinger.com/analytics/company/sz/301082/301082/detail</t>
  </si>
  <si>
    <t>东电退</t>
  </si>
  <si>
    <t>www.lixinger.com/analytics/company/sz/000585/585/detail</t>
  </si>
  <si>
    <t>万里石</t>
  </si>
  <si>
    <t>www.lixinger.com/analytics/company/sz/002785/2785/detail</t>
  </si>
  <si>
    <t>精伦电子</t>
  </si>
  <si>
    <t>www.lixinger.com/analytics/company/sh/600355/600355/detail</t>
  </si>
  <si>
    <t>凤凰B股</t>
  </si>
  <si>
    <t>www.lixinger.com/analytics/company/sh/900916/900916/detail</t>
  </si>
  <si>
    <t>中青宝</t>
  </si>
  <si>
    <t>www.lixinger.com/analytics/company/sz/300052/300052/detail</t>
  </si>
  <si>
    <t>开开Ｂ股</t>
  </si>
  <si>
    <t>www.lixinger.com/analytics/company/sh/900943/900943/detail</t>
  </si>
  <si>
    <t>ST九有</t>
  </si>
  <si>
    <t>www.lixinger.com/analytics/company/sh/600462/600462/detail</t>
  </si>
  <si>
    <t>东方网络</t>
  </si>
  <si>
    <t>www.lixinger.com/analytics/company/sz/002175/2175/detail</t>
  </si>
  <si>
    <t>铁科轨道</t>
  </si>
  <si>
    <t>www.lixinger.com/analytics/company/sh/688569/688569/detail</t>
  </si>
  <si>
    <t>浩通科技</t>
  </si>
  <si>
    <t>www.lixinger.com/analytics/company/sz/301026/301026/detail</t>
  </si>
  <si>
    <t>统联精密</t>
  </si>
  <si>
    <t>www.lixinger.com/analytics/company/sh/688210/688210/detail</t>
  </si>
  <si>
    <t>狮头股份</t>
  </si>
  <si>
    <t>www.lixinger.com/analytics/company/sh/600539/600539/detail</t>
  </si>
  <si>
    <t>惠天热电</t>
  </si>
  <si>
    <t>www.lixinger.com/analytics/company/sz/000692/692/detail</t>
  </si>
  <si>
    <t>千山退</t>
  </si>
  <si>
    <t>www.lixinger.com/analytics/company/sz/300216/300216/detail</t>
  </si>
  <si>
    <t>金自天正</t>
  </si>
  <si>
    <t>www.lixinger.com/analytics/company/sh/600560/600560/detail</t>
  </si>
  <si>
    <t>*ST成城</t>
  </si>
  <si>
    <t>www.lixinger.com/analytics/company/sh/600247/600247/detail</t>
  </si>
  <si>
    <t>艾布鲁</t>
  </si>
  <si>
    <t>www.lixinger.com/analytics/company/sz/301259/301259/detail</t>
  </si>
  <si>
    <t>中路Ｂ股</t>
  </si>
  <si>
    <t>www.lixinger.com/analytics/company/sh/900915/900915/detail</t>
  </si>
  <si>
    <t>天雁B股</t>
  </si>
  <si>
    <t>www.lixinger.com/analytics/company/sh/900946/900946/detail</t>
  </si>
  <si>
    <t>丹科B股</t>
  </si>
  <si>
    <t>www.lixinger.com/analytics/company/sh/900921/900921/detail</t>
  </si>
  <si>
    <t>北纬科技</t>
  </si>
  <si>
    <t>www.lixinger.com/analytics/company/sz/002148/2148/detail</t>
  </si>
  <si>
    <t>汇丽B</t>
  </si>
  <si>
    <t>www.lixinger.com/analytics/company/sh/900939/900939/detail</t>
  </si>
  <si>
    <t>九联科技</t>
  </si>
  <si>
    <t>www.lixinger.com/analytics/company/sh/688609/688609/detail</t>
  </si>
  <si>
    <t>华平股份</t>
  </si>
  <si>
    <t>www.lixinger.com/analytics/company/sz/300074/300074/detail</t>
  </si>
  <si>
    <t>新农开发</t>
  </si>
  <si>
    <t>www.lixinger.com/analytics/company/sh/600359/600359/detail</t>
  </si>
  <si>
    <t>禾迈股份</t>
  </si>
  <si>
    <t>www.lixinger.com/analytics/company/sh/688032/688032/detail</t>
  </si>
  <si>
    <t>震裕科技</t>
  </si>
  <si>
    <t>www.lixinger.com/analytics/company/sz/300953/300953/detail</t>
  </si>
  <si>
    <t>*ST凯瑞</t>
  </si>
  <si>
    <t>www.lixinger.com/analytics/company/sz/002072/2072/detail</t>
  </si>
  <si>
    <t>天亿马</t>
  </si>
  <si>
    <t>www.lixinger.com/analytics/company/sz/301178/301178/detail</t>
  </si>
  <si>
    <t>博济医药</t>
  </si>
  <si>
    <t>www.lixinger.com/analytics/company/sz/300404/300404/detail</t>
  </si>
  <si>
    <t>退市新亿</t>
  </si>
  <si>
    <t>www.lixinger.com/analytics/company/sh/600145/600145/detail</t>
  </si>
  <si>
    <t>雷电微力</t>
  </si>
  <si>
    <t>www.lixinger.com/analytics/company/sz/301050/301050/detail</t>
  </si>
  <si>
    <t>银龙股份</t>
  </si>
  <si>
    <t>www.lixinger.com/analytics/company/sh/603969/603969/detail</t>
  </si>
  <si>
    <t>保力新</t>
  </si>
  <si>
    <t>www.lixinger.com/analytics/company/sz/300116/300116/detail</t>
  </si>
  <si>
    <t>湘财股份</t>
  </si>
  <si>
    <t>www.lixinger.com/analytics/company/sh/600095/600095/detail</t>
  </si>
  <si>
    <t>普元信息</t>
  </si>
  <si>
    <t>www.lixinger.com/analytics/company/sh/688118/688118/detail</t>
  </si>
  <si>
    <t>*ST绿庭B</t>
  </si>
  <si>
    <t>www.lixinger.com/analytics/company/sh/900919/900919/detail</t>
  </si>
  <si>
    <t>通灵股份</t>
  </si>
  <si>
    <t>www.lixinger.com/analytics/company/sz/301168/301168/detail</t>
  </si>
  <si>
    <t>退市大控</t>
  </si>
  <si>
    <t>www.lixinger.com/analytics/company/sh/600747/600747/detail</t>
  </si>
  <si>
    <t>和达科技</t>
  </si>
  <si>
    <t>www.lixinger.com/analytics/company/sh/688296/688296/detail</t>
  </si>
  <si>
    <t>明牌珠宝</t>
  </si>
  <si>
    <t>www.lixinger.com/analytics/company/sz/002574/2574/detail</t>
  </si>
  <si>
    <t>祥龙电业</t>
  </si>
  <si>
    <t>www.lixinger.com/analytics/company/sh/600769/600769/detail</t>
  </si>
  <si>
    <t>江泉实业</t>
  </si>
  <si>
    <t>www.lixinger.com/analytics/company/sh/600212/600212/detail</t>
  </si>
  <si>
    <t>有方科技</t>
  </si>
  <si>
    <t>www.lixinger.com/analytics/company/sh/688159/688159/detail</t>
  </si>
  <si>
    <t>金浦钛业</t>
  </si>
  <si>
    <t>www.lixinger.com/analytics/company/sz/000545/545/detail</t>
  </si>
  <si>
    <t>芯海科技</t>
  </si>
  <si>
    <t>www.lixinger.com/analytics/company/sh/688595/688595/detail</t>
  </si>
  <si>
    <t>海南高速</t>
  </si>
  <si>
    <t>www.lixinger.com/analytics/company/sz/000886/886/detail</t>
  </si>
  <si>
    <t>*ST丰华</t>
  </si>
  <si>
    <t>www.lixinger.com/analytics/company/sh/600615/600615/detail</t>
  </si>
  <si>
    <t>观想科技</t>
  </si>
  <si>
    <t>www.lixinger.com/analytics/company/sz/301213/301213/detail</t>
  </si>
  <si>
    <t>退市金钰</t>
  </si>
  <si>
    <t>www.lixinger.com/analytics/company/sh/600086/600086/detail</t>
  </si>
  <si>
    <t>天箭科技</t>
  </si>
  <si>
    <t>www.lixinger.com/analytics/company/sz/002977/2977/detail</t>
  </si>
  <si>
    <t>敦煌种业</t>
  </si>
  <si>
    <t>www.lixinger.com/analytics/company/sh/600354/600354/detail</t>
  </si>
  <si>
    <t>文一科技</t>
  </si>
  <si>
    <t>www.lixinger.com/analytics/company/sh/600520/600520/detail</t>
  </si>
  <si>
    <t>华信退</t>
  </si>
  <si>
    <t>www.lixinger.com/analytics/company/sz/002018/2018/detail</t>
  </si>
  <si>
    <t>金亚退</t>
  </si>
  <si>
    <t>www.lixinger.com/analytics/company/sz/300028/300028/detail</t>
  </si>
  <si>
    <t>美盛文化</t>
  </si>
  <si>
    <t>www.lixinger.com/analytics/company/sz/002699/2699/detail</t>
  </si>
  <si>
    <t>迅捷兴</t>
  </si>
  <si>
    <t>www.lixinger.com/analytics/company/sh/688655/688655/detail</t>
  </si>
  <si>
    <t>音飞储存</t>
  </si>
  <si>
    <t>www.lixinger.com/analytics/company/sh/603066/603066/detail</t>
  </si>
  <si>
    <t>甘化科工</t>
  </si>
  <si>
    <t>www.lixinger.com/analytics/company/sz/000576/576/detail</t>
  </si>
  <si>
    <t>ST起步</t>
  </si>
  <si>
    <t>www.lixinger.com/analytics/company/sh/603557/603557/detail</t>
  </si>
  <si>
    <t>中科星图</t>
  </si>
  <si>
    <t>www.lixinger.com/analytics/company/sh/688568/688568/detail</t>
  </si>
  <si>
    <t>*ST皇台</t>
  </si>
  <si>
    <t>www.lixinger.com/analytics/company/sz/000995/995/detail</t>
  </si>
  <si>
    <t>三毛B股</t>
  </si>
  <si>
    <t>www.lixinger.com/analytics/company/sh/900922/900922/detail</t>
  </si>
  <si>
    <t>海欣Ｂ股</t>
  </si>
  <si>
    <t>www.lixinger.com/analytics/company/sh/900917/900917/detail</t>
  </si>
  <si>
    <t>*ST海创B</t>
  </si>
  <si>
    <t>www.lixinger.com/analytics/company/sh/900955/900955/detail</t>
  </si>
  <si>
    <t>*ST园城</t>
  </si>
  <si>
    <t>www.lixinger.com/analytics/company/sh/600766/600766/detail</t>
  </si>
  <si>
    <t>华康医疗</t>
  </si>
  <si>
    <t>www.lixinger.com/analytics/company/sz/301235/301235/detail</t>
  </si>
  <si>
    <t>中水渔业</t>
  </si>
  <si>
    <t>www.lixinger.com/analytics/company/sz/000798/798/detail</t>
  </si>
  <si>
    <t>*ST香梨</t>
  </si>
  <si>
    <t>www.lixinger.com/analytics/company/sh/600506/600506/detail</t>
  </si>
  <si>
    <t>林海股份</t>
  </si>
  <si>
    <t>www.lixinger.com/analytics/company/sh/600099/600099/detail</t>
  </si>
  <si>
    <t>天茂退</t>
  </si>
  <si>
    <t>www.lixinger.com/analytics/company/sz/002509/2509/detail</t>
  </si>
  <si>
    <t>当虹科技</t>
  </si>
  <si>
    <t>www.lixinger.com/analytics/company/sh/688039/688039/detail</t>
  </si>
  <si>
    <t>安达维尔</t>
  </si>
  <si>
    <t>www.lixinger.com/analytics/company/sz/300719/300719/detail</t>
  </si>
  <si>
    <t>中科信息</t>
  </si>
  <si>
    <t>www.lixinger.com/analytics/company/sz/300678/300678/detail</t>
  </si>
  <si>
    <t>方大集团</t>
  </si>
  <si>
    <t>www.lixinger.com/analytics/company/sz/000055/55/detail</t>
  </si>
  <si>
    <t>思瑞浦</t>
  </si>
  <si>
    <t>www.lixinger.com/analytics/company/sh/688536/688536/detail</t>
  </si>
  <si>
    <t>线上线下</t>
  </si>
  <si>
    <t>www.lixinger.com/analytics/company/sz/300959/300959/detail</t>
  </si>
  <si>
    <t>国发股份</t>
  </si>
  <si>
    <t>www.lixinger.com/analytics/company/sh/600538/600538/detail</t>
  </si>
  <si>
    <t>博创科技</t>
  </si>
  <si>
    <t>www.lixinger.com/analytics/company/sz/300548/300548/detail</t>
  </si>
  <si>
    <t>北大医药</t>
  </si>
  <si>
    <t>www.lixinger.com/analytics/company/sz/000788/788/detail</t>
  </si>
  <si>
    <t>上海瀚讯</t>
  </si>
  <si>
    <t>www.lixinger.com/analytics/company/sz/300762/300762/detail</t>
  </si>
  <si>
    <t>方大Ｂ</t>
  </si>
  <si>
    <t>www.lixinger.com/analytics/company/sz/200055/200055/detail</t>
  </si>
  <si>
    <t>金博股份</t>
  </si>
  <si>
    <t>www.lixinger.com/analytics/company/sh/688598/688598/detail</t>
  </si>
  <si>
    <t>品高股份</t>
  </si>
  <si>
    <t>www.lixinger.com/analytics/company/sh/688227/688227/detail</t>
  </si>
  <si>
    <t>*ST华塑</t>
  </si>
  <si>
    <t>www.lixinger.com/analytics/company/sz/000509/509/detail</t>
  </si>
  <si>
    <t>亚太实业</t>
  </si>
  <si>
    <t>www.lixinger.com/analytics/company/sz/000691/691/detail</t>
  </si>
  <si>
    <t>同达创业</t>
  </si>
  <si>
    <t>www.lixinger.com/analytics/company/sh/600647/600647/detail</t>
  </si>
  <si>
    <t>*ST厦华</t>
  </si>
  <si>
    <t>www.lixinger.com/analytics/company/sh/600870/600870/detail</t>
  </si>
  <si>
    <t>*ST百花</t>
  </si>
  <si>
    <t>www.lixinger.com/analytics/company/sh/600721/600721/detail</t>
  </si>
  <si>
    <t>*ST威尔</t>
  </si>
  <si>
    <t>www.lixinger.com/analytics/company/sz/002058/2058/detail</t>
  </si>
  <si>
    <t>博闻科技</t>
  </si>
  <si>
    <t>www.lixinger.com/analytics/company/sh/600883/600883/detail</t>
  </si>
  <si>
    <t>华中数控</t>
  </si>
  <si>
    <t>www.lixinger.com/analytics/company/sz/300161/300161/detail</t>
  </si>
  <si>
    <t>广联航空</t>
  </si>
  <si>
    <t>www.lixinger.com/analytics/company/sz/300900/300900/detail</t>
  </si>
  <si>
    <t>三六五网</t>
  </si>
  <si>
    <t>www.lixinger.com/analytics/company/sz/300295/300295/detail</t>
  </si>
  <si>
    <t>*ST巴士</t>
  </si>
  <si>
    <t>www.lixinger.com/analytics/company/sz/002188/2188/detail</t>
  </si>
  <si>
    <t>大连友谊</t>
  </si>
  <si>
    <t>www.lixinger.com/analytics/company/sz/000679/679/detail</t>
  </si>
  <si>
    <t>派生科技</t>
  </si>
  <si>
    <t>www.lixinger.com/analytics/company/sz/300176/300176/detail</t>
  </si>
  <si>
    <t>*ST绿庭</t>
  </si>
  <si>
    <t>www.lixinger.com/analytics/company/sh/600695/600695/detail</t>
  </si>
  <si>
    <t>金现代</t>
  </si>
  <si>
    <t>www.lixinger.com/analytics/company/sz/300830/300830/detail</t>
  </si>
  <si>
    <t>康强电子</t>
  </si>
  <si>
    <t>www.lixinger.com/analytics/company/sz/002119/2119/detail</t>
  </si>
  <si>
    <t>天翔退</t>
  </si>
  <si>
    <t>www.lixinger.com/analytics/company/sz/300362/300362/detail</t>
  </si>
  <si>
    <t>上海九百</t>
  </si>
  <si>
    <t>www.lixinger.com/analytics/company/sh/600838/600838/detail</t>
  </si>
  <si>
    <t>长动退</t>
  </si>
  <si>
    <t>www.lixinger.com/analytics/company/sz/000835/835/detail</t>
  </si>
  <si>
    <t>汉邦高科</t>
  </si>
  <si>
    <t>www.lixinger.com/analytics/company/sz/300449/300449/detail</t>
  </si>
  <si>
    <t>天准科技</t>
  </si>
  <si>
    <t>www.lixinger.com/analytics/company/sh/688003/688003/detail</t>
  </si>
  <si>
    <t>豪森股份</t>
  </si>
  <si>
    <t>www.lixinger.com/analytics/company/sh/688529/688529/detail</t>
  </si>
  <si>
    <t>有研粉材</t>
  </si>
  <si>
    <t>www.lixinger.com/analytics/company/sh/688456/688456/detail</t>
  </si>
  <si>
    <t>开尔新材</t>
  </si>
  <si>
    <t>www.lixinger.com/analytics/company/sz/300234/300234/detail</t>
  </si>
  <si>
    <t>通合科技</t>
  </si>
  <si>
    <t>www.lixinger.com/analytics/company/sz/300491/300491/detail</t>
  </si>
  <si>
    <t>联环药业</t>
  </si>
  <si>
    <t>www.lixinger.com/analytics/company/sh/600513/600513/detail</t>
  </si>
  <si>
    <t>欢瑞世纪</t>
  </si>
  <si>
    <t>www.lixinger.com/analytics/company/sz/000892/892/detail</t>
  </si>
  <si>
    <t>汇金通</t>
  </si>
  <si>
    <t>www.lixinger.com/analytics/company/sh/603577/603577/detail</t>
  </si>
  <si>
    <t>海优新材</t>
  </si>
  <si>
    <t>www.lixinger.com/analytics/company/sh/688680/688680/detail</t>
  </si>
  <si>
    <t>福建金森</t>
  </si>
  <si>
    <t>www.lixinger.com/analytics/company/sz/002679/2679/detail</t>
  </si>
  <si>
    <t>英集芯</t>
  </si>
  <si>
    <t>www.lixinger.com/analytics/company/sh/688209/688209/detail</t>
  </si>
  <si>
    <t>每日互动</t>
  </si>
  <si>
    <t>www.lixinger.com/analytics/company/sz/300766/300766/detail</t>
  </si>
  <si>
    <t>GQY视讯</t>
  </si>
  <si>
    <t>www.lixinger.com/analytics/company/sz/300076/300076/detail</t>
  </si>
  <si>
    <t>*ST华资</t>
  </si>
  <si>
    <t>www.lixinger.com/analytics/company/sh/600191/600191/detail</t>
  </si>
  <si>
    <t>河化股份</t>
  </si>
  <si>
    <t>www.lixinger.com/analytics/company/sz/000953/953/detail</t>
  </si>
  <si>
    <t>瀚川智能</t>
  </si>
  <si>
    <t>www.lixinger.com/analytics/company/sh/688022/688022/detail</t>
  </si>
  <si>
    <t>廊坊发展</t>
  </si>
  <si>
    <t>www.lixinger.com/analytics/company/sh/600149/600149/detail</t>
  </si>
  <si>
    <t>佰奥智能</t>
  </si>
  <si>
    <t>www.lixinger.com/analytics/company/sz/300836/300836/detail</t>
  </si>
  <si>
    <t>*ST天龙</t>
  </si>
  <si>
    <t>www.lixinger.com/analytics/company/sz/300029/300029/detail</t>
  </si>
  <si>
    <t>锦旅Ｂ股</t>
  </si>
  <si>
    <t>www.lixinger.com/analytics/company/sh/900929/900929/detail</t>
  </si>
  <si>
    <t>*ST绿景</t>
  </si>
  <si>
    <t>www.lixinger.com/analytics/company/sz/000502/502/detail</t>
  </si>
  <si>
    <t>大为股份</t>
  </si>
  <si>
    <t>www.lixinger.com/analytics/company/sz/002213/2213/detail</t>
  </si>
  <si>
    <t>ST步森</t>
  </si>
  <si>
    <t>www.lixinger.com/analytics/company/sz/002569/2569/detail</t>
  </si>
  <si>
    <t>青海华鼎</t>
  </si>
  <si>
    <t>www.lixinger.com/analytics/company/sh/600243/600243/detail</t>
  </si>
  <si>
    <t>神力股份</t>
  </si>
  <si>
    <t>www.lixinger.com/analytics/company/sh/603819/603819/detail</t>
  </si>
  <si>
    <t>*ST昌鱼</t>
  </si>
  <si>
    <t>www.lixinger.com/analytics/company/sh/600275/600275/detail</t>
  </si>
  <si>
    <t>壹石通</t>
  </si>
  <si>
    <t>www.lixinger.com/analytics/company/sh/688733/688733/detail</t>
  </si>
  <si>
    <t>臻镭科技</t>
  </si>
  <si>
    <t>www.lixinger.com/analytics/company/sh/688270/688270/detail</t>
  </si>
  <si>
    <t>退市刚泰</t>
  </si>
  <si>
    <t>www.lixinger.com/analytics/company/sh/600687/600687/detail</t>
  </si>
  <si>
    <t>ST文化</t>
  </si>
  <si>
    <t>www.lixinger.com/analytics/company/sz/300089/300089/detail</t>
  </si>
  <si>
    <t>晓程科技</t>
  </si>
  <si>
    <t>www.lixinger.com/analytics/company/sz/300139/300139/detail</t>
  </si>
  <si>
    <t>永贵电器</t>
  </si>
  <si>
    <t>www.lixinger.com/analytics/company/sz/300351/300351/detail</t>
  </si>
  <si>
    <t>ST天马</t>
  </si>
  <si>
    <t>www.lixinger.com/analytics/company/sz/002122/2122/detail</t>
  </si>
  <si>
    <t>深中华A</t>
  </si>
  <si>
    <t>www.lixinger.com/analytics/company/sz/000017/17/detail</t>
  </si>
  <si>
    <t>天际股份</t>
  </si>
  <si>
    <t>www.lixinger.com/analytics/company/sz/002759/2759/detail</t>
  </si>
  <si>
    <t>宁波富邦</t>
  </si>
  <si>
    <t>www.lixinger.com/analytics/company/sh/600768/600768/detail</t>
  </si>
  <si>
    <t>兰州黄河</t>
  </si>
  <si>
    <t>www.lixinger.com/analytics/company/sz/000929/929/detail</t>
  </si>
  <si>
    <t>中国中期</t>
  </si>
  <si>
    <t>www.lixinger.com/analytics/company/sz/000996/996/detail</t>
  </si>
  <si>
    <t>科创信息</t>
  </si>
  <si>
    <t>www.lixinger.com/analytics/company/sz/300730/300730/detail</t>
  </si>
  <si>
    <t>维维股份</t>
  </si>
  <si>
    <t>www.lixinger.com/analytics/company/sh/600300/600300/detail</t>
  </si>
  <si>
    <t>汇源通信</t>
  </si>
  <si>
    <t>www.lixinger.com/analytics/company/sz/000586/586/detail</t>
  </si>
  <si>
    <t>金埔园林</t>
  </si>
  <si>
    <t>www.lixinger.com/analytics/company/sz/301098/301098/detail</t>
  </si>
  <si>
    <t>深中华B</t>
  </si>
  <si>
    <t>www.lixinger.com/analytics/company/sz/200017/200017/detail</t>
  </si>
  <si>
    <t>云维股份</t>
  </si>
  <si>
    <t>www.lixinger.com/analytics/company/sh/600725/600725/detail</t>
  </si>
  <si>
    <t>国华网安</t>
  </si>
  <si>
    <t>www.lixinger.com/analytics/company/sz/000004/4/detail</t>
  </si>
  <si>
    <t>芯碁微装</t>
  </si>
  <si>
    <t>www.lixinger.com/analytics/company/sh/688630/688630/detail</t>
  </si>
  <si>
    <t>同有科技</t>
  </si>
  <si>
    <t>www.lixinger.com/analytics/company/sz/300302/300302/detail</t>
  </si>
  <si>
    <t>菱电电控</t>
  </si>
  <si>
    <t>www.lixinger.com/analytics/company/sh/688667/688667/detail</t>
  </si>
  <si>
    <t>天宸股份</t>
  </si>
  <si>
    <t>www.lixinger.com/analytics/company/sh/600620/600620/detail</t>
  </si>
  <si>
    <t>吴通控股</t>
  </si>
  <si>
    <t>www.lixinger.com/analytics/company/sz/300292/300292/detail</t>
  </si>
  <si>
    <t>新致软件</t>
  </si>
  <si>
    <t>www.lixinger.com/analytics/company/sh/688590/688590/detail</t>
  </si>
  <si>
    <t>中科云网</t>
  </si>
  <si>
    <t>www.lixinger.com/analytics/company/sz/002306/2306/detail</t>
  </si>
  <si>
    <t>华依科技</t>
  </si>
  <si>
    <t>www.lixinger.com/analytics/company/sh/688071/688071/detail</t>
  </si>
  <si>
    <t>*ST达志</t>
  </si>
  <si>
    <t>www.lixinger.com/analytics/company/sz/300530/300530/detail</t>
  </si>
  <si>
    <t>滨海能源</t>
  </si>
  <si>
    <t>www.lixinger.com/analytics/company/sz/000695/695/detail</t>
  </si>
  <si>
    <t>*ST华昌</t>
  </si>
  <si>
    <t>www.lixinger.com/analytics/company/sz/300278/300278/detail</t>
  </si>
  <si>
    <t>江龙船艇</t>
  </si>
  <si>
    <t>www.lixinger.com/analytics/company/sz/300589/300589/detail</t>
  </si>
  <si>
    <t>科大智能</t>
  </si>
  <si>
    <t>www.lixinger.com/analytics/company/sz/300222/300222/detail</t>
  </si>
  <si>
    <t>*ST德奥</t>
  </si>
  <si>
    <t>www.lixinger.com/analytics/company/sz/002260/2260/detail</t>
  </si>
  <si>
    <t>科信技术</t>
  </si>
  <si>
    <t>www.lixinger.com/analytics/company/sz/300565/300565/detail</t>
  </si>
  <si>
    <t>天赐材料</t>
  </si>
  <si>
    <t>www.lixinger.com/analytics/company/sz/002709/2709/detail</t>
  </si>
  <si>
    <t>航天工程</t>
  </si>
  <si>
    <t>www.lixinger.com/analytics/company/sh/603698/603698/detail</t>
  </si>
  <si>
    <t>亚通股份</t>
  </si>
  <si>
    <t>www.lixinger.com/analytics/company/sh/600692/600692/detail</t>
  </si>
  <si>
    <t>全柴动力</t>
  </si>
  <si>
    <t>www.lixinger.com/analytics/company/sh/600218/600218/detail</t>
  </si>
  <si>
    <t>海欣食品</t>
  </si>
  <si>
    <t>www.lixinger.com/analytics/company/sz/002702/2702/detail</t>
  </si>
  <si>
    <t>*ST罗顿</t>
  </si>
  <si>
    <t>www.lixinger.com/analytics/company/sh/600209/600209/detail</t>
  </si>
  <si>
    <t>振华新材</t>
  </si>
  <si>
    <t>www.lixinger.com/analytics/company/sh/688707/688707/detail</t>
  </si>
  <si>
    <t>*ST景谷</t>
  </si>
  <si>
    <t>www.lixinger.com/analytics/company/sh/600265/600265/detail</t>
  </si>
  <si>
    <t>诚迈科技</t>
  </si>
  <si>
    <t>www.lixinger.com/analytics/company/sz/300598/300598/detail</t>
  </si>
  <si>
    <t>苏常柴Ａ</t>
  </si>
  <si>
    <t>www.lixinger.com/analytics/company/sz/000570/570/detail</t>
  </si>
  <si>
    <t>亚振家居</t>
  </si>
  <si>
    <t>www.lixinger.com/analytics/company/sh/603389/603389/detail</t>
  </si>
  <si>
    <t>金桥信息</t>
  </si>
  <si>
    <t>www.lixinger.com/analytics/company/sh/603918/603918/detail</t>
  </si>
  <si>
    <t>天阳科技</t>
  </si>
  <si>
    <t>www.lixinger.com/analytics/company/sz/300872/300872/detail</t>
  </si>
  <si>
    <t>鲁银投资</t>
  </si>
  <si>
    <t>www.lixinger.com/analytics/company/sh/600784/600784/detail</t>
  </si>
  <si>
    <t>中富通</t>
  </si>
  <si>
    <t>www.lixinger.com/analytics/company/sz/300560/300560/detail</t>
  </si>
  <si>
    <t>精功科技</t>
  </si>
  <si>
    <t>www.lixinger.com/analytics/company/sz/002006/2006/detail</t>
  </si>
  <si>
    <t>远望谷</t>
  </si>
  <si>
    <t>www.lixinger.com/analytics/company/sz/002161/2161/detail</t>
  </si>
  <si>
    <t>退市大化</t>
  </si>
  <si>
    <t>www.lixinger.com/analytics/company/sh/900951/900951/detail</t>
  </si>
  <si>
    <t>拓荆科技</t>
  </si>
  <si>
    <t>www.lixinger.com/analytics/company/sh/688072/688072/detail</t>
  </si>
  <si>
    <t>天利科技</t>
  </si>
  <si>
    <t>www.lixinger.com/analytics/company/sz/300399/300399/detail</t>
  </si>
  <si>
    <t>星辉环材</t>
  </si>
  <si>
    <t>www.lixinger.com/analytics/company/sz/300834/300834/detail</t>
  </si>
  <si>
    <t>*ST博信</t>
  </si>
  <si>
    <t>www.lixinger.com/analytics/company/sh/600083/600083/detail</t>
  </si>
  <si>
    <t>苏常柴Ｂ</t>
  </si>
  <si>
    <t>www.lixinger.com/analytics/company/sz/200570/200570/detail</t>
  </si>
  <si>
    <t>海鸥股份</t>
  </si>
  <si>
    <t>www.lixinger.com/analytics/company/sh/603269/603269/detail</t>
  </si>
  <si>
    <t>宜宾纸业</t>
  </si>
  <si>
    <t>www.lixinger.com/analytics/company/sh/600793/600793/detail</t>
  </si>
  <si>
    <t>蓝英装备</t>
  </si>
  <si>
    <t>www.lixinger.com/analytics/company/sz/300293/300293/detail</t>
  </si>
  <si>
    <t>宇晶股份</t>
  </si>
  <si>
    <t>www.lixinger.com/analytics/company/sz/002943/2943/detail</t>
  </si>
  <si>
    <t>和元生物</t>
  </si>
  <si>
    <t>www.lixinger.com/analytics/company/sh/688238/688238/detail</t>
  </si>
  <si>
    <t>科蓝软件</t>
  </si>
  <si>
    <t>www.lixinger.com/analytics/company/sz/300663/300663/detail</t>
  </si>
  <si>
    <t>广大特材</t>
  </si>
  <si>
    <t>www.lixinger.com/analytics/company/sh/688186/688186/detail</t>
  </si>
  <si>
    <t>上海谊众</t>
  </si>
  <si>
    <t>www.lixinger.com/analytics/company/sh/688091/688091/detail</t>
  </si>
  <si>
    <t>云鼎科技</t>
  </si>
  <si>
    <t>www.lixinger.com/analytics/company/sz/000409/409/detail</t>
  </si>
  <si>
    <t>中国高科</t>
  </si>
  <si>
    <t>www.lixinger.com/analytics/company/sh/600730/600730/detail</t>
  </si>
  <si>
    <t>天晟新材</t>
  </si>
  <si>
    <t>www.lixinger.com/analytics/company/sz/300169/300169/detail</t>
  </si>
  <si>
    <t>晨光生物</t>
  </si>
  <si>
    <t>www.lixinger.com/analytics/company/sz/300138/300138/detail</t>
  </si>
  <si>
    <t>东方中科</t>
  </si>
  <si>
    <t>www.lixinger.com/analytics/company/sz/002819/2819/detail</t>
  </si>
  <si>
    <t>美芝股份</t>
  </si>
  <si>
    <t>www.lixinger.com/analytics/company/sz/002856/2856/detail</t>
  </si>
  <si>
    <t>微芯生物</t>
  </si>
  <si>
    <t>www.lixinger.com/analytics/company/sh/688321/688321/detail</t>
  </si>
  <si>
    <t>炬光科技</t>
  </si>
  <si>
    <t>www.lixinger.com/analytics/company/sh/688167/688167/detail</t>
  </si>
  <si>
    <t>退市锐电</t>
  </si>
  <si>
    <t>www.lixinger.com/analytics/company/sh/601558/601558/detail</t>
  </si>
  <si>
    <t>冀凯股份</t>
  </si>
  <si>
    <t>www.lixinger.com/analytics/company/sz/002691/2691/detail</t>
  </si>
  <si>
    <t>上海三毛</t>
  </si>
  <si>
    <t>www.lixinger.com/analytics/company/sh/600689/600689/detail</t>
  </si>
  <si>
    <t>华秦科技</t>
  </si>
  <si>
    <t>www.lixinger.com/analytics/company/sh/688281/688281/detail</t>
  </si>
  <si>
    <t>信息发展</t>
  </si>
  <si>
    <t>www.lixinger.com/analytics/company/sz/300469/300469/detail</t>
  </si>
  <si>
    <t>亚邦股份</t>
  </si>
  <si>
    <t>www.lixinger.com/analytics/company/sh/603188/603188/detail</t>
  </si>
  <si>
    <t>*ST盈方</t>
  </si>
  <si>
    <t>www.lixinger.com/analytics/company/sz/000670/670/detail</t>
  </si>
  <si>
    <t>海欣股份</t>
  </si>
  <si>
    <t>www.lixinger.com/analytics/company/sh/600851/600851/detail</t>
  </si>
  <si>
    <t>天龙集团</t>
  </si>
  <si>
    <t>www.lixinger.com/analytics/company/sz/300063/300063/detail</t>
  </si>
  <si>
    <t>岩石股份</t>
  </si>
  <si>
    <t>www.lixinger.com/analytics/company/sh/600696/600696/detail</t>
  </si>
  <si>
    <t>*ST中房</t>
  </si>
  <si>
    <t>www.lixinger.com/analytics/company/sh/600890/600890/detail</t>
  </si>
  <si>
    <t>哈空调</t>
  </si>
  <si>
    <t>www.lixinger.com/analytics/company/sh/600202/600202/detail</t>
  </si>
  <si>
    <t>欣龙控股</t>
  </si>
  <si>
    <t>www.lixinger.com/analytics/company/sz/000955/955/detail</t>
  </si>
  <si>
    <t>*ST海创</t>
  </si>
  <si>
    <t>www.lixinger.com/analytics/company/sh/600555/600555/detail</t>
  </si>
  <si>
    <t>钧达股份</t>
  </si>
  <si>
    <t>www.lixinger.com/analytics/company/sz/002865/2865/detail</t>
  </si>
  <si>
    <t>同和药业</t>
  </si>
  <si>
    <t>www.lixinger.com/analytics/company/sz/300636/300636/detail</t>
  </si>
  <si>
    <t>青达环保</t>
  </si>
  <si>
    <t>www.lixinger.com/analytics/company/sh/688501/688501/detail</t>
  </si>
  <si>
    <t>广信材料</t>
  </si>
  <si>
    <t>www.lixinger.com/analytics/company/sz/300537/300537/detail</t>
  </si>
  <si>
    <t>融捷股份</t>
  </si>
  <si>
    <t>www.lixinger.com/analytics/company/sz/002192/2192/detail</t>
  </si>
  <si>
    <t>国睿科技</t>
  </si>
  <si>
    <t>www.lixinger.com/analytics/company/sh/600562/600562/detail</t>
  </si>
  <si>
    <t>乾景园林</t>
  </si>
  <si>
    <t>www.lixinger.com/analytics/company/sh/603778/603778/detail</t>
  </si>
  <si>
    <t>卓锦股份</t>
  </si>
  <si>
    <t>www.lixinger.com/analytics/company/sh/688701/688701/detail</t>
  </si>
  <si>
    <t>杰赛科技</t>
  </si>
  <si>
    <t>www.lixinger.com/analytics/company/sz/002544/2544/detail</t>
  </si>
  <si>
    <t>劲拓股份</t>
  </si>
  <si>
    <t>www.lixinger.com/analytics/company/sz/300400/300400/detail</t>
  </si>
  <si>
    <t>*ST全新</t>
  </si>
  <si>
    <t>www.lixinger.com/analytics/company/sz/000007/7/detail</t>
  </si>
  <si>
    <t>泰坦科技</t>
  </si>
  <si>
    <t>www.lixinger.com/analytics/company/sh/688133/688133/detail</t>
  </si>
  <si>
    <t>中信国安</t>
  </si>
  <si>
    <t>www.lixinger.com/analytics/company/sz/000839/839/detail</t>
  </si>
  <si>
    <t>昊志机电</t>
  </si>
  <si>
    <t>www.lixinger.com/analytics/company/sz/300503/300503/detail</t>
  </si>
  <si>
    <t>ST弘高</t>
  </si>
  <si>
    <t>www.lixinger.com/analytics/company/sz/002504/2504/detail</t>
  </si>
  <si>
    <t>创意信息</t>
  </si>
  <si>
    <t>www.lixinger.com/analytics/company/sz/300366/300366/detail</t>
  </si>
  <si>
    <t>丰元股份</t>
  </si>
  <si>
    <t>www.lixinger.com/analytics/company/sz/002805/2805/detail</t>
  </si>
  <si>
    <t>爱迪尔</t>
  </si>
  <si>
    <t>www.lixinger.com/analytics/company/sz/002740/2740/detail</t>
  </si>
  <si>
    <t>西安饮食</t>
  </si>
  <si>
    <t>www.lixinger.com/analytics/company/sz/000721/721/detail</t>
  </si>
  <si>
    <t>国际医学</t>
  </si>
  <si>
    <t>www.lixinger.com/analytics/company/sz/000516/516/detail</t>
  </si>
  <si>
    <t>天顺股份</t>
  </si>
  <si>
    <t>www.lixinger.com/analytics/company/sz/002800/2800/detail</t>
  </si>
  <si>
    <t>ST天山</t>
  </si>
  <si>
    <t>www.lixinger.com/analytics/company/sz/300313/300313/detail</t>
  </si>
  <si>
    <t>威奥股份</t>
  </si>
  <si>
    <t>www.lixinger.com/analytics/company/sh/605001/605001/detail</t>
  </si>
  <si>
    <t>岱勒新材</t>
  </si>
  <si>
    <t>www.lixinger.com/analytics/company/sz/300700/300700/detail</t>
  </si>
  <si>
    <t>恒锋信息</t>
  </si>
  <si>
    <t>www.lixinger.com/analytics/company/sz/300605/300605/detail</t>
  </si>
  <si>
    <t>江苏北人</t>
  </si>
  <si>
    <t>www.lixinger.com/analytics/company/sh/688218/688218/detail</t>
  </si>
  <si>
    <t>博晖创新</t>
  </si>
  <si>
    <t>www.lixinger.com/analytics/company/sz/300318/300318/detail</t>
  </si>
  <si>
    <t>永东股份</t>
  </si>
  <si>
    <t>www.lixinger.com/analytics/company/sz/002753/2753/detail</t>
  </si>
  <si>
    <t>华丽家族</t>
  </si>
  <si>
    <t>www.lixinger.com/analytics/company/sh/600503/600503/detail</t>
  </si>
  <si>
    <t>大众Ｂ股</t>
  </si>
  <si>
    <t>www.lixinger.com/analytics/company/sh/900903/900903/detail</t>
  </si>
  <si>
    <t>富满微</t>
  </si>
  <si>
    <t>www.lixinger.com/analytics/company/sz/300671/300671/detail</t>
  </si>
  <si>
    <t>读者传媒</t>
  </si>
  <si>
    <t>www.lixinger.com/analytics/company/sh/603999/603999/detail</t>
  </si>
  <si>
    <t>晨曦航空</t>
  </si>
  <si>
    <t>www.lixinger.com/analytics/company/sz/300581/300581/detail</t>
  </si>
  <si>
    <t>*ST南化</t>
  </si>
  <si>
    <t>www.lixinger.com/analytics/company/sh/600301/600301/detail</t>
  </si>
  <si>
    <t>毅昌科技</t>
  </si>
  <si>
    <t>www.lixinger.com/analytics/company/sz/002420/2420/detail</t>
  </si>
  <si>
    <t>*ST沈机</t>
  </si>
  <si>
    <t>www.lixinger.com/analytics/company/sz/000410/410/detail</t>
  </si>
  <si>
    <t>希荻微</t>
  </si>
  <si>
    <t>www.lixinger.com/analytics/company/sh/688173/688173/detail</t>
  </si>
  <si>
    <t>远大智能</t>
  </si>
  <si>
    <t>www.lixinger.com/analytics/company/sz/002689/2689/detail</t>
  </si>
  <si>
    <t>合富中国</t>
  </si>
  <si>
    <t>www.lixinger.com/analytics/company/sh/603122/603122/detail</t>
  </si>
  <si>
    <t>博云新材</t>
  </si>
  <si>
    <t>www.lixinger.com/analytics/company/sz/002297/2297/detail</t>
  </si>
  <si>
    <t>罗牛山</t>
  </si>
  <si>
    <t>www.lixinger.com/analytics/company/sz/000735/735/detail</t>
  </si>
  <si>
    <t>复洁环保</t>
  </si>
  <si>
    <t>www.lixinger.com/analytics/company/sh/688335/688335/detail</t>
  </si>
  <si>
    <t>三变科技</t>
  </si>
  <si>
    <t>www.lixinger.com/analytics/company/sz/002112/2112/detail</t>
  </si>
  <si>
    <t>海兰信</t>
  </si>
  <si>
    <t>www.lixinger.com/analytics/company/sz/300065/300065/detail</t>
  </si>
  <si>
    <t>*ST游久</t>
  </si>
  <si>
    <t>www.lixinger.com/analytics/company/sh/600652/600652/detail</t>
  </si>
  <si>
    <t>山东玻纤</t>
  </si>
  <si>
    <t>www.lixinger.com/analytics/company/sh/605006/605006/detail</t>
  </si>
  <si>
    <t>西安旅游</t>
  </si>
  <si>
    <t>www.lixinger.com/analytics/company/sz/000610/610/detail</t>
  </si>
  <si>
    <t>东宝生物</t>
  </si>
  <si>
    <t>www.lixinger.com/analytics/company/sz/300239/300239/detail</t>
  </si>
  <si>
    <t>*ST同洲</t>
  </si>
  <si>
    <t>www.lixinger.com/analytics/company/sz/002052/2052/detail</t>
  </si>
  <si>
    <t>欧林生物</t>
  </si>
  <si>
    <t>www.lixinger.com/analytics/company/sh/688319/688319/detail</t>
  </si>
  <si>
    <t>*ST中葡</t>
  </si>
  <si>
    <t>www.lixinger.com/analytics/company/sh/600084/600084/detail</t>
  </si>
  <si>
    <t>市北B股</t>
  </si>
  <si>
    <t>www.lixinger.com/analytics/company/sh/900902/900902/detail</t>
  </si>
  <si>
    <t>*ST运盛</t>
  </si>
  <si>
    <t>www.lixinger.com/analytics/company/sh/600767/600767/detail</t>
  </si>
  <si>
    <t>国旅联合</t>
  </si>
  <si>
    <t>www.lixinger.com/analytics/company/sh/600358/600358/detail</t>
  </si>
  <si>
    <t>海伦钢琴</t>
  </si>
  <si>
    <t>www.lixinger.com/analytics/company/sz/300329/300329/detail</t>
  </si>
  <si>
    <t>振芯科技</t>
  </si>
  <si>
    <t>www.lixinger.com/analytics/company/sz/300101/300101/detail</t>
  </si>
  <si>
    <t>志特新材</t>
  </si>
  <si>
    <t>www.lixinger.com/analytics/company/sz/300986/300986/detail</t>
  </si>
  <si>
    <t>长川科技</t>
  </si>
  <si>
    <t>www.lixinger.com/analytics/company/sz/300604/300604/detail</t>
  </si>
  <si>
    <t>中广天择</t>
  </si>
  <si>
    <t>www.lixinger.com/analytics/company/sh/603721/603721/detail</t>
  </si>
  <si>
    <t>三夫户外</t>
  </si>
  <si>
    <t>www.lixinger.com/analytics/company/sz/002780/2780/detail</t>
  </si>
  <si>
    <t>达意隆</t>
  </si>
  <si>
    <t>www.lixinger.com/analytics/company/sz/002209/2209/detail</t>
  </si>
  <si>
    <t>大叶股份</t>
  </si>
  <si>
    <t>www.lixinger.com/analytics/company/sz/300879/300879/detail</t>
  </si>
  <si>
    <t>蓝海华腾</t>
  </si>
  <si>
    <t>www.lixinger.com/analytics/company/sz/300484/300484/detail</t>
  </si>
  <si>
    <t>九安医疗</t>
  </si>
  <si>
    <t>www.lixinger.com/analytics/company/sz/002432/2432/detail</t>
  </si>
  <si>
    <t>茂化实华</t>
  </si>
  <si>
    <t>www.lixinger.com/analytics/company/sz/000637/637/detail</t>
  </si>
  <si>
    <t>森远股份</t>
  </si>
  <si>
    <t>www.lixinger.com/analytics/company/sz/300210/300210/detail</t>
  </si>
  <si>
    <t>恒宝股份</t>
  </si>
  <si>
    <t>www.lixinger.com/analytics/company/sz/002104/2104/detail</t>
  </si>
  <si>
    <t>博迈科</t>
  </si>
  <si>
    <t>www.lixinger.com/analytics/company/sh/603727/603727/detail</t>
  </si>
  <si>
    <t>杭州高新</t>
  </si>
  <si>
    <t>www.lixinger.com/analytics/company/sz/300478/300478/detail</t>
  </si>
  <si>
    <t>辰安科技</t>
  </si>
  <si>
    <t>www.lixinger.com/analytics/company/sz/300523/300523/detail</t>
  </si>
  <si>
    <t>重庆路桥</t>
  </si>
  <si>
    <t>www.lixinger.com/analytics/company/sh/600106/600106/detail</t>
  </si>
  <si>
    <t>南纺股份</t>
  </si>
  <si>
    <t>www.lixinger.com/analytics/company/sh/600250/600250/detail</t>
  </si>
  <si>
    <t>瑞和股份</t>
  </si>
  <si>
    <t>www.lixinger.com/analytics/company/sz/002620/2620/detail</t>
  </si>
  <si>
    <t>安奈儿</t>
  </si>
  <si>
    <t>www.lixinger.com/analytics/company/sz/002875/2875/detail</t>
  </si>
  <si>
    <t>凯伦股份</t>
  </si>
  <si>
    <t>www.lixinger.com/analytics/company/sz/300715/300715/detail</t>
  </si>
  <si>
    <t>赛隆药业</t>
  </si>
  <si>
    <t>www.lixinger.com/analytics/company/sz/002898/2898/detail</t>
  </si>
  <si>
    <t>恒泰艾普</t>
  </si>
  <si>
    <t>www.lixinger.com/analytics/company/sz/300157/300157/detail</t>
  </si>
  <si>
    <t>蓝晓科技</t>
  </si>
  <si>
    <t>www.lixinger.com/analytics/company/sz/300487/300487/detail</t>
  </si>
  <si>
    <t>新日恒力</t>
  </si>
  <si>
    <t>www.lixinger.com/analytics/company/sh/600165/600165/detail</t>
  </si>
  <si>
    <t>绿色动力</t>
  </si>
  <si>
    <t>www.lixinger.com/analytics/company/sh/601330/601330/detail</t>
  </si>
  <si>
    <t>丽尚国潮</t>
  </si>
  <si>
    <t>www.lixinger.com/analytics/company/sh/600738/600738/detail</t>
  </si>
  <si>
    <t>欣锐科技</t>
  </si>
  <si>
    <t>www.lixinger.com/analytics/company/sz/300745/300745/detail</t>
  </si>
  <si>
    <t>新泉股份</t>
  </si>
  <si>
    <t>www.lixinger.com/analytics/company/sh/603179/603179/detail</t>
  </si>
  <si>
    <t>*ST节能</t>
  </si>
  <si>
    <t>www.lixinger.com/analytics/company/sz/000820/820/detail</t>
  </si>
  <si>
    <t>贝因美</t>
  </si>
  <si>
    <t>www.lixinger.com/analytics/company/sz/002570/2570/detail</t>
  </si>
  <si>
    <t>复旦微电</t>
  </si>
  <si>
    <t>www.lixinger.com/analytics/company/sh/688385/688385/detail</t>
  </si>
  <si>
    <t>扬子新材</t>
  </si>
  <si>
    <t>www.lixinger.com/analytics/company/sz/002652/2652/detail</t>
  </si>
  <si>
    <t>天永智能</t>
  </si>
  <si>
    <t>www.lixinger.com/analytics/company/sh/603895/603895/detail</t>
  </si>
  <si>
    <t>正元智慧</t>
  </si>
  <si>
    <t>www.lixinger.com/analytics/company/sz/300645/300645/detail</t>
  </si>
  <si>
    <t>*ST恒誉</t>
  </si>
  <si>
    <t>www.lixinger.com/analytics/company/sh/688309/688309/detail</t>
  </si>
  <si>
    <t>海峡创新</t>
  </si>
  <si>
    <t>www.lixinger.com/analytics/company/sz/300300/300300/detail</t>
  </si>
  <si>
    <t>百邦科技</t>
  </si>
  <si>
    <t>www.lixinger.com/analytics/company/sz/300736/300736/detail</t>
  </si>
  <si>
    <t>华菱精工</t>
  </si>
  <si>
    <t>www.lixinger.com/analytics/company/sh/603356/603356/detail</t>
  </si>
  <si>
    <t>银之杰</t>
  </si>
  <si>
    <t>www.lixinger.com/analytics/company/sz/300085/300085/detail</t>
  </si>
  <si>
    <t>震安科技</t>
  </si>
  <si>
    <t>www.lixinger.com/analytics/company/sz/300767/300767/detail</t>
  </si>
  <si>
    <t>中国医药</t>
  </si>
  <si>
    <t>www.lixinger.com/analytics/company/sh/600056/600056/detail</t>
  </si>
  <si>
    <t>金迪克</t>
  </si>
  <si>
    <t>www.lixinger.com/analytics/company/sh/688670/688670/detail</t>
  </si>
  <si>
    <t>翔鹭钨业</t>
  </si>
  <si>
    <t>www.lixinger.com/analytics/company/sz/002842/2842/detail</t>
  </si>
  <si>
    <t>飞乐音响</t>
  </si>
  <si>
    <t>www.lixinger.com/analytics/company/sh/600651/600651/detail</t>
  </si>
  <si>
    <t>亚太药业</t>
  </si>
  <si>
    <t>www.lixinger.com/analytics/company/sz/002370/2370/detail</t>
  </si>
  <si>
    <t>佩蒂股份</t>
  </si>
  <si>
    <t>www.lixinger.com/analytics/company/sz/300673/300673/detail</t>
  </si>
  <si>
    <t>浙富控股</t>
  </si>
  <si>
    <t>www.lixinger.com/analytics/company/sz/002266/2266/detail</t>
  </si>
  <si>
    <t>国美通讯</t>
  </si>
  <si>
    <t>www.lixinger.com/analytics/company/sh/600898/600898/detail</t>
  </si>
  <si>
    <t>锐科激光</t>
  </si>
  <si>
    <t>www.lixinger.com/analytics/company/sz/300747/300747/detail</t>
  </si>
  <si>
    <t>首航高科</t>
  </si>
  <si>
    <t>www.lixinger.com/analytics/company/sz/002665/2665/detail</t>
  </si>
  <si>
    <t>常山药业</t>
  </si>
  <si>
    <t>www.lixinger.com/analytics/company/sz/300255/300255/detail</t>
  </si>
  <si>
    <t>元成股份</t>
  </si>
  <si>
    <t>www.lixinger.com/analytics/company/sh/603388/603388/detail</t>
  </si>
  <si>
    <t>海马汽车</t>
  </si>
  <si>
    <t>www.lixinger.com/analytics/company/sz/000572/572/detail</t>
  </si>
  <si>
    <t>金财互联</t>
  </si>
  <si>
    <t>www.lixinger.com/analytics/company/sz/002530/2530/detail</t>
  </si>
  <si>
    <t>震有科技</t>
  </si>
  <si>
    <t>www.lixinger.com/analytics/company/sh/688418/688418/detail</t>
  </si>
  <si>
    <t>招标股份</t>
  </si>
  <si>
    <t>www.lixinger.com/analytics/company/sz/301136/301136/detail</t>
  </si>
  <si>
    <t>三利谱</t>
  </si>
  <si>
    <t>www.lixinger.com/analytics/company/sz/002876/2876/detail</t>
  </si>
  <si>
    <t>维科技术</t>
  </si>
  <si>
    <t>www.lixinger.com/analytics/company/sh/600152/600152/detail</t>
  </si>
  <si>
    <t>鹏鹞环保</t>
  </si>
  <si>
    <t>www.lixinger.com/analytics/company/sz/300664/300664/detail</t>
  </si>
  <si>
    <t>华东重机</t>
  </si>
  <si>
    <t>www.lixinger.com/analytics/company/sz/002685/2685/detail</t>
  </si>
  <si>
    <t>霍普股份</t>
  </si>
  <si>
    <t>www.lixinger.com/analytics/company/sz/301024/301024/detail</t>
  </si>
  <si>
    <t>里得电科</t>
  </si>
  <si>
    <t>www.lixinger.com/analytics/company/sz/001235/1235/detail</t>
  </si>
  <si>
    <t>中亚股份</t>
  </si>
  <si>
    <t>www.lixinger.com/analytics/company/sz/300512/300512/detail</t>
  </si>
  <si>
    <t>*ST明科</t>
  </si>
  <si>
    <t>www.lixinger.com/analytics/company/sh/600091/600091/detail</t>
  </si>
  <si>
    <t>成飞集成</t>
  </si>
  <si>
    <t>www.lixinger.com/analytics/company/sz/002190/2190/detail</t>
  </si>
  <si>
    <t>智慧农业</t>
  </si>
  <si>
    <t>www.lixinger.com/analytics/company/sz/000816/816/detail</t>
  </si>
  <si>
    <t>恒华科技</t>
  </si>
  <si>
    <t>www.lixinger.com/analytics/company/sz/300365/300365/detail</t>
  </si>
  <si>
    <t>国机通用</t>
  </si>
  <si>
    <t>www.lixinger.com/analytics/company/sh/600444/600444/detail</t>
  </si>
  <si>
    <t>纵横通信</t>
  </si>
  <si>
    <t>www.lixinger.com/analytics/company/sh/603602/603602/detail</t>
  </si>
  <si>
    <t>科德数控</t>
  </si>
  <si>
    <t>www.lixinger.com/analytics/company/sh/688305/688305/detail</t>
  </si>
  <si>
    <t>红墙股份</t>
  </si>
  <si>
    <t>www.lixinger.com/analytics/company/sz/002809/2809/detail</t>
  </si>
  <si>
    <t>芯原股份</t>
  </si>
  <si>
    <t>www.lixinger.com/analytics/company/sh/688521/688521/detail</t>
  </si>
  <si>
    <t>深圳新星</t>
  </si>
  <si>
    <t>www.lixinger.com/analytics/company/sh/603978/603978/detail</t>
  </si>
  <si>
    <t>标准股份</t>
  </si>
  <si>
    <t>www.lixinger.com/analytics/company/sh/600302/600302/detail</t>
  </si>
  <si>
    <t>华升股份</t>
  </si>
  <si>
    <t>www.lixinger.com/analytics/company/sh/600156/600156/detail</t>
  </si>
  <si>
    <t>仁东控股</t>
  </si>
  <si>
    <t>www.lixinger.com/analytics/company/sz/002647/2647/detail</t>
  </si>
  <si>
    <t>金鹰股份</t>
  </si>
  <si>
    <t>www.lixinger.com/analytics/company/sh/600232/600232/detail</t>
  </si>
  <si>
    <t>恒立实业</t>
  </si>
  <si>
    <t>www.lixinger.com/analytics/company/sz/000622/622/detail</t>
  </si>
  <si>
    <t>*ST科林</t>
  </si>
  <si>
    <t>www.lixinger.com/analytics/company/sz/002499/2499/detail</t>
  </si>
  <si>
    <t>悦达投资</t>
  </si>
  <si>
    <t>www.lixinger.com/analytics/company/sh/600805/600805/detail</t>
  </si>
  <si>
    <t>捷顺科技</t>
  </si>
  <si>
    <t>www.lixinger.com/analytics/company/sz/002609/2609/detail</t>
  </si>
  <si>
    <t>北京城乡</t>
  </si>
  <si>
    <t>www.lixinger.com/analytics/company/sh/600861/600861/detail</t>
  </si>
  <si>
    <t>潜能恒信</t>
  </si>
  <si>
    <t>www.lixinger.com/analytics/company/sz/300191/300191/detail</t>
  </si>
  <si>
    <t>正业科技</t>
  </si>
  <si>
    <t>www.lixinger.com/analytics/company/sz/300410/300410/detail</t>
  </si>
  <si>
    <t>安路科技</t>
  </si>
  <si>
    <t>www.lixinger.com/analytics/company/sh/688107/688107/detail</t>
  </si>
  <si>
    <t>湖南投资</t>
  </si>
  <si>
    <t>www.lixinger.com/analytics/company/sz/000548/548/detail</t>
  </si>
  <si>
    <t>国民技术</t>
  </si>
  <si>
    <t>www.lixinger.com/analytics/company/sz/300077/300077/detail</t>
  </si>
  <si>
    <t>通程控股</t>
  </si>
  <si>
    <t>www.lixinger.com/analytics/company/sz/000419/419/detail</t>
  </si>
  <si>
    <t>莱绅通灵</t>
  </si>
  <si>
    <t>www.lixinger.com/analytics/company/sh/603900/603900/detail</t>
  </si>
  <si>
    <t>ST新研</t>
  </si>
  <si>
    <t>www.lixinger.com/analytics/company/sz/300159/300159/detail</t>
  </si>
  <si>
    <t>三峡旅游</t>
  </si>
  <si>
    <t>www.lixinger.com/analytics/company/sz/002627/2627/detail</t>
  </si>
  <si>
    <t>渤海化学</t>
  </si>
  <si>
    <t>www.lixinger.com/analytics/company/sh/600800/600800/detail</t>
  </si>
  <si>
    <t>*ST围海</t>
  </si>
  <si>
    <t>www.lixinger.com/analytics/company/sz/002586/2586/detail</t>
  </si>
  <si>
    <t>新五丰</t>
  </si>
  <si>
    <t>www.lixinger.com/analytics/company/sh/600975/600975/detail</t>
  </si>
  <si>
    <t>嘉麟杰</t>
  </si>
  <si>
    <t>www.lixinger.com/analytics/company/sz/002486/2486/detail</t>
  </si>
  <si>
    <t>合金投资</t>
  </si>
  <si>
    <t>www.lixinger.com/analytics/company/sz/000633/633/detail</t>
  </si>
  <si>
    <t>*ST海医</t>
  </si>
  <si>
    <t>www.lixinger.com/analytics/company/sh/600896/600896/detail</t>
  </si>
  <si>
    <t>北方导航</t>
  </si>
  <si>
    <t>www.lixinger.com/analytics/company/sh/600435/600435/detail</t>
  </si>
  <si>
    <t>海油工程</t>
  </si>
  <si>
    <t>www.lixinger.com/analytics/company/sh/600583/600583/detail</t>
  </si>
  <si>
    <t>华体科技</t>
  </si>
  <si>
    <t>www.lixinger.com/analytics/company/sh/603679/603679/detail</t>
  </si>
  <si>
    <t>退市保千</t>
  </si>
  <si>
    <t>www.lixinger.com/analytics/company/sh/600074/600074/detail</t>
  </si>
  <si>
    <t>国联水产</t>
  </si>
  <si>
    <t>www.lixinger.com/analytics/company/sz/300094/300094/detail</t>
  </si>
  <si>
    <t>罗博特科</t>
  </si>
  <si>
    <t>www.lixinger.com/analytics/company/sz/300757/300757/detail</t>
  </si>
  <si>
    <t>长江通信</t>
  </si>
  <si>
    <t>www.lixinger.com/analytics/company/sh/600345/600345/detail</t>
  </si>
  <si>
    <t>东珠生态</t>
  </si>
  <si>
    <t>www.lixinger.com/analytics/company/sh/603359/603359/detail</t>
  </si>
  <si>
    <t>中核科技</t>
  </si>
  <si>
    <t>www.lixinger.com/analytics/company/sz/000777/777/detail</t>
  </si>
  <si>
    <t>平治信息</t>
  </si>
  <si>
    <t>www.lixinger.com/analytics/company/sz/300571/300571/detail</t>
  </si>
  <si>
    <t>普丽盛</t>
  </si>
  <si>
    <t>www.lixinger.com/analytics/company/sz/300442/300442/detail</t>
  </si>
  <si>
    <t>亚盛集团</t>
  </si>
  <si>
    <t>www.lixinger.com/analytics/company/sh/600108/600108/detail</t>
  </si>
  <si>
    <t>天铁股份</t>
  </si>
  <si>
    <t>www.lixinger.com/analytics/company/sz/300587/300587/detail</t>
  </si>
  <si>
    <t>英力特</t>
  </si>
  <si>
    <t>www.lixinger.com/analytics/company/sz/000635/635/detail</t>
  </si>
  <si>
    <t>海创药业</t>
  </si>
  <si>
    <t>www.lixinger.com/analytics/company/sh/688302/688302/detail</t>
  </si>
  <si>
    <t>贝肯能源</t>
  </si>
  <si>
    <t>www.lixinger.com/analytics/company/sz/002828/2828/detail</t>
  </si>
  <si>
    <t>星云股份</t>
  </si>
  <si>
    <t>www.lixinger.com/analytics/company/sz/300648/300648/detail</t>
  </si>
  <si>
    <t>迈为股份</t>
  </si>
  <si>
    <t>www.lixinger.com/analytics/company/sz/300751/300751/detail</t>
  </si>
  <si>
    <t>*ST华讯</t>
  </si>
  <si>
    <t>www.lixinger.com/analytics/company/sz/000687/687/detail</t>
  </si>
  <si>
    <t>南京化纤</t>
  </si>
  <si>
    <t>www.lixinger.com/analytics/company/sh/600889/600889/detail</t>
  </si>
  <si>
    <t>首药控股</t>
  </si>
  <si>
    <t>www.lixinger.com/analytics/company/sh/688197/688197/detail</t>
  </si>
  <si>
    <t>中威电子</t>
  </si>
  <si>
    <t>www.lixinger.com/analytics/company/sz/300270/300270/detail</t>
  </si>
  <si>
    <t>昂立教育</t>
  </si>
  <si>
    <t>www.lixinger.com/analytics/company/sh/600661/600661/detail</t>
  </si>
  <si>
    <t>苏州科达</t>
  </si>
  <si>
    <t>www.lixinger.com/analytics/company/sh/603660/603660/detail</t>
  </si>
  <si>
    <t>深水海纳</t>
  </si>
  <si>
    <t>www.lixinger.com/analytics/company/sz/300961/300961/detail</t>
  </si>
  <si>
    <t>福达合金</t>
  </si>
  <si>
    <t>www.lixinger.com/analytics/company/sh/603045/603045/detail</t>
  </si>
  <si>
    <t>青云科技</t>
  </si>
  <si>
    <t>www.lixinger.com/analytics/company/sh/688316/688316/detail</t>
  </si>
  <si>
    <t>金辰股份</t>
  </si>
  <si>
    <t>www.lixinger.com/analytics/company/sh/603396/603396/detail</t>
  </si>
  <si>
    <t>莱茵体育</t>
  </si>
  <si>
    <t>www.lixinger.com/analytics/company/sz/000558/558/detail</t>
  </si>
  <si>
    <t>京蓝科技</t>
  </si>
  <si>
    <t>www.lixinger.com/analytics/company/sz/000711/711/detail</t>
  </si>
  <si>
    <t>亚虹医药</t>
  </si>
  <si>
    <t>www.lixinger.com/analytics/company/sh/688176/688176/detail</t>
  </si>
  <si>
    <t>*ST中迪</t>
  </si>
  <si>
    <t>www.lixinger.com/analytics/company/sz/000609/609/detail</t>
  </si>
  <si>
    <t>*ST圣莱</t>
  </si>
  <si>
    <t>www.lixinger.com/analytics/company/sz/002473/2473/detail</t>
  </si>
  <si>
    <t>天通股份</t>
  </si>
  <si>
    <t>www.lixinger.com/analytics/company/sh/600330/600330/detail</t>
  </si>
  <si>
    <t>上机数控</t>
  </si>
  <si>
    <t>www.lixinger.com/analytics/company/sh/603185/603185/detail</t>
  </si>
  <si>
    <t>利元亨</t>
  </si>
  <si>
    <t>www.lixinger.com/analytics/company/sh/688499/688499/detail</t>
  </si>
  <si>
    <t>北信源</t>
  </si>
  <si>
    <t>www.lixinger.com/analytics/company/sz/300352/300352/detail</t>
  </si>
  <si>
    <t>民生控股</t>
  </si>
  <si>
    <t>www.lixinger.com/analytics/company/sz/000416/416/detail</t>
  </si>
  <si>
    <t>海南椰岛</t>
  </si>
  <si>
    <t>www.lixinger.com/analytics/company/sh/600238/600238/detail</t>
  </si>
  <si>
    <t>亿晶光电</t>
  </si>
  <si>
    <t>www.lixinger.com/analytics/company/sh/600537/600537/detail</t>
  </si>
  <si>
    <t>芳源股份</t>
  </si>
  <si>
    <t>www.lixinger.com/analytics/company/sh/688148/688148/detail</t>
  </si>
  <si>
    <t>国际实业</t>
  </si>
  <si>
    <t>www.lixinger.com/analytics/company/sz/000159/159/detail</t>
  </si>
  <si>
    <t>兄弟科技</t>
  </si>
  <si>
    <t>www.lixinger.com/analytics/company/sz/002562/2562/detail</t>
  </si>
  <si>
    <t>莲花健康</t>
  </si>
  <si>
    <t>www.lixinger.com/analytics/company/sh/600186/600186/detail</t>
  </si>
  <si>
    <t>吉峰科技</t>
  </si>
  <si>
    <t>www.lixinger.com/analytics/company/sz/300022/300022/detail</t>
  </si>
  <si>
    <t>北讯退</t>
  </si>
  <si>
    <t>www.lixinger.com/analytics/company/sz/002359/2359/detail</t>
  </si>
  <si>
    <t>卫士通</t>
  </si>
  <si>
    <t>www.lixinger.com/analytics/company/sz/002268/2268/detail</t>
  </si>
  <si>
    <t>巴安水务</t>
  </si>
  <si>
    <t>www.lixinger.com/analytics/company/sz/300262/300262/detail</t>
  </si>
  <si>
    <t>江特电机</t>
  </si>
  <si>
    <t>www.lixinger.com/analytics/company/sz/002176/2176/detail</t>
  </si>
  <si>
    <t>兰生股份</t>
  </si>
  <si>
    <t>www.lixinger.com/analytics/company/sh/600826/600826/detail</t>
  </si>
  <si>
    <t>人人乐</t>
  </si>
  <si>
    <t>www.lixinger.com/analytics/company/sz/002336/2336/detail</t>
  </si>
  <si>
    <t>朗进科技</t>
  </si>
  <si>
    <t>www.lixinger.com/analytics/company/sz/300594/300594/detail</t>
  </si>
  <si>
    <t>百利科技</t>
  </si>
  <si>
    <t>www.lixinger.com/analytics/company/sh/603959/603959/detail</t>
  </si>
  <si>
    <t>ST瀚叶</t>
  </si>
  <si>
    <t>www.lixinger.com/analytics/company/sh/600226/600226/detail</t>
  </si>
  <si>
    <t>星光农机</t>
  </si>
  <si>
    <t>www.lixinger.com/analytics/company/sh/603789/603789/detail</t>
  </si>
  <si>
    <t>联络互动</t>
  </si>
  <si>
    <t>www.lixinger.com/analytics/company/sz/002280/2280/detail</t>
  </si>
  <si>
    <t>五矿稀土</t>
  </si>
  <si>
    <t>www.lixinger.com/analytics/company/sz/000831/831/detail</t>
  </si>
  <si>
    <t>正丹股份</t>
  </si>
  <si>
    <t>www.lixinger.com/analytics/company/sz/300641/300641/detail</t>
  </si>
  <si>
    <t>云南锗业</t>
  </si>
  <si>
    <t>www.lixinger.com/analytics/company/sz/002428/2428/detail</t>
  </si>
  <si>
    <t>罗普特</t>
  </si>
  <si>
    <t>www.lixinger.com/analytics/company/sh/688619/688619/detail</t>
  </si>
  <si>
    <t>左江科技</t>
  </si>
  <si>
    <t>www.lixinger.com/analytics/company/sz/300799/300799/detail</t>
  </si>
  <si>
    <t>金盾股份</t>
  </si>
  <si>
    <t>www.lixinger.com/analytics/company/sz/300411/300411/detail</t>
  </si>
  <si>
    <t>ST云投</t>
  </si>
  <si>
    <t>www.lixinger.com/analytics/company/sz/002200/2200/detail</t>
  </si>
  <si>
    <t>华兴源创</t>
  </si>
  <si>
    <t>www.lixinger.com/analytics/company/sh/688001/688001/detail</t>
  </si>
  <si>
    <t>航宇科技</t>
  </si>
  <si>
    <t>www.lixinger.com/analytics/company/sh/688239/688239/detail</t>
  </si>
  <si>
    <t>朗科科技</t>
  </si>
  <si>
    <t>www.lixinger.com/analytics/company/sz/300042/300042/detail</t>
  </si>
  <si>
    <t>天佑德酒</t>
  </si>
  <si>
    <t>www.lixinger.com/analytics/company/sz/002646/2646/detail</t>
  </si>
  <si>
    <t>惠而浦</t>
  </si>
  <si>
    <t>www.lixinger.com/analytics/company/sh/600983/600983/detail</t>
  </si>
  <si>
    <t>西部超导</t>
  </si>
  <si>
    <t>www.lixinger.com/analytics/company/sh/688122/688122/detail</t>
  </si>
  <si>
    <t>退市美都</t>
  </si>
  <si>
    <t>www.lixinger.com/analytics/company/sh/600175/600175/detail</t>
  </si>
  <si>
    <t>格灵深瞳</t>
  </si>
  <si>
    <t>www.lixinger.com/analytics/company/sh/688207/688207/detail</t>
  </si>
  <si>
    <t>至纯科技</t>
  </si>
  <si>
    <t>www.lixinger.com/analytics/company/sh/603690/603690/detail</t>
  </si>
  <si>
    <t>神农科技</t>
  </si>
  <si>
    <t>www.lixinger.com/analytics/company/sz/300189/300189/detail</t>
  </si>
  <si>
    <t>*ST数知</t>
  </si>
  <si>
    <t>www.lixinger.com/analytics/company/sz/300038/300038/detail</t>
  </si>
  <si>
    <t>恒逸石化</t>
  </si>
  <si>
    <t>www.lixinger.com/analytics/company/sz/000703/703/detail</t>
  </si>
  <si>
    <t>宏创控股</t>
  </si>
  <si>
    <t>www.lixinger.com/analytics/company/sz/002379/2379/detail</t>
  </si>
  <si>
    <t>光大嘉宝</t>
  </si>
  <si>
    <t>www.lixinger.com/analytics/company/sh/600622/600622/detail</t>
  </si>
  <si>
    <t>*ST天成</t>
  </si>
  <si>
    <t>www.lixinger.com/analytics/company/sh/600112/600112/detail</t>
  </si>
  <si>
    <t>精进电动</t>
  </si>
  <si>
    <t>www.lixinger.com/analytics/company/sh/688280/688280/detail</t>
  </si>
  <si>
    <t>博雅生物</t>
  </si>
  <si>
    <t>www.lixinger.com/analytics/company/sz/300294/300294/detail</t>
  </si>
  <si>
    <t>精测电子</t>
  </si>
  <si>
    <t>www.lixinger.com/analytics/company/sz/300567/300567/detail</t>
  </si>
  <si>
    <t>ST熊猫</t>
  </si>
  <si>
    <t>www.lixinger.com/analytics/company/sh/600599/600599/detail</t>
  </si>
  <si>
    <t>嘉寓股份</t>
  </si>
  <si>
    <t>www.lixinger.com/analytics/company/sz/300117/300117/detail</t>
  </si>
  <si>
    <t>浩物股份</t>
  </si>
  <si>
    <t>www.lixinger.com/analytics/company/sz/000757/757/detail</t>
  </si>
  <si>
    <t>荣联科技</t>
  </si>
  <si>
    <t>www.lixinger.com/analytics/company/sz/002642/2642/detail</t>
  </si>
  <si>
    <t>石大胜华</t>
  </si>
  <si>
    <t>www.lixinger.com/analytics/company/sh/603026/603026/detail</t>
  </si>
  <si>
    <t>海源复材</t>
  </si>
  <si>
    <t>www.lixinger.com/analytics/company/sz/002529/2529/detail</t>
  </si>
  <si>
    <t>银江技术</t>
  </si>
  <si>
    <t>www.lixinger.com/analytics/company/sz/300020/300020/detail</t>
  </si>
  <si>
    <t>金贵银业</t>
  </si>
  <si>
    <t>www.lixinger.com/analytics/company/sz/002716/2716/detail</t>
  </si>
  <si>
    <t>南威软件</t>
  </si>
  <si>
    <t>www.lixinger.com/analytics/company/sh/603636/603636/detail</t>
  </si>
  <si>
    <t>珠江股份</t>
  </si>
  <si>
    <t>www.lixinger.com/analytics/company/sh/600684/600684/detail</t>
  </si>
  <si>
    <t>诚邦股份</t>
  </si>
  <si>
    <t>www.lixinger.com/analytics/company/sh/603316/603316/detail</t>
  </si>
  <si>
    <t>唐源电气</t>
  </si>
  <si>
    <t>www.lixinger.com/analytics/company/sz/300789/300789/detail</t>
  </si>
  <si>
    <t>东方银星</t>
  </si>
  <si>
    <t>www.lixinger.com/analytics/company/sh/600753/600753/detail</t>
  </si>
  <si>
    <t>保立佳</t>
  </si>
  <si>
    <t>www.lixinger.com/analytics/company/sz/301037/301037/detail</t>
  </si>
  <si>
    <t>郑州煤电</t>
  </si>
  <si>
    <t>www.lixinger.com/analytics/company/sh/600121/600121/detail</t>
  </si>
  <si>
    <t>恒信东方</t>
  </si>
  <si>
    <t>www.lixinger.com/analytics/company/sz/300081/300081/detail</t>
  </si>
  <si>
    <t>金字火腿</t>
  </si>
  <si>
    <t>www.lixinger.com/analytics/company/sz/002515/2515/detail</t>
  </si>
  <si>
    <t>ST信通</t>
  </si>
  <si>
    <t>www.lixinger.com/analytics/company/sh/600289/600289/detail</t>
  </si>
  <si>
    <t>龙宇燃油</t>
  </si>
  <si>
    <t>www.lixinger.com/analytics/company/sh/603003/603003/detail</t>
  </si>
  <si>
    <t>振江股份</t>
  </si>
  <si>
    <t>www.lixinger.com/analytics/company/sh/603507/603507/detail</t>
  </si>
  <si>
    <t>金开新能</t>
  </si>
  <si>
    <t>www.lixinger.com/analytics/company/sh/600821/600821/detail</t>
  </si>
  <si>
    <t>汇金股份</t>
  </si>
  <si>
    <t>www.lixinger.com/analytics/company/sz/300368/300368/detail</t>
  </si>
  <si>
    <t>中科金财</t>
  </si>
  <si>
    <t>www.lixinger.com/analytics/company/sz/002657/2657/detail</t>
  </si>
  <si>
    <t>航天动力</t>
  </si>
  <si>
    <t>www.lixinger.com/analytics/company/sh/600343/600343/detail</t>
  </si>
  <si>
    <t>天下秀</t>
  </si>
  <si>
    <t>www.lixinger.com/analytics/company/sh/600556/600556/detail</t>
  </si>
  <si>
    <t>南天信息</t>
  </si>
  <si>
    <t>www.lixinger.com/analytics/company/sz/000948/948/detail</t>
  </si>
  <si>
    <t>今创集团</t>
  </si>
  <si>
    <t>www.lixinger.com/analytics/company/sh/603680/603680/detail</t>
  </si>
  <si>
    <t>航天宏图</t>
  </si>
  <si>
    <t>www.lixinger.com/analytics/company/sh/688066/688066/detail</t>
  </si>
  <si>
    <t>广誉远</t>
  </si>
  <si>
    <t>www.lixinger.com/analytics/company/sh/600771/600771/detail</t>
  </si>
  <si>
    <t>园林股份</t>
  </si>
  <si>
    <t>www.lixinger.com/analytics/company/sh/605303/605303/detail</t>
  </si>
  <si>
    <t>万朗磁塑</t>
  </si>
  <si>
    <t>www.lixinger.com/analytics/company/sh/603150/603150/detail</t>
  </si>
  <si>
    <t>鲁信创投</t>
  </si>
  <si>
    <t>www.lixinger.com/analytics/company/sh/600783/600783/detail</t>
  </si>
  <si>
    <t>移远通信</t>
  </si>
  <si>
    <t>www.lixinger.com/analytics/company/sh/603236/603236/detail</t>
  </si>
  <si>
    <t>通用股份</t>
  </si>
  <si>
    <t>www.lixinger.com/analytics/company/sh/601500/601500/detail</t>
  </si>
  <si>
    <t>银邦股份</t>
  </si>
  <si>
    <t>www.lixinger.com/analytics/company/sz/300337/300337/detail</t>
  </si>
  <si>
    <t>中环环保</t>
  </si>
  <si>
    <t>www.lixinger.com/analytics/company/sz/300692/300692/detail</t>
  </si>
  <si>
    <t>新华都</t>
  </si>
  <si>
    <t>www.lixinger.com/analytics/company/sz/002264/2264/detail</t>
  </si>
  <si>
    <t>中体产业</t>
  </si>
  <si>
    <t>www.lixinger.com/analytics/company/sh/600158/600158/detail</t>
  </si>
  <si>
    <t>数源科技</t>
  </si>
  <si>
    <t>www.lixinger.com/analytics/company/sz/000909/909/detail</t>
  </si>
  <si>
    <t>华光新材</t>
  </si>
  <si>
    <t>www.lixinger.com/analytics/company/sh/688379/688379/detail</t>
  </si>
  <si>
    <t>国瑞科技</t>
  </si>
  <si>
    <t>www.lixinger.com/analytics/company/sz/300600/300600/detail</t>
  </si>
  <si>
    <t>康希诺</t>
  </si>
  <si>
    <t>www.lixinger.com/analytics/company/sh/688185/688185/detail</t>
  </si>
  <si>
    <t>华斯股份</t>
  </si>
  <si>
    <t>www.lixinger.com/analytics/company/sz/002494/2494/detail</t>
  </si>
  <si>
    <t>常青股份</t>
  </si>
  <si>
    <t>www.lixinger.com/analytics/company/sh/603768/603768/detail</t>
  </si>
  <si>
    <t>明泰铝业</t>
  </si>
  <si>
    <t>www.lixinger.com/analytics/company/sh/601677/601677/detail</t>
  </si>
  <si>
    <t>哈工智能</t>
  </si>
  <si>
    <t>www.lixinger.com/analytics/company/sz/000584/584/detail</t>
  </si>
  <si>
    <t>仕净科技</t>
  </si>
  <si>
    <t>www.lixinger.com/analytics/company/sz/301030/301030/detail</t>
  </si>
  <si>
    <t>轻纺城</t>
  </si>
  <si>
    <t>www.lixinger.com/analytics/company/sh/600790/600790/detail</t>
  </si>
  <si>
    <t>嘉和美康</t>
  </si>
  <si>
    <t>www.lixinger.com/analytics/company/sh/688246/688246/detail</t>
  </si>
  <si>
    <t>乐视退</t>
  </si>
  <si>
    <t>www.lixinger.com/analytics/company/sz/300104/300104/detail</t>
  </si>
  <si>
    <t>天能重工</t>
  </si>
  <si>
    <t>www.lixinger.com/analytics/company/sz/300569/300569/detail</t>
  </si>
  <si>
    <t>江苏吴中</t>
  </si>
  <si>
    <t>www.lixinger.com/analytics/company/sh/600200/600200/detail</t>
  </si>
  <si>
    <t>埃夫特</t>
  </si>
  <si>
    <t>www.lixinger.com/analytics/company/sh/688165/688165/detail</t>
  </si>
  <si>
    <t>莱茵生物</t>
  </si>
  <si>
    <t>www.lixinger.com/analytics/company/sz/002166/2166/detail</t>
  </si>
  <si>
    <t>聚赛龙</t>
  </si>
  <si>
    <t>www.lixinger.com/analytics/company/sz/301131/301131/detail</t>
  </si>
  <si>
    <t>海陆重工</t>
  </si>
  <si>
    <t>www.lixinger.com/analytics/company/sz/002255/2255/detail</t>
  </si>
  <si>
    <t>亿华通</t>
  </si>
  <si>
    <t>燃料电池</t>
  </si>
  <si>
    <t>www.lixinger.com/analytics/company/sh/688339/688339/detail</t>
  </si>
  <si>
    <t>豪迈科技</t>
  </si>
  <si>
    <t>www.lixinger.com/analytics/company/sz/002595/2595/detail</t>
  </si>
  <si>
    <t>中再资环</t>
  </si>
  <si>
    <t>www.lixinger.com/analytics/company/sh/600217/600217/detail</t>
  </si>
  <si>
    <t>金种子酒</t>
  </si>
  <si>
    <t>www.lixinger.com/analytics/company/sh/600199/600199/detail</t>
  </si>
  <si>
    <t>昇辉科技</t>
  </si>
  <si>
    <t>www.lixinger.com/analytics/company/sz/300423/300423/detail</t>
  </si>
  <si>
    <t>道道全</t>
  </si>
  <si>
    <t>www.lixinger.com/analytics/company/sz/002852/2852/detail</t>
  </si>
  <si>
    <t>老凤祥Ｂ</t>
  </si>
  <si>
    <t>www.lixinger.com/analytics/company/sh/900905/900905/detail</t>
  </si>
  <si>
    <t>泽璟制药</t>
  </si>
  <si>
    <t>www.lixinger.com/analytics/company/sh/688266/688266/detail</t>
  </si>
  <si>
    <t>大禹节水</t>
  </si>
  <si>
    <t>www.lixinger.com/analytics/company/sz/300021/300021/detail</t>
  </si>
  <si>
    <t>ST新海</t>
  </si>
  <si>
    <t>www.lixinger.com/analytics/company/sz/002089/2089/detail</t>
  </si>
  <si>
    <t>祥源文化</t>
  </si>
  <si>
    <t>www.lixinger.com/analytics/company/sh/600576/600576/detail</t>
  </si>
  <si>
    <t>腾信股份</t>
  </si>
  <si>
    <t>www.lixinger.com/analytics/company/sz/300392/300392/detail</t>
  </si>
  <si>
    <t>荣丰控股</t>
  </si>
  <si>
    <t>www.lixinger.com/analytics/company/sz/000668/668/detail</t>
  </si>
  <si>
    <t>高新兴</t>
  </si>
  <si>
    <t>www.lixinger.com/analytics/company/sz/300098/300098/detail</t>
  </si>
  <si>
    <t>德才股份</t>
  </si>
  <si>
    <t>www.lixinger.com/analytics/company/sh/605287/605287/detail</t>
  </si>
  <si>
    <t>华阳新材</t>
  </si>
  <si>
    <t>www.lixinger.com/analytics/company/sh/600281/600281/detail</t>
  </si>
  <si>
    <t>深振业Ａ</t>
  </si>
  <si>
    <t>www.lixinger.com/analytics/company/sz/000006/6/detail</t>
  </si>
  <si>
    <t>国投中鲁</t>
  </si>
  <si>
    <t>www.lixinger.com/analytics/company/sh/600962/600962/detail</t>
  </si>
  <si>
    <t>海南海药</t>
  </si>
  <si>
    <t>www.lixinger.com/analytics/company/sz/000566/566/detail</t>
  </si>
  <si>
    <t>金桥Ｂ股</t>
  </si>
  <si>
    <t>www.lixinger.com/analytics/company/sh/900911/900911/detail</t>
  </si>
  <si>
    <t>新国脉</t>
  </si>
  <si>
    <t>www.lixinger.com/analytics/company/sh/600640/600640/detail</t>
  </si>
  <si>
    <t>龙头股份</t>
  </si>
  <si>
    <t>www.lixinger.com/analytics/company/sh/600630/600630/detail</t>
  </si>
  <si>
    <t>亚翔集成</t>
  </si>
  <si>
    <t>www.lixinger.com/analytics/company/sh/603929/603929/detail</t>
  </si>
  <si>
    <t>*ST实达</t>
  </si>
  <si>
    <t>www.lixinger.com/analytics/company/sh/600734/600734/detail</t>
  </si>
  <si>
    <t>寒武纪</t>
  </si>
  <si>
    <t>www.lixinger.com/analytics/company/sh/688256/688256/detail</t>
  </si>
  <si>
    <t>蓝科高新</t>
  </si>
  <si>
    <t>www.lixinger.com/analytics/company/sh/601798/601798/detail</t>
  </si>
  <si>
    <t>大东方</t>
  </si>
  <si>
    <t>www.lixinger.com/analytics/company/sh/600327/600327/detail</t>
  </si>
  <si>
    <t>水羊股份</t>
  </si>
  <si>
    <t>www.lixinger.com/analytics/company/sz/300740/300740/detail</t>
  </si>
  <si>
    <t>天夏退</t>
  </si>
  <si>
    <t>www.lixinger.com/analytics/company/sz/000662/662/detail</t>
  </si>
  <si>
    <t>萃华珠宝</t>
  </si>
  <si>
    <t>www.lixinger.com/analytics/company/sz/002731/2731/detail</t>
  </si>
  <si>
    <t>索通发展</t>
  </si>
  <si>
    <t>www.lixinger.com/analytics/company/sh/603612/603612/detail</t>
  </si>
  <si>
    <t>勤上股份</t>
  </si>
  <si>
    <t>www.lixinger.com/analytics/company/sz/002638/2638/detail</t>
  </si>
  <si>
    <t>ST平能</t>
  </si>
  <si>
    <t>www.lixinger.com/analytics/company/sz/000780/780/detail</t>
  </si>
  <si>
    <t>正和生态</t>
  </si>
  <si>
    <t>www.lixinger.com/analytics/company/sh/605069/605069/detail</t>
  </si>
  <si>
    <t>曙光股份</t>
  </si>
  <si>
    <t>www.lixinger.com/analytics/company/sh/600303/600303/detail</t>
  </si>
  <si>
    <t>海普瑞</t>
  </si>
  <si>
    <t>www.lixinger.com/analytics/company/sz/002399/2399/detail</t>
  </si>
  <si>
    <t>东芯股份</t>
  </si>
  <si>
    <t>www.lixinger.com/analytics/company/sh/688110/688110/detail</t>
  </si>
  <si>
    <t>时空科技</t>
  </si>
  <si>
    <t>www.lixinger.com/analytics/company/sh/605178/605178/detail</t>
  </si>
  <si>
    <t>青岛双星</t>
  </si>
  <si>
    <t>www.lixinger.com/analytics/company/sz/000599/599/detail</t>
  </si>
  <si>
    <t>如意集团</t>
  </si>
  <si>
    <t>www.lixinger.com/analytics/company/sz/002193/2193/detail</t>
  </si>
  <si>
    <t>青海春天</t>
  </si>
  <si>
    <t>www.lixinger.com/analytics/company/sh/600381/600381/detail</t>
  </si>
  <si>
    <t>ST西源</t>
  </si>
  <si>
    <t>www.lixinger.com/analytics/company/sh/600139/600139/detail</t>
  </si>
  <si>
    <t>棕榈股份</t>
  </si>
  <si>
    <t>www.lixinger.com/analytics/company/sz/002431/2431/detail</t>
  </si>
  <si>
    <t>路畅科技</t>
  </si>
  <si>
    <t>www.lixinger.com/analytics/company/sz/002813/2813/detail</t>
  </si>
  <si>
    <t>高新发展</t>
  </si>
  <si>
    <t>www.lixinger.com/analytics/company/sz/000628/628/detail</t>
  </si>
  <si>
    <t>宏达新材</t>
  </si>
  <si>
    <t>www.lixinger.com/analytics/company/sz/002211/2211/detail</t>
  </si>
  <si>
    <t>科思科技</t>
  </si>
  <si>
    <t>www.lixinger.com/analytics/company/sh/688788/688788/detail</t>
  </si>
  <si>
    <t>凤凰股份</t>
  </si>
  <si>
    <t>www.lixinger.com/analytics/company/sh/600716/600716/detail</t>
  </si>
  <si>
    <t>万邦德</t>
  </si>
  <si>
    <t>www.lixinger.com/analytics/company/sz/002082/2082/detail</t>
  </si>
  <si>
    <t>中伟股份</t>
  </si>
  <si>
    <t>www.lixinger.com/analytics/company/sz/300919/300919/detail</t>
  </si>
  <si>
    <t>大众交通</t>
  </si>
  <si>
    <t>www.lixinger.com/analytics/company/sh/600611/600611/detail</t>
  </si>
  <si>
    <t>正元地信</t>
  </si>
  <si>
    <t>www.lixinger.com/analytics/company/sh/688509/688509/detail</t>
  </si>
  <si>
    <t>卓郎智能</t>
  </si>
  <si>
    <t>www.lixinger.com/analytics/company/sh/600545/600545/detail</t>
  </si>
  <si>
    <t>金固股份</t>
  </si>
  <si>
    <t>www.lixinger.com/analytics/company/sz/002488/2488/detail</t>
  </si>
  <si>
    <t>捷佳伟创</t>
  </si>
  <si>
    <t>www.lixinger.com/analytics/company/sz/300724/300724/detail</t>
  </si>
  <si>
    <t>特发信息</t>
  </si>
  <si>
    <t>www.lixinger.com/analytics/company/sz/000070/70/detail</t>
  </si>
  <si>
    <t>中一科技</t>
  </si>
  <si>
    <t>www.lixinger.com/analytics/company/sz/301150/301150/detail</t>
  </si>
  <si>
    <t>艾力斯</t>
  </si>
  <si>
    <t>www.lixinger.com/analytics/company/sh/688578/688578/detail</t>
  </si>
  <si>
    <t>*ST美尚</t>
  </si>
  <si>
    <t>www.lixinger.com/analytics/company/sz/300495/300495/detail</t>
  </si>
  <si>
    <t>惠程科技</t>
  </si>
  <si>
    <t>www.lixinger.com/analytics/company/sz/002168/2168/detail</t>
  </si>
  <si>
    <t>柳化股份</t>
  </si>
  <si>
    <t>www.lixinger.com/analytics/company/sh/600423/600423/detail</t>
  </si>
  <si>
    <t>新能泰山</t>
  </si>
  <si>
    <t>www.lixinger.com/analytics/company/sz/000720/720/detail</t>
  </si>
  <si>
    <t>陕西建工</t>
  </si>
  <si>
    <t>www.lixinger.com/analytics/company/sh/600248/600248/detail</t>
  </si>
  <si>
    <t>ST荣华</t>
  </si>
  <si>
    <t>www.lixinger.com/analytics/company/sh/600311/600311/detail</t>
  </si>
  <si>
    <t>荣昌生物</t>
  </si>
  <si>
    <t>www.lixinger.com/analytics/company/sh/688331/688331/detail</t>
  </si>
  <si>
    <t>云煤能源</t>
  </si>
  <si>
    <t>www.lixinger.com/analytics/company/sh/600792/600792/detail</t>
  </si>
  <si>
    <t>道明光学</t>
  </si>
  <si>
    <t>www.lixinger.com/analytics/company/sz/002632/2632/detail</t>
  </si>
  <si>
    <t>太极股份</t>
  </si>
  <si>
    <t>www.lixinger.com/analytics/company/sz/002368/2368/detail</t>
  </si>
  <si>
    <t>普路通</t>
  </si>
  <si>
    <t>www.lixinger.com/analytics/company/sz/002769/2769/detail</t>
  </si>
  <si>
    <t>哈药股份</t>
  </si>
  <si>
    <t>www.lixinger.com/analytics/company/sh/600664/600664/detail</t>
  </si>
  <si>
    <t>*ST蓝盾</t>
  </si>
  <si>
    <t>www.lixinger.com/analytics/company/sz/300297/300297/detail</t>
  </si>
  <si>
    <t>市北高新</t>
  </si>
  <si>
    <t>www.lixinger.com/analytics/company/sh/600604/600604/detail</t>
  </si>
  <si>
    <t>粤宏远Ａ</t>
  </si>
  <si>
    <t>www.lixinger.com/analytics/company/sz/000573/573/detail</t>
  </si>
  <si>
    <t>*ST济堂</t>
  </si>
  <si>
    <t>www.lixinger.com/analytics/company/sh/600090/600090/detail</t>
  </si>
  <si>
    <t>雅创电子</t>
  </si>
  <si>
    <t>www.lixinger.com/analytics/company/sz/301099/301099/detail</t>
  </si>
  <si>
    <t>天域生态</t>
  </si>
  <si>
    <t>www.lixinger.com/analytics/company/sh/603717/603717/detail</t>
  </si>
  <si>
    <t>华闻集团</t>
  </si>
  <si>
    <t>www.lixinger.com/analytics/company/sz/000793/793/detail</t>
  </si>
  <si>
    <t>勘设股份</t>
  </si>
  <si>
    <t>www.lixinger.com/analytics/company/sh/603458/603458/detail</t>
  </si>
  <si>
    <t>中工国际</t>
  </si>
  <si>
    <t>www.lixinger.com/analytics/company/sz/002051/2051/detail</t>
  </si>
  <si>
    <t>紫鑫药业</t>
  </si>
  <si>
    <t>www.lixinger.com/analytics/company/sz/002118/2118/detail</t>
  </si>
  <si>
    <t>外高Ｂ股</t>
  </si>
  <si>
    <t>www.lixinger.com/analytics/company/sh/900912/900912/detail</t>
  </si>
  <si>
    <t>创世纪</t>
  </si>
  <si>
    <t>www.lixinger.com/analytics/company/sz/300083/300083/detail</t>
  </si>
  <si>
    <t>佛塑科技</t>
  </si>
  <si>
    <t>www.lixinger.com/analytics/company/sz/000973/973/detail</t>
  </si>
  <si>
    <t>三只松鼠</t>
  </si>
  <si>
    <t>www.lixinger.com/analytics/company/sz/300783/300783/detail</t>
  </si>
  <si>
    <t>万通发展</t>
  </si>
  <si>
    <t>www.lixinger.com/analytics/company/sh/600246/600246/detail</t>
  </si>
  <si>
    <t>南京熊猫</t>
  </si>
  <si>
    <t>www.lixinger.com/analytics/company/sh/600775/600775/detail</t>
  </si>
  <si>
    <t>天保基建</t>
  </si>
  <si>
    <t>www.lixinger.com/analytics/company/sz/000965/965/detail</t>
  </si>
  <si>
    <t>中电兴发</t>
  </si>
  <si>
    <t>www.lixinger.com/analytics/company/sz/002298/2298/detail</t>
  </si>
  <si>
    <t>先进数通</t>
  </si>
  <si>
    <t>www.lixinger.com/analytics/company/sz/300541/300541/detail</t>
  </si>
  <si>
    <t>迈威生物</t>
  </si>
  <si>
    <t>www.lixinger.com/analytics/company/sh/688062/688062/detail</t>
  </si>
  <si>
    <t>天源迪科</t>
  </si>
  <si>
    <t>www.lixinger.com/analytics/company/sz/300047/300047/detail</t>
  </si>
  <si>
    <t>*ST环球</t>
  </si>
  <si>
    <t>www.lixinger.com/analytics/company/sh/600146/600146/detail</t>
  </si>
  <si>
    <t>迪哲医药</t>
  </si>
  <si>
    <t>www.lixinger.com/analytics/company/sh/688192/688192/detail</t>
  </si>
  <si>
    <t>国机重装</t>
  </si>
  <si>
    <t>www.lixinger.com/analytics/company/sh/601399/601399/detail</t>
  </si>
  <si>
    <t>广汽集团</t>
  </si>
  <si>
    <t>www.lixinger.com/analytics/company/sh/601238/601238/detail</t>
  </si>
  <si>
    <t>包钢股份</t>
  </si>
  <si>
    <t>www.lixinger.com/analytics/company/sh/600010/600010/detail</t>
  </si>
  <si>
    <t>合肥百货</t>
  </si>
  <si>
    <t>www.lixinger.com/analytics/company/sz/000417/417/detail</t>
  </si>
  <si>
    <t>中环装备</t>
  </si>
  <si>
    <t>www.lixinger.com/analytics/company/sz/300140/300140/detail</t>
  </si>
  <si>
    <t>凯撒旅业</t>
  </si>
  <si>
    <t>www.lixinger.com/analytics/company/sz/000796/796/detail</t>
  </si>
  <si>
    <t>重庆钢铁</t>
  </si>
  <si>
    <t>www.lixinger.com/analytics/company/sh/601005/601005/detail</t>
  </si>
  <si>
    <t>和辉光电</t>
  </si>
  <si>
    <t>www.lixinger.com/analytics/company/sh/688538/688538/detail</t>
  </si>
  <si>
    <t>人民同泰</t>
  </si>
  <si>
    <t>www.lixinger.com/analytics/company/sh/600829/600829/detail</t>
  </si>
  <si>
    <t>延安必康</t>
  </si>
  <si>
    <t>www.lixinger.com/analytics/company/sz/002411/2411/detail</t>
  </si>
  <si>
    <t>越博动力</t>
  </si>
  <si>
    <t>www.lixinger.com/analytics/company/sz/300742/300742/detail</t>
  </si>
  <si>
    <t>中银绒业</t>
  </si>
  <si>
    <t>www.lixinger.com/analytics/company/sz/000982/982/detail</t>
  </si>
  <si>
    <t>蒙草生态</t>
  </si>
  <si>
    <t>www.lixinger.com/analytics/company/sz/300355/300355/detail</t>
  </si>
  <si>
    <t>易事特</t>
  </si>
  <si>
    <t>www.lixinger.com/analytics/company/sz/300376/300376/detail</t>
  </si>
  <si>
    <t>合众思壮</t>
  </si>
  <si>
    <t>www.lixinger.com/analytics/company/sz/002383/2383/detail</t>
  </si>
  <si>
    <t>神州细胞</t>
  </si>
  <si>
    <t>www.lixinger.com/analytics/company/sh/688520/688520/detail</t>
  </si>
  <si>
    <t>日海智能</t>
  </si>
  <si>
    <t>www.lixinger.com/analytics/company/sz/002313/2313/detail</t>
  </si>
  <si>
    <t>神城A退</t>
  </si>
  <si>
    <t>www.lixinger.com/analytics/company/sz/000018/18/detail</t>
  </si>
  <si>
    <t>云从科技</t>
  </si>
  <si>
    <t>www.lixinger.com/analytics/company/sh/688327/688327/detail</t>
  </si>
  <si>
    <t>宋都股份</t>
  </si>
  <si>
    <t>www.lixinger.com/analytics/company/sh/600077/600077/detail</t>
  </si>
  <si>
    <t>中成股份</t>
  </si>
  <si>
    <t>www.lixinger.com/analytics/company/sz/000151/151/detail</t>
  </si>
  <si>
    <t>华映科技</t>
  </si>
  <si>
    <t>www.lixinger.com/analytics/company/sz/000536/536/detail</t>
  </si>
  <si>
    <t>ST北文</t>
  </si>
  <si>
    <t>www.lixinger.com/analytics/company/sz/000802/802/detail</t>
  </si>
  <si>
    <t>ST浩源</t>
  </si>
  <si>
    <t>www.lixinger.com/analytics/company/sz/002700/2700/detail</t>
  </si>
  <si>
    <t>ST贵人</t>
  </si>
  <si>
    <t>www.lixinger.com/analytics/company/sh/603555/603555/detail</t>
  </si>
  <si>
    <t>*ST腾邦</t>
  </si>
  <si>
    <t>www.lixinger.com/analytics/company/sz/300178/300178/detail</t>
  </si>
  <si>
    <t>翱捷科技</t>
  </si>
  <si>
    <t>www.lixinger.com/analytics/company/sh/688220/688220/detail</t>
  </si>
  <si>
    <t>*ST浪奇</t>
  </si>
  <si>
    <t>www.lixinger.com/analytics/company/sz/000523/523/detail</t>
  </si>
  <si>
    <t>瑞达期货</t>
  </si>
  <si>
    <t>www.lixinger.com/analytics/company/sz/002961/2961/detail</t>
  </si>
  <si>
    <t>神城B退</t>
  </si>
  <si>
    <t>www.lixinger.com/analytics/company/sz/200018/200018/detail</t>
  </si>
  <si>
    <t>*ST网力</t>
  </si>
  <si>
    <t>www.lixinger.com/analytics/company/sz/300367/300367/detail</t>
  </si>
  <si>
    <t>深大通</t>
  </si>
  <si>
    <t>www.lixinger.com/analytics/company/sz/000038/38/detail</t>
  </si>
  <si>
    <t>苏宁环球</t>
  </si>
  <si>
    <t>www.lixinger.com/analytics/company/sz/000718/718/detail</t>
  </si>
  <si>
    <t>百奥泰</t>
  </si>
  <si>
    <t>www.lixinger.com/analytics/company/sh/688177/688177/detail</t>
  </si>
  <si>
    <t>申通地铁</t>
  </si>
  <si>
    <t>www.lixinger.com/analytics/company/sh/600834/600834/detail</t>
  </si>
  <si>
    <t>中国卫星</t>
  </si>
  <si>
    <t>www.lixinger.com/analytics/company/sh/600118/600118/detail</t>
  </si>
  <si>
    <t>永福股份</t>
  </si>
  <si>
    <t>www.lixinger.com/analytics/company/sz/300712/300712/detail</t>
  </si>
  <si>
    <t>厦工股份</t>
  </si>
  <si>
    <t>www.lixinger.com/analytics/company/sh/600815/600815/detail</t>
  </si>
  <si>
    <t>澳洋健康</t>
  </si>
  <si>
    <t>www.lixinger.com/analytics/company/sz/002172/2172/detail</t>
  </si>
  <si>
    <t>鹭燕医药</t>
  </si>
  <si>
    <t>www.lixinger.com/analytics/company/sz/002788/2788/detail</t>
  </si>
  <si>
    <t>鼎胜新材</t>
  </si>
  <si>
    <t>www.lixinger.com/analytics/company/sh/603876/603876/detail</t>
  </si>
  <si>
    <t>上海钢联</t>
  </si>
  <si>
    <t>www.lixinger.com/analytics/company/sz/300226/300226/detail</t>
  </si>
  <si>
    <t>石化机械</t>
  </si>
  <si>
    <t>www.lixinger.com/analytics/company/sz/000852/852/detail</t>
  </si>
  <si>
    <t>申华控股</t>
  </si>
  <si>
    <t>www.lixinger.com/analytics/company/sh/600653/600653/detail</t>
  </si>
  <si>
    <t>*ST德威</t>
  </si>
  <si>
    <t>www.lixinger.com/analytics/company/sz/300325/300325/detail</t>
  </si>
  <si>
    <t>国轩高科</t>
  </si>
  <si>
    <t>www.lixinger.com/analytics/company/sz/002074/2074/detail</t>
  </si>
  <si>
    <t>临港B股</t>
  </si>
  <si>
    <t>www.lixinger.com/analytics/company/sh/900928/900928/detail</t>
  </si>
  <si>
    <t>ST宏图</t>
  </si>
  <si>
    <t>www.lixinger.com/analytics/company/sh/600122/600122/detail</t>
  </si>
  <si>
    <t>中国铁物</t>
  </si>
  <si>
    <t>www.lixinger.com/analytics/company/sz/000927/927/detail</t>
  </si>
  <si>
    <t>海德股份</t>
  </si>
  <si>
    <t>www.lixinger.com/analytics/company/sz/000567/567/detail</t>
  </si>
  <si>
    <t>交建股份</t>
  </si>
  <si>
    <t>www.lixinger.com/analytics/company/sh/603815/603815/detail</t>
  </si>
  <si>
    <t>新纶新材</t>
  </si>
  <si>
    <t>www.lixinger.com/analytics/company/sz/002341/2341/detail</t>
  </si>
  <si>
    <t>大全能源</t>
  </si>
  <si>
    <t>www.lixinger.com/analytics/company/sh/688303/688303/detail</t>
  </si>
  <si>
    <t>城建发展</t>
  </si>
  <si>
    <t>www.lixinger.com/analytics/company/sh/600266/600266/detail</t>
  </si>
  <si>
    <t>高鸿股份</t>
  </si>
  <si>
    <t>www.lixinger.com/analytics/company/sz/000851/851/detail</t>
  </si>
  <si>
    <t>康得退</t>
  </si>
  <si>
    <t>www.lixinger.com/analytics/company/sz/002450/2450/detail</t>
  </si>
  <si>
    <t>*ST金洲</t>
  </si>
  <si>
    <t>www.lixinger.com/analytics/company/sz/000587/587/detail</t>
  </si>
  <si>
    <t>ST通葡</t>
  </si>
  <si>
    <t>www.lixinger.com/analytics/company/sh/600365/600365/detail</t>
  </si>
  <si>
    <t>成都路桥</t>
  </si>
  <si>
    <t>www.lixinger.com/analytics/company/sz/002628/2628/detail</t>
  </si>
  <si>
    <t>浙江建投</t>
  </si>
  <si>
    <t>www.lixinger.com/analytics/company/sz/002761/2761/detail</t>
  </si>
  <si>
    <t>中华企业</t>
  </si>
  <si>
    <t>www.lixinger.com/analytics/company/sh/600675/600675/detail</t>
  </si>
  <si>
    <t>万林物流</t>
  </si>
  <si>
    <t>www.lixinger.com/analytics/company/sh/603117/603117/detail</t>
  </si>
  <si>
    <t>英飞拓</t>
  </si>
  <si>
    <t>www.lixinger.com/analytics/company/sz/002528/2528/detail</t>
  </si>
  <si>
    <t>健友股份</t>
  </si>
  <si>
    <t>www.lixinger.com/analytics/company/sh/603707/603707/detail</t>
  </si>
  <si>
    <t>中洲控股</t>
  </si>
  <si>
    <t>www.lixinger.com/analytics/company/sz/000042/42/detail</t>
  </si>
  <si>
    <t>青岛中程</t>
  </si>
  <si>
    <t>www.lixinger.com/analytics/company/sz/300208/300208/detail</t>
  </si>
  <si>
    <t>龙建股份</t>
  </si>
  <si>
    <t>www.lixinger.com/analytics/company/sh/600853/600853/detail</t>
  </si>
  <si>
    <t>贵研铂业</t>
  </si>
  <si>
    <t>www.lixinger.com/analytics/company/sh/600459/600459/detail</t>
  </si>
  <si>
    <t>片仔癀</t>
  </si>
  <si>
    <t>www.lixinger.com/analytics/company/sh/600436/600436/detail</t>
  </si>
  <si>
    <t>南京公用</t>
  </si>
  <si>
    <t>www.lixinger.com/analytics/company/sz/000421/421/detail</t>
  </si>
  <si>
    <t>北方华创</t>
  </si>
  <si>
    <t>www.lixinger.com/analytics/company/sz/002371/2371/detail</t>
  </si>
  <si>
    <t>ST林重</t>
  </si>
  <si>
    <t>www.lixinger.com/analytics/company/sz/002535/2535/detail</t>
  </si>
  <si>
    <t>新华传媒</t>
  </si>
  <si>
    <t>www.lixinger.com/analytics/company/sh/600825/600825/detail</t>
  </si>
  <si>
    <t>广田集团</t>
  </si>
  <si>
    <t>www.lixinger.com/analytics/company/sz/002482/2482/detail</t>
  </si>
  <si>
    <t>深科技</t>
  </si>
  <si>
    <t>www.lixinger.com/analytics/company/sz/000021/21/detail</t>
  </si>
  <si>
    <t>*ST金刚</t>
  </si>
  <si>
    <t>www.lixinger.com/analytics/company/sz/300064/300064/detail</t>
  </si>
  <si>
    <t>玉龙股份</t>
  </si>
  <si>
    <t>www.lixinger.com/analytics/company/sh/601028/601028/detail</t>
  </si>
  <si>
    <t>ST金正</t>
  </si>
  <si>
    <t>www.lixinger.com/analytics/company/sz/002470/2470/detail</t>
  </si>
  <si>
    <t>奇安信</t>
  </si>
  <si>
    <t>www.lixinger.com/analytics/company/sh/688561/688561/detail</t>
  </si>
  <si>
    <t>东阿阿胶</t>
  </si>
  <si>
    <t>www.lixinger.com/analytics/company/sz/000423/423/detail</t>
  </si>
  <si>
    <t>力帆科技</t>
  </si>
  <si>
    <t>www.lixinger.com/analytics/company/sh/601777/601777/detail</t>
  </si>
  <si>
    <t>中航沈飞</t>
  </si>
  <si>
    <t>www.lixinger.com/analytics/company/sh/600760/600760/detail</t>
  </si>
  <si>
    <t>君实生物</t>
  </si>
  <si>
    <t>www.lixinger.com/analytics/company/sh/688180/688180/detail</t>
  </si>
  <si>
    <t>老凤祥</t>
  </si>
  <si>
    <t>www.lixinger.com/analytics/company/sh/600612/600612/detail</t>
  </si>
  <si>
    <t>东方园林</t>
  </si>
  <si>
    <t>www.lixinger.com/analytics/company/sz/002310/2310/detail</t>
  </si>
  <si>
    <t>浙江东方</t>
  </si>
  <si>
    <t>www.lixinger.com/analytics/company/sh/600120/600120/detail</t>
  </si>
  <si>
    <t>浦东金桥</t>
  </si>
  <si>
    <t>www.lixinger.com/analytics/company/sh/600639/600639/detail</t>
  </si>
  <si>
    <t>龙大美食</t>
  </si>
  <si>
    <t>www.lixinger.com/analytics/company/sz/002726/2726/detail</t>
  </si>
  <si>
    <t>陕国投Ａ</t>
  </si>
  <si>
    <t>www.lixinger.com/analytics/company/sz/000563/563/detail</t>
  </si>
  <si>
    <t>中国武夷</t>
  </si>
  <si>
    <t>www.lixinger.com/analytics/company/sz/000797/797/detail</t>
  </si>
  <si>
    <t>兆驰股份</t>
  </si>
  <si>
    <t>www.lixinger.com/analytics/company/sz/002429/2429/detail</t>
  </si>
  <si>
    <t>国投资本</t>
  </si>
  <si>
    <t>www.lixinger.com/analytics/company/sh/600061/600061/detail</t>
  </si>
  <si>
    <t>中国西电</t>
  </si>
  <si>
    <t>www.lixinger.com/analytics/company/sh/601179/601179/detail</t>
  </si>
  <si>
    <t>小商品城</t>
  </si>
  <si>
    <t>www.lixinger.com/analytics/company/sh/600415/600415/detail</t>
  </si>
  <si>
    <t>深康佳Ａ</t>
  </si>
  <si>
    <t>www.lixinger.com/analytics/company/sz/000016/16/detail</t>
  </si>
  <si>
    <t>北方国际</t>
  </si>
  <si>
    <t>www.lixinger.com/analytics/company/sz/000065/65/detail</t>
  </si>
  <si>
    <t>新疆交建</t>
  </si>
  <si>
    <t>www.lixinger.com/analytics/company/sz/002941/2941/detail</t>
  </si>
  <si>
    <t>中新集团</t>
  </si>
  <si>
    <t>www.lixinger.com/analytics/company/sh/601512/601512/detail</t>
  </si>
  <si>
    <t>*ST宜生</t>
  </si>
  <si>
    <t>www.lixinger.com/analytics/company/sh/600978/600978/detail</t>
  </si>
  <si>
    <t>深康佳Ｂ</t>
  </si>
  <si>
    <t>www.lixinger.com/analytics/company/sz/200016/200016/detail</t>
  </si>
  <si>
    <t>广宇发展</t>
  </si>
  <si>
    <t>www.lixinger.com/analytics/company/sz/000537/537/detail</t>
  </si>
  <si>
    <t>国金证券</t>
  </si>
  <si>
    <t>www.lixinger.com/analytics/company/sh/600109/600109/detail</t>
  </si>
  <si>
    <t>金一文化</t>
  </si>
  <si>
    <t>www.lixinger.com/analytics/company/sz/002721/2721/detail</t>
  </si>
  <si>
    <t>南国置业</t>
  </si>
  <si>
    <t>www.lixinger.com/analytics/company/sz/002305/2305/detail</t>
  </si>
  <si>
    <t>荣盛石化</t>
  </si>
  <si>
    <t>www.lixinger.com/analytics/company/sz/002493/2493/detail</t>
  </si>
  <si>
    <t>东方能源</t>
  </si>
  <si>
    <t>www.lixinger.com/analytics/company/sz/000958/958/detail</t>
  </si>
  <si>
    <t>外高桥</t>
  </si>
  <si>
    <t>www.lixinger.com/analytics/company/sh/600648/600648/detail</t>
  </si>
  <si>
    <t>电子城</t>
  </si>
  <si>
    <t>www.lixinger.com/analytics/company/sh/600658/600658/detail</t>
  </si>
  <si>
    <t>栖霞建设</t>
  </si>
  <si>
    <t>www.lixinger.com/analytics/company/sh/600533/600533/detail</t>
  </si>
  <si>
    <t>南山控股</t>
  </si>
  <si>
    <t>www.lixinger.com/analytics/company/sz/002314/2314/detail</t>
  </si>
  <si>
    <t>中油工程</t>
  </si>
  <si>
    <t>www.lixinger.com/analytics/company/sh/600339/600339/detail</t>
  </si>
  <si>
    <t>长城证券</t>
  </si>
  <si>
    <t>www.lixinger.com/analytics/company/sz/002939/2939/detail</t>
  </si>
  <si>
    <t>苏州高新</t>
  </si>
  <si>
    <t>www.lixinger.com/analytics/company/sh/600736/600736/detail</t>
  </si>
  <si>
    <t>重庆银行</t>
  </si>
  <si>
    <t>www.lixinger.com/analytics/company/sh/601963/601963/detail</t>
  </si>
  <si>
    <t>*ST云城</t>
  </si>
  <si>
    <t>www.lixinger.com/analytics/company/sh/600239/600239/detail</t>
  </si>
  <si>
    <t>厦门信达</t>
  </si>
  <si>
    <t>www.lixinger.com/analytics/company/sz/000701/701/detail</t>
  </si>
  <si>
    <t>天风证券</t>
  </si>
  <si>
    <t>www.lixinger.com/analytics/company/sh/601162/601162/detail</t>
  </si>
  <si>
    <t>东旭光电</t>
  </si>
  <si>
    <t>www.lixinger.com/analytics/company/sz/000413/413/detail</t>
  </si>
  <si>
    <t>鲁商发展</t>
  </si>
  <si>
    <t>www.lixinger.com/analytics/company/sh/600223/600223/detail</t>
  </si>
  <si>
    <t>东旭B</t>
  </si>
  <si>
    <t>www.lixinger.com/analytics/company/sz/200413/200413/detail</t>
  </si>
  <si>
    <t>厦门国贸</t>
  </si>
  <si>
    <t>www.lixinger.com/analytics/company/sh/600755/600755/detail</t>
  </si>
  <si>
    <t>兰州银行</t>
  </si>
  <si>
    <t>www.lixinger.com/analytics/company/sz/001227/1227/detail</t>
  </si>
  <si>
    <t>张家港行</t>
  </si>
  <si>
    <t>www.lixinger.com/analytics/company/sz/002839/2839/detail</t>
  </si>
  <si>
    <t>中国核建</t>
  </si>
  <si>
    <t>www.lixinger.com/analytics/company/sh/601611/601611/detail</t>
  </si>
  <si>
    <t>华远地产</t>
  </si>
  <si>
    <t>www.lixinger.com/analytics/company/sh/600743/600743/detail</t>
  </si>
  <si>
    <t>中交地产</t>
  </si>
  <si>
    <t>www.lixinger.com/analytics/company/sz/000736/736/detail</t>
  </si>
  <si>
    <t>庞大集团</t>
  </si>
  <si>
    <t>www.lixinger.com/analytics/company/sh/601258/601258/detail</t>
  </si>
  <si>
    <t>光明地产</t>
  </si>
  <si>
    <t>www.lixinger.com/analytics/company/sh/600708/600708/detail</t>
  </si>
  <si>
    <t>上海临港</t>
  </si>
  <si>
    <t>www.lixinger.com/analytics/company/sh/600848/600848/detail</t>
  </si>
  <si>
    <t>青农商行</t>
  </si>
  <si>
    <t>www.lixinger.com/analytics/company/sz/002958/2958/detail</t>
  </si>
  <si>
    <t>中航产融</t>
  </si>
  <si>
    <t>www.lixinger.com/analytics/company/sh/600705/600705/detail</t>
  </si>
  <si>
    <t>华侨城Ａ</t>
  </si>
  <si>
    <t>www.lixinger.com/analytics/company/sz/000069/69/detail</t>
  </si>
  <si>
    <t>京能置业</t>
  </si>
  <si>
    <t>www.lixinger.com/analytics/company/sh/600791/600791/detail</t>
  </si>
  <si>
    <t>百济神州</t>
  </si>
  <si>
    <t>www.lixinger.com/analytics/company/sh/688235/688235/detail</t>
  </si>
  <si>
    <t>*ST众泰</t>
  </si>
  <si>
    <t>www.lixinger.com/analytics/company/sz/000980/980/detail</t>
  </si>
  <si>
    <t>城投控股</t>
  </si>
  <si>
    <t>www.lixinger.com/analytics/company/sh/600649/600649/detail</t>
  </si>
  <si>
    <t>北汽蓝谷</t>
  </si>
  <si>
    <t>www.lixinger.com/analytics/company/sh/600733/600733/detail</t>
  </si>
  <si>
    <t>安徽建工</t>
  </si>
  <si>
    <t>www.lixinger.com/analytics/company/sh/600502/600502/detail</t>
  </si>
  <si>
    <t>张江高科</t>
  </si>
  <si>
    <t>www.lixinger.com/analytics/company/sh/600895/600895/detail</t>
  </si>
  <si>
    <t>青岛银行</t>
  </si>
  <si>
    <t>www.lixinger.com/analytics/company/sz/002948/2948/detail</t>
  </si>
  <si>
    <t>红塔证券</t>
  </si>
  <si>
    <t>www.lixinger.com/analytics/company/sh/601236/601236/detail</t>
  </si>
  <si>
    <t>京投发展</t>
  </si>
  <si>
    <t>www.lixinger.com/analytics/company/sh/600683/600683/detail</t>
  </si>
  <si>
    <t>厦门银行</t>
  </si>
  <si>
    <t>www.lixinger.com/analytics/company/sh/601187/601187/detail</t>
  </si>
  <si>
    <t>郑州银行</t>
  </si>
  <si>
    <t>www.lixinger.com/analytics/company/sz/002936/2936/detail</t>
  </si>
  <si>
    <t>上海银行</t>
  </si>
  <si>
    <t>www.lixinger.com/analytics/company/sh/601229/601229/detail</t>
  </si>
  <si>
    <t>浙商银行</t>
  </si>
  <si>
    <t>www.lixinger.com/analytics/company/sh/601916/601916/detail</t>
  </si>
  <si>
    <t>苏州银行</t>
  </si>
  <si>
    <t>www.lixinger.com/analytics/company/sz/002966/2966/detail</t>
  </si>
  <si>
    <t>中金公司</t>
  </si>
  <si>
    <t>www.lixinger.com/analytics/company/sh/601995/601995/detail</t>
  </si>
  <si>
    <t>苏宁易购</t>
  </si>
  <si>
    <t>www.lixinger.com/analytics/company/sz/002024/2024/detail</t>
  </si>
  <si>
    <t>长沙银行</t>
  </si>
  <si>
    <t>www.lixinger.com/analytics/company/sh/601577/601577/detail</t>
  </si>
  <si>
    <t>华夏幸福</t>
  </si>
  <si>
    <t>www.lixinger.com/analytics/company/sh/600340/600340/detail</t>
  </si>
  <si>
    <t>中国建筑</t>
  </si>
  <si>
    <t>www.lixinger.com/analytics/company/sh/601668/601668/detail</t>
  </si>
  <si>
    <t>平安银行</t>
  </si>
  <si>
    <t>www.lixinger.com/analytics/company/sz/000001/1/detail</t>
  </si>
  <si>
    <t>*ST西水</t>
  </si>
  <si>
    <t>www.lixinger.com/analytics/company/sh/600291/600291/detail</t>
  </si>
  <si>
    <t>江苏银行</t>
  </si>
  <si>
    <t>www.lixinger.com/analytics/company/sh/600919/600919/detail</t>
  </si>
  <si>
    <t>浦发银行</t>
  </si>
  <si>
    <t>www.lixinger.com/analytics/company/sh/600000/600000/detail</t>
  </si>
  <si>
    <t>交通银行</t>
  </si>
  <si>
    <t>www.lixinger.com/analytics/company/sh/601328/601328/detail</t>
  </si>
  <si>
    <t>民生银行</t>
  </si>
  <si>
    <t>www.lixinger.com/analytics/company/sh/600016/600016/detail</t>
  </si>
  <si>
    <t>中国银行</t>
  </si>
  <si>
    <t>www.lixinger.com/analytics/company/sh/601988/601988/detail</t>
  </si>
  <si>
    <t>兴业银行</t>
  </si>
  <si>
    <t>www.lixinger.com/analytics/company/sh/601166/601166/detail</t>
  </si>
  <si>
    <t>武钢股份</t>
  </si>
  <si>
    <t>www.lixinger.com/analytics/company/sh/600005/600005/detail</t>
  </si>
  <si>
    <t>*ST联谊</t>
  </si>
  <si>
    <t>www.lixinger.com/analytics/company/sh/600065/600065/detail</t>
  </si>
  <si>
    <t>退市长油</t>
  </si>
  <si>
    <t>www.lixinger.com/analytics/company/sh/600087/600087/detail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</si>
  <si>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</si>
  <si>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</si>
  <si>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</si>
  <si>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</si>
  <si>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</si>
  <si>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</si>
  <si>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</si>
  <si>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</si>
  <si>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</si>
  <si>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</si>
  <si>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</si>
  <si>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</si>
  <si>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</si>
  <si>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</si>
  <si>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PT水仙</t>
  </si>
  <si>
    <t>www.lixinger.com/analytics/company/sh/600625/600625/detail</t>
  </si>
  <si>
    <t>www.lixinger.com/analytics/company/sh/600631/600631/detail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</si>
  <si>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</si>
  <si>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</si>
  <si>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</si>
  <si>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</si>
  <si>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</si>
  <si>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</si>
  <si>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</si>
  <si>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</si>
  <si>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</si>
  <si>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</si>
  <si>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*ST数码</t>
  </si>
  <si>
    <t>www.lixinger.com/analytics/company/sh/600700/600700/detail</t>
  </si>
  <si>
    <t>ST生态</t>
  </si>
  <si>
    <t>www.lixinger.com/analytics/company/sh/600709/600709/detail</t>
  </si>
  <si>
    <t>*ST哈慈</t>
  </si>
  <si>
    <t>www.lixinger.com/analytics/company/sh/600752/600752/detail</t>
  </si>
  <si>
    <t>*ST达曼</t>
  </si>
  <si>
    <t>www.lixinger.com/analytics/company/sh/600788/600788/detail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</si>
  <si>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</si>
  <si>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</si>
  <si>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</si>
  <si>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</si>
  <si>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</si>
  <si>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</si>
  <si>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*ST中川</t>
  </si>
  <si>
    <t>www.lixinger.com/analytics/company/sh/600852/600852/detail</t>
  </si>
  <si>
    <t>*ST北科</t>
  </si>
  <si>
    <t>www.lixinger.com/analytics/company/sh/600878/600878/detail</t>
  </si>
  <si>
    <t>海尔施</t>
  </si>
  <si>
    <t>医疗器械</t>
  </si>
  <si>
    <t>www.lixinger.com/analytics/company/sh/601206/601206/detail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</si>
  <si>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</si>
  <si>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</si>
  <si>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</si>
  <si>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</si>
  <si>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</si>
  <si>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</si>
  <si>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中国能建</t>
  </si>
  <si>
    <t>www.lixinger.com/analytics/company/sh/601868/601868/detail</t>
  </si>
  <si>
    <t>鑫广绿环</t>
  </si>
  <si>
    <t>www.lixinger.com/analytics/company/sh/603302/603302/detail</t>
  </si>
  <si>
    <t>PT水仙Ｂ</t>
  </si>
  <si>
    <t>www.lixinger.com/analytics/company/sh/900931/900931/detail</t>
  </si>
  <si>
    <t>阳晨Ｂ股</t>
  </si>
  <si>
    <t>www.lixinger.com/analytics/company/sh/900935/900935/detail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</si>
  <si>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</si>
  <si>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</si>
  <si>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</si>
  <si>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</si>
  <si>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PT金田Ａ</t>
  </si>
  <si>
    <t>www.lixinger.com/analytics/company/sz/000003/3/detail</t>
  </si>
  <si>
    <t>PT中浩Ａ</t>
  </si>
  <si>
    <t>www.lixinger.com/analytics/company/sz/000015/15/detail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</si>
  <si>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</si>
  <si>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</si>
  <si>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</si>
  <si>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</si>
  <si>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</si>
  <si>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</si>
  <si>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ST中侨</t>
  </si>
  <si>
    <t>www.lixinger.com/analytics/company/sz/000047/47/detail</t>
  </si>
  <si>
    <t>ST鑫光</t>
  </si>
  <si>
    <t>www.lixinger.com/analytics/company/sz/000405/405/detail</t>
  </si>
  <si>
    <t>小天鹅Ａ</t>
  </si>
  <si>
    <t>www.lixinger.com/analytics/company/sz/000418/418/detail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</si>
  <si>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</si>
  <si>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</si>
  <si>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</si>
  <si>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</si>
  <si>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</si>
  <si>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</si>
  <si>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</si>
  <si>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</si>
  <si>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</si>
  <si>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</si>
  <si>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</si>
  <si>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</si>
  <si>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</si>
  <si>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</si>
  <si>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</si>
  <si>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</si>
  <si>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</si>
  <si>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</si>
  <si>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</si>
  <si>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</si>
  <si>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</si>
  <si>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</si>
  <si>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</si>
  <si>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</si>
  <si>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</si>
  <si>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</si>
  <si>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</si>
  <si>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</si>
  <si>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</si>
  <si>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</si>
  <si>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S*ST佳纸</t>
  </si>
  <si>
    <t>www.lixinger.com/analytics/company/sz/000699/699/detail</t>
  </si>
  <si>
    <t>*ST环保</t>
  </si>
  <si>
    <t>www.lixinger.com/analytics/company/sz/000730/730/detail</t>
  </si>
  <si>
    <t>长城信息</t>
  </si>
  <si>
    <t>www.lixinger.com/analytics/company/sz/000748/748/detail</t>
  </si>
  <si>
    <t>*ST华信</t>
  </si>
  <si>
    <t>www.lixinger.com/analytics/company/sz/000765/765/detail</t>
  </si>
  <si>
    <t>*ST大菲</t>
  </si>
  <si>
    <t>www.lixinger.com/analytics/company/sz/000769/769/detail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</si>
  <si>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</si>
  <si>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</si>
  <si>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</si>
  <si>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</si>
  <si>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</si>
  <si>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</si>
  <si>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</si>
  <si>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</si>
  <si>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中弘退</t>
  </si>
  <si>
    <t>www.lixinger.com/analytics/company/sz/000979/979/detail</t>
  </si>
  <si>
    <t>龙源电力</t>
  </si>
  <si>
    <t>www.lixinger.com/analytics/company/sz/001289/1289/detail</t>
  </si>
  <si>
    <t>众和退</t>
  </si>
  <si>
    <t>www.lixinger.com/analytics/company/sz/002070/2070/detail</t>
  </si>
  <si>
    <t>印纪退</t>
  </si>
  <si>
    <t>www.lixinger.com/analytics/company/sz/002143/2143/detail</t>
  </si>
  <si>
    <t>雏鹰退</t>
  </si>
  <si>
    <t>www.lixinger.com/analytics/company/sz/002477/2477/detail</t>
  </si>
  <si>
    <t>长生退</t>
  </si>
  <si>
    <t>www.lixinger.com/analytics/company/sz/002680/2680/detail</t>
  </si>
  <si>
    <t>慈铭体检</t>
  </si>
  <si>
    <t>医疗服务</t>
  </si>
  <si>
    <t>www.lixinger.com/analytics/company/sz/002710/2710/detail</t>
  </si>
  <si>
    <t>宏良股份</t>
  </si>
  <si>
    <t>www.lixinger.com/analytics/company/sz/002720/2720/detail</t>
  </si>
  <si>
    <t>万科Ｂ</t>
  </si>
  <si>
    <t>www.lixinger.com/analytics/company/sz/200002/200002/detail</t>
  </si>
  <si>
    <t>PT金田Ｂ</t>
  </si>
  <si>
    <t>www.lixinger.com/analytics/company/sz/200003/200003/detail</t>
  </si>
  <si>
    <t>PT中浩Ｂ</t>
  </si>
  <si>
    <t>www.lixinger.com/analytics/company/sz/200015/200015/detail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</si>
  <si>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</si>
  <si>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</si>
  <si>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</si>
  <si>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</si>
  <si>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中集Ｂ</t>
  </si>
  <si>
    <t>www.lixinger.com/analytics/company/sz/200039/200039/detail</t>
  </si>
  <si>
    <t>深基地Ｂ</t>
  </si>
  <si>
    <t>www.lixinger.com/analytics/company/sz/200053/200053/detail</t>
  </si>
  <si>
    <t>小天鹅Ｂ</t>
  </si>
  <si>
    <t>www.lixinger.com/analytics/company/sz/200418/200418/detail</t>
  </si>
  <si>
    <t>丽珠Ｂ</t>
  </si>
  <si>
    <t>www.lixinger.com/analytics/company/sz/200513/200513/detail</t>
  </si>
  <si>
    <t>武锅B退</t>
  </si>
  <si>
    <t>www.lixinger.com/analytics/company/sz/200770/200770/detail</t>
  </si>
  <si>
    <t>神雾退</t>
  </si>
  <si>
    <t>www.lixinger.com/analytics/company/sz/300156/300156/detail</t>
  </si>
  <si>
    <t>大华农</t>
  </si>
  <si>
    <t>www.lixinger.com/analytics/company/sz/300186/300186/detail</t>
  </si>
  <si>
    <t>www.lixinger.com/analytics/company/sz/300361/300361/detail</t>
  </si>
  <si>
    <t>欣泰退</t>
  </si>
  <si>
    <t>www.lixinger.com/analytics/company/sz/300372/300372/detail</t>
  </si>
  <si>
    <t>暴风退</t>
  </si>
  <si>
    <t>www.lixinger.com/analytics/company/sz/300431/300431/detail</t>
  </si>
  <si>
    <t>侨源气体</t>
  </si>
  <si>
    <t>www.lixinger.com/analytics/company/sz/300646/300646/detail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</si>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</sst>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"601398"</f>
        <v>601398</v>
      </c>
      <c r="C2" t="s">
        <v>18</v>
      </c>
      <c r="D2" t="s">
        <v>19</v>
      </c>
      <c r="F2">
        <v>360882000000</v>
      </c>
      <c r="G2">
        <v>1557616000000</v>
      </c>
      <c r="H2">
        <v>694521000000</v>
      </c>
      <c r="I2">
        <v>724133000000</v>
      </c>
      <c r="J2">
        <v>770864000000</v>
      </c>
      <c r="K2">
        <v>239221000000</v>
      </c>
      <c r="L2">
        <v>1131764000000</v>
      </c>
      <c r="M2">
        <v>201457000000</v>
      </c>
      <c r="N2">
        <v>-1947000000</v>
      </c>
      <c r="O2">
        <v>533508000000</v>
      </c>
      <c r="P2">
        <v>20387</v>
      </c>
      <c r="Q2" t="s">
        <v>20</v>
      </c>
    </row>
    <row r="3" spans="1:17" x14ac:dyDescent="0.3">
      <c r="A3" t="s">
        <v>17</v>
      </c>
      <c r="B3" t="str">
        <f>"601939"</f>
        <v>601939</v>
      </c>
      <c r="C3" t="s">
        <v>21</v>
      </c>
      <c r="D3" t="s">
        <v>19</v>
      </c>
      <c r="F3">
        <v>436718000000</v>
      </c>
      <c r="G3">
        <v>580685000000</v>
      </c>
      <c r="H3">
        <v>581287000000</v>
      </c>
      <c r="I3">
        <v>615831000000</v>
      </c>
      <c r="J3">
        <v>79090000000</v>
      </c>
      <c r="K3">
        <v>882532000000</v>
      </c>
      <c r="L3">
        <v>633494000000</v>
      </c>
      <c r="M3">
        <v>316951000000</v>
      </c>
      <c r="N3">
        <v>45929000000</v>
      </c>
      <c r="O3">
        <v>368813000000</v>
      </c>
      <c r="P3">
        <v>19332</v>
      </c>
      <c r="Q3" t="s">
        <v>22</v>
      </c>
    </row>
    <row r="4" spans="1:17" x14ac:dyDescent="0.3">
      <c r="A4" t="s">
        <v>17</v>
      </c>
      <c r="B4" t="str">
        <f>"601857"</f>
        <v>601857</v>
      </c>
      <c r="C4" t="s">
        <v>23</v>
      </c>
      <c r="D4" t="s">
        <v>24</v>
      </c>
      <c r="F4">
        <v>341469000000</v>
      </c>
      <c r="G4">
        <v>318575000000</v>
      </c>
      <c r="H4">
        <v>359610000000</v>
      </c>
      <c r="I4">
        <v>351565000000</v>
      </c>
      <c r="J4">
        <v>366655000000</v>
      </c>
      <c r="K4">
        <v>265179000000</v>
      </c>
      <c r="L4">
        <v>261312000000</v>
      </c>
      <c r="M4">
        <v>356477000000</v>
      </c>
      <c r="N4">
        <v>288529000000</v>
      </c>
      <c r="O4">
        <v>239288000000</v>
      </c>
      <c r="P4">
        <v>1280</v>
      </c>
      <c r="Q4" t="s">
        <v>25</v>
      </c>
    </row>
    <row r="5" spans="1:17" x14ac:dyDescent="0.3">
      <c r="A5" t="s">
        <v>17</v>
      </c>
      <c r="B5" t="str">
        <f>"601288"</f>
        <v>601288</v>
      </c>
      <c r="C5" t="s">
        <v>26</v>
      </c>
      <c r="D5" t="s">
        <v>19</v>
      </c>
      <c r="F5">
        <v>239615000000</v>
      </c>
      <c r="G5">
        <v>-60936000000</v>
      </c>
      <c r="H5">
        <v>352571000000</v>
      </c>
      <c r="I5">
        <v>105927000000</v>
      </c>
      <c r="J5">
        <v>633417000000</v>
      </c>
      <c r="K5">
        <v>715973000000</v>
      </c>
      <c r="L5">
        <v>820348000000</v>
      </c>
      <c r="M5">
        <v>34615000000</v>
      </c>
      <c r="N5">
        <v>32879000000</v>
      </c>
      <c r="O5">
        <v>340779000000</v>
      </c>
      <c r="P5">
        <v>9498</v>
      </c>
      <c r="Q5" t="s">
        <v>27</v>
      </c>
    </row>
    <row r="6" spans="1:17" x14ac:dyDescent="0.3">
      <c r="A6" t="s">
        <v>17</v>
      </c>
      <c r="B6" t="str">
        <f>"601628"</f>
        <v>601628</v>
      </c>
      <c r="C6" t="s">
        <v>28</v>
      </c>
      <c r="D6" t="s">
        <v>29</v>
      </c>
      <c r="F6">
        <v>286448000000</v>
      </c>
      <c r="G6">
        <v>304024000000</v>
      </c>
      <c r="H6">
        <v>286032000000</v>
      </c>
      <c r="I6">
        <v>147552000000</v>
      </c>
      <c r="J6">
        <v>200990000000</v>
      </c>
      <c r="K6">
        <v>89098000000</v>
      </c>
      <c r="L6">
        <v>-18811000000</v>
      </c>
      <c r="M6">
        <v>78247000000</v>
      </c>
      <c r="N6">
        <v>68292000000</v>
      </c>
      <c r="O6">
        <v>132182000000</v>
      </c>
      <c r="P6">
        <v>1729</v>
      </c>
      <c r="Q6" t="s">
        <v>30</v>
      </c>
    </row>
    <row r="7" spans="1:17" x14ac:dyDescent="0.3">
      <c r="A7" t="s">
        <v>17</v>
      </c>
      <c r="B7" t="str">
        <f>"601318"</f>
        <v>601318</v>
      </c>
      <c r="C7" t="s">
        <v>31</v>
      </c>
      <c r="D7" t="s">
        <v>29</v>
      </c>
      <c r="F7">
        <v>90116000000</v>
      </c>
      <c r="G7">
        <v>312075000000</v>
      </c>
      <c r="H7">
        <v>249445000000</v>
      </c>
      <c r="I7">
        <v>206260000000</v>
      </c>
      <c r="J7">
        <v>121283000000</v>
      </c>
      <c r="K7">
        <v>227821000000</v>
      </c>
      <c r="L7">
        <v>135618000000</v>
      </c>
      <c r="M7">
        <v>170260000000</v>
      </c>
      <c r="N7">
        <v>217138000000</v>
      </c>
      <c r="O7">
        <v>280897000000</v>
      </c>
      <c r="P7">
        <v>27845</v>
      </c>
      <c r="Q7" t="s">
        <v>32</v>
      </c>
    </row>
    <row r="8" spans="1:17" x14ac:dyDescent="0.3">
      <c r="A8" t="s">
        <v>17</v>
      </c>
      <c r="B8" t="str">
        <f>"600941"</f>
        <v>600941</v>
      </c>
      <c r="C8" t="s">
        <v>33</v>
      </c>
      <c r="D8" t="s">
        <v>34</v>
      </c>
      <c r="F8">
        <v>314764000000</v>
      </c>
      <c r="G8">
        <v>307761000000</v>
      </c>
      <c r="H8">
        <v>247591000000</v>
      </c>
      <c r="I8">
        <v>206151000000</v>
      </c>
      <c r="P8">
        <v>114</v>
      </c>
      <c r="Q8" t="s">
        <v>35</v>
      </c>
    </row>
    <row r="9" spans="1:17" x14ac:dyDescent="0.3">
      <c r="A9" t="s">
        <v>17</v>
      </c>
      <c r="B9" t="str">
        <f>"600028"</f>
        <v>600028</v>
      </c>
      <c r="C9" t="s">
        <v>36</v>
      </c>
      <c r="D9" t="s">
        <v>24</v>
      </c>
      <c r="F9">
        <v>225174000000</v>
      </c>
      <c r="G9">
        <v>167518000000</v>
      </c>
      <c r="H9">
        <v>153420000000</v>
      </c>
      <c r="I9">
        <v>175868000000</v>
      </c>
      <c r="J9">
        <v>190935000000</v>
      </c>
      <c r="K9">
        <v>214543000000</v>
      </c>
      <c r="L9">
        <v>165818000000</v>
      </c>
      <c r="M9">
        <v>148347000000</v>
      </c>
      <c r="N9">
        <v>151893000000</v>
      </c>
      <c r="O9">
        <v>143462000000</v>
      </c>
      <c r="P9">
        <v>2315</v>
      </c>
      <c r="Q9" t="s">
        <v>37</v>
      </c>
    </row>
    <row r="10" spans="1:17" x14ac:dyDescent="0.3">
      <c r="A10" t="s">
        <v>17</v>
      </c>
      <c r="B10" t="str">
        <f>"600938"</f>
        <v>600938</v>
      </c>
      <c r="C10" t="s">
        <v>38</v>
      </c>
      <c r="F10">
        <v>147893000000</v>
      </c>
      <c r="G10">
        <v>82338042000</v>
      </c>
      <c r="H10">
        <v>123518426000</v>
      </c>
      <c r="I10">
        <v>124397090200</v>
      </c>
      <c r="P10">
        <v>26</v>
      </c>
      <c r="Q10" t="s">
        <v>39</v>
      </c>
    </row>
    <row r="11" spans="1:17" x14ac:dyDescent="0.3">
      <c r="A11" t="s">
        <v>17</v>
      </c>
      <c r="B11" t="str">
        <f>"601998"</f>
        <v>601998</v>
      </c>
      <c r="C11" t="s">
        <v>40</v>
      </c>
      <c r="D11" t="s">
        <v>41</v>
      </c>
      <c r="F11">
        <v>-75394000000</v>
      </c>
      <c r="G11">
        <v>156863000000</v>
      </c>
      <c r="H11">
        <v>116969000000</v>
      </c>
      <c r="I11">
        <v>102316000000</v>
      </c>
      <c r="J11">
        <v>54074000000</v>
      </c>
      <c r="K11">
        <v>218811000000</v>
      </c>
      <c r="L11">
        <v>-20835000000</v>
      </c>
      <c r="M11">
        <v>34150000000</v>
      </c>
      <c r="N11">
        <v>-136228000000</v>
      </c>
      <c r="O11">
        <v>-55426000000</v>
      </c>
      <c r="P11">
        <v>1903</v>
      </c>
      <c r="Q11" t="s">
        <v>42</v>
      </c>
    </row>
    <row r="12" spans="1:17" x14ac:dyDescent="0.3">
      <c r="A12" t="s">
        <v>17</v>
      </c>
      <c r="B12" t="str">
        <f>"601728"</f>
        <v>601728</v>
      </c>
      <c r="C12" t="s">
        <v>43</v>
      </c>
      <c r="D12" t="s">
        <v>34</v>
      </c>
      <c r="F12">
        <v>139194837161</v>
      </c>
      <c r="G12">
        <v>135181000000</v>
      </c>
      <c r="H12">
        <v>116658000000</v>
      </c>
      <c r="I12">
        <v>102339000000</v>
      </c>
      <c r="P12">
        <v>144</v>
      </c>
      <c r="Q12" t="s">
        <v>44</v>
      </c>
    </row>
    <row r="13" spans="1:17" x14ac:dyDescent="0.3">
      <c r="A13" t="s">
        <v>17</v>
      </c>
      <c r="B13" t="str">
        <f>"601601"</f>
        <v>601601</v>
      </c>
      <c r="C13" t="s">
        <v>45</v>
      </c>
      <c r="D13" t="s">
        <v>29</v>
      </c>
      <c r="F13">
        <v>108407000000</v>
      </c>
      <c r="G13">
        <v>108063000000</v>
      </c>
      <c r="H13">
        <v>111795000000</v>
      </c>
      <c r="I13">
        <v>89449000000</v>
      </c>
      <c r="J13">
        <v>86051000000</v>
      </c>
      <c r="K13">
        <v>63137000000</v>
      </c>
      <c r="L13">
        <v>40894000000</v>
      </c>
      <c r="M13">
        <v>40050000000</v>
      </c>
      <c r="N13">
        <v>45114000000</v>
      </c>
      <c r="O13">
        <v>52124000000</v>
      </c>
      <c r="P13">
        <v>2648</v>
      </c>
      <c r="Q13" t="s">
        <v>46</v>
      </c>
    </row>
    <row r="14" spans="1:17" x14ac:dyDescent="0.3">
      <c r="A14" t="s">
        <v>17</v>
      </c>
      <c r="B14" t="str">
        <f>"600050"</f>
        <v>600050</v>
      </c>
      <c r="C14" t="s">
        <v>47</v>
      </c>
      <c r="D14" t="s">
        <v>34</v>
      </c>
      <c r="F14">
        <v>111971577348</v>
      </c>
      <c r="G14">
        <v>107333764603</v>
      </c>
      <c r="H14">
        <v>96208235799</v>
      </c>
      <c r="I14">
        <v>94829725347</v>
      </c>
      <c r="J14">
        <v>91335372029</v>
      </c>
      <c r="K14">
        <v>79525033170</v>
      </c>
      <c r="L14">
        <v>89233265026</v>
      </c>
      <c r="M14">
        <v>92429180159</v>
      </c>
      <c r="N14">
        <v>83369464367</v>
      </c>
      <c r="O14">
        <v>74738405183</v>
      </c>
      <c r="P14">
        <v>1304</v>
      </c>
      <c r="Q14" t="s">
        <v>48</v>
      </c>
    </row>
    <row r="15" spans="1:17" x14ac:dyDescent="0.3">
      <c r="A15" t="s">
        <v>17</v>
      </c>
      <c r="B15" t="str">
        <f>"600015"</f>
        <v>600015</v>
      </c>
      <c r="C15" t="s">
        <v>49</v>
      </c>
      <c r="D15" t="s">
        <v>41</v>
      </c>
      <c r="F15">
        <v>71015000000</v>
      </c>
      <c r="G15">
        <v>34759000000</v>
      </c>
      <c r="H15">
        <v>79082000000</v>
      </c>
      <c r="I15">
        <v>-100935000000</v>
      </c>
      <c r="J15">
        <v>-87828000000</v>
      </c>
      <c r="K15">
        <v>139912000000</v>
      </c>
      <c r="L15">
        <v>1606000000</v>
      </c>
      <c r="M15">
        <v>12882000000</v>
      </c>
      <c r="N15">
        <v>80731000000</v>
      </c>
      <c r="O15">
        <v>94843935255</v>
      </c>
      <c r="P15">
        <v>1538</v>
      </c>
      <c r="Q15" t="s">
        <v>50</v>
      </c>
    </row>
    <row r="16" spans="1:17" x14ac:dyDescent="0.3">
      <c r="A16" t="s">
        <v>17</v>
      </c>
      <c r="B16" t="str">
        <f>"601818"</f>
        <v>601818</v>
      </c>
      <c r="C16" t="s">
        <v>51</v>
      </c>
      <c r="D16" t="s">
        <v>41</v>
      </c>
      <c r="F16">
        <v>-112242000000</v>
      </c>
      <c r="G16">
        <v>117157000000</v>
      </c>
      <c r="H16">
        <v>65100000000</v>
      </c>
      <c r="I16">
        <v>19514000000</v>
      </c>
      <c r="J16">
        <v>-142721000000</v>
      </c>
      <c r="K16">
        <v>349679000000</v>
      </c>
      <c r="L16">
        <v>211400000000</v>
      </c>
      <c r="M16">
        <v>34699000000</v>
      </c>
      <c r="N16">
        <v>-697000000</v>
      </c>
      <c r="O16">
        <v>272005000000</v>
      </c>
      <c r="P16">
        <v>15856</v>
      </c>
      <c r="Q16" t="s">
        <v>52</v>
      </c>
    </row>
    <row r="17" spans="1:17" x14ac:dyDescent="0.3">
      <c r="A17" t="s">
        <v>17</v>
      </c>
      <c r="B17" t="str">
        <f>"601088"</f>
        <v>601088</v>
      </c>
      <c r="C17" t="s">
        <v>53</v>
      </c>
      <c r="D17" t="s">
        <v>54</v>
      </c>
      <c r="F17">
        <v>94575000000</v>
      </c>
      <c r="G17">
        <v>81289000000</v>
      </c>
      <c r="H17">
        <v>63106000000</v>
      </c>
      <c r="I17">
        <v>88248000000</v>
      </c>
      <c r="J17">
        <v>95152000000</v>
      </c>
      <c r="K17">
        <v>81883000000</v>
      </c>
      <c r="L17">
        <v>55406000000</v>
      </c>
      <c r="M17">
        <v>67511000000</v>
      </c>
      <c r="N17">
        <v>54288000000</v>
      </c>
      <c r="O17">
        <v>71847000000</v>
      </c>
      <c r="P17">
        <v>3939</v>
      </c>
      <c r="Q17" t="s">
        <v>55</v>
      </c>
    </row>
    <row r="18" spans="1:17" x14ac:dyDescent="0.3">
      <c r="A18" t="s">
        <v>17</v>
      </c>
      <c r="B18" t="str">
        <f>"600104"</f>
        <v>600104</v>
      </c>
      <c r="C18" t="s">
        <v>56</v>
      </c>
      <c r="D18" t="s">
        <v>57</v>
      </c>
      <c r="F18">
        <v>21615739154</v>
      </c>
      <c r="G18">
        <v>37517935804</v>
      </c>
      <c r="H18">
        <v>46271852927</v>
      </c>
      <c r="I18">
        <v>8975654792</v>
      </c>
      <c r="J18">
        <v>24301071935</v>
      </c>
      <c r="K18">
        <v>11376933816</v>
      </c>
      <c r="L18">
        <v>25992574916</v>
      </c>
      <c r="M18">
        <v>23283810974</v>
      </c>
      <c r="N18">
        <v>20602511609</v>
      </c>
      <c r="O18">
        <v>19591127625</v>
      </c>
      <c r="P18">
        <v>11366</v>
      </c>
      <c r="Q18" t="s">
        <v>58</v>
      </c>
    </row>
    <row r="19" spans="1:17" x14ac:dyDescent="0.3">
      <c r="A19" t="s">
        <v>59</v>
      </c>
      <c r="B19" t="str">
        <f>"000002"</f>
        <v>000002</v>
      </c>
      <c r="C19" t="s">
        <v>60</v>
      </c>
      <c r="D19" t="s">
        <v>61</v>
      </c>
      <c r="F19">
        <v>4113160948</v>
      </c>
      <c r="G19">
        <v>53188022244</v>
      </c>
      <c r="H19">
        <v>45686809515</v>
      </c>
      <c r="I19">
        <v>33618183389</v>
      </c>
      <c r="J19">
        <v>82322834217</v>
      </c>
      <c r="K19">
        <v>39566129022</v>
      </c>
      <c r="L19">
        <v>16046020692</v>
      </c>
      <c r="M19">
        <v>41724819113</v>
      </c>
      <c r="N19">
        <v>1923868890</v>
      </c>
      <c r="O19">
        <v>3725958473</v>
      </c>
      <c r="P19">
        <v>12436</v>
      </c>
      <c r="Q19" t="s">
        <v>62</v>
      </c>
    </row>
    <row r="20" spans="1:17" x14ac:dyDescent="0.3">
      <c r="A20" t="s">
        <v>17</v>
      </c>
      <c r="B20" t="str">
        <f>"600926"</f>
        <v>600926</v>
      </c>
      <c r="C20" t="s">
        <v>63</v>
      </c>
      <c r="D20" t="s">
        <v>64</v>
      </c>
      <c r="F20">
        <v>-55958288000</v>
      </c>
      <c r="G20">
        <v>18726372000</v>
      </c>
      <c r="H20">
        <v>45294250000</v>
      </c>
      <c r="I20">
        <v>13087417000</v>
      </c>
      <c r="J20">
        <v>64104029000</v>
      </c>
      <c r="K20">
        <v>83233104000</v>
      </c>
      <c r="L20">
        <v>34886181000</v>
      </c>
      <c r="M20">
        <v>8978188000</v>
      </c>
      <c r="N20">
        <v>-17032305000</v>
      </c>
      <c r="O20">
        <v>43702235000</v>
      </c>
      <c r="P20">
        <v>1141</v>
      </c>
      <c r="Q20" t="s">
        <v>65</v>
      </c>
    </row>
    <row r="21" spans="1:17" x14ac:dyDescent="0.3">
      <c r="A21" t="s">
        <v>17</v>
      </c>
      <c r="B21" t="str">
        <f>"600519"</f>
        <v>600519</v>
      </c>
      <c r="C21" t="s">
        <v>66</v>
      </c>
      <c r="D21" t="s">
        <v>67</v>
      </c>
      <c r="F21">
        <v>64028676147</v>
      </c>
      <c r="G21">
        <v>51669068693</v>
      </c>
      <c r="H21">
        <v>45210612633</v>
      </c>
      <c r="I21">
        <v>41385234407</v>
      </c>
      <c r="J21">
        <v>22153036084</v>
      </c>
      <c r="K21">
        <v>37451249647</v>
      </c>
      <c r="L21">
        <v>17436340142</v>
      </c>
      <c r="M21">
        <v>12632522437</v>
      </c>
      <c r="N21">
        <v>12655024862</v>
      </c>
      <c r="O21">
        <v>11921310609</v>
      </c>
      <c r="P21">
        <v>71978</v>
      </c>
      <c r="Q21" t="s">
        <v>68</v>
      </c>
    </row>
    <row r="22" spans="1:17" x14ac:dyDescent="0.3">
      <c r="A22" t="s">
        <v>17</v>
      </c>
      <c r="B22" t="str">
        <f>"601155"</f>
        <v>601155</v>
      </c>
      <c r="C22" t="s">
        <v>69</v>
      </c>
      <c r="D22" t="s">
        <v>70</v>
      </c>
      <c r="F22">
        <v>21984850398</v>
      </c>
      <c r="G22">
        <v>381868333</v>
      </c>
      <c r="H22">
        <v>43580181744</v>
      </c>
      <c r="I22">
        <v>3816995096</v>
      </c>
      <c r="J22">
        <v>-10485163649</v>
      </c>
      <c r="K22">
        <v>8097204594</v>
      </c>
      <c r="L22">
        <v>-957155648</v>
      </c>
      <c r="M22">
        <v>3495004590</v>
      </c>
      <c r="N22">
        <v>-1192005738</v>
      </c>
      <c r="O22">
        <v>2217418586</v>
      </c>
      <c r="P22">
        <v>7593</v>
      </c>
      <c r="Q22" t="s">
        <v>71</v>
      </c>
    </row>
    <row r="23" spans="1:17" x14ac:dyDescent="0.3">
      <c r="A23" t="s">
        <v>17</v>
      </c>
      <c r="B23" t="str">
        <f>"601336"</f>
        <v>601336</v>
      </c>
      <c r="C23" t="s">
        <v>72</v>
      </c>
      <c r="D23" t="s">
        <v>29</v>
      </c>
      <c r="F23">
        <v>73853000000</v>
      </c>
      <c r="G23">
        <v>67179000000</v>
      </c>
      <c r="H23">
        <v>42102000000</v>
      </c>
      <c r="I23">
        <v>13768000000</v>
      </c>
      <c r="J23">
        <v>7865000000</v>
      </c>
      <c r="K23">
        <v>7330000000</v>
      </c>
      <c r="L23">
        <v>7449000000</v>
      </c>
      <c r="M23">
        <v>25052000000</v>
      </c>
      <c r="N23">
        <v>56205000000</v>
      </c>
      <c r="O23">
        <v>54252000000</v>
      </c>
      <c r="P23">
        <v>1856</v>
      </c>
      <c r="Q23" t="s">
        <v>73</v>
      </c>
    </row>
    <row r="24" spans="1:17" x14ac:dyDescent="0.3">
      <c r="A24" t="s">
        <v>17</v>
      </c>
      <c r="B24" t="str">
        <f>"601881"</f>
        <v>601881</v>
      </c>
      <c r="C24" t="s">
        <v>74</v>
      </c>
      <c r="D24" t="s">
        <v>75</v>
      </c>
      <c r="F24">
        <v>57084741157</v>
      </c>
      <c r="G24">
        <v>37703981462</v>
      </c>
      <c r="H24">
        <v>41335582076</v>
      </c>
      <c r="I24">
        <v>2461688027</v>
      </c>
      <c r="J24">
        <v>-52839885040</v>
      </c>
      <c r="K24">
        <v>-14810065033</v>
      </c>
      <c r="L24">
        <v>10800919402</v>
      </c>
      <c r="M24">
        <v>18629960276</v>
      </c>
      <c r="N24">
        <v>-11002889976</v>
      </c>
      <c r="O24">
        <v>1029203904.3</v>
      </c>
      <c r="P24">
        <v>1598</v>
      </c>
      <c r="Q24" t="s">
        <v>76</v>
      </c>
    </row>
    <row r="25" spans="1:17" x14ac:dyDescent="0.3">
      <c r="A25" t="s">
        <v>17</v>
      </c>
      <c r="B25" t="str">
        <f>"600585"</f>
        <v>600585</v>
      </c>
      <c r="C25" t="s">
        <v>77</v>
      </c>
      <c r="D25" t="s">
        <v>78</v>
      </c>
      <c r="F25">
        <v>33900528874</v>
      </c>
      <c r="G25">
        <v>34797212544</v>
      </c>
      <c r="H25">
        <v>40738204985</v>
      </c>
      <c r="I25">
        <v>36058966899</v>
      </c>
      <c r="J25">
        <v>17363026840</v>
      </c>
      <c r="K25">
        <v>13196752191</v>
      </c>
      <c r="L25">
        <v>9908174057</v>
      </c>
      <c r="M25">
        <v>17654488609</v>
      </c>
      <c r="N25">
        <v>15198545169</v>
      </c>
      <c r="O25">
        <v>11508639351</v>
      </c>
      <c r="P25">
        <v>8410</v>
      </c>
      <c r="Q25" t="s">
        <v>79</v>
      </c>
    </row>
    <row r="26" spans="1:17" x14ac:dyDescent="0.3">
      <c r="A26" t="s">
        <v>59</v>
      </c>
      <c r="B26" t="str">
        <f>"002142"</f>
        <v>002142</v>
      </c>
      <c r="C26" t="s">
        <v>80</v>
      </c>
      <c r="D26" t="s">
        <v>64</v>
      </c>
      <c r="F26">
        <v>-44549000000</v>
      </c>
      <c r="G26">
        <v>60771000000</v>
      </c>
      <c r="H26">
        <v>40338631000</v>
      </c>
      <c r="I26">
        <v>-50979147000</v>
      </c>
      <c r="J26">
        <v>18000979000</v>
      </c>
      <c r="K26">
        <v>109411852000</v>
      </c>
      <c r="L26">
        <v>19560541000</v>
      </c>
      <c r="M26">
        <v>22776297000</v>
      </c>
      <c r="N26">
        <v>38737119000</v>
      </c>
      <c r="O26">
        <v>48165044000</v>
      </c>
      <c r="P26">
        <v>59332</v>
      </c>
      <c r="Q26" t="s">
        <v>81</v>
      </c>
    </row>
    <row r="27" spans="1:17" x14ac:dyDescent="0.3">
      <c r="A27" t="s">
        <v>59</v>
      </c>
      <c r="B27" t="str">
        <f>"000776"</f>
        <v>000776</v>
      </c>
      <c r="C27" t="s">
        <v>82</v>
      </c>
      <c r="D27" t="s">
        <v>75</v>
      </c>
      <c r="F27">
        <v>-27323417189</v>
      </c>
      <c r="G27">
        <v>19831578996</v>
      </c>
      <c r="H27">
        <v>40208933234</v>
      </c>
      <c r="I27">
        <v>33239134938</v>
      </c>
      <c r="J27">
        <v>-38642662704</v>
      </c>
      <c r="K27">
        <v>-21152205866</v>
      </c>
      <c r="L27">
        <v>38148319619</v>
      </c>
      <c r="M27">
        <v>25416953468</v>
      </c>
      <c r="N27">
        <v>-8688020921</v>
      </c>
      <c r="O27">
        <v>-6965342539</v>
      </c>
      <c r="P27">
        <v>3522</v>
      </c>
      <c r="Q27" t="s">
        <v>83</v>
      </c>
    </row>
    <row r="28" spans="1:17" x14ac:dyDescent="0.3">
      <c r="A28" t="s">
        <v>17</v>
      </c>
      <c r="B28" t="str">
        <f>"601186"</f>
        <v>601186</v>
      </c>
      <c r="C28" t="s">
        <v>84</v>
      </c>
      <c r="D28" t="s">
        <v>85</v>
      </c>
      <c r="F28">
        <v>-7303911000</v>
      </c>
      <c r="G28">
        <v>40109248000</v>
      </c>
      <c r="H28">
        <v>40005838000</v>
      </c>
      <c r="I28">
        <v>5447861000</v>
      </c>
      <c r="J28">
        <v>25404178000</v>
      </c>
      <c r="K28">
        <v>37137579000</v>
      </c>
      <c r="L28">
        <v>50375107000</v>
      </c>
      <c r="M28">
        <v>6582512000</v>
      </c>
      <c r="N28">
        <v>-9313980000</v>
      </c>
      <c r="O28">
        <v>5544971000</v>
      </c>
      <c r="P28">
        <v>1361</v>
      </c>
      <c r="Q28" t="s">
        <v>86</v>
      </c>
    </row>
    <row r="29" spans="1:17" x14ac:dyDescent="0.3">
      <c r="A29" t="s">
        <v>17</v>
      </c>
      <c r="B29" t="str">
        <f>"600048"</f>
        <v>600048</v>
      </c>
      <c r="C29" t="s">
        <v>87</v>
      </c>
      <c r="D29" t="s">
        <v>61</v>
      </c>
      <c r="F29">
        <v>10551217228</v>
      </c>
      <c r="G29">
        <v>15150477620</v>
      </c>
      <c r="H29">
        <v>39155315735</v>
      </c>
      <c r="I29">
        <v>11893321360</v>
      </c>
      <c r="J29">
        <v>-29295855441</v>
      </c>
      <c r="K29">
        <v>34053957194</v>
      </c>
      <c r="L29">
        <v>17784647744</v>
      </c>
      <c r="M29">
        <v>-10458366565</v>
      </c>
      <c r="N29">
        <v>-9754106778</v>
      </c>
      <c r="O29">
        <v>3092581275</v>
      </c>
      <c r="P29">
        <v>8844</v>
      </c>
      <c r="Q29" t="s">
        <v>88</v>
      </c>
    </row>
    <row r="30" spans="1:17" x14ac:dyDescent="0.3">
      <c r="A30" t="s">
        <v>59</v>
      </c>
      <c r="B30" t="str">
        <f>"000333"</f>
        <v>000333</v>
      </c>
      <c r="C30" t="s">
        <v>89</v>
      </c>
      <c r="D30" t="s">
        <v>90</v>
      </c>
      <c r="F30">
        <v>35091704000</v>
      </c>
      <c r="G30">
        <v>29557117000</v>
      </c>
      <c r="H30">
        <v>38590404000</v>
      </c>
      <c r="I30">
        <v>27861080000</v>
      </c>
      <c r="J30">
        <v>24442623000</v>
      </c>
      <c r="K30">
        <v>26695009000</v>
      </c>
      <c r="L30">
        <v>26764254000</v>
      </c>
      <c r="M30">
        <v>24788511130</v>
      </c>
      <c r="N30">
        <v>10054196410</v>
      </c>
      <c r="O30">
        <v>8089566650</v>
      </c>
      <c r="P30">
        <v>25066</v>
      </c>
      <c r="Q30" t="s">
        <v>91</v>
      </c>
    </row>
    <row r="31" spans="1:17" x14ac:dyDescent="0.3">
      <c r="A31" t="s">
        <v>17</v>
      </c>
      <c r="B31" t="str">
        <f>"601111"</f>
        <v>601111</v>
      </c>
      <c r="C31" t="s">
        <v>92</v>
      </c>
      <c r="D31" t="s">
        <v>93</v>
      </c>
      <c r="F31">
        <v>12887772000</v>
      </c>
      <c r="G31">
        <v>1408174000</v>
      </c>
      <c r="H31">
        <v>38340183000</v>
      </c>
      <c r="I31">
        <v>31418890000</v>
      </c>
      <c r="J31">
        <v>26389301000</v>
      </c>
      <c r="K31">
        <v>30724360000</v>
      </c>
      <c r="L31">
        <v>31752707000</v>
      </c>
      <c r="M31">
        <v>17522851000</v>
      </c>
      <c r="N31">
        <v>17436116000</v>
      </c>
      <c r="O31">
        <v>12418820000</v>
      </c>
      <c r="P31">
        <v>1106</v>
      </c>
      <c r="Q31" t="s">
        <v>94</v>
      </c>
    </row>
    <row r="32" spans="1:17" x14ac:dyDescent="0.3">
      <c r="A32" t="s">
        <v>17</v>
      </c>
      <c r="B32" t="str">
        <f>"600029"</f>
        <v>600029</v>
      </c>
      <c r="C32" t="s">
        <v>95</v>
      </c>
      <c r="D32" t="s">
        <v>93</v>
      </c>
      <c r="F32">
        <v>13371000000</v>
      </c>
      <c r="G32">
        <v>9049000000</v>
      </c>
      <c r="H32">
        <v>38122000000</v>
      </c>
      <c r="I32">
        <v>19585000000</v>
      </c>
      <c r="J32">
        <v>21404000000</v>
      </c>
      <c r="K32">
        <v>26388000000</v>
      </c>
      <c r="L32">
        <v>25713000000</v>
      </c>
      <c r="M32">
        <v>15116000000</v>
      </c>
      <c r="N32">
        <v>11128000000</v>
      </c>
      <c r="O32">
        <v>13384000000</v>
      </c>
      <c r="P32">
        <v>1137</v>
      </c>
      <c r="Q32" t="s">
        <v>96</v>
      </c>
    </row>
    <row r="33" spans="1:17" x14ac:dyDescent="0.3">
      <c r="A33" t="s">
        <v>17</v>
      </c>
      <c r="B33" t="str">
        <f>"600011"</f>
        <v>600011</v>
      </c>
      <c r="C33" t="s">
        <v>97</v>
      </c>
      <c r="D33" t="s">
        <v>98</v>
      </c>
      <c r="F33">
        <v>6032840715</v>
      </c>
      <c r="G33">
        <v>42049806396</v>
      </c>
      <c r="H33">
        <v>37324194263</v>
      </c>
      <c r="I33">
        <v>28891889295</v>
      </c>
      <c r="J33">
        <v>29197362553</v>
      </c>
      <c r="K33">
        <v>31510824330</v>
      </c>
      <c r="L33">
        <v>42362706957</v>
      </c>
      <c r="M33">
        <v>33320065278</v>
      </c>
      <c r="N33">
        <v>40239429353</v>
      </c>
      <c r="O33">
        <v>26928082036</v>
      </c>
      <c r="P33">
        <v>751</v>
      </c>
      <c r="Q33" t="s">
        <v>99</v>
      </c>
    </row>
    <row r="34" spans="1:17" x14ac:dyDescent="0.3">
      <c r="A34" t="s">
        <v>17</v>
      </c>
      <c r="B34" t="str">
        <f>"601319"</f>
        <v>601319</v>
      </c>
      <c r="C34" t="s">
        <v>100</v>
      </c>
      <c r="D34" t="s">
        <v>29</v>
      </c>
      <c r="F34">
        <v>72731000000</v>
      </c>
      <c r="G34">
        <v>31867000000</v>
      </c>
      <c r="H34">
        <v>36808000000</v>
      </c>
      <c r="I34">
        <v>-16803000000</v>
      </c>
      <c r="J34">
        <v>-2025000000</v>
      </c>
      <c r="K34">
        <v>23831000000</v>
      </c>
      <c r="L34">
        <v>20441000000</v>
      </c>
      <c r="M34">
        <v>-399000000</v>
      </c>
      <c r="N34">
        <v>53851000000</v>
      </c>
      <c r="O34">
        <v>52522000000</v>
      </c>
      <c r="P34">
        <v>901</v>
      </c>
      <c r="Q34" t="s">
        <v>101</v>
      </c>
    </row>
    <row r="35" spans="1:17" x14ac:dyDescent="0.3">
      <c r="A35" t="s">
        <v>17</v>
      </c>
      <c r="B35" t="str">
        <f>"601066"</f>
        <v>601066</v>
      </c>
      <c r="C35" t="s">
        <v>102</v>
      </c>
      <c r="D35" t="s">
        <v>75</v>
      </c>
      <c r="F35">
        <v>11119419469</v>
      </c>
      <c r="G35">
        <v>-20756405382</v>
      </c>
      <c r="H35">
        <v>36690821003</v>
      </c>
      <c r="I35">
        <v>4503221451</v>
      </c>
      <c r="J35">
        <v>-45789270260</v>
      </c>
      <c r="K35">
        <v>4830064968</v>
      </c>
      <c r="L35">
        <v>16483873271</v>
      </c>
      <c r="M35">
        <v>19058594700</v>
      </c>
      <c r="N35">
        <v>-7391196914</v>
      </c>
      <c r="O35">
        <v>5148477762</v>
      </c>
      <c r="P35">
        <v>1825</v>
      </c>
      <c r="Q35" t="s">
        <v>103</v>
      </c>
    </row>
    <row r="36" spans="1:17" x14ac:dyDescent="0.3">
      <c r="A36" t="s">
        <v>17</v>
      </c>
      <c r="B36" t="str">
        <f>"600900"</f>
        <v>600900</v>
      </c>
      <c r="C36" t="s">
        <v>104</v>
      </c>
      <c r="D36" t="s">
        <v>105</v>
      </c>
      <c r="F36">
        <v>35732461733</v>
      </c>
      <c r="G36">
        <v>41036864400</v>
      </c>
      <c r="H36">
        <v>36464419570</v>
      </c>
      <c r="I36">
        <v>39736666415</v>
      </c>
      <c r="J36">
        <v>39693165066</v>
      </c>
      <c r="K36">
        <v>38989831194</v>
      </c>
      <c r="L36">
        <v>17716964895</v>
      </c>
      <c r="M36">
        <v>21298893169</v>
      </c>
      <c r="N36">
        <v>18091418934</v>
      </c>
      <c r="O36">
        <v>21460796405</v>
      </c>
      <c r="P36">
        <v>5902</v>
      </c>
      <c r="Q36" t="s">
        <v>106</v>
      </c>
    </row>
    <row r="37" spans="1:17" x14ac:dyDescent="0.3">
      <c r="A37" t="s">
        <v>17</v>
      </c>
      <c r="B37" t="str">
        <f>"601211"</f>
        <v>601211</v>
      </c>
      <c r="C37" t="s">
        <v>107</v>
      </c>
      <c r="D37" t="s">
        <v>75</v>
      </c>
      <c r="F37">
        <v>10365806426</v>
      </c>
      <c r="G37">
        <v>22230494567</v>
      </c>
      <c r="H37">
        <v>36396109791</v>
      </c>
      <c r="I37">
        <v>73571646397</v>
      </c>
      <c r="J37">
        <v>-63794250579</v>
      </c>
      <c r="K37">
        <v>-58815899163</v>
      </c>
      <c r="L37">
        <v>28159442155</v>
      </c>
      <c r="M37">
        <v>49415382215</v>
      </c>
      <c r="N37">
        <v>-12203768957</v>
      </c>
      <c r="O37">
        <v>-6282855469</v>
      </c>
      <c r="P37">
        <v>3571</v>
      </c>
      <c r="Q37" t="s">
        <v>108</v>
      </c>
    </row>
    <row r="38" spans="1:17" x14ac:dyDescent="0.3">
      <c r="A38" t="s">
        <v>17</v>
      </c>
      <c r="B38" t="str">
        <f>"601788"</f>
        <v>601788</v>
      </c>
      <c r="C38" t="s">
        <v>109</v>
      </c>
      <c r="D38" t="s">
        <v>75</v>
      </c>
      <c r="F38">
        <v>-4832339323</v>
      </c>
      <c r="G38">
        <v>25706537850</v>
      </c>
      <c r="H38">
        <v>35709151640</v>
      </c>
      <c r="I38">
        <v>-18313979448</v>
      </c>
      <c r="J38">
        <v>-42076386812</v>
      </c>
      <c r="K38">
        <v>-19645565205</v>
      </c>
      <c r="L38">
        <v>542672128</v>
      </c>
      <c r="M38">
        <v>17505465195</v>
      </c>
      <c r="N38">
        <v>1359668671</v>
      </c>
      <c r="O38">
        <v>1247705173</v>
      </c>
      <c r="P38">
        <v>1149</v>
      </c>
      <c r="Q38" t="s">
        <v>110</v>
      </c>
    </row>
    <row r="39" spans="1:17" x14ac:dyDescent="0.3">
      <c r="A39" t="s">
        <v>17</v>
      </c>
      <c r="B39" t="str">
        <f>"600795"</f>
        <v>600795</v>
      </c>
      <c r="C39" t="s">
        <v>111</v>
      </c>
      <c r="D39" t="s">
        <v>98</v>
      </c>
      <c r="F39">
        <v>24179970839</v>
      </c>
      <c r="G39">
        <v>36521792760</v>
      </c>
      <c r="H39">
        <v>33721790021</v>
      </c>
      <c r="I39">
        <v>23161801188</v>
      </c>
      <c r="J39">
        <v>19777912314</v>
      </c>
      <c r="K39">
        <v>23414262235</v>
      </c>
      <c r="L39">
        <v>24293311302</v>
      </c>
      <c r="M39">
        <v>22713421309</v>
      </c>
      <c r="N39">
        <v>23200014234</v>
      </c>
      <c r="O39">
        <v>14853091405</v>
      </c>
      <c r="P39">
        <v>548</v>
      </c>
      <c r="Q39" t="s">
        <v>112</v>
      </c>
    </row>
    <row r="40" spans="1:17" x14ac:dyDescent="0.3">
      <c r="A40" t="s">
        <v>59</v>
      </c>
      <c r="B40" t="str">
        <f>"003816"</f>
        <v>003816</v>
      </c>
      <c r="C40" t="s">
        <v>113</v>
      </c>
      <c r="D40" t="s">
        <v>114</v>
      </c>
      <c r="F40">
        <v>34911101289</v>
      </c>
      <c r="G40">
        <v>30154840523</v>
      </c>
      <c r="H40">
        <v>30598898947</v>
      </c>
      <c r="I40">
        <v>28409570575</v>
      </c>
      <c r="J40">
        <v>26870816947</v>
      </c>
      <c r="K40">
        <v>16790635123</v>
      </c>
      <c r="P40">
        <v>523</v>
      </c>
      <c r="Q40" t="s">
        <v>115</v>
      </c>
    </row>
    <row r="41" spans="1:17" x14ac:dyDescent="0.3">
      <c r="A41" t="s">
        <v>59</v>
      </c>
      <c r="B41" t="str">
        <f>"000617"</f>
        <v>000617</v>
      </c>
      <c r="C41" t="s">
        <v>116</v>
      </c>
      <c r="D41" t="s">
        <v>117</v>
      </c>
      <c r="F41">
        <v>38271760336</v>
      </c>
      <c r="G41">
        <v>-33102107033</v>
      </c>
      <c r="H41">
        <v>30033523276</v>
      </c>
      <c r="I41">
        <v>-27130947462</v>
      </c>
      <c r="J41">
        <v>51141968205</v>
      </c>
      <c r="K41">
        <v>-24720867480</v>
      </c>
      <c r="L41">
        <v>-24954160</v>
      </c>
      <c r="M41">
        <v>17788347</v>
      </c>
      <c r="N41">
        <v>-42428556</v>
      </c>
      <c r="O41">
        <v>36813563</v>
      </c>
      <c r="P41">
        <v>234</v>
      </c>
      <c r="Q41" t="s">
        <v>118</v>
      </c>
    </row>
    <row r="42" spans="1:17" x14ac:dyDescent="0.3">
      <c r="A42" t="s">
        <v>17</v>
      </c>
      <c r="B42" t="str">
        <f>"600019"</f>
        <v>600019</v>
      </c>
      <c r="C42" t="s">
        <v>119</v>
      </c>
      <c r="D42" t="s">
        <v>120</v>
      </c>
      <c r="F42">
        <v>59868871185</v>
      </c>
      <c r="G42">
        <v>28084191907</v>
      </c>
      <c r="H42">
        <v>29504141764</v>
      </c>
      <c r="I42">
        <v>45606049124</v>
      </c>
      <c r="J42">
        <v>33077273594</v>
      </c>
      <c r="K42">
        <v>16372540327</v>
      </c>
      <c r="L42">
        <v>21176796444</v>
      </c>
      <c r="M42">
        <v>28280465939</v>
      </c>
      <c r="N42">
        <v>12090476634</v>
      </c>
      <c r="O42">
        <v>22202173869</v>
      </c>
      <c r="P42">
        <v>2292</v>
      </c>
      <c r="Q42" t="s">
        <v>121</v>
      </c>
    </row>
    <row r="43" spans="1:17" x14ac:dyDescent="0.3">
      <c r="A43" t="s">
        <v>59</v>
      </c>
      <c r="B43" t="str">
        <f>"200725"</f>
        <v>200725</v>
      </c>
      <c r="C43" t="s">
        <v>122</v>
      </c>
      <c r="F43">
        <v>76144436272.987198</v>
      </c>
      <c r="G43">
        <v>46556528498.533798</v>
      </c>
      <c r="H43">
        <v>29173924078.488998</v>
      </c>
      <c r="I43">
        <v>29241287732.646</v>
      </c>
      <c r="J43">
        <v>31525636615.202999</v>
      </c>
      <c r="K43">
        <v>11243803083.344</v>
      </c>
      <c r="L43">
        <v>12525954205.696501</v>
      </c>
      <c r="M43">
        <v>10123020734.1192</v>
      </c>
      <c r="N43">
        <v>11479468186.725</v>
      </c>
      <c r="O43">
        <v>3844414478.415</v>
      </c>
      <c r="P43">
        <v>85</v>
      </c>
      <c r="Q43" t="s">
        <v>123</v>
      </c>
    </row>
    <row r="44" spans="1:17" x14ac:dyDescent="0.3">
      <c r="A44" t="s">
        <v>17</v>
      </c>
      <c r="B44" t="str">
        <f>"600115"</f>
        <v>600115</v>
      </c>
      <c r="C44" t="s">
        <v>124</v>
      </c>
      <c r="D44" t="s">
        <v>93</v>
      </c>
      <c r="F44">
        <v>5692000000</v>
      </c>
      <c r="G44">
        <v>1211000000</v>
      </c>
      <c r="H44">
        <v>28972000000</v>
      </c>
      <c r="I44">
        <v>22338000000</v>
      </c>
      <c r="J44">
        <v>19572000000</v>
      </c>
      <c r="K44">
        <v>24893000000</v>
      </c>
      <c r="L44">
        <v>24325000000</v>
      </c>
      <c r="M44">
        <v>12252000000</v>
      </c>
      <c r="N44">
        <v>10778828000</v>
      </c>
      <c r="O44">
        <v>12608281000</v>
      </c>
      <c r="P44">
        <v>690</v>
      </c>
      <c r="Q44" t="s">
        <v>125</v>
      </c>
    </row>
    <row r="45" spans="1:17" x14ac:dyDescent="0.3">
      <c r="A45" t="s">
        <v>59</v>
      </c>
      <c r="B45" t="str">
        <f>"002736"</f>
        <v>002736</v>
      </c>
      <c r="C45" t="s">
        <v>126</v>
      </c>
      <c r="D45" t="s">
        <v>75</v>
      </c>
      <c r="F45">
        <v>-6715387830</v>
      </c>
      <c r="G45">
        <v>-3472276551</v>
      </c>
      <c r="H45">
        <v>28641814016</v>
      </c>
      <c r="I45">
        <v>-4468212067</v>
      </c>
      <c r="J45">
        <v>-22942796586</v>
      </c>
      <c r="K45">
        <v>-7270375279</v>
      </c>
      <c r="L45">
        <v>-2297976398</v>
      </c>
      <c r="M45">
        <v>5976490839</v>
      </c>
      <c r="N45">
        <v>-7182451023</v>
      </c>
      <c r="O45">
        <v>-58257940</v>
      </c>
      <c r="P45">
        <v>2389</v>
      </c>
      <c r="Q45" t="s">
        <v>127</v>
      </c>
    </row>
    <row r="46" spans="1:17" x14ac:dyDescent="0.3">
      <c r="A46" t="s">
        <v>59</v>
      </c>
      <c r="B46" t="str">
        <f>"000627"</f>
        <v>000627</v>
      </c>
      <c r="C46" t="s">
        <v>128</v>
      </c>
      <c r="D46" t="s">
        <v>29</v>
      </c>
      <c r="F46">
        <v>4172608401</v>
      </c>
      <c r="G46">
        <v>21421088420</v>
      </c>
      <c r="H46">
        <v>28599558517</v>
      </c>
      <c r="I46">
        <v>14981339570</v>
      </c>
      <c r="J46">
        <v>431578209</v>
      </c>
      <c r="K46">
        <v>-2342348450</v>
      </c>
      <c r="L46">
        <v>-46732967</v>
      </c>
      <c r="M46">
        <v>-121268071</v>
      </c>
      <c r="N46">
        <v>130534731</v>
      </c>
      <c r="O46">
        <v>93791252</v>
      </c>
      <c r="P46">
        <v>288</v>
      </c>
      <c r="Q46" t="s">
        <v>129</v>
      </c>
    </row>
    <row r="47" spans="1:17" x14ac:dyDescent="0.3">
      <c r="A47" t="s">
        <v>17</v>
      </c>
      <c r="B47" t="str">
        <f>"601009"</f>
        <v>601009</v>
      </c>
      <c r="C47" t="s">
        <v>130</v>
      </c>
      <c r="D47" t="s">
        <v>64</v>
      </c>
      <c r="F47">
        <v>120648546000</v>
      </c>
      <c r="G47">
        <v>29988323000</v>
      </c>
      <c r="H47">
        <v>28154431000</v>
      </c>
      <c r="I47">
        <v>41660138000</v>
      </c>
      <c r="J47">
        <v>385625000</v>
      </c>
      <c r="K47">
        <v>49127216000</v>
      </c>
      <c r="L47">
        <v>81023407000</v>
      </c>
      <c r="M47">
        <v>111525691000</v>
      </c>
      <c r="N47">
        <v>66631815000</v>
      </c>
      <c r="O47">
        <v>11144109000</v>
      </c>
      <c r="P47">
        <v>44247</v>
      </c>
      <c r="Q47" t="s">
        <v>131</v>
      </c>
    </row>
    <row r="48" spans="1:17" x14ac:dyDescent="0.3">
      <c r="A48" t="s">
        <v>17</v>
      </c>
      <c r="B48" t="str">
        <f>"600325"</f>
        <v>600325</v>
      </c>
      <c r="C48" t="s">
        <v>132</v>
      </c>
      <c r="D48" t="s">
        <v>61</v>
      </c>
      <c r="F48">
        <v>36060713137</v>
      </c>
      <c r="G48">
        <v>29108543110</v>
      </c>
      <c r="H48">
        <v>28035431566</v>
      </c>
      <c r="I48">
        <v>15998754708</v>
      </c>
      <c r="J48">
        <v>11299253592</v>
      </c>
      <c r="K48">
        <v>19069066786</v>
      </c>
      <c r="L48">
        <v>645729085</v>
      </c>
      <c r="M48">
        <v>2032121656</v>
      </c>
      <c r="N48">
        <v>871809077</v>
      </c>
      <c r="O48">
        <v>-609397827</v>
      </c>
      <c r="P48">
        <v>1184</v>
      </c>
      <c r="Q48" t="s">
        <v>133</v>
      </c>
    </row>
    <row r="49" spans="1:17" x14ac:dyDescent="0.3">
      <c r="A49" t="s">
        <v>59</v>
      </c>
      <c r="B49" t="str">
        <f>"000651"</f>
        <v>000651</v>
      </c>
      <c r="C49" t="s">
        <v>134</v>
      </c>
      <c r="D49" t="s">
        <v>90</v>
      </c>
      <c r="F49">
        <v>1894363259</v>
      </c>
      <c r="G49">
        <v>19238637309</v>
      </c>
      <c r="H49">
        <v>27893714094</v>
      </c>
      <c r="I49">
        <v>26940791543</v>
      </c>
      <c r="J49">
        <v>16358538248</v>
      </c>
      <c r="K49">
        <v>14859952107</v>
      </c>
      <c r="L49">
        <v>44378381828</v>
      </c>
      <c r="M49">
        <v>18939165508</v>
      </c>
      <c r="N49">
        <v>12969837130</v>
      </c>
      <c r="O49">
        <v>18408746272</v>
      </c>
      <c r="P49">
        <v>55062</v>
      </c>
      <c r="Q49" t="s">
        <v>135</v>
      </c>
    </row>
    <row r="50" spans="1:17" x14ac:dyDescent="0.3">
      <c r="A50" t="s">
        <v>17</v>
      </c>
      <c r="B50" t="str">
        <f>"601658"</f>
        <v>601658</v>
      </c>
      <c r="C50" t="s">
        <v>136</v>
      </c>
      <c r="D50" t="s">
        <v>19</v>
      </c>
      <c r="F50">
        <v>109557000000</v>
      </c>
      <c r="G50">
        <v>161772000000</v>
      </c>
      <c r="H50">
        <v>26443000000</v>
      </c>
      <c r="I50">
        <v>184505000000</v>
      </c>
      <c r="J50">
        <v>-399348000000</v>
      </c>
      <c r="K50">
        <v>220457000000</v>
      </c>
      <c r="L50">
        <v>931463000000</v>
      </c>
      <c r="M50">
        <v>680953000000</v>
      </c>
      <c r="N50">
        <v>18037000000</v>
      </c>
      <c r="O50">
        <v>192904000000</v>
      </c>
      <c r="P50">
        <v>1193</v>
      </c>
      <c r="Q50" t="s">
        <v>137</v>
      </c>
    </row>
    <row r="51" spans="1:17" x14ac:dyDescent="0.3">
      <c r="A51" t="s">
        <v>59</v>
      </c>
      <c r="B51" t="str">
        <f>"000725"</f>
        <v>000725</v>
      </c>
      <c r="C51" t="s">
        <v>138</v>
      </c>
      <c r="D51" t="s">
        <v>139</v>
      </c>
      <c r="F51">
        <v>62270556324</v>
      </c>
      <c r="G51">
        <v>39251773458</v>
      </c>
      <c r="H51">
        <v>26083079194</v>
      </c>
      <c r="I51">
        <v>25684047196</v>
      </c>
      <c r="J51">
        <v>26266986015</v>
      </c>
      <c r="K51">
        <v>10073287120</v>
      </c>
      <c r="L51">
        <v>10493385445</v>
      </c>
      <c r="M51">
        <v>8095825923</v>
      </c>
      <c r="N51">
        <v>8956439250</v>
      </c>
      <c r="O51">
        <v>3088875525</v>
      </c>
      <c r="P51">
        <v>4544</v>
      </c>
      <c r="Q51" t="s">
        <v>140</v>
      </c>
    </row>
    <row r="52" spans="1:17" x14ac:dyDescent="0.3">
      <c r="A52" t="s">
        <v>17</v>
      </c>
      <c r="B52" t="str">
        <f>"601985"</f>
        <v>601985</v>
      </c>
      <c r="C52" t="s">
        <v>141</v>
      </c>
      <c r="D52" t="s">
        <v>114</v>
      </c>
      <c r="F52">
        <v>35608016617</v>
      </c>
      <c r="G52">
        <v>31127766899</v>
      </c>
      <c r="H52">
        <v>26069178828</v>
      </c>
      <c r="I52">
        <v>23407917663</v>
      </c>
      <c r="J52">
        <v>19906554971</v>
      </c>
      <c r="K52">
        <v>18521029064</v>
      </c>
      <c r="L52">
        <v>16963898518</v>
      </c>
      <c r="M52">
        <v>9543160229</v>
      </c>
      <c r="N52">
        <v>9329246004</v>
      </c>
      <c r="O52">
        <v>11428454671</v>
      </c>
      <c r="P52">
        <v>998</v>
      </c>
      <c r="Q52" t="s">
        <v>142</v>
      </c>
    </row>
    <row r="53" spans="1:17" x14ac:dyDescent="0.3">
      <c r="A53" t="s">
        <v>17</v>
      </c>
      <c r="B53" t="str">
        <f>"600309"</f>
        <v>600309</v>
      </c>
      <c r="C53" t="s">
        <v>143</v>
      </c>
      <c r="D53" t="s">
        <v>144</v>
      </c>
      <c r="F53">
        <v>27922292185</v>
      </c>
      <c r="G53">
        <v>16849705991</v>
      </c>
      <c r="H53">
        <v>25932941201</v>
      </c>
      <c r="I53">
        <v>19257494429</v>
      </c>
      <c r="J53">
        <v>10212146595</v>
      </c>
      <c r="K53">
        <v>7348843879</v>
      </c>
      <c r="L53">
        <v>4602393726</v>
      </c>
      <c r="M53">
        <v>4020514863</v>
      </c>
      <c r="N53">
        <v>3869262970</v>
      </c>
      <c r="O53">
        <v>3806178739</v>
      </c>
      <c r="P53">
        <v>7475</v>
      </c>
      <c r="Q53" t="s">
        <v>145</v>
      </c>
    </row>
    <row r="54" spans="1:17" x14ac:dyDescent="0.3">
      <c r="A54" t="s">
        <v>17</v>
      </c>
      <c r="B54" t="str">
        <f>"601901"</f>
        <v>601901</v>
      </c>
      <c r="C54" t="s">
        <v>146</v>
      </c>
      <c r="D54" t="s">
        <v>75</v>
      </c>
      <c r="F54">
        <v>16458178312</v>
      </c>
      <c r="G54">
        <v>7560165073</v>
      </c>
      <c r="H54">
        <v>25308338518</v>
      </c>
      <c r="I54">
        <v>-6389566461</v>
      </c>
      <c r="J54">
        <v>8655187589</v>
      </c>
      <c r="K54">
        <v>-24854722475</v>
      </c>
      <c r="L54">
        <v>-14504840945</v>
      </c>
      <c r="M54">
        <v>13421007072</v>
      </c>
      <c r="N54">
        <v>-4144678840</v>
      </c>
      <c r="O54">
        <v>-4681499503</v>
      </c>
      <c r="P54">
        <v>931</v>
      </c>
      <c r="Q54" t="s">
        <v>147</v>
      </c>
    </row>
    <row r="55" spans="1:17" x14ac:dyDescent="0.3">
      <c r="A55" t="s">
        <v>17</v>
      </c>
      <c r="B55" t="str">
        <f>"600188"</f>
        <v>600188</v>
      </c>
      <c r="C55" t="s">
        <v>148</v>
      </c>
      <c r="D55" t="s">
        <v>54</v>
      </c>
      <c r="F55">
        <v>36181686000</v>
      </c>
      <c r="G55">
        <v>22233399000</v>
      </c>
      <c r="H55">
        <v>24871078000</v>
      </c>
      <c r="I55">
        <v>22432396000</v>
      </c>
      <c r="J55">
        <v>16063074000</v>
      </c>
      <c r="K55">
        <v>6421670000</v>
      </c>
      <c r="L55">
        <v>2817924000</v>
      </c>
      <c r="M55">
        <v>5658590000</v>
      </c>
      <c r="N55">
        <v>2956504000</v>
      </c>
      <c r="O55">
        <v>8116636903</v>
      </c>
      <c r="P55">
        <v>1939</v>
      </c>
      <c r="Q55" t="s">
        <v>149</v>
      </c>
    </row>
    <row r="56" spans="1:17" x14ac:dyDescent="0.3">
      <c r="A56" t="s">
        <v>17</v>
      </c>
      <c r="B56" t="str">
        <f>"601838"</f>
        <v>601838</v>
      </c>
      <c r="C56" t="s">
        <v>150</v>
      </c>
      <c r="D56" t="s">
        <v>64</v>
      </c>
      <c r="F56">
        <v>-3521263000</v>
      </c>
      <c r="G56">
        <v>-784806000</v>
      </c>
      <c r="H56">
        <v>23875633000</v>
      </c>
      <c r="I56">
        <v>-11900081000</v>
      </c>
      <c r="J56">
        <v>42607093000</v>
      </c>
      <c r="K56">
        <v>13346644000</v>
      </c>
      <c r="L56">
        <v>8311630000</v>
      </c>
      <c r="M56">
        <v>25172286000</v>
      </c>
      <c r="N56">
        <v>2364259000</v>
      </c>
      <c r="O56">
        <v>25217768000</v>
      </c>
      <c r="P56">
        <v>1326</v>
      </c>
      <c r="Q56" t="s">
        <v>151</v>
      </c>
    </row>
    <row r="57" spans="1:17" x14ac:dyDescent="0.3">
      <c r="A57" t="s">
        <v>17</v>
      </c>
      <c r="B57" t="str">
        <f>"601077"</f>
        <v>601077</v>
      </c>
      <c r="C57" t="s">
        <v>152</v>
      </c>
      <c r="D57" t="s">
        <v>153</v>
      </c>
      <c r="F57">
        <v>41228845000</v>
      </c>
      <c r="G57">
        <v>42370280000</v>
      </c>
      <c r="H57">
        <v>23851259000</v>
      </c>
      <c r="I57">
        <v>-81223277000</v>
      </c>
      <c r="J57">
        <v>-19366966000</v>
      </c>
      <c r="K57">
        <v>6085647000</v>
      </c>
      <c r="L57">
        <v>85942046000</v>
      </c>
      <c r="M57">
        <v>49292967000</v>
      </c>
      <c r="N57">
        <v>6290675000</v>
      </c>
      <c r="O57">
        <v>21801138000</v>
      </c>
      <c r="P57">
        <v>509</v>
      </c>
      <c r="Q57" t="s">
        <v>154</v>
      </c>
    </row>
    <row r="58" spans="1:17" x14ac:dyDescent="0.3">
      <c r="A58" t="s">
        <v>59</v>
      </c>
      <c r="B58" t="str">
        <f>"000338"</f>
        <v>000338</v>
      </c>
      <c r="C58" t="s">
        <v>155</v>
      </c>
      <c r="D58" t="s">
        <v>156</v>
      </c>
      <c r="F58">
        <v>14657559250</v>
      </c>
      <c r="G58">
        <v>22928156102</v>
      </c>
      <c r="H58">
        <v>23834693283</v>
      </c>
      <c r="I58">
        <v>22261628733</v>
      </c>
      <c r="J58">
        <v>16258332195</v>
      </c>
      <c r="K58">
        <v>8250433471</v>
      </c>
      <c r="L58">
        <v>6773901993</v>
      </c>
      <c r="M58">
        <v>11171728281</v>
      </c>
      <c r="N58">
        <v>5768410762</v>
      </c>
      <c r="O58">
        <v>2756168590</v>
      </c>
      <c r="P58">
        <v>3423</v>
      </c>
      <c r="Q58" t="s">
        <v>157</v>
      </c>
    </row>
    <row r="59" spans="1:17" x14ac:dyDescent="0.3">
      <c r="A59" t="s">
        <v>59</v>
      </c>
      <c r="B59" t="str">
        <f>"000732"</f>
        <v>000732</v>
      </c>
      <c r="C59" t="s">
        <v>158</v>
      </c>
      <c r="D59" t="s">
        <v>61</v>
      </c>
      <c r="F59">
        <v>529130864</v>
      </c>
      <c r="G59">
        <v>-2948831541</v>
      </c>
      <c r="H59">
        <v>23614647942</v>
      </c>
      <c r="I59">
        <v>13931368057</v>
      </c>
      <c r="J59">
        <v>-12552667055</v>
      </c>
      <c r="K59">
        <v>-10140951638</v>
      </c>
      <c r="L59">
        <v>-2350789049</v>
      </c>
      <c r="M59">
        <v>-16625705221</v>
      </c>
      <c r="N59">
        <v>-11441271779</v>
      </c>
      <c r="O59">
        <v>-778652998</v>
      </c>
      <c r="P59">
        <v>438</v>
      </c>
      <c r="Q59" t="s">
        <v>159</v>
      </c>
    </row>
    <row r="60" spans="1:17" x14ac:dyDescent="0.3">
      <c r="A60" t="s">
        <v>59</v>
      </c>
      <c r="B60" t="str">
        <f>"000858"</f>
        <v>000858</v>
      </c>
      <c r="C60" t="s">
        <v>160</v>
      </c>
      <c r="D60" t="s">
        <v>67</v>
      </c>
      <c r="F60">
        <v>26774941873</v>
      </c>
      <c r="G60">
        <v>14698327593</v>
      </c>
      <c r="H60">
        <v>23112072041</v>
      </c>
      <c r="I60">
        <v>12317359035</v>
      </c>
      <c r="J60">
        <v>9766175823</v>
      </c>
      <c r="K60">
        <v>11696760569</v>
      </c>
      <c r="L60">
        <v>6691068450</v>
      </c>
      <c r="M60">
        <v>794565645</v>
      </c>
      <c r="N60">
        <v>1458910757</v>
      </c>
      <c r="O60">
        <v>8749667084</v>
      </c>
      <c r="P60">
        <v>11635</v>
      </c>
      <c r="Q60" t="s">
        <v>161</v>
      </c>
    </row>
    <row r="61" spans="1:17" x14ac:dyDescent="0.3">
      <c r="A61" t="s">
        <v>17</v>
      </c>
      <c r="B61" t="str">
        <f>"600837"</f>
        <v>600837</v>
      </c>
      <c r="C61" t="s">
        <v>162</v>
      </c>
      <c r="D61" t="s">
        <v>75</v>
      </c>
      <c r="F61">
        <v>70969577098</v>
      </c>
      <c r="G61">
        <v>12294055034</v>
      </c>
      <c r="H61">
        <v>22657777759</v>
      </c>
      <c r="I61">
        <v>-5015557534</v>
      </c>
      <c r="J61">
        <v>-58816601546</v>
      </c>
      <c r="K61">
        <v>-50177681468</v>
      </c>
      <c r="L61">
        <v>15582998300</v>
      </c>
      <c r="M61">
        <v>8783946303</v>
      </c>
      <c r="N61">
        <v>-14519579202</v>
      </c>
      <c r="O61">
        <v>-9156847299</v>
      </c>
      <c r="P61">
        <v>4976</v>
      </c>
      <c r="Q61" t="s">
        <v>163</v>
      </c>
    </row>
    <row r="62" spans="1:17" x14ac:dyDescent="0.3">
      <c r="A62" t="s">
        <v>17</v>
      </c>
      <c r="B62" t="str">
        <f>"601766"</f>
        <v>601766</v>
      </c>
      <c r="C62" t="s">
        <v>164</v>
      </c>
      <c r="D62" t="s">
        <v>165</v>
      </c>
      <c r="F62">
        <v>20592700000</v>
      </c>
      <c r="G62">
        <v>-2032393000</v>
      </c>
      <c r="H62">
        <v>22530536000</v>
      </c>
      <c r="I62">
        <v>18869344000</v>
      </c>
      <c r="J62">
        <v>16209056000</v>
      </c>
      <c r="K62">
        <v>20986379000</v>
      </c>
      <c r="L62">
        <v>14981510000</v>
      </c>
      <c r="M62">
        <v>13726952057</v>
      </c>
      <c r="N62">
        <v>5411850636</v>
      </c>
      <c r="O62">
        <v>2394691834</v>
      </c>
      <c r="P62">
        <v>1205</v>
      </c>
      <c r="Q62" t="s">
        <v>166</v>
      </c>
    </row>
    <row r="63" spans="1:17" x14ac:dyDescent="0.3">
      <c r="A63" t="s">
        <v>17</v>
      </c>
      <c r="B63" t="str">
        <f>"601390"</f>
        <v>601390</v>
      </c>
      <c r="C63" t="s">
        <v>167</v>
      </c>
      <c r="D63" t="s">
        <v>85</v>
      </c>
      <c r="F63">
        <v>13069466000</v>
      </c>
      <c r="G63">
        <v>30994071000</v>
      </c>
      <c r="H63">
        <v>22197786000</v>
      </c>
      <c r="I63">
        <v>11961697000</v>
      </c>
      <c r="J63">
        <v>33174073000</v>
      </c>
      <c r="K63">
        <v>54495139000</v>
      </c>
      <c r="L63">
        <v>30557925000</v>
      </c>
      <c r="M63">
        <v>19446298000</v>
      </c>
      <c r="N63">
        <v>7997170000</v>
      </c>
      <c r="O63">
        <v>-4185768000</v>
      </c>
      <c r="P63">
        <v>1323</v>
      </c>
      <c r="Q63" t="s">
        <v>168</v>
      </c>
    </row>
    <row r="64" spans="1:17" x14ac:dyDescent="0.3">
      <c r="A64" t="s">
        <v>17</v>
      </c>
      <c r="B64" t="str">
        <f>"601898"</f>
        <v>601898</v>
      </c>
      <c r="C64" t="s">
        <v>169</v>
      </c>
      <c r="D64" t="s">
        <v>54</v>
      </c>
      <c r="F64">
        <v>48106335000</v>
      </c>
      <c r="G64">
        <v>22631996000</v>
      </c>
      <c r="H64">
        <v>21983917000</v>
      </c>
      <c r="I64">
        <v>20414373000</v>
      </c>
      <c r="J64">
        <v>17807406000</v>
      </c>
      <c r="K64">
        <v>12067759000</v>
      </c>
      <c r="L64">
        <v>7284642000</v>
      </c>
      <c r="M64">
        <v>5083525000</v>
      </c>
      <c r="N64">
        <v>9491153000</v>
      </c>
      <c r="O64">
        <v>12475125000</v>
      </c>
      <c r="P64">
        <v>446</v>
      </c>
      <c r="Q64" t="s">
        <v>170</v>
      </c>
    </row>
    <row r="65" spans="1:17" x14ac:dyDescent="0.3">
      <c r="A65" t="s">
        <v>17</v>
      </c>
      <c r="B65" t="str">
        <f>"600030"</f>
        <v>600030</v>
      </c>
      <c r="C65" t="s">
        <v>171</v>
      </c>
      <c r="D65" t="s">
        <v>75</v>
      </c>
      <c r="F65">
        <v>28458125359</v>
      </c>
      <c r="G65">
        <v>101825030335</v>
      </c>
      <c r="H65">
        <v>21976368919</v>
      </c>
      <c r="I65">
        <v>57653504626</v>
      </c>
      <c r="J65">
        <v>-104193054145</v>
      </c>
      <c r="K65">
        <v>-49392291189</v>
      </c>
      <c r="L65">
        <v>86246226821</v>
      </c>
      <c r="M65">
        <v>30431948309</v>
      </c>
      <c r="N65">
        <v>-18609569344</v>
      </c>
      <c r="O65">
        <v>-19102688007</v>
      </c>
      <c r="P65">
        <v>5754</v>
      </c>
      <c r="Q65" t="s">
        <v>172</v>
      </c>
    </row>
    <row r="66" spans="1:17" x14ac:dyDescent="0.3">
      <c r="A66" t="s">
        <v>17</v>
      </c>
      <c r="B66" t="str">
        <f>"601991"</f>
        <v>601991</v>
      </c>
      <c r="C66" t="s">
        <v>173</v>
      </c>
      <c r="D66" t="s">
        <v>98</v>
      </c>
      <c r="F66">
        <v>8245340000</v>
      </c>
      <c r="G66">
        <v>26753718000</v>
      </c>
      <c r="H66">
        <v>21669762000</v>
      </c>
      <c r="I66">
        <v>19314090000</v>
      </c>
      <c r="J66">
        <v>18142090000</v>
      </c>
      <c r="K66">
        <v>20452977000</v>
      </c>
      <c r="L66">
        <v>25049573000</v>
      </c>
      <c r="M66">
        <v>26247213000</v>
      </c>
      <c r="N66">
        <v>30067708000</v>
      </c>
      <c r="O66">
        <v>21687772000</v>
      </c>
      <c r="P66">
        <v>283</v>
      </c>
      <c r="Q66" t="s">
        <v>174</v>
      </c>
    </row>
    <row r="67" spans="1:17" x14ac:dyDescent="0.3">
      <c r="A67" t="s">
        <v>17</v>
      </c>
      <c r="B67" t="str">
        <f>"600027"</f>
        <v>600027</v>
      </c>
      <c r="C67" t="s">
        <v>175</v>
      </c>
      <c r="D67" t="s">
        <v>98</v>
      </c>
      <c r="F67">
        <v>-6350506000</v>
      </c>
      <c r="G67">
        <v>25248152000</v>
      </c>
      <c r="H67">
        <v>21376881000</v>
      </c>
      <c r="I67">
        <v>17805981000</v>
      </c>
      <c r="J67">
        <v>12789154000</v>
      </c>
      <c r="K67">
        <v>22132247000</v>
      </c>
      <c r="L67">
        <v>31525719000</v>
      </c>
      <c r="M67">
        <v>23760725000</v>
      </c>
      <c r="N67">
        <v>21885658000</v>
      </c>
      <c r="O67">
        <v>12282605000</v>
      </c>
      <c r="P67">
        <v>987</v>
      </c>
      <c r="Q67" t="s">
        <v>176</v>
      </c>
    </row>
    <row r="68" spans="1:17" x14ac:dyDescent="0.3">
      <c r="A68" t="s">
        <v>17</v>
      </c>
      <c r="B68" t="str">
        <f>"601919"</f>
        <v>601919</v>
      </c>
      <c r="C68" t="s">
        <v>177</v>
      </c>
      <c r="D68" t="s">
        <v>178</v>
      </c>
      <c r="F68">
        <v>170948374302</v>
      </c>
      <c r="G68">
        <v>45030555340</v>
      </c>
      <c r="H68">
        <v>21202371528</v>
      </c>
      <c r="I68">
        <v>8130775622</v>
      </c>
      <c r="J68">
        <v>7092039384</v>
      </c>
      <c r="K68">
        <v>1519532178</v>
      </c>
      <c r="L68">
        <v>6663680639</v>
      </c>
      <c r="M68">
        <v>5901317460</v>
      </c>
      <c r="N68">
        <v>-2338126275</v>
      </c>
      <c r="O68">
        <v>-5299280703</v>
      </c>
      <c r="P68">
        <v>1359</v>
      </c>
      <c r="Q68" t="s">
        <v>179</v>
      </c>
    </row>
    <row r="69" spans="1:17" x14ac:dyDescent="0.3">
      <c r="A69" t="s">
        <v>17</v>
      </c>
      <c r="B69" t="str">
        <f>"601688"</f>
        <v>601688</v>
      </c>
      <c r="C69" t="s">
        <v>180</v>
      </c>
      <c r="D69" t="s">
        <v>75</v>
      </c>
      <c r="F69">
        <v>-44642417632</v>
      </c>
      <c r="G69">
        <v>26062796703</v>
      </c>
      <c r="H69">
        <v>20440490713</v>
      </c>
      <c r="I69">
        <v>21990785392</v>
      </c>
      <c r="J69">
        <v>-35992259954</v>
      </c>
      <c r="K69">
        <v>-15355728805</v>
      </c>
      <c r="L69">
        <v>14820398504</v>
      </c>
      <c r="M69">
        <v>30402931451</v>
      </c>
      <c r="N69">
        <v>-20841194825</v>
      </c>
      <c r="O69">
        <v>-9481490592</v>
      </c>
      <c r="P69">
        <v>6874</v>
      </c>
      <c r="Q69" t="s">
        <v>181</v>
      </c>
    </row>
    <row r="70" spans="1:17" x14ac:dyDescent="0.3">
      <c r="A70" t="s">
        <v>17</v>
      </c>
      <c r="B70" t="str">
        <f>"600886"</f>
        <v>600886</v>
      </c>
      <c r="C70" t="s">
        <v>182</v>
      </c>
      <c r="D70" t="s">
        <v>105</v>
      </c>
      <c r="F70">
        <v>14631389197</v>
      </c>
      <c r="G70">
        <v>20743217255</v>
      </c>
      <c r="H70">
        <v>20354175494</v>
      </c>
      <c r="I70">
        <v>19218801114</v>
      </c>
      <c r="J70">
        <v>18141039798</v>
      </c>
      <c r="K70">
        <v>19066537850</v>
      </c>
      <c r="L70">
        <v>22896771649</v>
      </c>
      <c r="M70">
        <v>21418981071</v>
      </c>
      <c r="N70">
        <v>15197612776</v>
      </c>
      <c r="O70">
        <v>8606379058</v>
      </c>
      <c r="P70">
        <v>2023</v>
      </c>
      <c r="Q70" t="s">
        <v>183</v>
      </c>
    </row>
    <row r="71" spans="1:17" x14ac:dyDescent="0.3">
      <c r="A71" t="s">
        <v>17</v>
      </c>
      <c r="B71" t="str">
        <f>"601169"</f>
        <v>601169</v>
      </c>
      <c r="C71" t="s">
        <v>184</v>
      </c>
      <c r="D71" t="s">
        <v>64</v>
      </c>
      <c r="F71">
        <v>-39561000000</v>
      </c>
      <c r="G71">
        <v>18977000000</v>
      </c>
      <c r="H71">
        <v>20196000000</v>
      </c>
      <c r="I71">
        <v>37167000000</v>
      </c>
      <c r="J71">
        <v>12545000000</v>
      </c>
      <c r="K71">
        <v>-5293000000</v>
      </c>
      <c r="L71">
        <v>36419000000</v>
      </c>
      <c r="M71">
        <v>124487000000</v>
      </c>
      <c r="N71">
        <v>20842202000</v>
      </c>
      <c r="O71">
        <v>-4365730000</v>
      </c>
      <c r="P71">
        <v>16385</v>
      </c>
      <c r="Q71" t="s">
        <v>185</v>
      </c>
    </row>
    <row r="72" spans="1:17" x14ac:dyDescent="0.3">
      <c r="A72" t="s">
        <v>59</v>
      </c>
      <c r="B72" t="str">
        <f>"000415"</f>
        <v>000415</v>
      </c>
      <c r="C72" t="s">
        <v>186</v>
      </c>
      <c r="D72" t="s">
        <v>187</v>
      </c>
      <c r="F72">
        <v>16092187000</v>
      </c>
      <c r="G72">
        <v>14446691000</v>
      </c>
      <c r="H72">
        <v>19875636000</v>
      </c>
      <c r="I72">
        <v>20434852000</v>
      </c>
      <c r="J72">
        <v>21023230000</v>
      </c>
      <c r="K72">
        <v>13944584000</v>
      </c>
      <c r="L72">
        <v>7014152000</v>
      </c>
      <c r="M72">
        <v>4734712000</v>
      </c>
      <c r="N72">
        <v>4619723000</v>
      </c>
      <c r="O72">
        <v>1183593310</v>
      </c>
      <c r="P72">
        <v>256</v>
      </c>
      <c r="Q72" t="s">
        <v>188</v>
      </c>
    </row>
    <row r="73" spans="1:17" x14ac:dyDescent="0.3">
      <c r="A73" t="s">
        <v>17</v>
      </c>
      <c r="B73" t="str">
        <f>"600606"</f>
        <v>600606</v>
      </c>
      <c r="C73" t="s">
        <v>189</v>
      </c>
      <c r="D73" t="s">
        <v>61</v>
      </c>
      <c r="F73">
        <v>62232569505</v>
      </c>
      <c r="G73">
        <v>44719606717</v>
      </c>
      <c r="H73">
        <v>19261458798</v>
      </c>
      <c r="I73">
        <v>42172427797</v>
      </c>
      <c r="J73">
        <v>58862552459</v>
      </c>
      <c r="K73">
        <v>-4357317156</v>
      </c>
      <c r="L73">
        <v>-24239237203</v>
      </c>
      <c r="M73">
        <v>30529383</v>
      </c>
      <c r="N73">
        <v>61524375</v>
      </c>
      <c r="O73">
        <v>-118269865</v>
      </c>
      <c r="P73">
        <v>1970</v>
      </c>
      <c r="Q73" t="s">
        <v>190</v>
      </c>
    </row>
    <row r="74" spans="1:17" x14ac:dyDescent="0.3">
      <c r="A74" t="s">
        <v>17</v>
      </c>
      <c r="B74" t="str">
        <f>"601225"</f>
        <v>601225</v>
      </c>
      <c r="C74" t="s">
        <v>191</v>
      </c>
      <c r="D74" t="s">
        <v>54</v>
      </c>
      <c r="F74">
        <v>51120894751</v>
      </c>
      <c r="G74">
        <v>21139927227</v>
      </c>
      <c r="H74">
        <v>19200350253</v>
      </c>
      <c r="I74">
        <v>19758268793</v>
      </c>
      <c r="J74">
        <v>16930864645</v>
      </c>
      <c r="K74">
        <v>8266537896</v>
      </c>
      <c r="L74">
        <v>-888587629</v>
      </c>
      <c r="M74">
        <v>121415895</v>
      </c>
      <c r="N74">
        <v>5967902404</v>
      </c>
      <c r="O74">
        <v>4918081437</v>
      </c>
      <c r="P74">
        <v>2634</v>
      </c>
      <c r="Q74" t="s">
        <v>192</v>
      </c>
    </row>
    <row r="75" spans="1:17" x14ac:dyDescent="0.3">
      <c r="A75" t="s">
        <v>17</v>
      </c>
      <c r="B75" t="str">
        <f>"601377"</f>
        <v>601377</v>
      </c>
      <c r="C75" t="s">
        <v>193</v>
      </c>
      <c r="D75" t="s">
        <v>75</v>
      </c>
      <c r="F75">
        <v>15206107988</v>
      </c>
      <c r="G75">
        <v>7683858617</v>
      </c>
      <c r="H75">
        <v>18343748513</v>
      </c>
      <c r="I75">
        <v>17607036119</v>
      </c>
      <c r="J75">
        <v>-21545470868</v>
      </c>
      <c r="K75">
        <v>-32200813819</v>
      </c>
      <c r="L75">
        <v>-1388795438</v>
      </c>
      <c r="M75">
        <v>2777475921</v>
      </c>
      <c r="N75">
        <v>-4671106229</v>
      </c>
      <c r="O75">
        <v>-437420613</v>
      </c>
      <c r="P75">
        <v>1731</v>
      </c>
      <c r="Q75" t="s">
        <v>194</v>
      </c>
    </row>
    <row r="76" spans="1:17" x14ac:dyDescent="0.3">
      <c r="A76" t="s">
        <v>59</v>
      </c>
      <c r="B76" t="str">
        <f>"300498"</f>
        <v>300498</v>
      </c>
      <c r="C76" t="s">
        <v>195</v>
      </c>
      <c r="D76" t="s">
        <v>196</v>
      </c>
      <c r="F76">
        <v>766161193</v>
      </c>
      <c r="G76">
        <v>8465248851</v>
      </c>
      <c r="H76">
        <v>18302933001</v>
      </c>
      <c r="I76">
        <v>6494470883</v>
      </c>
      <c r="J76">
        <v>7994018445</v>
      </c>
      <c r="K76">
        <v>14652743720</v>
      </c>
      <c r="L76">
        <v>9303222840</v>
      </c>
      <c r="M76">
        <v>4571682484</v>
      </c>
      <c r="N76">
        <v>1844812689</v>
      </c>
      <c r="O76">
        <v>3724418764</v>
      </c>
      <c r="P76">
        <v>2457</v>
      </c>
      <c r="Q76" t="s">
        <v>197</v>
      </c>
    </row>
    <row r="77" spans="1:17" x14ac:dyDescent="0.3">
      <c r="A77" t="s">
        <v>17</v>
      </c>
      <c r="B77" t="str">
        <f>"601618"</f>
        <v>601618</v>
      </c>
      <c r="C77" t="s">
        <v>198</v>
      </c>
      <c r="D77" t="s">
        <v>199</v>
      </c>
      <c r="F77">
        <v>17640008000</v>
      </c>
      <c r="G77">
        <v>28031705000</v>
      </c>
      <c r="H77">
        <v>17577933000</v>
      </c>
      <c r="I77">
        <v>14049970000</v>
      </c>
      <c r="J77">
        <v>18417847000</v>
      </c>
      <c r="K77">
        <v>18558549000</v>
      </c>
      <c r="L77">
        <v>15357382000</v>
      </c>
      <c r="M77">
        <v>14969027000</v>
      </c>
      <c r="N77">
        <v>20022146000</v>
      </c>
      <c r="O77">
        <v>4386582000</v>
      </c>
      <c r="P77">
        <v>584</v>
      </c>
      <c r="Q77" t="s">
        <v>200</v>
      </c>
    </row>
    <row r="78" spans="1:17" x14ac:dyDescent="0.3">
      <c r="A78" t="s">
        <v>17</v>
      </c>
      <c r="B78" t="str">
        <f>"688688"</f>
        <v>688688</v>
      </c>
      <c r="C78" t="s">
        <v>201</v>
      </c>
      <c r="H78">
        <v>17259942000</v>
      </c>
      <c r="I78">
        <v>-19049574000</v>
      </c>
      <c r="J78">
        <v>16141169000</v>
      </c>
      <c r="P78">
        <v>42</v>
      </c>
      <c r="Q78" t="s">
        <v>202</v>
      </c>
    </row>
    <row r="79" spans="1:17" x14ac:dyDescent="0.3">
      <c r="A79" t="s">
        <v>17</v>
      </c>
      <c r="B79" t="str">
        <f>"600346"</f>
        <v>600346</v>
      </c>
      <c r="C79" t="s">
        <v>203</v>
      </c>
      <c r="D79" t="s">
        <v>24</v>
      </c>
      <c r="F79">
        <v>18670173744</v>
      </c>
      <c r="G79">
        <v>24142881291</v>
      </c>
      <c r="H79">
        <v>16936974236</v>
      </c>
      <c r="I79">
        <v>4131448727</v>
      </c>
      <c r="J79">
        <v>155968870</v>
      </c>
      <c r="K79">
        <v>730013302</v>
      </c>
      <c r="L79">
        <v>-95956782</v>
      </c>
      <c r="M79">
        <v>155947307</v>
      </c>
      <c r="N79">
        <v>129322785</v>
      </c>
      <c r="O79">
        <v>82387259</v>
      </c>
      <c r="P79">
        <v>1652</v>
      </c>
      <c r="Q79" t="s">
        <v>204</v>
      </c>
    </row>
    <row r="80" spans="1:17" x14ac:dyDescent="0.3">
      <c r="A80" t="s">
        <v>17</v>
      </c>
      <c r="B80" t="str">
        <f>"601816"</f>
        <v>601816</v>
      </c>
      <c r="C80" t="s">
        <v>205</v>
      </c>
      <c r="D80" t="s">
        <v>206</v>
      </c>
      <c r="F80">
        <v>15467540963</v>
      </c>
      <c r="G80">
        <v>12601849428</v>
      </c>
      <c r="H80">
        <v>16722820391</v>
      </c>
      <c r="I80">
        <v>13765333862</v>
      </c>
      <c r="J80">
        <v>14888887801</v>
      </c>
      <c r="K80">
        <v>14384764850</v>
      </c>
      <c r="P80">
        <v>977</v>
      </c>
      <c r="Q80" t="s">
        <v>207</v>
      </c>
    </row>
    <row r="81" spans="1:17" x14ac:dyDescent="0.3">
      <c r="A81" t="s">
        <v>17</v>
      </c>
      <c r="B81" t="str">
        <f>"600025"</f>
        <v>600025</v>
      </c>
      <c r="C81" t="s">
        <v>208</v>
      </c>
      <c r="D81" t="s">
        <v>105</v>
      </c>
      <c r="F81">
        <v>16493973143</v>
      </c>
      <c r="G81">
        <v>14623397891</v>
      </c>
      <c r="H81">
        <v>16163803598</v>
      </c>
      <c r="I81">
        <v>10922117845</v>
      </c>
      <c r="J81">
        <v>8574418891</v>
      </c>
      <c r="K81">
        <v>8440727199</v>
      </c>
      <c r="L81">
        <v>11621887267</v>
      </c>
      <c r="M81">
        <v>13257412386</v>
      </c>
      <c r="P81">
        <v>766</v>
      </c>
      <c r="Q81" t="s">
        <v>209</v>
      </c>
    </row>
    <row r="82" spans="1:17" x14ac:dyDescent="0.3">
      <c r="A82" t="s">
        <v>59</v>
      </c>
      <c r="B82" t="str">
        <f>"000671"</f>
        <v>000671</v>
      </c>
      <c r="C82" t="s">
        <v>210</v>
      </c>
      <c r="D82" t="s">
        <v>61</v>
      </c>
      <c r="F82">
        <v>9163777936</v>
      </c>
      <c r="G82">
        <v>21353512745</v>
      </c>
      <c r="H82">
        <v>15396022356</v>
      </c>
      <c r="I82">
        <v>21831114056</v>
      </c>
      <c r="J82">
        <v>8818981773</v>
      </c>
      <c r="K82">
        <v>-2581229346</v>
      </c>
      <c r="L82">
        <v>-3878711332</v>
      </c>
      <c r="M82">
        <v>-5640930142</v>
      </c>
      <c r="N82">
        <v>-5466222989</v>
      </c>
      <c r="O82">
        <v>110363333</v>
      </c>
      <c r="P82">
        <v>1192</v>
      </c>
      <c r="Q82" t="s">
        <v>211</v>
      </c>
    </row>
    <row r="83" spans="1:17" x14ac:dyDescent="0.3">
      <c r="A83" t="s">
        <v>17</v>
      </c>
      <c r="B83" t="str">
        <f>"600690"</f>
        <v>600690</v>
      </c>
      <c r="C83" t="s">
        <v>212</v>
      </c>
      <c r="D83" t="s">
        <v>213</v>
      </c>
      <c r="F83">
        <v>23129640418</v>
      </c>
      <c r="G83">
        <v>17599111716</v>
      </c>
      <c r="H83">
        <v>15082630943</v>
      </c>
      <c r="I83">
        <v>18934252899</v>
      </c>
      <c r="J83">
        <v>16086588028</v>
      </c>
      <c r="K83">
        <v>8054704601</v>
      </c>
      <c r="L83">
        <v>5579600613</v>
      </c>
      <c r="M83">
        <v>7006580363</v>
      </c>
      <c r="N83">
        <v>6510329449</v>
      </c>
      <c r="O83">
        <v>5518791862</v>
      </c>
      <c r="P83">
        <v>41083</v>
      </c>
      <c r="Q83" t="s">
        <v>214</v>
      </c>
    </row>
    <row r="84" spans="1:17" x14ac:dyDescent="0.3">
      <c r="A84" t="s">
        <v>17</v>
      </c>
      <c r="B84" t="str">
        <f>"601006"</f>
        <v>601006</v>
      </c>
      <c r="C84" t="s">
        <v>215</v>
      </c>
      <c r="D84" t="s">
        <v>206</v>
      </c>
      <c r="F84">
        <v>18898446858</v>
      </c>
      <c r="G84">
        <v>12528580600</v>
      </c>
      <c r="H84">
        <v>15022536018</v>
      </c>
      <c r="I84">
        <v>17887754085</v>
      </c>
      <c r="J84">
        <v>17493600297</v>
      </c>
      <c r="K84">
        <v>6274640003</v>
      </c>
      <c r="L84">
        <v>14117651285</v>
      </c>
      <c r="M84">
        <v>17313230619</v>
      </c>
      <c r="N84">
        <v>14759830013</v>
      </c>
      <c r="O84">
        <v>12915917791</v>
      </c>
      <c r="P84">
        <v>4202</v>
      </c>
      <c r="Q84" t="s">
        <v>216</v>
      </c>
    </row>
    <row r="85" spans="1:17" x14ac:dyDescent="0.3">
      <c r="A85" t="s">
        <v>59</v>
      </c>
      <c r="B85" t="str">
        <f>"002594"</f>
        <v>002594</v>
      </c>
      <c r="C85" t="s">
        <v>217</v>
      </c>
      <c r="D85" t="s">
        <v>218</v>
      </c>
      <c r="F85">
        <v>65466682000</v>
      </c>
      <c r="G85">
        <v>45392668000</v>
      </c>
      <c r="H85">
        <v>14741007000</v>
      </c>
      <c r="I85">
        <v>12522909000</v>
      </c>
      <c r="J85">
        <v>6367887000</v>
      </c>
      <c r="K85">
        <v>-1845571000</v>
      </c>
      <c r="L85">
        <v>3842094000</v>
      </c>
      <c r="M85">
        <v>38069000</v>
      </c>
      <c r="N85">
        <v>2436169000</v>
      </c>
      <c r="O85">
        <v>5555331000</v>
      </c>
      <c r="P85">
        <v>5218</v>
      </c>
      <c r="Q85" t="s">
        <v>219</v>
      </c>
    </row>
    <row r="86" spans="1:17" x14ac:dyDescent="0.3">
      <c r="A86" t="s">
        <v>17</v>
      </c>
      <c r="B86" t="str">
        <f>"601633"</f>
        <v>601633</v>
      </c>
      <c r="C86" t="s">
        <v>220</v>
      </c>
      <c r="D86" t="s">
        <v>57</v>
      </c>
      <c r="F86">
        <v>35315673246</v>
      </c>
      <c r="G86">
        <v>5181232926</v>
      </c>
      <c r="H86">
        <v>13972302435</v>
      </c>
      <c r="I86">
        <v>19697825948</v>
      </c>
      <c r="J86">
        <v>-1076670067</v>
      </c>
      <c r="K86">
        <v>8835406234</v>
      </c>
      <c r="L86">
        <v>10033690412</v>
      </c>
      <c r="M86">
        <v>6095784407</v>
      </c>
      <c r="N86">
        <v>9039043398</v>
      </c>
      <c r="O86">
        <v>4336970802</v>
      </c>
      <c r="P86">
        <v>2066</v>
      </c>
      <c r="Q86" t="s">
        <v>221</v>
      </c>
    </row>
    <row r="87" spans="1:17" x14ac:dyDescent="0.3">
      <c r="A87" t="s">
        <v>59</v>
      </c>
      <c r="B87" t="str">
        <f>"001979"</f>
        <v>001979</v>
      </c>
      <c r="C87" t="s">
        <v>222</v>
      </c>
      <c r="D87" t="s">
        <v>70</v>
      </c>
      <c r="F87">
        <v>25977012146</v>
      </c>
      <c r="G87">
        <v>27622006655</v>
      </c>
      <c r="H87">
        <v>13812068607</v>
      </c>
      <c r="I87">
        <v>10478137566</v>
      </c>
      <c r="J87">
        <v>-4708686126</v>
      </c>
      <c r="K87">
        <v>-12714735117</v>
      </c>
      <c r="L87">
        <v>2084272228</v>
      </c>
      <c r="M87">
        <v>-4941344800</v>
      </c>
      <c r="N87">
        <v>2618815100</v>
      </c>
      <c r="O87">
        <v>7366279700</v>
      </c>
      <c r="P87">
        <v>1456</v>
      </c>
      <c r="Q87" t="s">
        <v>223</v>
      </c>
    </row>
    <row r="88" spans="1:17" x14ac:dyDescent="0.3">
      <c r="A88" t="s">
        <v>17</v>
      </c>
      <c r="B88" t="str">
        <f>"600221"</f>
        <v>600221</v>
      </c>
      <c r="C88" t="s">
        <v>224</v>
      </c>
      <c r="D88" t="s">
        <v>93</v>
      </c>
      <c r="F88">
        <v>677262000</v>
      </c>
      <c r="G88">
        <v>-506068000</v>
      </c>
      <c r="H88">
        <v>13732697000</v>
      </c>
      <c r="I88">
        <v>9224580000</v>
      </c>
      <c r="J88">
        <v>12960134000</v>
      </c>
      <c r="K88">
        <v>12287089000</v>
      </c>
      <c r="L88">
        <v>12536467000</v>
      </c>
      <c r="M88">
        <v>6004642000</v>
      </c>
      <c r="N88">
        <v>7835163000</v>
      </c>
      <c r="O88">
        <v>10195911000</v>
      </c>
      <c r="P88">
        <v>427</v>
      </c>
      <c r="Q88" t="s">
        <v>225</v>
      </c>
    </row>
    <row r="89" spans="1:17" x14ac:dyDescent="0.3">
      <c r="A89" t="s">
        <v>59</v>
      </c>
      <c r="B89" t="str">
        <f>"200488"</f>
        <v>200488</v>
      </c>
      <c r="C89" t="s">
        <v>226</v>
      </c>
      <c r="F89">
        <v>10493932882.4004</v>
      </c>
      <c r="G89">
        <v>13355251954.003599</v>
      </c>
      <c r="H89">
        <v>13682283028.925501</v>
      </c>
      <c r="I89">
        <v>16052510598.349501</v>
      </c>
      <c r="J89">
        <v>28524004.808600001</v>
      </c>
      <c r="K89">
        <v>2403233595.1739998</v>
      </c>
      <c r="L89">
        <v>-11604391638.598801</v>
      </c>
      <c r="M89">
        <v>1232143829.8943999</v>
      </c>
      <c r="N89">
        <v>1438857953.8417001</v>
      </c>
      <c r="O89">
        <v>2435516018.5187998</v>
      </c>
      <c r="P89">
        <v>268</v>
      </c>
      <c r="Q89" t="s">
        <v>227</v>
      </c>
    </row>
    <row r="90" spans="1:17" x14ac:dyDescent="0.3">
      <c r="A90" t="s">
        <v>59</v>
      </c>
      <c r="B90" t="str">
        <f>"300999"</f>
        <v>300999</v>
      </c>
      <c r="C90" t="s">
        <v>228</v>
      </c>
      <c r="D90" t="s">
        <v>229</v>
      </c>
      <c r="F90">
        <v>725366000</v>
      </c>
      <c r="G90">
        <v>1198688000</v>
      </c>
      <c r="H90">
        <v>13528181000</v>
      </c>
      <c r="I90">
        <v>2254957000</v>
      </c>
      <c r="J90">
        <v>563543000</v>
      </c>
      <c r="K90">
        <v>1653140000</v>
      </c>
      <c r="P90">
        <v>1181</v>
      </c>
      <c r="Q90" t="s">
        <v>230</v>
      </c>
    </row>
    <row r="91" spans="1:17" x14ac:dyDescent="0.3">
      <c r="A91" t="s">
        <v>59</v>
      </c>
      <c r="B91" t="str">
        <f>"300750"</f>
        <v>300750</v>
      </c>
      <c r="C91" t="s">
        <v>231</v>
      </c>
      <c r="D91" t="s">
        <v>232</v>
      </c>
      <c r="F91">
        <v>42908008697</v>
      </c>
      <c r="G91">
        <v>18429902632</v>
      </c>
      <c r="H91">
        <v>13471954557</v>
      </c>
      <c r="I91">
        <v>11316265701</v>
      </c>
      <c r="J91">
        <v>2340748210</v>
      </c>
      <c r="K91">
        <v>2109126727</v>
      </c>
      <c r="L91">
        <v>664533984</v>
      </c>
      <c r="P91">
        <v>4825</v>
      </c>
      <c r="Q91" t="s">
        <v>233</v>
      </c>
    </row>
    <row r="92" spans="1:17" x14ac:dyDescent="0.3">
      <c r="A92" t="s">
        <v>17</v>
      </c>
      <c r="B92" t="str">
        <f>"600031"</f>
        <v>600031</v>
      </c>
      <c r="C92" t="s">
        <v>234</v>
      </c>
      <c r="D92" t="s">
        <v>235</v>
      </c>
      <c r="F92">
        <v>11904233000</v>
      </c>
      <c r="G92">
        <v>13362907000</v>
      </c>
      <c r="H92">
        <v>13265375000</v>
      </c>
      <c r="I92">
        <v>10526899000</v>
      </c>
      <c r="J92">
        <v>8564501000</v>
      </c>
      <c r="K92">
        <v>3249450000</v>
      </c>
      <c r="L92">
        <v>2135976000</v>
      </c>
      <c r="M92">
        <v>1231939000</v>
      </c>
      <c r="N92">
        <v>2769329000</v>
      </c>
      <c r="O92">
        <v>5681738000</v>
      </c>
      <c r="P92">
        <v>6538</v>
      </c>
      <c r="Q92" t="s">
        <v>236</v>
      </c>
    </row>
    <row r="93" spans="1:17" x14ac:dyDescent="0.3">
      <c r="A93" t="s">
        <v>17</v>
      </c>
      <c r="B93" t="str">
        <f>"601600"</f>
        <v>601600</v>
      </c>
      <c r="C93" t="s">
        <v>237</v>
      </c>
      <c r="D93" t="s">
        <v>238</v>
      </c>
      <c r="F93">
        <v>28306356000</v>
      </c>
      <c r="G93">
        <v>14928904000</v>
      </c>
      <c r="H93">
        <v>12576862000</v>
      </c>
      <c r="I93">
        <v>13185490000</v>
      </c>
      <c r="J93">
        <v>13127777000</v>
      </c>
      <c r="K93">
        <v>11518674000</v>
      </c>
      <c r="L93">
        <v>7231450000</v>
      </c>
      <c r="M93">
        <v>13773049000</v>
      </c>
      <c r="N93">
        <v>8251338000</v>
      </c>
      <c r="O93">
        <v>1122352000</v>
      </c>
      <c r="P93">
        <v>744</v>
      </c>
      <c r="Q93" t="s">
        <v>239</v>
      </c>
    </row>
    <row r="94" spans="1:17" x14ac:dyDescent="0.3">
      <c r="A94" t="s">
        <v>59</v>
      </c>
      <c r="B94" t="str">
        <f>"000488"</f>
        <v>000488</v>
      </c>
      <c r="C94" t="s">
        <v>240</v>
      </c>
      <c r="D94" t="s">
        <v>241</v>
      </c>
      <c r="F94">
        <v>8581888193</v>
      </c>
      <c r="G94">
        <v>11259802676</v>
      </c>
      <c r="H94">
        <v>12232707223</v>
      </c>
      <c r="I94">
        <v>14099701887</v>
      </c>
      <c r="J94">
        <v>23766043</v>
      </c>
      <c r="K94">
        <v>2153049270</v>
      </c>
      <c r="L94">
        <v>-9721363524</v>
      </c>
      <c r="M94">
        <v>985399736</v>
      </c>
      <c r="N94">
        <v>1122616801</v>
      </c>
      <c r="O94">
        <v>1956866478</v>
      </c>
      <c r="P94">
        <v>1270</v>
      </c>
      <c r="Q94" t="s">
        <v>242</v>
      </c>
    </row>
    <row r="95" spans="1:17" x14ac:dyDescent="0.3">
      <c r="A95" t="s">
        <v>59</v>
      </c>
      <c r="B95" t="str">
        <f>"300059"</f>
        <v>300059</v>
      </c>
      <c r="C95" t="s">
        <v>243</v>
      </c>
      <c r="D95" t="s">
        <v>75</v>
      </c>
      <c r="F95">
        <v>8974259182</v>
      </c>
      <c r="G95">
        <v>4529026641</v>
      </c>
      <c r="H95">
        <v>11721170511</v>
      </c>
      <c r="I95">
        <v>2667344992</v>
      </c>
      <c r="J95">
        <v>-6159926186</v>
      </c>
      <c r="K95">
        <v>-4227943122</v>
      </c>
      <c r="L95">
        <v>547373125</v>
      </c>
      <c r="M95">
        <v>2362917625</v>
      </c>
      <c r="N95">
        <v>476077544</v>
      </c>
      <c r="O95">
        <v>20163754</v>
      </c>
      <c r="P95">
        <v>5893</v>
      </c>
      <c r="Q95" t="s">
        <v>244</v>
      </c>
    </row>
    <row r="96" spans="1:17" x14ac:dyDescent="0.3">
      <c r="A96" t="s">
        <v>59</v>
      </c>
      <c r="B96" t="str">
        <f>"000100"</f>
        <v>000100</v>
      </c>
      <c r="C96" t="s">
        <v>245</v>
      </c>
      <c r="D96" t="s">
        <v>139</v>
      </c>
      <c r="F96">
        <v>32878450437</v>
      </c>
      <c r="G96">
        <v>16698283000</v>
      </c>
      <c r="H96">
        <v>11490096405</v>
      </c>
      <c r="I96">
        <v>10486579000</v>
      </c>
      <c r="J96">
        <v>9209615000</v>
      </c>
      <c r="K96">
        <v>8028002000</v>
      </c>
      <c r="L96">
        <v>7394075000</v>
      </c>
      <c r="M96">
        <v>5412244498</v>
      </c>
      <c r="N96">
        <v>5181613549</v>
      </c>
      <c r="O96">
        <v>3915505542</v>
      </c>
      <c r="P96">
        <v>2194</v>
      </c>
      <c r="Q96" t="s">
        <v>246</v>
      </c>
    </row>
    <row r="97" spans="1:17" x14ac:dyDescent="0.3">
      <c r="A97" t="s">
        <v>59</v>
      </c>
      <c r="B97" t="str">
        <f>"002807"</f>
        <v>002807</v>
      </c>
      <c r="C97" t="s">
        <v>247</v>
      </c>
      <c r="D97" t="s">
        <v>153</v>
      </c>
      <c r="F97">
        <v>4074399000</v>
      </c>
      <c r="G97">
        <v>3347884000</v>
      </c>
      <c r="H97">
        <v>11466470000</v>
      </c>
      <c r="I97">
        <v>-11897037000</v>
      </c>
      <c r="J97">
        <v>2033820000</v>
      </c>
      <c r="K97">
        <v>14322012000</v>
      </c>
      <c r="L97">
        <v>8878417000</v>
      </c>
      <c r="M97">
        <v>4008338000</v>
      </c>
      <c r="N97">
        <v>-2541462000</v>
      </c>
      <c r="O97">
        <v>13182078000</v>
      </c>
      <c r="P97">
        <v>571</v>
      </c>
      <c r="Q97" t="s">
        <v>248</v>
      </c>
    </row>
    <row r="98" spans="1:17" x14ac:dyDescent="0.3">
      <c r="A98" t="s">
        <v>17</v>
      </c>
      <c r="B98" t="str">
        <f>"600153"</f>
        <v>600153</v>
      </c>
      <c r="C98" t="s">
        <v>249</v>
      </c>
      <c r="D98" t="s">
        <v>250</v>
      </c>
      <c r="F98">
        <v>408941264</v>
      </c>
      <c r="G98">
        <v>9718505561</v>
      </c>
      <c r="H98">
        <v>11215065398</v>
      </c>
      <c r="I98">
        <v>4780265299</v>
      </c>
      <c r="J98">
        <v>-18587788941</v>
      </c>
      <c r="K98">
        <v>-4840447871</v>
      </c>
      <c r="L98">
        <v>5777496499</v>
      </c>
      <c r="M98">
        <v>-472038134</v>
      </c>
      <c r="N98">
        <v>-1921185595</v>
      </c>
      <c r="O98">
        <v>4754265751</v>
      </c>
      <c r="P98">
        <v>2153</v>
      </c>
      <c r="Q98" t="s">
        <v>251</v>
      </c>
    </row>
    <row r="99" spans="1:17" x14ac:dyDescent="0.3">
      <c r="A99" t="s">
        <v>17</v>
      </c>
      <c r="B99" t="str">
        <f>"600918"</f>
        <v>600918</v>
      </c>
      <c r="C99" t="s">
        <v>252</v>
      </c>
      <c r="D99" t="s">
        <v>75</v>
      </c>
      <c r="F99">
        <v>2272074709</v>
      </c>
      <c r="G99">
        <v>2148771692</v>
      </c>
      <c r="H99">
        <v>11141066210</v>
      </c>
      <c r="I99">
        <v>7604043928</v>
      </c>
      <c r="J99">
        <v>-29040990897</v>
      </c>
      <c r="K99">
        <v>-2321738819</v>
      </c>
      <c r="L99">
        <v>3800139220</v>
      </c>
      <c r="M99">
        <v>15518375200</v>
      </c>
      <c r="N99">
        <v>-3929111500</v>
      </c>
      <c r="O99">
        <v>-1793113400</v>
      </c>
      <c r="P99">
        <v>568</v>
      </c>
      <c r="Q99" t="s">
        <v>253</v>
      </c>
    </row>
    <row r="100" spans="1:17" x14ac:dyDescent="0.3">
      <c r="A100" t="s">
        <v>17</v>
      </c>
      <c r="B100" t="str">
        <f>"601128"</f>
        <v>601128</v>
      </c>
      <c r="C100" t="s">
        <v>254</v>
      </c>
      <c r="D100" t="s">
        <v>153</v>
      </c>
      <c r="F100">
        <v>-1687571000</v>
      </c>
      <c r="G100">
        <v>4120443000</v>
      </c>
      <c r="H100">
        <v>11066192000</v>
      </c>
      <c r="I100">
        <v>1445345000</v>
      </c>
      <c r="J100">
        <v>-6695396000</v>
      </c>
      <c r="K100">
        <v>6836350000</v>
      </c>
      <c r="L100">
        <v>-3311937088</v>
      </c>
      <c r="M100">
        <v>13273432637</v>
      </c>
      <c r="N100">
        <v>-258445447</v>
      </c>
      <c r="O100">
        <v>-1390388000</v>
      </c>
      <c r="P100">
        <v>940</v>
      </c>
      <c r="Q100" t="s">
        <v>255</v>
      </c>
    </row>
    <row r="101" spans="1:17" x14ac:dyDescent="0.3">
      <c r="A101" t="s">
        <v>59</v>
      </c>
      <c r="B101" t="str">
        <f>"000932"</f>
        <v>000932</v>
      </c>
      <c r="C101" t="s">
        <v>256</v>
      </c>
      <c r="D101" t="s">
        <v>120</v>
      </c>
      <c r="F101">
        <v>6515080226</v>
      </c>
      <c r="G101">
        <v>12018439610</v>
      </c>
      <c r="H101">
        <v>10770601212</v>
      </c>
      <c r="I101">
        <v>14401698597</v>
      </c>
      <c r="J101">
        <v>4213955310</v>
      </c>
      <c r="K101">
        <v>6600451965</v>
      </c>
      <c r="L101">
        <v>4211256816</v>
      </c>
      <c r="M101">
        <v>7267806123</v>
      </c>
      <c r="N101">
        <v>879744843</v>
      </c>
      <c r="O101">
        <v>5786843566</v>
      </c>
      <c r="P101">
        <v>1039</v>
      </c>
      <c r="Q101" t="s">
        <v>257</v>
      </c>
    </row>
    <row r="102" spans="1:17" x14ac:dyDescent="0.3">
      <c r="A102" t="s">
        <v>17</v>
      </c>
      <c r="B102" t="str">
        <f>"601899"</f>
        <v>601899</v>
      </c>
      <c r="C102" t="s">
        <v>258</v>
      </c>
      <c r="D102" t="s">
        <v>259</v>
      </c>
      <c r="F102">
        <v>26072237601</v>
      </c>
      <c r="G102">
        <v>14268403423</v>
      </c>
      <c r="H102">
        <v>10665557013</v>
      </c>
      <c r="I102">
        <v>10233009701</v>
      </c>
      <c r="J102">
        <v>9764355514</v>
      </c>
      <c r="K102">
        <v>8601671878</v>
      </c>
      <c r="L102">
        <v>10269413955</v>
      </c>
      <c r="M102">
        <v>6320623792</v>
      </c>
      <c r="N102">
        <v>8842463564</v>
      </c>
      <c r="O102">
        <v>5407581677</v>
      </c>
      <c r="P102">
        <v>2402</v>
      </c>
      <c r="Q102" t="s">
        <v>260</v>
      </c>
    </row>
    <row r="103" spans="1:17" x14ac:dyDescent="0.3">
      <c r="A103" t="s">
        <v>59</v>
      </c>
      <c r="B103" t="str">
        <f>"000540"</f>
        <v>000540</v>
      </c>
      <c r="C103" t="s">
        <v>261</v>
      </c>
      <c r="D103" t="s">
        <v>61</v>
      </c>
      <c r="F103">
        <v>15299760639</v>
      </c>
      <c r="G103">
        <v>12813596518</v>
      </c>
      <c r="H103">
        <v>10600408973</v>
      </c>
      <c r="I103">
        <v>-443408546</v>
      </c>
      <c r="J103">
        <v>-3201219628</v>
      </c>
      <c r="K103">
        <v>445811303</v>
      </c>
      <c r="L103">
        <v>-97348571</v>
      </c>
      <c r="M103">
        <v>1598977867</v>
      </c>
      <c r="N103">
        <v>-162271416</v>
      </c>
      <c r="O103">
        <v>-1552449429</v>
      </c>
      <c r="P103">
        <v>5239</v>
      </c>
      <c r="Q103" t="s">
        <v>262</v>
      </c>
    </row>
    <row r="104" spans="1:17" x14ac:dyDescent="0.3">
      <c r="A104" t="s">
        <v>17</v>
      </c>
      <c r="B104" t="str">
        <f>"601727"</f>
        <v>601727</v>
      </c>
      <c r="C104" t="s">
        <v>263</v>
      </c>
      <c r="D104" t="s">
        <v>264</v>
      </c>
      <c r="F104">
        <v>-10554000000</v>
      </c>
      <c r="G104">
        <v>4696198000</v>
      </c>
      <c r="H104">
        <v>10505138000</v>
      </c>
      <c r="I104">
        <v>949304000</v>
      </c>
      <c r="J104">
        <v>-7525017000</v>
      </c>
      <c r="K104">
        <v>9949389000</v>
      </c>
      <c r="L104">
        <v>7662080000</v>
      </c>
      <c r="M104">
        <v>4410915000</v>
      </c>
      <c r="N104">
        <v>7178088000</v>
      </c>
      <c r="O104">
        <v>6672128000</v>
      </c>
      <c r="P104">
        <v>551</v>
      </c>
      <c r="Q104" t="s">
        <v>265</v>
      </c>
    </row>
    <row r="105" spans="1:17" x14ac:dyDescent="0.3">
      <c r="A105" t="s">
        <v>17</v>
      </c>
      <c r="B105" t="str">
        <f>"600958"</f>
        <v>600958</v>
      </c>
      <c r="C105" t="s">
        <v>266</v>
      </c>
      <c r="D105" t="s">
        <v>75</v>
      </c>
      <c r="F105">
        <v>-10577731643</v>
      </c>
      <c r="G105">
        <v>28195640213</v>
      </c>
      <c r="H105">
        <v>10385033927</v>
      </c>
      <c r="I105">
        <v>5719680135</v>
      </c>
      <c r="J105">
        <v>-14561084109</v>
      </c>
      <c r="K105">
        <v>-20990285550</v>
      </c>
      <c r="L105">
        <v>-13755058027</v>
      </c>
      <c r="M105">
        <v>4988121472</v>
      </c>
      <c r="N105">
        <v>-4349594821</v>
      </c>
      <c r="O105">
        <v>-1810796010</v>
      </c>
      <c r="P105">
        <v>1248</v>
      </c>
      <c r="Q105" t="s">
        <v>267</v>
      </c>
    </row>
    <row r="106" spans="1:17" x14ac:dyDescent="0.3">
      <c r="A106" t="s">
        <v>17</v>
      </c>
      <c r="B106" t="str">
        <f>"601696"</f>
        <v>601696</v>
      </c>
      <c r="C106" t="s">
        <v>268</v>
      </c>
      <c r="D106" t="s">
        <v>75</v>
      </c>
      <c r="F106">
        <v>7185945479</v>
      </c>
      <c r="G106">
        <v>2976032141</v>
      </c>
      <c r="H106">
        <v>10329125408</v>
      </c>
      <c r="I106">
        <v>972741650</v>
      </c>
      <c r="J106">
        <v>-5499192866</v>
      </c>
      <c r="K106">
        <v>-3785487009</v>
      </c>
      <c r="L106">
        <v>1357420200</v>
      </c>
      <c r="M106">
        <v>3966220757</v>
      </c>
      <c r="N106">
        <v>744313707</v>
      </c>
      <c r="O106">
        <v>-1290626669</v>
      </c>
      <c r="P106">
        <v>516</v>
      </c>
      <c r="Q106" t="s">
        <v>269</v>
      </c>
    </row>
    <row r="107" spans="1:17" x14ac:dyDescent="0.3">
      <c r="A107" t="s">
        <v>17</v>
      </c>
      <c r="B107" t="str">
        <f>"600094"</f>
        <v>600094</v>
      </c>
      <c r="C107" t="s">
        <v>270</v>
      </c>
      <c r="D107" t="s">
        <v>61</v>
      </c>
      <c r="F107">
        <v>6533716478</v>
      </c>
      <c r="G107">
        <v>-2416795530</v>
      </c>
      <c r="H107">
        <v>10300370410</v>
      </c>
      <c r="I107">
        <v>6329864096</v>
      </c>
      <c r="J107">
        <v>1022449459</v>
      </c>
      <c r="K107">
        <v>-6528975206</v>
      </c>
      <c r="L107">
        <v>-6721040097</v>
      </c>
      <c r="M107">
        <v>-2636828114</v>
      </c>
      <c r="N107">
        <v>-3000807556</v>
      </c>
      <c r="O107">
        <v>-1106076633</v>
      </c>
      <c r="P107">
        <v>159</v>
      </c>
      <c r="Q107" t="s">
        <v>271</v>
      </c>
    </row>
    <row r="108" spans="1:17" x14ac:dyDescent="0.3">
      <c r="A108" t="s">
        <v>59</v>
      </c>
      <c r="B108" t="str">
        <f>"000166"</f>
        <v>000166</v>
      </c>
      <c r="C108" t="s">
        <v>272</v>
      </c>
      <c r="D108" t="s">
        <v>75</v>
      </c>
      <c r="F108">
        <v>-40818014734</v>
      </c>
      <c r="G108">
        <v>-17746521735</v>
      </c>
      <c r="H108">
        <v>10115907964</v>
      </c>
      <c r="I108">
        <v>-13882156698</v>
      </c>
      <c r="J108">
        <v>-30585421116</v>
      </c>
      <c r="K108">
        <v>-38506580972</v>
      </c>
      <c r="L108">
        <v>50464496017.790001</v>
      </c>
      <c r="M108">
        <v>21661081717</v>
      </c>
      <c r="N108">
        <v>-6875205200</v>
      </c>
      <c r="O108">
        <v>-2401197500</v>
      </c>
      <c r="P108">
        <v>2819</v>
      </c>
      <c r="Q108" t="s">
        <v>273</v>
      </c>
    </row>
    <row r="109" spans="1:17" x14ac:dyDescent="0.3">
      <c r="A109" t="s">
        <v>59</v>
      </c>
      <c r="B109" t="str">
        <f>"000898"</f>
        <v>000898</v>
      </c>
      <c r="C109" t="s">
        <v>274</v>
      </c>
      <c r="D109" t="s">
        <v>120</v>
      </c>
      <c r="F109">
        <v>12846000000</v>
      </c>
      <c r="G109">
        <v>9916000000</v>
      </c>
      <c r="H109">
        <v>10020000000</v>
      </c>
      <c r="I109">
        <v>8294000000</v>
      </c>
      <c r="J109">
        <v>6268000000</v>
      </c>
      <c r="K109">
        <v>4349000000</v>
      </c>
      <c r="L109">
        <v>5137000000</v>
      </c>
      <c r="M109">
        <v>2137000000</v>
      </c>
      <c r="N109">
        <v>10563000000</v>
      </c>
      <c r="O109">
        <v>1453000000</v>
      </c>
      <c r="P109">
        <v>646</v>
      </c>
      <c r="Q109" t="s">
        <v>275</v>
      </c>
    </row>
    <row r="110" spans="1:17" x14ac:dyDescent="0.3">
      <c r="A110" t="s">
        <v>17</v>
      </c>
      <c r="B110" t="str">
        <f>"601860"</f>
        <v>601860</v>
      </c>
      <c r="C110" t="s">
        <v>276</v>
      </c>
      <c r="D110" t="s">
        <v>153</v>
      </c>
      <c r="F110">
        <v>-23135964000</v>
      </c>
      <c r="G110">
        <v>13081997000</v>
      </c>
      <c r="H110">
        <v>10012601000</v>
      </c>
      <c r="I110">
        <v>2902922578</v>
      </c>
      <c r="J110">
        <v>8672703864</v>
      </c>
      <c r="K110">
        <v>-826048181</v>
      </c>
      <c r="L110">
        <v>19102950070</v>
      </c>
      <c r="M110">
        <v>1678739000</v>
      </c>
      <c r="N110">
        <v>3110661000</v>
      </c>
      <c r="O110">
        <v>-9013081234</v>
      </c>
      <c r="P110">
        <v>332</v>
      </c>
      <c r="Q110" t="s">
        <v>277</v>
      </c>
    </row>
    <row r="111" spans="1:17" x14ac:dyDescent="0.3">
      <c r="A111" t="s">
        <v>59</v>
      </c>
      <c r="B111" t="str">
        <f>"002714"</f>
        <v>002714</v>
      </c>
      <c r="C111" t="s">
        <v>278</v>
      </c>
      <c r="D111" t="s">
        <v>196</v>
      </c>
      <c r="F111">
        <v>16295026814</v>
      </c>
      <c r="G111">
        <v>23185751196</v>
      </c>
      <c r="H111">
        <v>9988895351</v>
      </c>
      <c r="I111">
        <v>1357659326</v>
      </c>
      <c r="J111">
        <v>1787135984</v>
      </c>
      <c r="K111">
        <v>1282469805</v>
      </c>
      <c r="L111">
        <v>915404078</v>
      </c>
      <c r="M111">
        <v>455384507</v>
      </c>
      <c r="N111">
        <v>120861513</v>
      </c>
      <c r="O111">
        <v>406498278</v>
      </c>
      <c r="P111">
        <v>4953</v>
      </c>
      <c r="Q111" t="s">
        <v>279</v>
      </c>
    </row>
    <row r="112" spans="1:17" x14ac:dyDescent="0.3">
      <c r="A112" t="s">
        <v>17</v>
      </c>
      <c r="B112" t="str">
        <f>"600999"</f>
        <v>600999</v>
      </c>
      <c r="C112" t="s">
        <v>280</v>
      </c>
      <c r="D112" t="s">
        <v>75</v>
      </c>
      <c r="F112">
        <v>-41193054040</v>
      </c>
      <c r="G112">
        <v>-9805343717</v>
      </c>
      <c r="H112">
        <v>9988552736</v>
      </c>
      <c r="I112">
        <v>34165707849</v>
      </c>
      <c r="J112">
        <v>-42554094926</v>
      </c>
      <c r="K112">
        <v>-23944442970</v>
      </c>
      <c r="L112">
        <v>-18307626766</v>
      </c>
      <c r="M112">
        <v>19608939659</v>
      </c>
      <c r="N112">
        <v>-18428834886</v>
      </c>
      <c r="O112">
        <v>-3177391496</v>
      </c>
      <c r="P112">
        <v>2820</v>
      </c>
      <c r="Q112" t="s">
        <v>281</v>
      </c>
    </row>
    <row r="113" spans="1:17" x14ac:dyDescent="0.3">
      <c r="A113" t="s">
        <v>17</v>
      </c>
      <c r="B113" t="str">
        <f>"601665"</f>
        <v>601665</v>
      </c>
      <c r="C113" t="s">
        <v>282</v>
      </c>
      <c r="D113" t="s">
        <v>64</v>
      </c>
      <c r="F113">
        <v>28531016000</v>
      </c>
      <c r="G113">
        <v>17941374000</v>
      </c>
      <c r="H113">
        <v>9871519000</v>
      </c>
      <c r="I113">
        <v>8009865000</v>
      </c>
      <c r="J113">
        <v>5346977000</v>
      </c>
      <c r="K113">
        <v>16129094000</v>
      </c>
      <c r="P113">
        <v>52</v>
      </c>
      <c r="Q113" t="s">
        <v>283</v>
      </c>
    </row>
    <row r="114" spans="1:17" x14ac:dyDescent="0.3">
      <c r="A114" t="s">
        <v>59</v>
      </c>
      <c r="B114" t="str">
        <f>"000709"</f>
        <v>000709</v>
      </c>
      <c r="C114" t="s">
        <v>284</v>
      </c>
      <c r="D114" t="s">
        <v>120</v>
      </c>
      <c r="F114">
        <v>14701808666</v>
      </c>
      <c r="G114">
        <v>7685281413</v>
      </c>
      <c r="H114">
        <v>9807556607</v>
      </c>
      <c r="I114">
        <v>9984688929</v>
      </c>
      <c r="J114">
        <v>16406867337</v>
      </c>
      <c r="K114">
        <v>1224950916</v>
      </c>
      <c r="L114">
        <v>14365563673</v>
      </c>
      <c r="M114">
        <v>14434257143</v>
      </c>
      <c r="N114">
        <v>11532911498</v>
      </c>
      <c r="O114">
        <v>5408890916</v>
      </c>
      <c r="P114">
        <v>524</v>
      </c>
      <c r="Q114" t="s">
        <v>285</v>
      </c>
    </row>
    <row r="115" spans="1:17" x14ac:dyDescent="0.3">
      <c r="A115" t="s">
        <v>17</v>
      </c>
      <c r="B115" t="str">
        <f>"600801"</f>
        <v>600801</v>
      </c>
      <c r="C115" t="s">
        <v>286</v>
      </c>
      <c r="D115" t="s">
        <v>78</v>
      </c>
      <c r="F115">
        <v>7594957122</v>
      </c>
      <c r="G115">
        <v>8405472760</v>
      </c>
      <c r="H115">
        <v>9679185865</v>
      </c>
      <c r="I115">
        <v>7899606105</v>
      </c>
      <c r="J115">
        <v>3904076048</v>
      </c>
      <c r="K115">
        <v>3096150887</v>
      </c>
      <c r="L115">
        <v>2753246189</v>
      </c>
      <c r="M115">
        <v>3839857469</v>
      </c>
      <c r="N115">
        <v>3006127689</v>
      </c>
      <c r="O115">
        <v>2455821890</v>
      </c>
      <c r="P115">
        <v>1595</v>
      </c>
      <c r="Q115" t="s">
        <v>287</v>
      </c>
    </row>
    <row r="116" spans="1:17" x14ac:dyDescent="0.3">
      <c r="A116" t="s">
        <v>17</v>
      </c>
      <c r="B116" t="str">
        <f>"600741"</f>
        <v>600741</v>
      </c>
      <c r="C116" t="s">
        <v>288</v>
      </c>
      <c r="D116" t="s">
        <v>289</v>
      </c>
      <c r="F116">
        <v>8848072615</v>
      </c>
      <c r="G116">
        <v>9376257346</v>
      </c>
      <c r="H116">
        <v>9656347352</v>
      </c>
      <c r="I116">
        <v>9376138441</v>
      </c>
      <c r="J116">
        <v>8486118138</v>
      </c>
      <c r="K116">
        <v>11375286830</v>
      </c>
      <c r="L116">
        <v>5860101554</v>
      </c>
      <c r="M116">
        <v>6094069740</v>
      </c>
      <c r="N116">
        <v>6792534271</v>
      </c>
      <c r="O116">
        <v>4826529342</v>
      </c>
      <c r="P116">
        <v>6373</v>
      </c>
      <c r="Q116" t="s">
        <v>290</v>
      </c>
    </row>
    <row r="117" spans="1:17" x14ac:dyDescent="0.3">
      <c r="A117" t="s">
        <v>17</v>
      </c>
      <c r="B117" t="str">
        <f>"601992"</f>
        <v>601992</v>
      </c>
      <c r="C117" t="s">
        <v>291</v>
      </c>
      <c r="D117" t="s">
        <v>78</v>
      </c>
      <c r="F117">
        <v>13733868710</v>
      </c>
      <c r="G117">
        <v>15455733791</v>
      </c>
      <c r="H117">
        <v>9521681288</v>
      </c>
      <c r="I117">
        <v>-5042633652</v>
      </c>
      <c r="J117">
        <v>-11854523780</v>
      </c>
      <c r="K117">
        <v>3503749789</v>
      </c>
      <c r="L117">
        <v>-652635718</v>
      </c>
      <c r="M117">
        <v>-6156167927</v>
      </c>
      <c r="N117">
        <v>-559837361</v>
      </c>
      <c r="O117">
        <v>4310758748</v>
      </c>
      <c r="P117">
        <v>368</v>
      </c>
      <c r="Q117" t="s">
        <v>292</v>
      </c>
    </row>
    <row r="118" spans="1:17" x14ac:dyDescent="0.3">
      <c r="A118" t="s">
        <v>17</v>
      </c>
      <c r="B118" t="str">
        <f>"600985"</f>
        <v>600985</v>
      </c>
      <c r="C118" t="s">
        <v>293</v>
      </c>
      <c r="D118" t="s">
        <v>294</v>
      </c>
      <c r="F118">
        <v>11052901148</v>
      </c>
      <c r="G118">
        <v>5507992625</v>
      </c>
      <c r="H118">
        <v>9434307074</v>
      </c>
      <c r="I118">
        <v>8320036839</v>
      </c>
      <c r="J118">
        <v>142375878</v>
      </c>
      <c r="K118">
        <v>223100626</v>
      </c>
      <c r="L118">
        <v>119292668</v>
      </c>
      <c r="M118">
        <v>93407100</v>
      </c>
      <c r="N118">
        <v>126455940</v>
      </c>
      <c r="O118">
        <v>74506979</v>
      </c>
      <c r="P118">
        <v>1007</v>
      </c>
      <c r="Q118" t="s">
        <v>295</v>
      </c>
    </row>
    <row r="119" spans="1:17" x14ac:dyDescent="0.3">
      <c r="A119" t="s">
        <v>59</v>
      </c>
      <c r="B119" t="str">
        <f>"200539"</f>
        <v>200539</v>
      </c>
      <c r="C119" t="s">
        <v>296</v>
      </c>
      <c r="F119">
        <v>-49283744.650799997</v>
      </c>
      <c r="G119">
        <v>7449634544.5509005</v>
      </c>
      <c r="H119">
        <v>9252996060.7719994</v>
      </c>
      <c r="I119">
        <v>6830927541.3059998</v>
      </c>
      <c r="J119">
        <v>4411976610.5005999</v>
      </c>
      <c r="K119">
        <v>9716270768.0515995</v>
      </c>
      <c r="L119">
        <v>12465137219.9865</v>
      </c>
      <c r="M119">
        <v>10494350422.857599</v>
      </c>
      <c r="N119">
        <v>12445174267.148001</v>
      </c>
      <c r="O119">
        <v>9772333161.7716007</v>
      </c>
      <c r="P119">
        <v>185</v>
      </c>
      <c r="Q119" t="s">
        <v>297</v>
      </c>
    </row>
    <row r="120" spans="1:17" x14ac:dyDescent="0.3">
      <c r="A120" t="s">
        <v>17</v>
      </c>
      <c r="B120" t="str">
        <f>"601669"</f>
        <v>601669</v>
      </c>
      <c r="C120" t="s">
        <v>298</v>
      </c>
      <c r="D120" t="s">
        <v>85</v>
      </c>
      <c r="F120">
        <v>15623534181</v>
      </c>
      <c r="G120">
        <v>42963346256</v>
      </c>
      <c r="H120">
        <v>9220822800</v>
      </c>
      <c r="I120">
        <v>19183407287</v>
      </c>
      <c r="J120">
        <v>5569652164</v>
      </c>
      <c r="K120">
        <v>28937155428</v>
      </c>
      <c r="L120">
        <v>10687689244</v>
      </c>
      <c r="M120">
        <v>6752316101</v>
      </c>
      <c r="N120">
        <v>5399884473</v>
      </c>
      <c r="O120">
        <v>2422923495</v>
      </c>
      <c r="P120">
        <v>752</v>
      </c>
      <c r="Q120" t="s">
        <v>299</v>
      </c>
    </row>
    <row r="121" spans="1:17" x14ac:dyDescent="0.3">
      <c r="A121" t="s">
        <v>59</v>
      </c>
      <c r="B121" t="str">
        <f>"002352"</f>
        <v>002352</v>
      </c>
      <c r="C121" t="s">
        <v>300</v>
      </c>
      <c r="D121" t="s">
        <v>301</v>
      </c>
      <c r="F121">
        <v>15357605000</v>
      </c>
      <c r="G121">
        <v>11323919554</v>
      </c>
      <c r="H121">
        <v>9121273475</v>
      </c>
      <c r="I121">
        <v>5424885792</v>
      </c>
      <c r="J121">
        <v>6108333012</v>
      </c>
      <c r="K121">
        <v>5675037786</v>
      </c>
      <c r="L121">
        <v>105899165</v>
      </c>
      <c r="M121">
        <v>148544686</v>
      </c>
      <c r="N121">
        <v>-114279126</v>
      </c>
      <c r="O121">
        <v>27117124</v>
      </c>
      <c r="P121">
        <v>3728</v>
      </c>
      <c r="Q121" t="s">
        <v>302</v>
      </c>
    </row>
    <row r="122" spans="1:17" x14ac:dyDescent="0.3">
      <c r="A122" t="s">
        <v>17</v>
      </c>
      <c r="B122" t="str">
        <f>"600023"</f>
        <v>600023</v>
      </c>
      <c r="C122" t="s">
        <v>303</v>
      </c>
      <c r="D122" t="s">
        <v>98</v>
      </c>
      <c r="F122">
        <v>845659227</v>
      </c>
      <c r="G122">
        <v>10128263993</v>
      </c>
      <c r="H122">
        <v>9027910954</v>
      </c>
      <c r="I122">
        <v>6774212687</v>
      </c>
      <c r="J122">
        <v>9986396966</v>
      </c>
      <c r="K122">
        <v>13350746402</v>
      </c>
      <c r="L122">
        <v>12655781719</v>
      </c>
      <c r="M122">
        <v>10423366934</v>
      </c>
      <c r="N122">
        <v>13262167062</v>
      </c>
      <c r="O122">
        <v>9067977361</v>
      </c>
      <c r="P122">
        <v>918</v>
      </c>
      <c r="Q122" t="s">
        <v>304</v>
      </c>
    </row>
    <row r="123" spans="1:17" x14ac:dyDescent="0.3">
      <c r="A123" t="s">
        <v>17</v>
      </c>
      <c r="B123" t="str">
        <f>"601866"</f>
        <v>601866</v>
      </c>
      <c r="C123" t="s">
        <v>305</v>
      </c>
      <c r="D123" t="s">
        <v>178</v>
      </c>
      <c r="F123">
        <v>14577657724</v>
      </c>
      <c r="G123">
        <v>9894472553</v>
      </c>
      <c r="H123">
        <v>8566492060</v>
      </c>
      <c r="I123">
        <v>6549203722</v>
      </c>
      <c r="J123">
        <v>11929536445</v>
      </c>
      <c r="K123">
        <v>7756275798</v>
      </c>
      <c r="L123">
        <v>918076798</v>
      </c>
      <c r="M123">
        <v>2874264869</v>
      </c>
      <c r="N123">
        <v>-1018021882</v>
      </c>
      <c r="O123">
        <v>223220752</v>
      </c>
      <c r="P123">
        <v>336</v>
      </c>
      <c r="Q123" t="s">
        <v>306</v>
      </c>
    </row>
    <row r="124" spans="1:17" x14ac:dyDescent="0.3">
      <c r="A124" t="s">
        <v>17</v>
      </c>
      <c r="B124" t="str">
        <f>"600887"</f>
        <v>600887</v>
      </c>
      <c r="C124" t="s">
        <v>307</v>
      </c>
      <c r="D124" t="s">
        <v>308</v>
      </c>
      <c r="F124">
        <v>15527519680</v>
      </c>
      <c r="G124">
        <v>9851639165</v>
      </c>
      <c r="H124">
        <v>8455480282</v>
      </c>
      <c r="I124">
        <v>8624771800</v>
      </c>
      <c r="J124">
        <v>7006297179</v>
      </c>
      <c r="K124">
        <v>12817325815</v>
      </c>
      <c r="L124">
        <v>9536498592</v>
      </c>
      <c r="M124">
        <v>2436487020</v>
      </c>
      <c r="N124">
        <v>5474748416</v>
      </c>
      <c r="O124">
        <v>2408542273</v>
      </c>
      <c r="P124">
        <v>72799</v>
      </c>
      <c r="Q124" t="s">
        <v>309</v>
      </c>
    </row>
    <row r="125" spans="1:17" x14ac:dyDescent="0.3">
      <c r="A125" t="s">
        <v>59</v>
      </c>
      <c r="B125" t="str">
        <f>"000539"</f>
        <v>000539</v>
      </c>
      <c r="C125" t="s">
        <v>310</v>
      </c>
      <c r="D125" t="s">
        <v>98</v>
      </c>
      <c r="F125">
        <v>-40304011</v>
      </c>
      <c r="G125">
        <v>6280781169</v>
      </c>
      <c r="H125">
        <v>8272683112</v>
      </c>
      <c r="I125">
        <v>5999936356</v>
      </c>
      <c r="J125">
        <v>3676034503</v>
      </c>
      <c r="K125">
        <v>8704775818</v>
      </c>
      <c r="L125">
        <v>10442437145</v>
      </c>
      <c r="M125">
        <v>8392794644</v>
      </c>
      <c r="N125">
        <v>9709896440</v>
      </c>
      <c r="O125">
        <v>7851786246</v>
      </c>
      <c r="P125">
        <v>203</v>
      </c>
      <c r="Q125" t="s">
        <v>311</v>
      </c>
    </row>
    <row r="126" spans="1:17" x14ac:dyDescent="0.3">
      <c r="A126" t="s">
        <v>17</v>
      </c>
      <c r="B126" t="str">
        <f>"600362"</f>
        <v>600362</v>
      </c>
      <c r="C126" t="s">
        <v>312</v>
      </c>
      <c r="D126" t="s">
        <v>259</v>
      </c>
      <c r="F126">
        <v>9031634346</v>
      </c>
      <c r="G126">
        <v>1381996439</v>
      </c>
      <c r="H126">
        <v>8252296414</v>
      </c>
      <c r="I126">
        <v>8182118246</v>
      </c>
      <c r="J126">
        <v>3259243125</v>
      </c>
      <c r="K126">
        <v>4325998967</v>
      </c>
      <c r="L126">
        <v>1902023306</v>
      </c>
      <c r="M126">
        <v>1735447985</v>
      </c>
      <c r="N126">
        <v>5232520379</v>
      </c>
      <c r="O126">
        <v>6334192911</v>
      </c>
      <c r="P126">
        <v>911</v>
      </c>
      <c r="Q126" t="s">
        <v>313</v>
      </c>
    </row>
    <row r="127" spans="1:17" x14ac:dyDescent="0.3">
      <c r="A127" t="s">
        <v>59</v>
      </c>
      <c r="B127" t="str">
        <f>"000401"</f>
        <v>000401</v>
      </c>
      <c r="C127" t="s">
        <v>314</v>
      </c>
      <c r="D127" t="s">
        <v>78</v>
      </c>
      <c r="F127">
        <v>6211451232</v>
      </c>
      <c r="G127">
        <v>8728180125</v>
      </c>
      <c r="H127">
        <v>8219097476</v>
      </c>
      <c r="I127">
        <v>6530568974</v>
      </c>
      <c r="J127">
        <v>2702309274</v>
      </c>
      <c r="K127">
        <v>2691290473</v>
      </c>
      <c r="L127">
        <v>917288094</v>
      </c>
      <c r="M127">
        <v>2253471810</v>
      </c>
      <c r="N127">
        <v>1215180553</v>
      </c>
      <c r="O127">
        <v>956079771</v>
      </c>
      <c r="P127">
        <v>826</v>
      </c>
      <c r="Q127" t="s">
        <v>315</v>
      </c>
    </row>
    <row r="128" spans="1:17" x14ac:dyDescent="0.3">
      <c r="A128" t="s">
        <v>59</v>
      </c>
      <c r="B128" t="str">
        <f>"002092"</f>
        <v>002092</v>
      </c>
      <c r="C128" t="s">
        <v>316</v>
      </c>
      <c r="D128" t="s">
        <v>317</v>
      </c>
      <c r="F128">
        <v>4458028260</v>
      </c>
      <c r="G128">
        <v>7057326237</v>
      </c>
      <c r="H128">
        <v>8202962196</v>
      </c>
      <c r="I128">
        <v>6392524794</v>
      </c>
      <c r="J128">
        <v>3753359830</v>
      </c>
      <c r="K128">
        <v>1922884356</v>
      </c>
      <c r="L128">
        <v>689504888</v>
      </c>
      <c r="M128">
        <v>2571985519</v>
      </c>
      <c r="N128">
        <v>3197907686</v>
      </c>
      <c r="O128">
        <v>590787921</v>
      </c>
      <c r="P128">
        <v>521</v>
      </c>
      <c r="Q128" t="s">
        <v>318</v>
      </c>
    </row>
    <row r="129" spans="1:17" x14ac:dyDescent="0.3">
      <c r="A129" t="s">
        <v>59</v>
      </c>
      <c r="B129" t="str">
        <f>"000961"</f>
        <v>000961</v>
      </c>
      <c r="C129" t="s">
        <v>319</v>
      </c>
      <c r="D129" t="s">
        <v>61</v>
      </c>
      <c r="F129">
        <v>17596223704</v>
      </c>
      <c r="G129">
        <v>8467448835</v>
      </c>
      <c r="H129">
        <v>8196330864</v>
      </c>
      <c r="I129">
        <v>19431577810</v>
      </c>
      <c r="J129">
        <v>-2937934501</v>
      </c>
      <c r="K129">
        <v>-4500049273</v>
      </c>
      <c r="L129">
        <v>953350601</v>
      </c>
      <c r="M129">
        <v>-5867585036</v>
      </c>
      <c r="N129">
        <v>-4179169988</v>
      </c>
      <c r="O129">
        <v>-277819117</v>
      </c>
      <c r="P129">
        <v>898</v>
      </c>
      <c r="Q129" t="s">
        <v>320</v>
      </c>
    </row>
    <row r="130" spans="1:17" x14ac:dyDescent="0.3">
      <c r="A130" t="s">
        <v>17</v>
      </c>
      <c r="B130" t="str">
        <f>"601012"</f>
        <v>601012</v>
      </c>
      <c r="C130" t="s">
        <v>321</v>
      </c>
      <c r="D130" t="s">
        <v>322</v>
      </c>
      <c r="F130">
        <v>12322606645</v>
      </c>
      <c r="G130">
        <v>11014879428</v>
      </c>
      <c r="H130">
        <v>8158241027</v>
      </c>
      <c r="I130">
        <v>1173271528</v>
      </c>
      <c r="J130">
        <v>1241910600</v>
      </c>
      <c r="K130">
        <v>535757269</v>
      </c>
      <c r="L130">
        <v>364556818</v>
      </c>
      <c r="M130">
        <v>367497531</v>
      </c>
      <c r="N130">
        <v>57135019</v>
      </c>
      <c r="O130">
        <v>-76708771</v>
      </c>
      <c r="P130">
        <v>6941</v>
      </c>
      <c r="Q130" t="s">
        <v>323</v>
      </c>
    </row>
    <row r="131" spans="1:17" x14ac:dyDescent="0.3">
      <c r="A131" t="s">
        <v>17</v>
      </c>
      <c r="B131" t="str">
        <f>"688981"</f>
        <v>688981</v>
      </c>
      <c r="C131" t="s">
        <v>324</v>
      </c>
      <c r="D131" t="s">
        <v>325</v>
      </c>
      <c r="F131">
        <v>20844994000</v>
      </c>
      <c r="G131">
        <v>13174290000</v>
      </c>
      <c r="H131">
        <v>8139992543</v>
      </c>
      <c r="I131">
        <v>5209908947</v>
      </c>
      <c r="J131">
        <v>7769074975</v>
      </c>
      <c r="P131">
        <v>1041</v>
      </c>
      <c r="Q131" t="s">
        <v>326</v>
      </c>
    </row>
    <row r="132" spans="1:17" x14ac:dyDescent="0.3">
      <c r="A132" t="s">
        <v>17</v>
      </c>
      <c r="B132" t="str">
        <f>"600657"</f>
        <v>600657</v>
      </c>
      <c r="C132" t="s">
        <v>327</v>
      </c>
      <c r="D132" t="s">
        <v>61</v>
      </c>
      <c r="F132">
        <v>2711787987</v>
      </c>
      <c r="G132">
        <v>7361073970</v>
      </c>
      <c r="H132">
        <v>8114810077</v>
      </c>
      <c r="I132">
        <v>7061357382</v>
      </c>
      <c r="J132">
        <v>14412330842</v>
      </c>
      <c r="K132">
        <v>-1491138510</v>
      </c>
      <c r="L132">
        <v>-4345542251</v>
      </c>
      <c r="M132">
        <v>-5832061343</v>
      </c>
      <c r="N132">
        <v>-3205034174</v>
      </c>
      <c r="O132">
        <v>-2225141158</v>
      </c>
      <c r="P132">
        <v>423</v>
      </c>
      <c r="Q132" t="s">
        <v>328</v>
      </c>
    </row>
    <row r="133" spans="1:17" x14ac:dyDescent="0.3">
      <c r="A133" t="s">
        <v>59</v>
      </c>
      <c r="B133" t="str">
        <f>"000708"</f>
        <v>000708</v>
      </c>
      <c r="C133" t="s">
        <v>329</v>
      </c>
      <c r="D133" t="s">
        <v>330</v>
      </c>
      <c r="F133">
        <v>12944679556</v>
      </c>
      <c r="G133">
        <v>6571651909</v>
      </c>
      <c r="H133">
        <v>7926316140</v>
      </c>
      <c r="I133">
        <v>732324375</v>
      </c>
      <c r="J133">
        <v>354954016</v>
      </c>
      <c r="K133">
        <v>790296695</v>
      </c>
      <c r="L133">
        <v>97332332</v>
      </c>
      <c r="M133">
        <v>440275069</v>
      </c>
      <c r="N133">
        <v>126516921</v>
      </c>
      <c r="O133">
        <v>72883925</v>
      </c>
      <c r="P133">
        <v>677</v>
      </c>
      <c r="Q133" t="s">
        <v>331</v>
      </c>
    </row>
    <row r="134" spans="1:17" x14ac:dyDescent="0.3">
      <c r="A134" t="s">
        <v>17</v>
      </c>
      <c r="B134" t="str">
        <f>"600383"</f>
        <v>600383</v>
      </c>
      <c r="C134" t="s">
        <v>332</v>
      </c>
      <c r="D134" t="s">
        <v>61</v>
      </c>
      <c r="F134">
        <v>9399534863</v>
      </c>
      <c r="G134">
        <v>7515456836</v>
      </c>
      <c r="H134">
        <v>7899281236</v>
      </c>
      <c r="I134">
        <v>-1828443219</v>
      </c>
      <c r="J134">
        <v>-6988734200</v>
      </c>
      <c r="K134">
        <v>17081705583</v>
      </c>
      <c r="L134">
        <v>8394257554</v>
      </c>
      <c r="M134">
        <v>-951362862</v>
      </c>
      <c r="N134">
        <v>-1561146744</v>
      </c>
      <c r="O134">
        <v>6327366559</v>
      </c>
      <c r="P134">
        <v>2482</v>
      </c>
      <c r="Q134" t="s">
        <v>333</v>
      </c>
    </row>
    <row r="135" spans="1:17" x14ac:dyDescent="0.3">
      <c r="A135" t="s">
        <v>17</v>
      </c>
      <c r="B135" t="str">
        <f>"600808"</f>
        <v>600808</v>
      </c>
      <c r="C135" t="s">
        <v>334</v>
      </c>
      <c r="D135" t="s">
        <v>120</v>
      </c>
      <c r="F135">
        <v>16774476432</v>
      </c>
      <c r="G135">
        <v>2770514645</v>
      </c>
      <c r="H135">
        <v>7865957124</v>
      </c>
      <c r="I135">
        <v>13870430106</v>
      </c>
      <c r="J135">
        <v>4489916403</v>
      </c>
      <c r="K135">
        <v>4619861014</v>
      </c>
      <c r="L135">
        <v>5865332053</v>
      </c>
      <c r="M135">
        <v>2912853829</v>
      </c>
      <c r="N135">
        <v>5091358555</v>
      </c>
      <c r="O135">
        <v>5592587118</v>
      </c>
      <c r="P135">
        <v>636</v>
      </c>
      <c r="Q135" t="s">
        <v>335</v>
      </c>
    </row>
    <row r="136" spans="1:17" x14ac:dyDescent="0.3">
      <c r="A136" t="s">
        <v>17</v>
      </c>
      <c r="B136" t="str">
        <f>"600297"</f>
        <v>600297</v>
      </c>
      <c r="C136" t="s">
        <v>336</v>
      </c>
      <c r="D136" t="s">
        <v>337</v>
      </c>
      <c r="F136">
        <v>1821107893</v>
      </c>
      <c r="G136">
        <v>4190648305</v>
      </c>
      <c r="H136">
        <v>7860204504</v>
      </c>
      <c r="I136">
        <v>2159710101</v>
      </c>
      <c r="J136">
        <v>4986739445</v>
      </c>
      <c r="K136">
        <v>3307651583</v>
      </c>
      <c r="L136">
        <v>5563431808</v>
      </c>
      <c r="M136">
        <v>72543067</v>
      </c>
      <c r="N136">
        <v>57365249</v>
      </c>
      <c r="O136">
        <v>47928374</v>
      </c>
      <c r="P136">
        <v>469</v>
      </c>
      <c r="Q136" t="s">
        <v>338</v>
      </c>
    </row>
    <row r="137" spans="1:17" x14ac:dyDescent="0.3">
      <c r="A137" t="s">
        <v>59</v>
      </c>
      <c r="B137" t="str">
        <f>"000686"</f>
        <v>000686</v>
      </c>
      <c r="C137" t="s">
        <v>339</v>
      </c>
      <c r="D137" t="s">
        <v>75</v>
      </c>
      <c r="F137">
        <v>4309580416</v>
      </c>
      <c r="G137">
        <v>2318368436</v>
      </c>
      <c r="H137">
        <v>7828127332</v>
      </c>
      <c r="I137">
        <v>-715055619</v>
      </c>
      <c r="J137">
        <v>4500970535</v>
      </c>
      <c r="K137">
        <v>-16228726898</v>
      </c>
      <c r="L137">
        <v>-3909332592</v>
      </c>
      <c r="M137">
        <v>2327123644</v>
      </c>
      <c r="N137">
        <v>-2370765194</v>
      </c>
      <c r="O137">
        <v>-3249945435</v>
      </c>
      <c r="P137">
        <v>888</v>
      </c>
      <c r="Q137" t="s">
        <v>340</v>
      </c>
    </row>
    <row r="138" spans="1:17" x14ac:dyDescent="0.3">
      <c r="A138" t="s">
        <v>59</v>
      </c>
      <c r="B138" t="str">
        <f>"200761"</f>
        <v>200761</v>
      </c>
      <c r="C138" t="s">
        <v>341</v>
      </c>
      <c r="F138">
        <v>505595339.55119997</v>
      </c>
      <c r="G138">
        <v>-2418458152.6392999</v>
      </c>
      <c r="H138">
        <v>7804696189.8584995</v>
      </c>
      <c r="I138">
        <v>4121299233.1170001</v>
      </c>
      <c r="J138">
        <v>3293641040.2986002</v>
      </c>
      <c r="K138">
        <v>10667918430.993401</v>
      </c>
      <c r="L138">
        <v>-2751485624.0015998</v>
      </c>
      <c r="M138">
        <v>3586322374.7880001</v>
      </c>
      <c r="N138">
        <v>3445137924.7726002</v>
      </c>
      <c r="O138">
        <v>1100540432.4935999</v>
      </c>
      <c r="P138">
        <v>41</v>
      </c>
      <c r="Q138" t="s">
        <v>342</v>
      </c>
    </row>
    <row r="139" spans="1:17" x14ac:dyDescent="0.3">
      <c r="A139" t="s">
        <v>59</v>
      </c>
      <c r="B139" t="str">
        <f>"002415"</f>
        <v>002415</v>
      </c>
      <c r="C139" t="s">
        <v>343</v>
      </c>
      <c r="D139" t="s">
        <v>344</v>
      </c>
      <c r="F139">
        <v>12708524687</v>
      </c>
      <c r="G139">
        <v>16088156567</v>
      </c>
      <c r="H139">
        <v>7767720171</v>
      </c>
      <c r="I139">
        <v>9114013286</v>
      </c>
      <c r="J139">
        <v>7373160251</v>
      </c>
      <c r="K139">
        <v>6213692161</v>
      </c>
      <c r="L139">
        <v>3216722169</v>
      </c>
      <c r="M139">
        <v>3706420782</v>
      </c>
      <c r="N139">
        <v>1863365812</v>
      </c>
      <c r="O139">
        <v>1436789861</v>
      </c>
      <c r="P139">
        <v>63223</v>
      </c>
      <c r="Q139" t="s">
        <v>345</v>
      </c>
    </row>
    <row r="140" spans="1:17" x14ac:dyDescent="0.3">
      <c r="A140" t="s">
        <v>59</v>
      </c>
      <c r="B140" t="str">
        <f>"000983"</f>
        <v>000983</v>
      </c>
      <c r="C140" t="s">
        <v>346</v>
      </c>
      <c r="D140" t="s">
        <v>294</v>
      </c>
      <c r="F140">
        <v>11007931126</v>
      </c>
      <c r="G140">
        <v>5241688524</v>
      </c>
      <c r="H140">
        <v>7533824212</v>
      </c>
      <c r="I140">
        <v>7155933616</v>
      </c>
      <c r="J140">
        <v>5434718237</v>
      </c>
      <c r="K140">
        <v>2622468054</v>
      </c>
      <c r="L140">
        <v>944397445</v>
      </c>
      <c r="M140">
        <v>934449664</v>
      </c>
      <c r="N140">
        <v>2487998295</v>
      </c>
      <c r="O140">
        <v>2719166077</v>
      </c>
      <c r="P140">
        <v>688</v>
      </c>
      <c r="Q140" t="s">
        <v>347</v>
      </c>
    </row>
    <row r="141" spans="1:17" x14ac:dyDescent="0.3">
      <c r="A141" t="s">
        <v>59</v>
      </c>
      <c r="B141" t="str">
        <f>"002475"</f>
        <v>002475</v>
      </c>
      <c r="C141" t="s">
        <v>348</v>
      </c>
      <c r="D141" t="s">
        <v>349</v>
      </c>
      <c r="F141">
        <v>7284766917</v>
      </c>
      <c r="G141">
        <v>6873211486</v>
      </c>
      <c r="H141">
        <v>7465988174</v>
      </c>
      <c r="I141">
        <v>3142307168</v>
      </c>
      <c r="J141">
        <v>168837371</v>
      </c>
      <c r="K141">
        <v>1309992559</v>
      </c>
      <c r="L141">
        <v>487403773</v>
      </c>
      <c r="M141">
        <v>320904618</v>
      </c>
      <c r="N141">
        <v>294293344</v>
      </c>
      <c r="O141">
        <v>418172366</v>
      </c>
      <c r="P141">
        <v>5894</v>
      </c>
      <c r="Q141" t="s">
        <v>350</v>
      </c>
    </row>
    <row r="142" spans="1:17" x14ac:dyDescent="0.3">
      <c r="A142" t="s">
        <v>59</v>
      </c>
      <c r="B142" t="str">
        <f>"000063"</f>
        <v>000063</v>
      </c>
      <c r="C142" t="s">
        <v>351</v>
      </c>
      <c r="D142" t="s">
        <v>352</v>
      </c>
      <c r="F142">
        <v>15723527000</v>
      </c>
      <c r="G142">
        <v>10232651000</v>
      </c>
      <c r="H142">
        <v>7446554000</v>
      </c>
      <c r="I142">
        <v>-9215386000</v>
      </c>
      <c r="J142">
        <v>7219974000</v>
      </c>
      <c r="K142">
        <v>5260206000</v>
      </c>
      <c r="L142">
        <v>7404665000</v>
      </c>
      <c r="M142">
        <v>2512635000</v>
      </c>
      <c r="N142">
        <v>2574578000</v>
      </c>
      <c r="O142">
        <v>1550016000</v>
      </c>
      <c r="P142">
        <v>3203</v>
      </c>
      <c r="Q142" t="s">
        <v>353</v>
      </c>
    </row>
    <row r="143" spans="1:17" x14ac:dyDescent="0.3">
      <c r="A143" t="s">
        <v>59</v>
      </c>
      <c r="B143" t="str">
        <f>"300433"</f>
        <v>300433</v>
      </c>
      <c r="C143" t="s">
        <v>354</v>
      </c>
      <c r="D143" t="s">
        <v>349</v>
      </c>
      <c r="F143">
        <v>6039009622</v>
      </c>
      <c r="G143">
        <v>7580230147</v>
      </c>
      <c r="H143">
        <v>7250607837</v>
      </c>
      <c r="I143">
        <v>4873271452</v>
      </c>
      <c r="J143">
        <v>4167513685</v>
      </c>
      <c r="K143">
        <v>3379272615</v>
      </c>
      <c r="L143">
        <v>3419635779</v>
      </c>
      <c r="M143">
        <v>2557945711</v>
      </c>
      <c r="N143">
        <v>3521359707</v>
      </c>
      <c r="O143">
        <v>1592520049</v>
      </c>
      <c r="P143">
        <v>1652</v>
      </c>
      <c r="Q143" t="s">
        <v>355</v>
      </c>
    </row>
    <row r="144" spans="1:17" x14ac:dyDescent="0.3">
      <c r="A144" t="s">
        <v>17</v>
      </c>
      <c r="B144" t="str">
        <f>"601825"</f>
        <v>601825</v>
      </c>
      <c r="C144" t="s">
        <v>356</v>
      </c>
      <c r="D144" t="s">
        <v>153</v>
      </c>
      <c r="F144">
        <v>-1147481000</v>
      </c>
      <c r="G144">
        <v>-13840496000</v>
      </c>
      <c r="H144">
        <v>7137869000</v>
      </c>
      <c r="I144">
        <v>-5293186000</v>
      </c>
      <c r="J144">
        <v>-2323390000</v>
      </c>
      <c r="P144">
        <v>57</v>
      </c>
      <c r="Q144" t="s">
        <v>357</v>
      </c>
    </row>
    <row r="145" spans="1:17" x14ac:dyDescent="0.3">
      <c r="A145" t="s">
        <v>17</v>
      </c>
      <c r="B145" t="str">
        <f>"600180"</f>
        <v>600180</v>
      </c>
      <c r="C145" t="s">
        <v>358</v>
      </c>
      <c r="D145" t="s">
        <v>250</v>
      </c>
      <c r="F145">
        <v>-571437813</v>
      </c>
      <c r="G145">
        <v>2658553897</v>
      </c>
      <c r="H145">
        <v>7044356768</v>
      </c>
      <c r="I145">
        <v>3930390640</v>
      </c>
      <c r="J145">
        <v>-2063919167</v>
      </c>
      <c r="K145">
        <v>-4094036073</v>
      </c>
      <c r="L145">
        <v>374324312</v>
      </c>
      <c r="M145">
        <v>-725956486</v>
      </c>
      <c r="N145">
        <v>-1883813121</v>
      </c>
      <c r="O145">
        <v>432924260</v>
      </c>
      <c r="P145">
        <v>151</v>
      </c>
      <c r="Q145" t="s">
        <v>359</v>
      </c>
    </row>
    <row r="146" spans="1:17" x14ac:dyDescent="0.3">
      <c r="A146" t="s">
        <v>59</v>
      </c>
      <c r="B146" t="str">
        <f>"000761"</f>
        <v>000761</v>
      </c>
      <c r="C146" t="s">
        <v>360</v>
      </c>
      <c r="D146" t="s">
        <v>120</v>
      </c>
      <c r="F146">
        <v>413473454</v>
      </c>
      <c r="G146">
        <v>-2039000213</v>
      </c>
      <c r="H146">
        <v>6977824041</v>
      </c>
      <c r="I146">
        <v>3619937842</v>
      </c>
      <c r="J146">
        <v>2744243493</v>
      </c>
      <c r="K146">
        <v>9557353907</v>
      </c>
      <c r="L146">
        <v>-2305005968</v>
      </c>
      <c r="M146">
        <v>2868140095</v>
      </c>
      <c r="N146">
        <v>2687944078</v>
      </c>
      <c r="O146">
        <v>884252316</v>
      </c>
      <c r="P146">
        <v>237</v>
      </c>
      <c r="Q146" t="s">
        <v>361</v>
      </c>
    </row>
    <row r="147" spans="1:17" x14ac:dyDescent="0.3">
      <c r="A147" t="s">
        <v>17</v>
      </c>
      <c r="B147" t="str">
        <f>"601808"</f>
        <v>601808</v>
      </c>
      <c r="C147" t="s">
        <v>362</v>
      </c>
      <c r="D147" t="s">
        <v>363</v>
      </c>
      <c r="F147">
        <v>7423856817</v>
      </c>
      <c r="G147">
        <v>7545247305</v>
      </c>
      <c r="H147">
        <v>6968341176</v>
      </c>
      <c r="I147">
        <v>4172361650</v>
      </c>
      <c r="J147">
        <v>5474484480</v>
      </c>
      <c r="K147">
        <v>2740648360</v>
      </c>
      <c r="L147">
        <v>6556226086</v>
      </c>
      <c r="M147">
        <v>10159659200</v>
      </c>
      <c r="N147">
        <v>8463186525</v>
      </c>
      <c r="O147">
        <v>8738856411</v>
      </c>
      <c r="P147">
        <v>411</v>
      </c>
      <c r="Q147" t="s">
        <v>364</v>
      </c>
    </row>
    <row r="148" spans="1:17" x14ac:dyDescent="0.3">
      <c r="A148" t="s">
        <v>17</v>
      </c>
      <c r="B148" t="str">
        <f>"601997"</f>
        <v>601997</v>
      </c>
      <c r="C148" t="s">
        <v>365</v>
      </c>
      <c r="D148" t="s">
        <v>64</v>
      </c>
      <c r="F148">
        <v>-14113981000</v>
      </c>
      <c r="G148">
        <v>13024573000</v>
      </c>
      <c r="H148">
        <v>6949429000</v>
      </c>
      <c r="I148">
        <v>-37975484000</v>
      </c>
      <c r="J148">
        <v>20741470000</v>
      </c>
      <c r="K148">
        <v>68461132000</v>
      </c>
      <c r="L148">
        <v>37853460000</v>
      </c>
      <c r="M148">
        <v>13641827000</v>
      </c>
      <c r="N148">
        <v>3411373000</v>
      </c>
      <c r="O148">
        <v>7413735000</v>
      </c>
      <c r="P148">
        <v>2050</v>
      </c>
      <c r="Q148" t="s">
        <v>366</v>
      </c>
    </row>
    <row r="149" spans="1:17" x14ac:dyDescent="0.3">
      <c r="A149" t="s">
        <v>59</v>
      </c>
      <c r="B149" t="str">
        <f>"002304"</f>
        <v>002304</v>
      </c>
      <c r="C149" t="s">
        <v>367</v>
      </c>
      <c r="D149" t="s">
        <v>67</v>
      </c>
      <c r="F149">
        <v>15318165481</v>
      </c>
      <c r="G149">
        <v>3978790836</v>
      </c>
      <c r="H149">
        <v>6797891871</v>
      </c>
      <c r="I149">
        <v>9056748816</v>
      </c>
      <c r="J149">
        <v>6883169799</v>
      </c>
      <c r="K149">
        <v>7405044601</v>
      </c>
      <c r="L149">
        <v>5836355329</v>
      </c>
      <c r="M149">
        <v>2711804132</v>
      </c>
      <c r="N149">
        <v>3180013940</v>
      </c>
      <c r="O149">
        <v>5499699623</v>
      </c>
      <c r="P149">
        <v>52722</v>
      </c>
      <c r="Q149" t="s">
        <v>368</v>
      </c>
    </row>
    <row r="150" spans="1:17" x14ac:dyDescent="0.3">
      <c r="A150" t="s">
        <v>17</v>
      </c>
      <c r="B150" t="str">
        <f>"601108"</f>
        <v>601108</v>
      </c>
      <c r="C150" t="s">
        <v>369</v>
      </c>
      <c r="D150" t="s">
        <v>75</v>
      </c>
      <c r="F150">
        <v>2931208552</v>
      </c>
      <c r="G150">
        <v>-4188642382</v>
      </c>
      <c r="H150">
        <v>6665569904</v>
      </c>
      <c r="I150">
        <v>2362615194</v>
      </c>
      <c r="J150">
        <v>-13479522627</v>
      </c>
      <c r="K150">
        <v>-1017605691</v>
      </c>
      <c r="L150">
        <v>2319728768</v>
      </c>
      <c r="M150">
        <v>2856327422</v>
      </c>
      <c r="N150">
        <v>-36755200</v>
      </c>
      <c r="O150">
        <v>-203065600</v>
      </c>
      <c r="P150">
        <v>980</v>
      </c>
      <c r="Q150" t="s">
        <v>370</v>
      </c>
    </row>
    <row r="151" spans="1:17" x14ac:dyDescent="0.3">
      <c r="A151" t="s">
        <v>17</v>
      </c>
      <c r="B151" t="str">
        <f>"600352"</f>
        <v>600352</v>
      </c>
      <c r="C151" t="s">
        <v>371</v>
      </c>
      <c r="D151" t="s">
        <v>372</v>
      </c>
      <c r="F151">
        <v>4681061865</v>
      </c>
      <c r="G151">
        <v>2781096479</v>
      </c>
      <c r="H151">
        <v>6589542302</v>
      </c>
      <c r="I151">
        <v>1076300530</v>
      </c>
      <c r="J151">
        <v>-259371188</v>
      </c>
      <c r="K151">
        <v>-6075318361</v>
      </c>
      <c r="L151">
        <v>1628701207</v>
      </c>
      <c r="M151">
        <v>2649388730</v>
      </c>
      <c r="N151">
        <v>892068216</v>
      </c>
      <c r="O151">
        <v>1088970787</v>
      </c>
      <c r="P151">
        <v>1666</v>
      </c>
      <c r="Q151" t="s">
        <v>373</v>
      </c>
    </row>
    <row r="152" spans="1:17" x14ac:dyDescent="0.3">
      <c r="A152" t="s">
        <v>17</v>
      </c>
      <c r="B152" t="str">
        <f>"603288"</f>
        <v>603288</v>
      </c>
      <c r="C152" t="s">
        <v>374</v>
      </c>
      <c r="D152" t="s">
        <v>375</v>
      </c>
      <c r="F152">
        <v>6323508784</v>
      </c>
      <c r="G152">
        <v>6950432015</v>
      </c>
      <c r="H152">
        <v>6567569489</v>
      </c>
      <c r="I152">
        <v>5996242502</v>
      </c>
      <c r="J152">
        <v>4720977582</v>
      </c>
      <c r="K152">
        <v>4074050748</v>
      </c>
      <c r="L152">
        <v>2194831656</v>
      </c>
      <c r="M152">
        <v>2739330826</v>
      </c>
      <c r="N152">
        <v>1930187429</v>
      </c>
      <c r="O152">
        <v>2171135233</v>
      </c>
      <c r="P152">
        <v>54149</v>
      </c>
      <c r="Q152" t="s">
        <v>376</v>
      </c>
    </row>
    <row r="153" spans="1:17" x14ac:dyDescent="0.3">
      <c r="A153" t="s">
        <v>59</v>
      </c>
      <c r="B153" t="str">
        <f>"000926"</f>
        <v>000926</v>
      </c>
      <c r="C153" t="s">
        <v>377</v>
      </c>
      <c r="D153" t="s">
        <v>61</v>
      </c>
      <c r="F153">
        <v>5078956277</v>
      </c>
      <c r="G153">
        <v>5362661281</v>
      </c>
      <c r="H153">
        <v>6538748331</v>
      </c>
      <c r="I153">
        <v>93482620</v>
      </c>
      <c r="J153">
        <v>131385590</v>
      </c>
      <c r="K153">
        <v>2343512379</v>
      </c>
      <c r="L153">
        <v>43518625</v>
      </c>
      <c r="M153">
        <v>-1520647918</v>
      </c>
      <c r="N153">
        <v>74901964</v>
      </c>
      <c r="O153">
        <v>769341038</v>
      </c>
      <c r="P153">
        <v>239</v>
      </c>
      <c r="Q153" t="s">
        <v>378</v>
      </c>
    </row>
    <row r="154" spans="1:17" x14ac:dyDescent="0.3">
      <c r="A154" t="s">
        <v>17</v>
      </c>
      <c r="B154" t="str">
        <f>"601138"</f>
        <v>601138</v>
      </c>
      <c r="C154" t="s">
        <v>379</v>
      </c>
      <c r="D154" t="s">
        <v>349</v>
      </c>
      <c r="F154">
        <v>8724585000</v>
      </c>
      <c r="G154">
        <v>7693738000</v>
      </c>
      <c r="H154">
        <v>6439287000</v>
      </c>
      <c r="I154">
        <v>22005587000</v>
      </c>
      <c r="J154">
        <v>8513807000</v>
      </c>
      <c r="K154">
        <v>20957746000</v>
      </c>
      <c r="L154">
        <v>8579047000</v>
      </c>
      <c r="P154">
        <v>1318</v>
      </c>
      <c r="Q154" t="s">
        <v>380</v>
      </c>
    </row>
    <row r="155" spans="1:17" x14ac:dyDescent="0.3">
      <c r="A155" t="s">
        <v>17</v>
      </c>
      <c r="B155" t="str">
        <f>"600782"</f>
        <v>600782</v>
      </c>
      <c r="C155" t="s">
        <v>381</v>
      </c>
      <c r="D155" t="s">
        <v>120</v>
      </c>
      <c r="F155">
        <v>4811328042</v>
      </c>
      <c r="G155">
        <v>3575553760</v>
      </c>
      <c r="H155">
        <v>6332554938</v>
      </c>
      <c r="I155">
        <v>2967409338</v>
      </c>
      <c r="J155">
        <v>7946774327</v>
      </c>
      <c r="K155">
        <v>1158512391</v>
      </c>
      <c r="L155">
        <v>2048143887</v>
      </c>
      <c r="M155">
        <v>3100196373</v>
      </c>
      <c r="N155">
        <v>-198937486</v>
      </c>
      <c r="O155">
        <v>300068900</v>
      </c>
      <c r="P155">
        <v>1414</v>
      </c>
      <c r="Q155" t="s">
        <v>382</v>
      </c>
    </row>
    <row r="156" spans="1:17" x14ac:dyDescent="0.3">
      <c r="A156" t="s">
        <v>59</v>
      </c>
      <c r="B156" t="str">
        <f>"000157"</f>
        <v>000157</v>
      </c>
      <c r="C156" t="s">
        <v>383</v>
      </c>
      <c r="D156" t="s">
        <v>235</v>
      </c>
      <c r="F156">
        <v>2624725832</v>
      </c>
      <c r="G156">
        <v>7421753673</v>
      </c>
      <c r="H156">
        <v>6219349490</v>
      </c>
      <c r="I156">
        <v>5064119225</v>
      </c>
      <c r="J156">
        <v>2851086470</v>
      </c>
      <c r="K156">
        <v>2168560152</v>
      </c>
      <c r="L156">
        <v>-3334495102</v>
      </c>
      <c r="M156">
        <v>-7690132992</v>
      </c>
      <c r="N156">
        <v>736769778</v>
      </c>
      <c r="O156">
        <v>2960290000</v>
      </c>
      <c r="P156">
        <v>1683</v>
      </c>
      <c r="Q156" t="s">
        <v>384</v>
      </c>
    </row>
    <row r="157" spans="1:17" x14ac:dyDescent="0.3">
      <c r="A157" t="s">
        <v>17</v>
      </c>
      <c r="B157" t="str">
        <f>"600018"</f>
        <v>600018</v>
      </c>
      <c r="C157" t="s">
        <v>385</v>
      </c>
      <c r="D157" t="s">
        <v>386</v>
      </c>
      <c r="F157">
        <v>13514651398</v>
      </c>
      <c r="G157">
        <v>11186416960</v>
      </c>
      <c r="H157">
        <v>6173031012</v>
      </c>
      <c r="I157">
        <v>5710153688</v>
      </c>
      <c r="J157">
        <v>9610730397</v>
      </c>
      <c r="K157">
        <v>2035925814</v>
      </c>
      <c r="L157">
        <v>9667366614</v>
      </c>
      <c r="M157">
        <v>10208842469</v>
      </c>
      <c r="N157">
        <v>8612678117</v>
      </c>
      <c r="O157">
        <v>6541665712</v>
      </c>
      <c r="P157">
        <v>876</v>
      </c>
      <c r="Q157" t="s">
        <v>387</v>
      </c>
    </row>
    <row r="158" spans="1:17" x14ac:dyDescent="0.3">
      <c r="A158" t="s">
        <v>59</v>
      </c>
      <c r="B158" t="str">
        <f>"201872"</f>
        <v>201872</v>
      </c>
      <c r="C158" t="s">
        <v>388</v>
      </c>
      <c r="F158">
        <v>7960827329.7959995</v>
      </c>
      <c r="G158">
        <v>6518569467.6536999</v>
      </c>
      <c r="H158">
        <v>6153845415.7959995</v>
      </c>
      <c r="I158">
        <v>4882543121.3625002</v>
      </c>
      <c r="J158">
        <v>1394970561.1508</v>
      </c>
      <c r="K158">
        <v>923940023.8448</v>
      </c>
      <c r="L158">
        <v>1167260424.7569001</v>
      </c>
      <c r="M158">
        <v>1023221261.0592</v>
      </c>
      <c r="N158">
        <v>1149913423.2649</v>
      </c>
      <c r="O158">
        <v>869318813.75919998</v>
      </c>
      <c r="P158">
        <v>90</v>
      </c>
      <c r="Q158" t="s">
        <v>389</v>
      </c>
    </row>
    <row r="159" spans="1:17" x14ac:dyDescent="0.3">
      <c r="A159" t="s">
        <v>17</v>
      </c>
      <c r="B159" t="str">
        <f>"600905"</f>
        <v>600905</v>
      </c>
      <c r="C159" t="s">
        <v>390</v>
      </c>
      <c r="D159" t="s">
        <v>391</v>
      </c>
      <c r="F159">
        <v>8817682708</v>
      </c>
      <c r="G159">
        <v>9082072631</v>
      </c>
      <c r="H159">
        <v>6121870404</v>
      </c>
      <c r="I159">
        <v>5071519630</v>
      </c>
      <c r="J159">
        <v>4689303420</v>
      </c>
      <c r="P159">
        <v>657</v>
      </c>
      <c r="Q159" t="s">
        <v>392</v>
      </c>
    </row>
    <row r="160" spans="1:17" x14ac:dyDescent="0.3">
      <c r="A160" t="s">
        <v>17</v>
      </c>
      <c r="B160" t="str">
        <f>"600068"</f>
        <v>600068</v>
      </c>
      <c r="C160" t="s">
        <v>393</v>
      </c>
      <c r="G160">
        <v>6364161032</v>
      </c>
      <c r="H160">
        <v>6070433319</v>
      </c>
      <c r="I160">
        <v>1277803609</v>
      </c>
      <c r="J160">
        <v>-823888220</v>
      </c>
      <c r="K160">
        <v>-3428476234</v>
      </c>
      <c r="L160">
        <v>-4749521516</v>
      </c>
      <c r="M160">
        <v>1146315792</v>
      </c>
      <c r="N160">
        <v>4697564284</v>
      </c>
      <c r="O160">
        <v>-265509608</v>
      </c>
      <c r="P160">
        <v>843</v>
      </c>
      <c r="Q160" t="s">
        <v>394</v>
      </c>
    </row>
    <row r="161" spans="1:17" x14ac:dyDescent="0.3">
      <c r="A161" t="s">
        <v>17</v>
      </c>
      <c r="B161" t="str">
        <f>"601607"</f>
        <v>601607</v>
      </c>
      <c r="C161" t="s">
        <v>395</v>
      </c>
      <c r="D161" t="s">
        <v>396</v>
      </c>
      <c r="F161">
        <v>5061326276</v>
      </c>
      <c r="G161">
        <v>6844720625</v>
      </c>
      <c r="H161">
        <v>6022385613</v>
      </c>
      <c r="I161">
        <v>3135113764</v>
      </c>
      <c r="J161">
        <v>2648808869</v>
      </c>
      <c r="K161">
        <v>1946666985</v>
      </c>
      <c r="L161">
        <v>1349162853</v>
      </c>
      <c r="M161">
        <v>1335674135</v>
      </c>
      <c r="N161">
        <v>973449694</v>
      </c>
      <c r="O161">
        <v>1150774971</v>
      </c>
      <c r="P161">
        <v>1369</v>
      </c>
      <c r="Q161" t="s">
        <v>397</v>
      </c>
    </row>
    <row r="162" spans="1:17" x14ac:dyDescent="0.3">
      <c r="A162" t="s">
        <v>17</v>
      </c>
      <c r="B162" t="str">
        <f>"601800"</f>
        <v>601800</v>
      </c>
      <c r="C162" t="s">
        <v>398</v>
      </c>
      <c r="D162" t="s">
        <v>85</v>
      </c>
      <c r="F162">
        <v>-12642685470</v>
      </c>
      <c r="G162">
        <v>13851445641</v>
      </c>
      <c r="H162">
        <v>5931260061</v>
      </c>
      <c r="I162">
        <v>9098072660</v>
      </c>
      <c r="J162">
        <v>42741461162</v>
      </c>
      <c r="K162">
        <v>29722887754</v>
      </c>
      <c r="L162">
        <v>31911056350</v>
      </c>
      <c r="M162">
        <v>4404027639</v>
      </c>
      <c r="N162">
        <v>6970190099</v>
      </c>
      <c r="O162">
        <v>13338004036</v>
      </c>
      <c r="P162">
        <v>899</v>
      </c>
      <c r="Q162" t="s">
        <v>399</v>
      </c>
    </row>
    <row r="163" spans="1:17" x14ac:dyDescent="0.3">
      <c r="A163" t="s">
        <v>17</v>
      </c>
      <c r="B163" t="str">
        <f>"600021"</f>
        <v>600021</v>
      </c>
      <c r="C163" t="s">
        <v>400</v>
      </c>
      <c r="D163" t="s">
        <v>98</v>
      </c>
      <c r="F163">
        <v>1556716147</v>
      </c>
      <c r="G163">
        <v>7273160957</v>
      </c>
      <c r="H163">
        <v>5930132246</v>
      </c>
      <c r="I163">
        <v>6351162580</v>
      </c>
      <c r="J163">
        <v>4152136588</v>
      </c>
      <c r="K163">
        <v>4010089276</v>
      </c>
      <c r="L163">
        <v>4630953861</v>
      </c>
      <c r="M163">
        <v>2691332563</v>
      </c>
      <c r="N163">
        <v>3438589006</v>
      </c>
      <c r="O163">
        <v>3214024845</v>
      </c>
      <c r="P163">
        <v>336</v>
      </c>
      <c r="Q163" t="s">
        <v>401</v>
      </c>
    </row>
    <row r="164" spans="1:17" x14ac:dyDescent="0.3">
      <c r="A164" t="s">
        <v>59</v>
      </c>
      <c r="B164" t="str">
        <f>"002202"</f>
        <v>002202</v>
      </c>
      <c r="C164" t="s">
        <v>402</v>
      </c>
      <c r="D164" t="s">
        <v>403</v>
      </c>
      <c r="F164">
        <v>4886508395</v>
      </c>
      <c r="G164">
        <v>5377445184</v>
      </c>
      <c r="H164">
        <v>5928782879</v>
      </c>
      <c r="I164">
        <v>3125354512</v>
      </c>
      <c r="J164">
        <v>3023448809</v>
      </c>
      <c r="K164">
        <v>3102542749</v>
      </c>
      <c r="L164">
        <v>4776128233</v>
      </c>
      <c r="M164">
        <v>2829382591</v>
      </c>
      <c r="N164">
        <v>1930048941</v>
      </c>
      <c r="O164">
        <v>2499937819</v>
      </c>
      <c r="P164">
        <v>1283</v>
      </c>
      <c r="Q164" t="s">
        <v>404</v>
      </c>
    </row>
    <row r="165" spans="1:17" x14ac:dyDescent="0.3">
      <c r="A165" t="s">
        <v>17</v>
      </c>
      <c r="B165" t="str">
        <f>"600377"</f>
        <v>600377</v>
      </c>
      <c r="C165" t="s">
        <v>405</v>
      </c>
      <c r="D165" t="s">
        <v>406</v>
      </c>
      <c r="F165">
        <v>5467265536</v>
      </c>
      <c r="G165">
        <v>3137401530</v>
      </c>
      <c r="H165">
        <v>5763283624</v>
      </c>
      <c r="I165">
        <v>5715489507</v>
      </c>
      <c r="J165">
        <v>5232104978</v>
      </c>
      <c r="K165">
        <v>5463748504</v>
      </c>
      <c r="L165">
        <v>4475893125</v>
      </c>
      <c r="M165">
        <v>3092012620</v>
      </c>
      <c r="N165">
        <v>3084162160</v>
      </c>
      <c r="O165">
        <v>3189409926</v>
      </c>
      <c r="P165">
        <v>1722</v>
      </c>
      <c r="Q165" t="s">
        <v>407</v>
      </c>
    </row>
    <row r="166" spans="1:17" x14ac:dyDescent="0.3">
      <c r="A166" t="s">
        <v>17</v>
      </c>
      <c r="B166" t="str">
        <f>"601615"</f>
        <v>601615</v>
      </c>
      <c r="C166" t="s">
        <v>408</v>
      </c>
      <c r="D166" t="s">
        <v>403</v>
      </c>
      <c r="F166">
        <v>5397539407</v>
      </c>
      <c r="G166">
        <v>3630754068</v>
      </c>
      <c r="H166">
        <v>5755264200</v>
      </c>
      <c r="I166">
        <v>276323400</v>
      </c>
      <c r="J166">
        <v>1292583120</v>
      </c>
      <c r="K166">
        <v>91397923</v>
      </c>
      <c r="L166">
        <v>112616906</v>
      </c>
      <c r="P166">
        <v>1068</v>
      </c>
      <c r="Q166" t="s">
        <v>409</v>
      </c>
    </row>
    <row r="167" spans="1:17" x14ac:dyDescent="0.3">
      <c r="A167" t="s">
        <v>59</v>
      </c>
      <c r="B167" t="str">
        <f>"000046"</f>
        <v>000046</v>
      </c>
      <c r="C167" t="s">
        <v>410</v>
      </c>
      <c r="D167" t="s">
        <v>61</v>
      </c>
      <c r="F167">
        <v>10625318974</v>
      </c>
      <c r="G167">
        <v>8336237440</v>
      </c>
      <c r="H167">
        <v>5572307980</v>
      </c>
      <c r="I167">
        <v>9206547963</v>
      </c>
      <c r="J167">
        <v>-19257987387</v>
      </c>
      <c r="K167">
        <v>-15229140549</v>
      </c>
      <c r="L167">
        <v>-178634350</v>
      </c>
      <c r="M167">
        <v>727783720</v>
      </c>
      <c r="N167">
        <v>-2825900343</v>
      </c>
      <c r="O167">
        <v>-1706083785</v>
      </c>
      <c r="P167">
        <v>210</v>
      </c>
      <c r="Q167" t="s">
        <v>411</v>
      </c>
    </row>
    <row r="168" spans="1:17" x14ac:dyDescent="0.3">
      <c r="A168" t="s">
        <v>59</v>
      </c>
      <c r="B168" t="str">
        <f>"001872"</f>
        <v>001872</v>
      </c>
      <c r="C168" t="s">
        <v>412</v>
      </c>
      <c r="D168" t="s">
        <v>386</v>
      </c>
      <c r="F168">
        <v>6510326570</v>
      </c>
      <c r="G168">
        <v>5495800917</v>
      </c>
      <c r="H168">
        <v>5501873416</v>
      </c>
      <c r="I168">
        <v>4288575425</v>
      </c>
      <c r="J168">
        <v>1162281754</v>
      </c>
      <c r="K168">
        <v>827754904</v>
      </c>
      <c r="L168">
        <v>977850737</v>
      </c>
      <c r="M168">
        <v>818315148</v>
      </c>
      <c r="N168">
        <v>897178297</v>
      </c>
      <c r="O168">
        <v>698472452</v>
      </c>
      <c r="P168">
        <v>254</v>
      </c>
      <c r="Q168" t="s">
        <v>413</v>
      </c>
    </row>
    <row r="169" spans="1:17" x14ac:dyDescent="0.3">
      <c r="A169" t="s">
        <v>17</v>
      </c>
      <c r="B169" t="str">
        <f>"600350"</f>
        <v>600350</v>
      </c>
      <c r="C169" t="s">
        <v>414</v>
      </c>
      <c r="D169" t="s">
        <v>406</v>
      </c>
      <c r="F169">
        <v>9794487070</v>
      </c>
      <c r="G169">
        <v>4309087075</v>
      </c>
      <c r="H169">
        <v>5501050549</v>
      </c>
      <c r="I169">
        <v>3890560274</v>
      </c>
      <c r="J169">
        <v>3473775940</v>
      </c>
      <c r="K169">
        <v>6693429851</v>
      </c>
      <c r="L169">
        <v>3306267465</v>
      </c>
      <c r="M169">
        <v>2693548081</v>
      </c>
      <c r="N169">
        <v>1832487105</v>
      </c>
      <c r="O169">
        <v>1316983601</v>
      </c>
      <c r="P169">
        <v>1230</v>
      </c>
      <c r="Q169" t="s">
        <v>415</v>
      </c>
    </row>
    <row r="170" spans="1:17" x14ac:dyDescent="0.3">
      <c r="A170" t="s">
        <v>59</v>
      </c>
      <c r="B170" t="str">
        <f>"002241"</f>
        <v>002241</v>
      </c>
      <c r="C170" t="s">
        <v>416</v>
      </c>
      <c r="D170" t="s">
        <v>349</v>
      </c>
      <c r="F170">
        <v>8598475528</v>
      </c>
      <c r="G170">
        <v>7682256114</v>
      </c>
      <c r="H170">
        <v>5451430415</v>
      </c>
      <c r="I170">
        <v>2276407972</v>
      </c>
      <c r="J170">
        <v>3530997035</v>
      </c>
      <c r="K170">
        <v>2269218473</v>
      </c>
      <c r="L170">
        <v>2409073443</v>
      </c>
      <c r="M170">
        <v>1164874984</v>
      </c>
      <c r="N170">
        <v>846408908</v>
      </c>
      <c r="O170">
        <v>557811069</v>
      </c>
      <c r="P170">
        <v>3528</v>
      </c>
      <c r="Q170" t="s">
        <v>417</v>
      </c>
    </row>
    <row r="171" spans="1:17" x14ac:dyDescent="0.3">
      <c r="A171" t="s">
        <v>17</v>
      </c>
      <c r="B171" t="str">
        <f>"600236"</f>
        <v>600236</v>
      </c>
      <c r="C171" t="s">
        <v>418</v>
      </c>
      <c r="D171" t="s">
        <v>105</v>
      </c>
      <c r="F171">
        <v>4056459233</v>
      </c>
      <c r="G171">
        <v>5571640018</v>
      </c>
      <c r="H171">
        <v>5419464295</v>
      </c>
      <c r="I171">
        <v>6512431967</v>
      </c>
      <c r="J171">
        <v>5944914726</v>
      </c>
      <c r="K171">
        <v>5686809999</v>
      </c>
      <c r="L171">
        <v>7968399397</v>
      </c>
      <c r="M171">
        <v>3218059343</v>
      </c>
      <c r="N171">
        <v>2391121928</v>
      </c>
      <c r="O171">
        <v>2055279779</v>
      </c>
      <c r="P171">
        <v>651</v>
      </c>
      <c r="Q171" t="s">
        <v>419</v>
      </c>
    </row>
    <row r="172" spans="1:17" x14ac:dyDescent="0.3">
      <c r="A172" t="s">
        <v>17</v>
      </c>
      <c r="B172" t="str">
        <f>"601528"</f>
        <v>601528</v>
      </c>
      <c r="C172" t="s">
        <v>420</v>
      </c>
      <c r="D172" t="s">
        <v>153</v>
      </c>
      <c r="F172">
        <v>-187080000</v>
      </c>
      <c r="G172">
        <v>12460270192</v>
      </c>
      <c r="H172">
        <v>5396266538</v>
      </c>
      <c r="I172">
        <v>-4209771751</v>
      </c>
      <c r="K172">
        <v>6506527000</v>
      </c>
      <c r="L172">
        <v>10949546000</v>
      </c>
      <c r="M172">
        <v>6279061000</v>
      </c>
      <c r="P172">
        <v>49</v>
      </c>
      <c r="Q172" t="s">
        <v>421</v>
      </c>
    </row>
    <row r="173" spans="1:17" x14ac:dyDescent="0.3">
      <c r="A173" t="s">
        <v>17</v>
      </c>
      <c r="B173" t="str">
        <f>"600704"</f>
        <v>600704</v>
      </c>
      <c r="C173" t="s">
        <v>422</v>
      </c>
      <c r="D173" t="s">
        <v>250</v>
      </c>
      <c r="F173">
        <v>4415294552</v>
      </c>
      <c r="G173">
        <v>1760870326</v>
      </c>
      <c r="H173">
        <v>5381680782</v>
      </c>
      <c r="I173">
        <v>6530706787</v>
      </c>
      <c r="J173">
        <v>-8359001967</v>
      </c>
      <c r="K173">
        <v>-543955809</v>
      </c>
      <c r="L173">
        <v>3758892936</v>
      </c>
      <c r="M173">
        <v>-1275105076</v>
      </c>
      <c r="N173">
        <v>-1887749932</v>
      </c>
      <c r="O173">
        <v>-529080487</v>
      </c>
      <c r="P173">
        <v>749</v>
      </c>
      <c r="Q173" t="s">
        <v>423</v>
      </c>
    </row>
    <row r="174" spans="1:17" x14ac:dyDescent="0.3">
      <c r="A174" t="s">
        <v>17</v>
      </c>
      <c r="B174" t="str">
        <f>"600026"</f>
        <v>600026</v>
      </c>
      <c r="C174" t="s">
        <v>424</v>
      </c>
      <c r="D174" t="s">
        <v>178</v>
      </c>
      <c r="F174">
        <v>3394620047</v>
      </c>
      <c r="G174">
        <v>7070052751</v>
      </c>
      <c r="H174">
        <v>5347459170</v>
      </c>
      <c r="I174">
        <v>2237665298</v>
      </c>
      <c r="J174">
        <v>3557479512</v>
      </c>
      <c r="K174">
        <v>12157672406</v>
      </c>
      <c r="L174">
        <v>5166342812</v>
      </c>
      <c r="M174">
        <v>3286649996</v>
      </c>
      <c r="N174">
        <v>1554840919</v>
      </c>
      <c r="O174">
        <v>978111561</v>
      </c>
      <c r="P174">
        <v>401</v>
      </c>
      <c r="Q174" t="s">
        <v>425</v>
      </c>
    </row>
    <row r="175" spans="1:17" x14ac:dyDescent="0.3">
      <c r="A175" t="s">
        <v>17</v>
      </c>
      <c r="B175" t="str">
        <f>"600066"</f>
        <v>600066</v>
      </c>
      <c r="C175" t="s">
        <v>426</v>
      </c>
      <c r="D175" t="s">
        <v>427</v>
      </c>
      <c r="F175">
        <v>716214713</v>
      </c>
      <c r="G175">
        <v>3568473338</v>
      </c>
      <c r="H175">
        <v>5340169612</v>
      </c>
      <c r="I175">
        <v>2577826034</v>
      </c>
      <c r="J175">
        <v>-1748962140</v>
      </c>
      <c r="K175">
        <v>3532331690</v>
      </c>
      <c r="L175">
        <v>6009740480</v>
      </c>
      <c r="M175">
        <v>3205260758</v>
      </c>
      <c r="N175">
        <v>1936967617</v>
      </c>
      <c r="O175">
        <v>1372155762</v>
      </c>
      <c r="P175">
        <v>2894</v>
      </c>
      <c r="Q175" t="s">
        <v>428</v>
      </c>
    </row>
    <row r="176" spans="1:17" x14ac:dyDescent="0.3">
      <c r="A176" t="s">
        <v>17</v>
      </c>
      <c r="B176" t="str">
        <f>"688599"</f>
        <v>688599</v>
      </c>
      <c r="C176" t="s">
        <v>429</v>
      </c>
      <c r="D176" t="s">
        <v>430</v>
      </c>
      <c r="F176">
        <v>1098092297</v>
      </c>
      <c r="G176">
        <v>2997545320</v>
      </c>
      <c r="H176">
        <v>5241303610</v>
      </c>
      <c r="I176">
        <v>4080882805</v>
      </c>
      <c r="J176">
        <v>1041658964</v>
      </c>
      <c r="K176">
        <v>434144388</v>
      </c>
      <c r="P176">
        <v>371</v>
      </c>
      <c r="Q176" t="s">
        <v>431</v>
      </c>
    </row>
    <row r="177" spans="1:17" x14ac:dyDescent="0.3">
      <c r="A177" t="s">
        <v>59</v>
      </c>
      <c r="B177" t="str">
        <f>"000301"</f>
        <v>000301</v>
      </c>
      <c r="C177" t="s">
        <v>432</v>
      </c>
      <c r="D177" t="s">
        <v>24</v>
      </c>
      <c r="F177">
        <v>5333711093</v>
      </c>
      <c r="G177">
        <v>2061343307</v>
      </c>
      <c r="H177">
        <v>5215122982</v>
      </c>
      <c r="I177">
        <v>1387940531</v>
      </c>
      <c r="J177">
        <v>478517274</v>
      </c>
      <c r="K177">
        <v>855575301</v>
      </c>
      <c r="L177">
        <v>221857580</v>
      </c>
      <c r="M177">
        <v>-124950152</v>
      </c>
      <c r="N177">
        <v>161527417</v>
      </c>
      <c r="O177">
        <v>487840169</v>
      </c>
      <c r="P177">
        <v>397</v>
      </c>
      <c r="Q177" t="s">
        <v>433</v>
      </c>
    </row>
    <row r="178" spans="1:17" x14ac:dyDescent="0.3">
      <c r="A178" t="s">
        <v>59</v>
      </c>
      <c r="B178" t="str">
        <f>"000027"</f>
        <v>000027</v>
      </c>
      <c r="C178" t="s">
        <v>434</v>
      </c>
      <c r="D178" t="s">
        <v>98</v>
      </c>
      <c r="F178">
        <v>4307426719</v>
      </c>
      <c r="G178">
        <v>6192439248</v>
      </c>
      <c r="H178">
        <v>5200006553</v>
      </c>
      <c r="I178">
        <v>4179062686</v>
      </c>
      <c r="J178">
        <v>2826864440</v>
      </c>
      <c r="K178">
        <v>2752824818</v>
      </c>
      <c r="L178">
        <v>3835383652</v>
      </c>
      <c r="M178">
        <v>3190136650</v>
      </c>
      <c r="N178">
        <v>2294482047</v>
      </c>
      <c r="O178">
        <v>2638556672</v>
      </c>
      <c r="P178">
        <v>509</v>
      </c>
      <c r="Q178" t="s">
        <v>435</v>
      </c>
    </row>
    <row r="179" spans="1:17" x14ac:dyDescent="0.3">
      <c r="A179" t="s">
        <v>17</v>
      </c>
      <c r="B179" t="str">
        <f>"600157"</f>
        <v>600157</v>
      </c>
      <c r="C179" t="s">
        <v>436</v>
      </c>
      <c r="D179" t="s">
        <v>294</v>
      </c>
      <c r="F179">
        <v>5119368506</v>
      </c>
      <c r="G179">
        <v>5019089657</v>
      </c>
      <c r="H179">
        <v>5168793682</v>
      </c>
      <c r="I179">
        <v>4839215814</v>
      </c>
      <c r="J179">
        <v>4582459040</v>
      </c>
      <c r="K179">
        <v>4064645317</v>
      </c>
      <c r="L179">
        <v>2857931196</v>
      </c>
      <c r="M179">
        <v>1980054247</v>
      </c>
      <c r="N179">
        <v>2039384771</v>
      </c>
      <c r="O179">
        <v>1974828408</v>
      </c>
      <c r="P179">
        <v>226</v>
      </c>
      <c r="Q179" t="s">
        <v>437</v>
      </c>
    </row>
    <row r="180" spans="1:17" x14ac:dyDescent="0.3">
      <c r="A180" t="s">
        <v>59</v>
      </c>
      <c r="B180" t="str">
        <f>"000425"</f>
        <v>000425</v>
      </c>
      <c r="C180" t="s">
        <v>438</v>
      </c>
      <c r="D180" t="s">
        <v>235</v>
      </c>
      <c r="F180">
        <v>8072652247</v>
      </c>
      <c r="G180">
        <v>2789192347</v>
      </c>
      <c r="H180">
        <v>5135594020</v>
      </c>
      <c r="I180">
        <v>3308712701</v>
      </c>
      <c r="J180">
        <v>3153411289</v>
      </c>
      <c r="K180">
        <v>2245340337</v>
      </c>
      <c r="L180">
        <v>107741999</v>
      </c>
      <c r="M180">
        <v>737667589</v>
      </c>
      <c r="N180">
        <v>-383060573</v>
      </c>
      <c r="O180">
        <v>-3473394693</v>
      </c>
      <c r="P180">
        <v>961</v>
      </c>
      <c r="Q180" t="s">
        <v>439</v>
      </c>
    </row>
    <row r="181" spans="1:17" x14ac:dyDescent="0.3">
      <c r="A181" t="s">
        <v>17</v>
      </c>
      <c r="B181" t="str">
        <f>"600660"</f>
        <v>600660</v>
      </c>
      <c r="C181" t="s">
        <v>440</v>
      </c>
      <c r="D181" t="s">
        <v>289</v>
      </c>
      <c r="F181">
        <v>5677009641</v>
      </c>
      <c r="G181">
        <v>5277762139</v>
      </c>
      <c r="H181">
        <v>5126914831</v>
      </c>
      <c r="I181">
        <v>5807861303</v>
      </c>
      <c r="J181">
        <v>4796512051</v>
      </c>
      <c r="K181">
        <v>3636974860</v>
      </c>
      <c r="L181">
        <v>3014473026</v>
      </c>
      <c r="M181">
        <v>3154001748</v>
      </c>
      <c r="N181">
        <v>2838377348</v>
      </c>
      <c r="O181">
        <v>2509568377</v>
      </c>
      <c r="P181">
        <v>13818</v>
      </c>
      <c r="Q181" t="s">
        <v>441</v>
      </c>
    </row>
    <row r="182" spans="1:17" x14ac:dyDescent="0.3">
      <c r="A182" t="s">
        <v>17</v>
      </c>
      <c r="B182" t="str">
        <f>"600688"</f>
        <v>600688</v>
      </c>
      <c r="C182" t="s">
        <v>442</v>
      </c>
      <c r="D182" t="s">
        <v>24</v>
      </c>
      <c r="F182">
        <v>4060026000</v>
      </c>
      <c r="G182">
        <v>1751217000</v>
      </c>
      <c r="H182">
        <v>5121209000</v>
      </c>
      <c r="I182">
        <v>6695099000</v>
      </c>
      <c r="J182">
        <v>7078482000</v>
      </c>
      <c r="K182">
        <v>7210957000</v>
      </c>
      <c r="L182">
        <v>5143397000</v>
      </c>
      <c r="M182">
        <v>4039919000</v>
      </c>
      <c r="N182">
        <v>5480669000</v>
      </c>
      <c r="O182">
        <v>-1611521000</v>
      </c>
      <c r="P182">
        <v>585</v>
      </c>
      <c r="Q182" t="s">
        <v>443</v>
      </c>
    </row>
    <row r="183" spans="1:17" x14ac:dyDescent="0.3">
      <c r="A183" t="s">
        <v>17</v>
      </c>
      <c r="B183" t="str">
        <f>"601233"</f>
        <v>601233</v>
      </c>
      <c r="C183" t="s">
        <v>444</v>
      </c>
      <c r="D183" t="s">
        <v>445</v>
      </c>
      <c r="F183">
        <v>2793938316</v>
      </c>
      <c r="G183">
        <v>3347476427</v>
      </c>
      <c r="H183">
        <v>5116001412</v>
      </c>
      <c r="I183">
        <v>2426048564</v>
      </c>
      <c r="J183">
        <v>2190459007</v>
      </c>
      <c r="K183">
        <v>3040500645</v>
      </c>
      <c r="L183">
        <v>1565019031</v>
      </c>
      <c r="M183">
        <v>3590830068</v>
      </c>
      <c r="N183">
        <v>237897943</v>
      </c>
      <c r="O183">
        <v>186189162</v>
      </c>
      <c r="P183">
        <v>807</v>
      </c>
      <c r="Q183" t="s">
        <v>446</v>
      </c>
    </row>
    <row r="184" spans="1:17" x14ac:dyDescent="0.3">
      <c r="A184" t="s">
        <v>17</v>
      </c>
      <c r="B184" t="str">
        <f>"600893"</f>
        <v>600893</v>
      </c>
      <c r="C184" t="s">
        <v>447</v>
      </c>
      <c r="D184" t="s">
        <v>448</v>
      </c>
      <c r="F184">
        <v>16704360189</v>
      </c>
      <c r="G184">
        <v>3608613108</v>
      </c>
      <c r="H184">
        <v>5094462087</v>
      </c>
      <c r="I184">
        <v>1209765895</v>
      </c>
      <c r="J184">
        <v>972593321</v>
      </c>
      <c r="K184">
        <v>-1923923907</v>
      </c>
      <c r="L184">
        <v>2939587122</v>
      </c>
      <c r="M184">
        <v>164653436</v>
      </c>
      <c r="N184">
        <v>317734304</v>
      </c>
      <c r="O184">
        <v>176751235</v>
      </c>
      <c r="P184">
        <v>1086</v>
      </c>
      <c r="Q184" t="s">
        <v>449</v>
      </c>
    </row>
    <row r="185" spans="1:17" x14ac:dyDescent="0.3">
      <c r="A185" t="s">
        <v>17</v>
      </c>
      <c r="B185" t="str">
        <f>"600642"</f>
        <v>600642</v>
      </c>
      <c r="C185" t="s">
        <v>450</v>
      </c>
      <c r="D185" t="s">
        <v>98</v>
      </c>
      <c r="F185">
        <v>3199702418</v>
      </c>
      <c r="G185">
        <v>4845353557</v>
      </c>
      <c r="H185">
        <v>5050541854</v>
      </c>
      <c r="I185">
        <v>2767981054</v>
      </c>
      <c r="J185">
        <v>2434807578</v>
      </c>
      <c r="K185">
        <v>3556831542</v>
      </c>
      <c r="L185">
        <v>3624602677</v>
      </c>
      <c r="M185">
        <v>4366909830</v>
      </c>
      <c r="N185">
        <v>3355203636</v>
      </c>
      <c r="O185">
        <v>3036177761</v>
      </c>
      <c r="P185">
        <v>459</v>
      </c>
      <c r="Q185" t="s">
        <v>451</v>
      </c>
    </row>
    <row r="186" spans="1:17" x14ac:dyDescent="0.3">
      <c r="A186" t="s">
        <v>59</v>
      </c>
      <c r="B186" t="str">
        <f>"002120"</f>
        <v>002120</v>
      </c>
      <c r="C186" t="s">
        <v>452</v>
      </c>
      <c r="D186" t="s">
        <v>301</v>
      </c>
      <c r="F186">
        <v>2989311067</v>
      </c>
      <c r="G186">
        <v>2183637599</v>
      </c>
      <c r="H186">
        <v>5035636371</v>
      </c>
      <c r="I186">
        <v>3714468466</v>
      </c>
      <c r="J186">
        <v>2968384928</v>
      </c>
      <c r="K186">
        <v>1968485541</v>
      </c>
      <c r="L186">
        <v>145340834</v>
      </c>
      <c r="M186">
        <v>116000356</v>
      </c>
      <c r="N186">
        <v>124719237</v>
      </c>
      <c r="O186">
        <v>117049698</v>
      </c>
      <c r="P186">
        <v>1163</v>
      </c>
      <c r="Q186" t="s">
        <v>453</v>
      </c>
    </row>
    <row r="187" spans="1:17" x14ac:dyDescent="0.3">
      <c r="A187" t="s">
        <v>17</v>
      </c>
      <c r="B187" t="str">
        <f>"600332"</f>
        <v>600332</v>
      </c>
      <c r="C187" t="s">
        <v>454</v>
      </c>
      <c r="D187" t="s">
        <v>455</v>
      </c>
      <c r="F187">
        <v>5673496754</v>
      </c>
      <c r="G187">
        <v>585185023</v>
      </c>
      <c r="H187">
        <v>5022366882</v>
      </c>
      <c r="I187">
        <v>5216888486</v>
      </c>
      <c r="J187">
        <v>1833690726</v>
      </c>
      <c r="K187">
        <v>2444671628</v>
      </c>
      <c r="L187">
        <v>1941956497</v>
      </c>
      <c r="M187">
        <v>1761382184</v>
      </c>
      <c r="N187">
        <v>1339140139</v>
      </c>
      <c r="O187">
        <v>506529733</v>
      </c>
      <c r="P187">
        <v>2231</v>
      </c>
      <c r="Q187" t="s">
        <v>456</v>
      </c>
    </row>
    <row r="188" spans="1:17" x14ac:dyDescent="0.3">
      <c r="A188" t="s">
        <v>17</v>
      </c>
      <c r="B188" t="str">
        <f>"601877"</f>
        <v>601877</v>
      </c>
      <c r="C188" t="s">
        <v>457</v>
      </c>
      <c r="D188" t="s">
        <v>458</v>
      </c>
      <c r="F188">
        <v>7087561439</v>
      </c>
      <c r="G188">
        <v>4805560079</v>
      </c>
      <c r="H188">
        <v>4999220055</v>
      </c>
      <c r="I188">
        <v>2900080347</v>
      </c>
      <c r="J188">
        <v>2567621371</v>
      </c>
      <c r="K188">
        <v>4898198299</v>
      </c>
      <c r="L188">
        <v>1925609938</v>
      </c>
      <c r="M188">
        <v>2344058849</v>
      </c>
      <c r="N188">
        <v>637711953</v>
      </c>
      <c r="O188">
        <v>2548426317</v>
      </c>
      <c r="P188">
        <v>34820</v>
      </c>
      <c r="Q188" t="s">
        <v>459</v>
      </c>
    </row>
    <row r="189" spans="1:17" x14ac:dyDescent="0.3">
      <c r="A189" t="s">
        <v>59</v>
      </c>
      <c r="B189" t="str">
        <f>"002423"</f>
        <v>002423</v>
      </c>
      <c r="C189" t="s">
        <v>460</v>
      </c>
      <c r="D189" t="s">
        <v>117</v>
      </c>
      <c r="F189">
        <v>9329588811</v>
      </c>
      <c r="G189">
        <v>6370756084</v>
      </c>
      <c r="H189">
        <v>4984594810</v>
      </c>
      <c r="I189">
        <v>8206937</v>
      </c>
      <c r="J189">
        <v>1611070</v>
      </c>
      <c r="K189">
        <v>-104554718</v>
      </c>
      <c r="L189">
        <v>-83130418</v>
      </c>
      <c r="M189">
        <v>31738130</v>
      </c>
      <c r="N189">
        <v>2285966</v>
      </c>
      <c r="O189">
        <v>49260286</v>
      </c>
      <c r="P189">
        <v>145</v>
      </c>
      <c r="Q189" t="s">
        <v>461</v>
      </c>
    </row>
    <row r="190" spans="1:17" x14ac:dyDescent="0.3">
      <c r="A190" t="s">
        <v>17</v>
      </c>
      <c r="B190" t="str">
        <f>"601003"</f>
        <v>601003</v>
      </c>
      <c r="C190" t="s">
        <v>462</v>
      </c>
      <c r="D190" t="s">
        <v>120</v>
      </c>
      <c r="F190">
        <v>3225367017</v>
      </c>
      <c r="G190">
        <v>2605576964</v>
      </c>
      <c r="H190">
        <v>4885387069</v>
      </c>
      <c r="I190">
        <v>5651591911</v>
      </c>
      <c r="J190">
        <v>4612592644</v>
      </c>
      <c r="K190">
        <v>1587920801</v>
      </c>
      <c r="L190">
        <v>284119957</v>
      </c>
      <c r="M190">
        <v>3047360947</v>
      </c>
      <c r="N190">
        <v>2400644819</v>
      </c>
      <c r="O190">
        <v>-1831943391</v>
      </c>
      <c r="P190">
        <v>1021</v>
      </c>
      <c r="Q190" t="s">
        <v>463</v>
      </c>
    </row>
    <row r="191" spans="1:17" x14ac:dyDescent="0.3">
      <c r="A191" t="s">
        <v>17</v>
      </c>
      <c r="B191" t="str">
        <f>"600009"</f>
        <v>600009</v>
      </c>
      <c r="C191" t="s">
        <v>464</v>
      </c>
      <c r="D191" t="s">
        <v>465</v>
      </c>
      <c r="F191">
        <v>310932080</v>
      </c>
      <c r="G191">
        <v>-1217659314</v>
      </c>
      <c r="H191">
        <v>4885045783</v>
      </c>
      <c r="I191">
        <v>4467517030</v>
      </c>
      <c r="J191">
        <v>4114021179</v>
      </c>
      <c r="K191">
        <v>2574784694</v>
      </c>
      <c r="L191">
        <v>3207366713</v>
      </c>
      <c r="M191">
        <v>2980926188</v>
      </c>
      <c r="N191">
        <v>2848805330</v>
      </c>
      <c r="O191">
        <v>2182424793</v>
      </c>
      <c r="P191">
        <v>5731</v>
      </c>
      <c r="Q191" t="s">
        <v>466</v>
      </c>
    </row>
    <row r="192" spans="1:17" x14ac:dyDescent="0.3">
      <c r="A192" t="s">
        <v>17</v>
      </c>
      <c r="B192" t="str">
        <f>"600820"</f>
        <v>600820</v>
      </c>
      <c r="C192" t="s">
        <v>467</v>
      </c>
      <c r="D192" t="s">
        <v>85</v>
      </c>
      <c r="F192">
        <v>3133812797</v>
      </c>
      <c r="G192">
        <v>3169581083</v>
      </c>
      <c r="H192">
        <v>4877421303</v>
      </c>
      <c r="I192">
        <v>1538578600</v>
      </c>
      <c r="J192">
        <v>1534001316</v>
      </c>
      <c r="K192">
        <v>3957990622</v>
      </c>
      <c r="L192">
        <v>1487761789</v>
      </c>
      <c r="M192">
        <v>3607135910</v>
      </c>
      <c r="N192">
        <v>696696474</v>
      </c>
      <c r="O192">
        <v>1978359352</v>
      </c>
      <c r="P192">
        <v>685</v>
      </c>
      <c r="Q192" t="s">
        <v>468</v>
      </c>
    </row>
    <row r="193" spans="1:17" x14ac:dyDescent="0.3">
      <c r="A193" t="s">
        <v>59</v>
      </c>
      <c r="B193" t="str">
        <f>"002299"</f>
        <v>002299</v>
      </c>
      <c r="C193" t="s">
        <v>469</v>
      </c>
      <c r="D193" t="s">
        <v>470</v>
      </c>
      <c r="F193">
        <v>1842563427</v>
      </c>
      <c r="G193">
        <v>3237507648</v>
      </c>
      <c r="H193">
        <v>4849609242</v>
      </c>
      <c r="I193">
        <v>2356354517</v>
      </c>
      <c r="J193">
        <v>1466796601</v>
      </c>
      <c r="K193">
        <v>1330326702</v>
      </c>
      <c r="L193">
        <v>432884409</v>
      </c>
      <c r="M193">
        <v>920817521</v>
      </c>
      <c r="N193">
        <v>21605887</v>
      </c>
      <c r="O193">
        <v>397878527</v>
      </c>
      <c r="P193">
        <v>1371</v>
      </c>
      <c r="Q193" t="s">
        <v>471</v>
      </c>
    </row>
    <row r="194" spans="1:17" x14ac:dyDescent="0.3">
      <c r="A194" t="s">
        <v>59</v>
      </c>
      <c r="B194" t="str">
        <f>"000568"</f>
        <v>000568</v>
      </c>
      <c r="C194" t="s">
        <v>472</v>
      </c>
      <c r="D194" t="s">
        <v>67</v>
      </c>
      <c r="F194">
        <v>7698648105</v>
      </c>
      <c r="G194">
        <v>4916102451</v>
      </c>
      <c r="H194">
        <v>4841619204</v>
      </c>
      <c r="I194">
        <v>4297916018</v>
      </c>
      <c r="J194">
        <v>3693407462</v>
      </c>
      <c r="K194">
        <v>2625088408</v>
      </c>
      <c r="L194">
        <v>152791434</v>
      </c>
      <c r="M194">
        <v>1307110086</v>
      </c>
      <c r="N194">
        <v>1226590262</v>
      </c>
      <c r="O194">
        <v>4780624373</v>
      </c>
      <c r="P194">
        <v>6440</v>
      </c>
      <c r="Q194" t="s">
        <v>473</v>
      </c>
    </row>
    <row r="195" spans="1:17" x14ac:dyDescent="0.3">
      <c r="A195" t="s">
        <v>17</v>
      </c>
      <c r="B195" t="str">
        <f>"600166"</f>
        <v>600166</v>
      </c>
      <c r="C195" t="s">
        <v>474</v>
      </c>
      <c r="D195" t="s">
        <v>475</v>
      </c>
      <c r="F195">
        <v>764362709</v>
      </c>
      <c r="G195">
        <v>8680981565</v>
      </c>
      <c r="H195">
        <v>4835237036</v>
      </c>
      <c r="I195">
        <v>-467636645</v>
      </c>
      <c r="J195">
        <v>-2615828105</v>
      </c>
      <c r="K195">
        <v>1191783306</v>
      </c>
      <c r="L195">
        <v>490044412</v>
      </c>
      <c r="M195">
        <v>1102348778</v>
      </c>
      <c r="N195">
        <v>1102511345</v>
      </c>
      <c r="O195">
        <v>-799342094</v>
      </c>
      <c r="P195">
        <v>439</v>
      </c>
      <c r="Q195" t="s">
        <v>476</v>
      </c>
    </row>
    <row r="196" spans="1:17" x14ac:dyDescent="0.3">
      <c r="A196" t="s">
        <v>59</v>
      </c>
      <c r="B196" t="str">
        <f>"000728"</f>
        <v>000728</v>
      </c>
      <c r="C196" t="s">
        <v>477</v>
      </c>
      <c r="D196" t="s">
        <v>75</v>
      </c>
      <c r="F196">
        <v>-1467554076</v>
      </c>
      <c r="G196">
        <v>718322392</v>
      </c>
      <c r="H196">
        <v>4782949395</v>
      </c>
      <c r="I196">
        <v>-2448046507</v>
      </c>
      <c r="J196">
        <v>-2036308094</v>
      </c>
      <c r="K196">
        <v>-6436312629</v>
      </c>
      <c r="L196">
        <v>1076588099</v>
      </c>
      <c r="M196">
        <v>8637417370</v>
      </c>
      <c r="N196">
        <v>-7355554958</v>
      </c>
      <c r="O196">
        <v>-2776142583</v>
      </c>
      <c r="P196">
        <v>1900</v>
      </c>
      <c r="Q196" t="s">
        <v>478</v>
      </c>
    </row>
    <row r="197" spans="1:17" x14ac:dyDescent="0.3">
      <c r="A197" t="s">
        <v>59</v>
      </c>
      <c r="B197" t="str">
        <f>"000050"</f>
        <v>000050</v>
      </c>
      <c r="C197" t="s">
        <v>479</v>
      </c>
      <c r="D197" t="s">
        <v>139</v>
      </c>
      <c r="F197">
        <v>5052998088</v>
      </c>
      <c r="G197">
        <v>6676875434</v>
      </c>
      <c r="H197">
        <v>4760660820</v>
      </c>
      <c r="I197">
        <v>3565216924</v>
      </c>
      <c r="J197">
        <v>1921203382</v>
      </c>
      <c r="K197">
        <v>980606989</v>
      </c>
      <c r="L197">
        <v>4459078030</v>
      </c>
      <c r="M197">
        <v>1385683779</v>
      </c>
      <c r="N197">
        <v>1421687316</v>
      </c>
      <c r="O197">
        <v>816946079</v>
      </c>
      <c r="P197">
        <v>621</v>
      </c>
      <c r="Q197" t="s">
        <v>480</v>
      </c>
    </row>
    <row r="198" spans="1:17" x14ac:dyDescent="0.3">
      <c r="A198" t="s">
        <v>17</v>
      </c>
      <c r="B198" t="str">
        <f>"601117"</f>
        <v>601117</v>
      </c>
      <c r="C198" t="s">
        <v>481</v>
      </c>
      <c r="D198" t="s">
        <v>482</v>
      </c>
      <c r="F198">
        <v>2241684952</v>
      </c>
      <c r="G198">
        <v>8328781362</v>
      </c>
      <c r="H198">
        <v>4723712662</v>
      </c>
      <c r="I198">
        <v>4909220797</v>
      </c>
      <c r="J198">
        <v>2885752496</v>
      </c>
      <c r="K198">
        <v>2832986968</v>
      </c>
      <c r="L198">
        <v>1903176557</v>
      </c>
      <c r="M198">
        <v>1481582541</v>
      </c>
      <c r="N198">
        <v>2068539839</v>
      </c>
      <c r="O198">
        <v>2995107152</v>
      </c>
      <c r="P198">
        <v>717</v>
      </c>
      <c r="Q198" t="s">
        <v>483</v>
      </c>
    </row>
    <row r="199" spans="1:17" x14ac:dyDescent="0.3">
      <c r="A199" t="s">
        <v>59</v>
      </c>
      <c r="B199" t="str">
        <f>"300760"</f>
        <v>300760</v>
      </c>
      <c r="C199" t="s">
        <v>484</v>
      </c>
      <c r="D199" t="s">
        <v>485</v>
      </c>
      <c r="F199">
        <v>8998649175</v>
      </c>
      <c r="G199">
        <v>8870109849</v>
      </c>
      <c r="H199">
        <v>4721794915</v>
      </c>
      <c r="I199">
        <v>4034585376</v>
      </c>
      <c r="J199">
        <v>3300366919</v>
      </c>
      <c r="K199">
        <v>3039526487</v>
      </c>
      <c r="L199">
        <v>2023902707</v>
      </c>
      <c r="P199">
        <v>4593</v>
      </c>
      <c r="Q199" t="s">
        <v>486</v>
      </c>
    </row>
    <row r="200" spans="1:17" x14ac:dyDescent="0.3">
      <c r="A200" t="s">
        <v>17</v>
      </c>
      <c r="B200" t="str">
        <f>"600823"</f>
        <v>600823</v>
      </c>
      <c r="C200" t="s">
        <v>487</v>
      </c>
      <c r="D200" t="s">
        <v>61</v>
      </c>
      <c r="F200">
        <v>-16112872190</v>
      </c>
      <c r="G200">
        <v>4840228709</v>
      </c>
      <c r="H200">
        <v>4710650104</v>
      </c>
      <c r="I200">
        <v>3978209038</v>
      </c>
      <c r="J200">
        <v>4249524032</v>
      </c>
      <c r="K200">
        <v>1135004610</v>
      </c>
      <c r="L200">
        <v>445164983</v>
      </c>
      <c r="M200">
        <v>76162302</v>
      </c>
      <c r="N200">
        <v>2498187347</v>
      </c>
      <c r="O200">
        <v>1747513549</v>
      </c>
      <c r="P200">
        <v>1056</v>
      </c>
      <c r="Q200" t="s">
        <v>488</v>
      </c>
    </row>
    <row r="201" spans="1:17" x14ac:dyDescent="0.3">
      <c r="A201" t="s">
        <v>17</v>
      </c>
      <c r="B201" t="str">
        <f>"601099"</f>
        <v>601099</v>
      </c>
      <c r="C201" t="s">
        <v>489</v>
      </c>
      <c r="D201" t="s">
        <v>75</v>
      </c>
      <c r="F201">
        <v>2211509070</v>
      </c>
      <c r="G201">
        <v>4050900424</v>
      </c>
      <c r="H201">
        <v>4699256263</v>
      </c>
      <c r="I201">
        <v>2476382880</v>
      </c>
      <c r="J201">
        <v>601042799</v>
      </c>
      <c r="K201">
        <v>-4025526463</v>
      </c>
      <c r="L201">
        <v>-8006418555</v>
      </c>
      <c r="M201">
        <v>-1213619426</v>
      </c>
      <c r="N201">
        <v>-408237784</v>
      </c>
      <c r="O201">
        <v>-735482236</v>
      </c>
      <c r="P201">
        <v>738</v>
      </c>
      <c r="Q201" t="s">
        <v>490</v>
      </c>
    </row>
    <row r="202" spans="1:17" x14ac:dyDescent="0.3">
      <c r="A202" t="s">
        <v>59</v>
      </c>
      <c r="B202" t="str">
        <f>"002078"</f>
        <v>002078</v>
      </c>
      <c r="C202" t="s">
        <v>491</v>
      </c>
      <c r="D202" t="s">
        <v>241</v>
      </c>
      <c r="F202">
        <v>4929375799</v>
      </c>
      <c r="G202">
        <v>6615906239</v>
      </c>
      <c r="H202">
        <v>4685935947</v>
      </c>
      <c r="I202">
        <v>4477851825</v>
      </c>
      <c r="J202">
        <v>3766765408</v>
      </c>
      <c r="K202">
        <v>2815803428</v>
      </c>
      <c r="L202">
        <v>685429314</v>
      </c>
      <c r="M202">
        <v>2608087577</v>
      </c>
      <c r="N202">
        <v>1435965880</v>
      </c>
      <c r="O202">
        <v>1387401679</v>
      </c>
      <c r="P202">
        <v>1103</v>
      </c>
      <c r="Q202" t="s">
        <v>492</v>
      </c>
    </row>
    <row r="203" spans="1:17" x14ac:dyDescent="0.3">
      <c r="A203" t="s">
        <v>17</v>
      </c>
      <c r="B203" t="str">
        <f>"600406"</f>
        <v>600406</v>
      </c>
      <c r="C203" t="s">
        <v>493</v>
      </c>
      <c r="D203" t="s">
        <v>494</v>
      </c>
      <c r="F203">
        <v>4670773603</v>
      </c>
      <c r="G203">
        <v>5635016246</v>
      </c>
      <c r="H203">
        <v>4684302588</v>
      </c>
      <c r="I203">
        <v>3208251554</v>
      </c>
      <c r="J203">
        <v>3300822668</v>
      </c>
      <c r="K203">
        <v>1824332191</v>
      </c>
      <c r="L203">
        <v>1202534635</v>
      </c>
      <c r="M203">
        <v>1693439419</v>
      </c>
      <c r="N203">
        <v>737540621</v>
      </c>
      <c r="O203">
        <v>560134349</v>
      </c>
      <c r="P203">
        <v>2124</v>
      </c>
      <c r="Q203" t="s">
        <v>495</v>
      </c>
    </row>
    <row r="204" spans="1:17" x14ac:dyDescent="0.3">
      <c r="A204" t="s">
        <v>59</v>
      </c>
      <c r="B204" t="str">
        <f>"002608"</f>
        <v>002608</v>
      </c>
      <c r="C204" t="s">
        <v>496</v>
      </c>
      <c r="D204" t="s">
        <v>98</v>
      </c>
      <c r="F204">
        <v>-1710902631</v>
      </c>
      <c r="G204">
        <v>8223600138</v>
      </c>
      <c r="H204">
        <v>4631045388</v>
      </c>
      <c r="I204">
        <v>3046015151</v>
      </c>
      <c r="J204">
        <v>3261012643</v>
      </c>
      <c r="K204">
        <v>5187505424</v>
      </c>
      <c r="L204">
        <v>-233116245</v>
      </c>
      <c r="M204">
        <v>-1382644730</v>
      </c>
      <c r="N204">
        <v>-691341633</v>
      </c>
      <c r="O204">
        <v>-631336559</v>
      </c>
      <c r="P204">
        <v>138</v>
      </c>
      <c r="Q204" t="s">
        <v>497</v>
      </c>
    </row>
    <row r="205" spans="1:17" x14ac:dyDescent="0.3">
      <c r="A205" t="s">
        <v>17</v>
      </c>
      <c r="B205" t="str">
        <f>"601872"</f>
        <v>601872</v>
      </c>
      <c r="C205" t="s">
        <v>498</v>
      </c>
      <c r="D205" t="s">
        <v>178</v>
      </c>
      <c r="F205">
        <v>6508505385</v>
      </c>
      <c r="G205">
        <v>7564707736</v>
      </c>
      <c r="H205">
        <v>4624005013</v>
      </c>
      <c r="I205">
        <v>4122254821</v>
      </c>
      <c r="J205">
        <v>2953147045</v>
      </c>
      <c r="K205">
        <v>3513929770</v>
      </c>
      <c r="L205">
        <v>2292155881</v>
      </c>
      <c r="M205">
        <v>1066406048</v>
      </c>
      <c r="N205">
        <v>490881580</v>
      </c>
      <c r="O205">
        <v>682034075</v>
      </c>
      <c r="P205">
        <v>574</v>
      </c>
      <c r="Q205" t="s">
        <v>499</v>
      </c>
    </row>
    <row r="206" spans="1:17" x14ac:dyDescent="0.3">
      <c r="A206" t="s">
        <v>17</v>
      </c>
      <c r="B206" t="str">
        <f>"600745"</f>
        <v>600745</v>
      </c>
      <c r="C206" t="s">
        <v>500</v>
      </c>
      <c r="D206" t="s">
        <v>349</v>
      </c>
      <c r="F206">
        <v>1749198638</v>
      </c>
      <c r="G206">
        <v>6614463310</v>
      </c>
      <c r="H206">
        <v>4620035506</v>
      </c>
      <c r="I206">
        <v>3271950608</v>
      </c>
      <c r="J206">
        <v>1393889813</v>
      </c>
      <c r="K206">
        <v>290608260</v>
      </c>
      <c r="L206">
        <v>-333218922</v>
      </c>
      <c r="M206">
        <v>-928222839</v>
      </c>
      <c r="N206">
        <v>532781624</v>
      </c>
      <c r="O206">
        <v>239995036</v>
      </c>
      <c r="P206">
        <v>1617</v>
      </c>
      <c r="Q206" t="s">
        <v>501</v>
      </c>
    </row>
    <row r="207" spans="1:17" x14ac:dyDescent="0.3">
      <c r="A207" t="s">
        <v>17</v>
      </c>
      <c r="B207" t="str">
        <f>"600170"</f>
        <v>600170</v>
      </c>
      <c r="C207" t="s">
        <v>502</v>
      </c>
      <c r="D207" t="s">
        <v>503</v>
      </c>
      <c r="F207">
        <v>10368337420</v>
      </c>
      <c r="G207">
        <v>315988945</v>
      </c>
      <c r="H207">
        <v>4549212210</v>
      </c>
      <c r="I207">
        <v>2395957429</v>
      </c>
      <c r="J207">
        <v>5840309284</v>
      </c>
      <c r="K207">
        <v>3082607724</v>
      </c>
      <c r="L207">
        <v>8753629742</v>
      </c>
      <c r="M207">
        <v>-939312322</v>
      </c>
      <c r="N207">
        <v>2195881503</v>
      </c>
      <c r="O207">
        <v>4690298212</v>
      </c>
      <c r="P207">
        <v>698</v>
      </c>
      <c r="Q207" t="s">
        <v>504</v>
      </c>
    </row>
    <row r="208" spans="1:17" x14ac:dyDescent="0.3">
      <c r="A208" t="s">
        <v>17</v>
      </c>
      <c r="B208" t="str">
        <f>"600022"</f>
        <v>600022</v>
      </c>
      <c r="C208" t="s">
        <v>505</v>
      </c>
      <c r="D208" t="s">
        <v>120</v>
      </c>
      <c r="F208">
        <v>8464045985</v>
      </c>
      <c r="G208">
        <v>5858182869</v>
      </c>
      <c r="H208">
        <v>4514608149</v>
      </c>
      <c r="I208">
        <v>3974591647</v>
      </c>
      <c r="J208">
        <v>927600265</v>
      </c>
      <c r="K208">
        <v>3852433363</v>
      </c>
      <c r="L208">
        <v>4023704023</v>
      </c>
      <c r="M208">
        <v>-1255050594</v>
      </c>
      <c r="N208">
        <v>3181512230</v>
      </c>
      <c r="O208">
        <v>3091903547</v>
      </c>
      <c r="P208">
        <v>233</v>
      </c>
      <c r="Q208" t="s">
        <v>506</v>
      </c>
    </row>
    <row r="209" spans="1:17" x14ac:dyDescent="0.3">
      <c r="A209" t="s">
        <v>17</v>
      </c>
      <c r="B209" t="str">
        <f>"601699"</f>
        <v>601699</v>
      </c>
      <c r="C209" t="s">
        <v>507</v>
      </c>
      <c r="D209" t="s">
        <v>294</v>
      </c>
      <c r="F209">
        <v>8049351126</v>
      </c>
      <c r="G209">
        <v>2281832416</v>
      </c>
      <c r="H209">
        <v>4459968650</v>
      </c>
      <c r="I209">
        <v>9340341649</v>
      </c>
      <c r="J209">
        <v>2373187594</v>
      </c>
      <c r="K209">
        <v>1133579476</v>
      </c>
      <c r="L209">
        <v>323704784</v>
      </c>
      <c r="M209">
        <v>1911826515</v>
      </c>
      <c r="N209">
        <v>1683780748</v>
      </c>
      <c r="O209">
        <v>3461297541</v>
      </c>
      <c r="P209">
        <v>791</v>
      </c>
      <c r="Q209" t="s">
        <v>508</v>
      </c>
    </row>
    <row r="210" spans="1:17" x14ac:dyDescent="0.3">
      <c r="A210" t="s">
        <v>59</v>
      </c>
      <c r="B210" t="str">
        <f>"000876"</f>
        <v>000876</v>
      </c>
      <c r="C210" t="s">
        <v>509</v>
      </c>
      <c r="D210" t="s">
        <v>196</v>
      </c>
      <c r="F210">
        <v>501463191</v>
      </c>
      <c r="G210">
        <v>5658169507</v>
      </c>
      <c r="H210">
        <v>4436893031</v>
      </c>
      <c r="I210">
        <v>3336986800</v>
      </c>
      <c r="J210">
        <v>2712191729</v>
      </c>
      <c r="K210">
        <v>3111457123</v>
      </c>
      <c r="L210">
        <v>3187764270</v>
      </c>
      <c r="M210">
        <v>1343951250</v>
      </c>
      <c r="N210">
        <v>1583640757</v>
      </c>
      <c r="O210">
        <v>2051973643</v>
      </c>
      <c r="P210">
        <v>2609</v>
      </c>
      <c r="Q210" t="s">
        <v>510</v>
      </c>
    </row>
    <row r="211" spans="1:17" x14ac:dyDescent="0.3">
      <c r="A211" t="s">
        <v>17</v>
      </c>
      <c r="B211" t="str">
        <f>"600036"</f>
        <v>600036</v>
      </c>
      <c r="C211" t="s">
        <v>511</v>
      </c>
      <c r="D211" t="s">
        <v>41</v>
      </c>
      <c r="F211">
        <v>182048000000</v>
      </c>
      <c r="G211">
        <v>421328000000</v>
      </c>
      <c r="H211">
        <v>4432000000</v>
      </c>
      <c r="I211">
        <v>-35721000000</v>
      </c>
      <c r="J211">
        <v>-5660000000</v>
      </c>
      <c r="K211">
        <v>-120615000000</v>
      </c>
      <c r="L211">
        <v>400420000000</v>
      </c>
      <c r="M211">
        <v>272173000000</v>
      </c>
      <c r="N211">
        <v>119153000000</v>
      </c>
      <c r="O211">
        <v>249713000000</v>
      </c>
      <c r="P211">
        <v>68589</v>
      </c>
      <c r="Q211" t="s">
        <v>512</v>
      </c>
    </row>
    <row r="212" spans="1:17" x14ac:dyDescent="0.3">
      <c r="A212" t="s">
        <v>59</v>
      </c>
      <c r="B212" t="str">
        <f>"000895"</f>
        <v>000895</v>
      </c>
      <c r="C212" t="s">
        <v>513</v>
      </c>
      <c r="D212" t="s">
        <v>514</v>
      </c>
      <c r="F212">
        <v>6034052783</v>
      </c>
      <c r="G212">
        <v>8821926788</v>
      </c>
      <c r="H212">
        <v>4423615424</v>
      </c>
      <c r="I212">
        <v>5194846772</v>
      </c>
      <c r="J212">
        <v>5650043808</v>
      </c>
      <c r="K212">
        <v>5545999257</v>
      </c>
      <c r="L212">
        <v>5766324283</v>
      </c>
      <c r="M212">
        <v>4712041492</v>
      </c>
      <c r="N212">
        <v>3869291117</v>
      </c>
      <c r="O212">
        <v>4557316421</v>
      </c>
      <c r="P212">
        <v>37259</v>
      </c>
      <c r="Q212" t="s">
        <v>515</v>
      </c>
    </row>
    <row r="213" spans="1:17" x14ac:dyDescent="0.3">
      <c r="A213" t="s">
        <v>17</v>
      </c>
      <c r="B213" t="str">
        <f>"600516"</f>
        <v>600516</v>
      </c>
      <c r="C213" t="s">
        <v>516</v>
      </c>
      <c r="D213" t="s">
        <v>517</v>
      </c>
      <c r="F213">
        <v>-37844167</v>
      </c>
      <c r="G213">
        <v>579183207</v>
      </c>
      <c r="H213">
        <v>4399908313</v>
      </c>
      <c r="I213">
        <v>5714253830</v>
      </c>
      <c r="J213">
        <v>3458918798</v>
      </c>
      <c r="K213">
        <v>315163673</v>
      </c>
      <c r="L213">
        <v>403255477</v>
      </c>
      <c r="M213">
        <v>496806584</v>
      </c>
      <c r="N213">
        <v>609375909</v>
      </c>
      <c r="O213">
        <v>848029715</v>
      </c>
      <c r="P213">
        <v>1177</v>
      </c>
      <c r="Q213" t="s">
        <v>518</v>
      </c>
    </row>
    <row r="214" spans="1:17" x14ac:dyDescent="0.3">
      <c r="A214" t="s">
        <v>17</v>
      </c>
      <c r="B214" t="str">
        <f>"600335"</f>
        <v>600335</v>
      </c>
      <c r="C214" t="s">
        <v>519</v>
      </c>
      <c r="D214" t="s">
        <v>337</v>
      </c>
      <c r="F214">
        <v>3136511052</v>
      </c>
      <c r="G214">
        <v>667279919</v>
      </c>
      <c r="H214">
        <v>4389192192</v>
      </c>
      <c r="I214">
        <v>1741935064</v>
      </c>
      <c r="J214">
        <v>-6688218939</v>
      </c>
      <c r="K214">
        <v>8637740966</v>
      </c>
      <c r="L214">
        <v>9236490464</v>
      </c>
      <c r="M214">
        <v>-3568148504</v>
      </c>
      <c r="N214">
        <v>-1973581079</v>
      </c>
      <c r="O214">
        <v>-5353586795</v>
      </c>
      <c r="P214">
        <v>150</v>
      </c>
      <c r="Q214" t="s">
        <v>520</v>
      </c>
    </row>
    <row r="215" spans="1:17" x14ac:dyDescent="0.3">
      <c r="A215" t="s">
        <v>17</v>
      </c>
      <c r="B215" t="str">
        <f>"600282"</f>
        <v>600282</v>
      </c>
      <c r="C215" t="s">
        <v>521</v>
      </c>
      <c r="D215" t="s">
        <v>120</v>
      </c>
      <c r="F215">
        <v>4520311810</v>
      </c>
      <c r="G215">
        <v>2565045752</v>
      </c>
      <c r="H215">
        <v>4348491905</v>
      </c>
      <c r="I215">
        <v>4938472683</v>
      </c>
      <c r="J215">
        <v>2361266275</v>
      </c>
      <c r="K215">
        <v>3243598679</v>
      </c>
      <c r="L215">
        <v>1040873854</v>
      </c>
      <c r="M215">
        <v>3774024390</v>
      </c>
      <c r="N215">
        <v>2987749974</v>
      </c>
      <c r="O215">
        <v>1980267141</v>
      </c>
      <c r="P215">
        <v>1311</v>
      </c>
      <c r="Q215" t="s">
        <v>522</v>
      </c>
    </row>
    <row r="216" spans="1:17" x14ac:dyDescent="0.3">
      <c r="A216" t="s">
        <v>59</v>
      </c>
      <c r="B216" t="str">
        <f>"200625"</f>
        <v>200625</v>
      </c>
      <c r="C216" t="s">
        <v>523</v>
      </c>
      <c r="F216">
        <v>28089823142.410801</v>
      </c>
      <c r="G216">
        <v>12662748421.4419</v>
      </c>
      <c r="H216">
        <v>4341735404.2030001</v>
      </c>
      <c r="I216">
        <v>-4425890631.3269997</v>
      </c>
      <c r="J216">
        <v>-1643766047.7553999</v>
      </c>
      <c r="K216">
        <v>2552248566.6409998</v>
      </c>
      <c r="L216">
        <v>6463755112.1490002</v>
      </c>
      <c r="M216">
        <v>4726414187.46</v>
      </c>
      <c r="N216">
        <v>2348902665.3007998</v>
      </c>
      <c r="O216">
        <v>637092908.61580002</v>
      </c>
      <c r="P216">
        <v>710</v>
      </c>
      <c r="Q216" t="s">
        <v>524</v>
      </c>
    </row>
    <row r="217" spans="1:17" x14ac:dyDescent="0.3">
      <c r="A217" t="s">
        <v>59</v>
      </c>
      <c r="B217" t="str">
        <f>"001965"</f>
        <v>001965</v>
      </c>
      <c r="C217" t="s">
        <v>525</v>
      </c>
      <c r="D217" t="s">
        <v>406</v>
      </c>
      <c r="F217">
        <v>4616253086</v>
      </c>
      <c r="G217">
        <v>3216272582</v>
      </c>
      <c r="H217">
        <v>4309530493</v>
      </c>
      <c r="I217">
        <v>3683496349</v>
      </c>
      <c r="J217">
        <v>2979392746</v>
      </c>
      <c r="K217">
        <v>2306003400</v>
      </c>
      <c r="L217">
        <v>2334685800</v>
      </c>
      <c r="M217">
        <v>2521304300</v>
      </c>
      <c r="P217">
        <v>359</v>
      </c>
      <c r="Q217" t="s">
        <v>526</v>
      </c>
    </row>
    <row r="218" spans="1:17" x14ac:dyDescent="0.3">
      <c r="A218" t="s">
        <v>17</v>
      </c>
      <c r="B218" t="str">
        <f>"600578"</f>
        <v>600578</v>
      </c>
      <c r="C218" t="s">
        <v>527</v>
      </c>
      <c r="D218" t="s">
        <v>98</v>
      </c>
      <c r="F218">
        <v>623212941</v>
      </c>
      <c r="G218">
        <v>4985384232</v>
      </c>
      <c r="H218">
        <v>4223342488</v>
      </c>
      <c r="I218">
        <v>2455282000</v>
      </c>
      <c r="J218">
        <v>1728665775</v>
      </c>
      <c r="K218">
        <v>3296847562</v>
      </c>
      <c r="L218">
        <v>4275946282</v>
      </c>
      <c r="M218">
        <v>5126006290</v>
      </c>
      <c r="N218">
        <v>3819000397</v>
      </c>
      <c r="O218">
        <v>3131170359</v>
      </c>
      <c r="P218">
        <v>355</v>
      </c>
      <c r="Q218" t="s">
        <v>528</v>
      </c>
    </row>
    <row r="219" spans="1:17" x14ac:dyDescent="0.3">
      <c r="A219" t="s">
        <v>17</v>
      </c>
      <c r="B219" t="str">
        <f>"600547"</f>
        <v>600547</v>
      </c>
      <c r="C219" t="s">
        <v>529</v>
      </c>
      <c r="D219" t="s">
        <v>530</v>
      </c>
      <c r="F219">
        <v>1822242735</v>
      </c>
      <c r="G219">
        <v>5809632150</v>
      </c>
      <c r="H219">
        <v>4180080697</v>
      </c>
      <c r="I219">
        <v>2927165874</v>
      </c>
      <c r="J219">
        <v>3698679389</v>
      </c>
      <c r="K219">
        <v>2723950245</v>
      </c>
      <c r="L219">
        <v>2081749307</v>
      </c>
      <c r="M219">
        <v>2483065824</v>
      </c>
      <c r="N219">
        <v>2889751582</v>
      </c>
      <c r="O219">
        <v>2384744878</v>
      </c>
      <c r="P219">
        <v>942</v>
      </c>
      <c r="Q219" t="s">
        <v>531</v>
      </c>
    </row>
    <row r="220" spans="1:17" x14ac:dyDescent="0.3">
      <c r="A220" t="s">
        <v>17</v>
      </c>
      <c r="B220" t="str">
        <f>"600096"</f>
        <v>600096</v>
      </c>
      <c r="C220" t="s">
        <v>532</v>
      </c>
      <c r="D220" t="s">
        <v>533</v>
      </c>
      <c r="F220">
        <v>7748770448</v>
      </c>
      <c r="G220">
        <v>4564604581</v>
      </c>
      <c r="H220">
        <v>4178742153</v>
      </c>
      <c r="I220">
        <v>3192189355</v>
      </c>
      <c r="J220">
        <v>2738403270</v>
      </c>
      <c r="K220">
        <v>1840996777</v>
      </c>
      <c r="L220">
        <v>2821442957</v>
      </c>
      <c r="M220">
        <v>-402832294</v>
      </c>
      <c r="N220">
        <v>-2434429151</v>
      </c>
      <c r="O220">
        <v>1272613959</v>
      </c>
      <c r="P220">
        <v>390</v>
      </c>
      <c r="Q220" t="s">
        <v>534</v>
      </c>
    </row>
    <row r="221" spans="1:17" x14ac:dyDescent="0.3">
      <c r="A221" t="s">
        <v>17</v>
      </c>
      <c r="B221" t="str">
        <f>"600777"</f>
        <v>600777</v>
      </c>
      <c r="C221" t="s">
        <v>535</v>
      </c>
      <c r="D221" t="s">
        <v>536</v>
      </c>
      <c r="F221">
        <v>3430006392</v>
      </c>
      <c r="G221">
        <v>2679405515</v>
      </c>
      <c r="H221">
        <v>4163956082</v>
      </c>
      <c r="I221">
        <v>3998538631</v>
      </c>
      <c r="J221">
        <v>666811266</v>
      </c>
      <c r="K221">
        <v>272618870</v>
      </c>
      <c r="L221">
        <v>223152855</v>
      </c>
      <c r="M221">
        <v>42280781</v>
      </c>
      <c r="N221">
        <v>-203950414</v>
      </c>
      <c r="O221">
        <v>179105119</v>
      </c>
      <c r="P221">
        <v>212</v>
      </c>
      <c r="Q221" t="s">
        <v>537</v>
      </c>
    </row>
    <row r="222" spans="1:17" x14ac:dyDescent="0.3">
      <c r="A222" t="s">
        <v>59</v>
      </c>
      <c r="B222" t="str">
        <f>"002938"</f>
        <v>002938</v>
      </c>
      <c r="C222" t="s">
        <v>538</v>
      </c>
      <c r="D222" t="s">
        <v>539</v>
      </c>
      <c r="F222">
        <v>4295811124</v>
      </c>
      <c r="G222">
        <v>5183926280</v>
      </c>
      <c r="H222">
        <v>4161757873</v>
      </c>
      <c r="I222">
        <v>6209705646</v>
      </c>
      <c r="J222">
        <v>1672960931</v>
      </c>
      <c r="K222">
        <v>1719797829</v>
      </c>
      <c r="L222">
        <v>2924086677</v>
      </c>
      <c r="P222">
        <v>961</v>
      </c>
      <c r="Q222" t="s">
        <v>540</v>
      </c>
    </row>
    <row r="223" spans="1:17" x14ac:dyDescent="0.3">
      <c r="A223" t="s">
        <v>17</v>
      </c>
      <c r="B223" t="str">
        <f>"600510"</f>
        <v>600510</v>
      </c>
      <c r="C223" t="s">
        <v>541</v>
      </c>
      <c r="D223" t="s">
        <v>61</v>
      </c>
      <c r="F223">
        <v>-1819479243</v>
      </c>
      <c r="G223">
        <v>928025191</v>
      </c>
      <c r="H223">
        <v>4154494189</v>
      </c>
      <c r="I223">
        <v>1536365009</v>
      </c>
      <c r="J223">
        <v>913073198</v>
      </c>
      <c r="K223">
        <v>75122632</v>
      </c>
      <c r="L223">
        <v>187242384</v>
      </c>
      <c r="M223">
        <v>-962855940</v>
      </c>
      <c r="N223">
        <v>-1219279382</v>
      </c>
      <c r="O223">
        <v>-767407948</v>
      </c>
      <c r="P223">
        <v>240</v>
      </c>
      <c r="Q223" t="s">
        <v>542</v>
      </c>
    </row>
    <row r="224" spans="1:17" x14ac:dyDescent="0.3">
      <c r="A224" t="s">
        <v>59</v>
      </c>
      <c r="B224" t="str">
        <f>"002309"</f>
        <v>002309</v>
      </c>
      <c r="C224" t="s">
        <v>543</v>
      </c>
      <c r="D224" t="s">
        <v>430</v>
      </c>
      <c r="F224">
        <v>1094079372</v>
      </c>
      <c r="G224">
        <v>248661581</v>
      </c>
      <c r="H224">
        <v>4140199127</v>
      </c>
      <c r="I224">
        <v>2724040951</v>
      </c>
      <c r="J224">
        <v>-591525162</v>
      </c>
      <c r="K224">
        <v>-1346065108</v>
      </c>
      <c r="L224">
        <v>-646626256</v>
      </c>
      <c r="M224">
        <v>-1244623253</v>
      </c>
      <c r="N224">
        <v>34735773</v>
      </c>
      <c r="O224">
        <v>-463410899</v>
      </c>
      <c r="P224">
        <v>284</v>
      </c>
      <c r="Q224" t="s">
        <v>544</v>
      </c>
    </row>
    <row r="225" spans="1:17" x14ac:dyDescent="0.3">
      <c r="A225" t="s">
        <v>17</v>
      </c>
      <c r="B225" t="str">
        <f>"600057"</f>
        <v>600057</v>
      </c>
      <c r="C225" t="s">
        <v>545</v>
      </c>
      <c r="D225" t="s">
        <v>250</v>
      </c>
      <c r="F225">
        <v>5420000621</v>
      </c>
      <c r="G225">
        <v>1279505549</v>
      </c>
      <c r="H225">
        <v>4140151961</v>
      </c>
      <c r="I225">
        <v>2027517614</v>
      </c>
      <c r="J225">
        <v>-2894075694</v>
      </c>
      <c r="K225">
        <v>2221550192</v>
      </c>
      <c r="L225">
        <v>2922771096</v>
      </c>
      <c r="M225">
        <v>-4805222100</v>
      </c>
      <c r="N225">
        <v>-4680277178</v>
      </c>
      <c r="O225">
        <v>472706048</v>
      </c>
      <c r="P225">
        <v>411</v>
      </c>
      <c r="Q225" t="s">
        <v>546</v>
      </c>
    </row>
    <row r="226" spans="1:17" x14ac:dyDescent="0.3">
      <c r="A226" t="s">
        <v>17</v>
      </c>
      <c r="B226" t="str">
        <f>"601828"</f>
        <v>601828</v>
      </c>
      <c r="C226" t="s">
        <v>547</v>
      </c>
      <c r="D226" t="s">
        <v>548</v>
      </c>
      <c r="F226">
        <v>5380669282</v>
      </c>
      <c r="G226">
        <v>4159732442</v>
      </c>
      <c r="H226">
        <v>4093981031</v>
      </c>
      <c r="I226">
        <v>5857930704</v>
      </c>
      <c r="J226">
        <v>6518358929</v>
      </c>
      <c r="K226">
        <v>3983928757</v>
      </c>
      <c r="L226">
        <v>3388219332</v>
      </c>
      <c r="M226">
        <v>3277601775</v>
      </c>
      <c r="P226">
        <v>351</v>
      </c>
      <c r="Q226" t="s">
        <v>549</v>
      </c>
    </row>
    <row r="227" spans="1:17" x14ac:dyDescent="0.3">
      <c r="A227" t="s">
        <v>59</v>
      </c>
      <c r="B227" t="str">
        <f>"000900"</f>
        <v>000900</v>
      </c>
      <c r="C227" t="s">
        <v>550</v>
      </c>
      <c r="D227" t="s">
        <v>406</v>
      </c>
      <c r="F227">
        <v>3448577893</v>
      </c>
      <c r="G227">
        <v>-337925700</v>
      </c>
      <c r="H227">
        <v>4082297939</v>
      </c>
      <c r="I227">
        <v>2384979470</v>
      </c>
      <c r="J227">
        <v>641517399</v>
      </c>
      <c r="K227">
        <v>1492041718</v>
      </c>
      <c r="L227">
        <v>1434520365</v>
      </c>
      <c r="M227">
        <v>1195709910</v>
      </c>
      <c r="N227">
        <v>1069637880</v>
      </c>
      <c r="O227">
        <v>1035415749</v>
      </c>
      <c r="P227">
        <v>570</v>
      </c>
      <c r="Q227" t="s">
        <v>551</v>
      </c>
    </row>
    <row r="228" spans="1:17" x14ac:dyDescent="0.3">
      <c r="A228" t="s">
        <v>17</v>
      </c>
      <c r="B228" t="str">
        <f>"600256"</f>
        <v>600256</v>
      </c>
      <c r="C228" t="s">
        <v>552</v>
      </c>
      <c r="D228" t="s">
        <v>553</v>
      </c>
      <c r="F228">
        <v>6049013903</v>
      </c>
      <c r="G228">
        <v>4587726939</v>
      </c>
      <c r="H228">
        <v>4073177557</v>
      </c>
      <c r="I228">
        <v>4140465721</v>
      </c>
      <c r="J228">
        <v>2462247549</v>
      </c>
      <c r="K228">
        <v>1375112287</v>
      </c>
      <c r="L228">
        <v>690363485</v>
      </c>
      <c r="M228">
        <v>543865973</v>
      </c>
      <c r="N228">
        <v>-233468923</v>
      </c>
      <c r="O228">
        <v>407492566</v>
      </c>
      <c r="P228">
        <v>494</v>
      </c>
      <c r="Q228" t="s">
        <v>554</v>
      </c>
    </row>
    <row r="229" spans="1:17" x14ac:dyDescent="0.3">
      <c r="A229" t="s">
        <v>59</v>
      </c>
      <c r="B229" t="str">
        <f>"000031"</f>
        <v>000031</v>
      </c>
      <c r="C229" t="s">
        <v>555</v>
      </c>
      <c r="D229" t="s">
        <v>70</v>
      </c>
      <c r="F229">
        <v>-8464132339</v>
      </c>
      <c r="G229">
        <v>9814109860</v>
      </c>
      <c r="H229">
        <v>4064992372</v>
      </c>
      <c r="I229">
        <v>-1863863180</v>
      </c>
      <c r="J229">
        <v>1717795389</v>
      </c>
      <c r="K229">
        <v>6837598652</v>
      </c>
      <c r="L229">
        <v>-1816222858</v>
      </c>
      <c r="M229">
        <v>-2061824305</v>
      </c>
      <c r="N229">
        <v>-3281900010</v>
      </c>
      <c r="O229">
        <v>2643336523</v>
      </c>
      <c r="P229">
        <v>327</v>
      </c>
      <c r="Q229" t="s">
        <v>556</v>
      </c>
    </row>
    <row r="230" spans="1:17" x14ac:dyDescent="0.3">
      <c r="A230" t="s">
        <v>59</v>
      </c>
      <c r="B230" t="str">
        <f>"000630"</f>
        <v>000630</v>
      </c>
      <c r="C230" t="s">
        <v>557</v>
      </c>
      <c r="D230" t="s">
        <v>259</v>
      </c>
      <c r="F230">
        <v>3413057479</v>
      </c>
      <c r="G230">
        <v>2156642458</v>
      </c>
      <c r="H230">
        <v>4060204723</v>
      </c>
      <c r="I230">
        <v>5664843195</v>
      </c>
      <c r="J230">
        <v>-771355139</v>
      </c>
      <c r="K230">
        <v>4838478016</v>
      </c>
      <c r="L230">
        <v>4874372621</v>
      </c>
      <c r="M230">
        <v>2291797623</v>
      </c>
      <c r="N230">
        <v>594323563</v>
      </c>
      <c r="O230">
        <v>-716877050</v>
      </c>
      <c r="P230">
        <v>464</v>
      </c>
      <c r="Q230" t="s">
        <v>558</v>
      </c>
    </row>
    <row r="231" spans="1:17" x14ac:dyDescent="0.3">
      <c r="A231" t="s">
        <v>17</v>
      </c>
      <c r="B231" t="str">
        <f>"600089"</f>
        <v>600089</v>
      </c>
      <c r="C231" t="s">
        <v>559</v>
      </c>
      <c r="D231" t="s">
        <v>560</v>
      </c>
      <c r="F231">
        <v>11656568157</v>
      </c>
      <c r="G231">
        <v>5258062189</v>
      </c>
      <c r="H231">
        <v>4041023011</v>
      </c>
      <c r="I231">
        <v>2580694913</v>
      </c>
      <c r="J231">
        <v>1787901549</v>
      </c>
      <c r="K231">
        <v>2638794791</v>
      </c>
      <c r="L231">
        <v>2057558684</v>
      </c>
      <c r="M231">
        <v>-1381726521</v>
      </c>
      <c r="N231">
        <v>1779688283</v>
      </c>
      <c r="O231">
        <v>1917646568</v>
      </c>
      <c r="P231">
        <v>1281</v>
      </c>
      <c r="Q231" t="s">
        <v>561</v>
      </c>
    </row>
    <row r="232" spans="1:17" x14ac:dyDescent="0.3">
      <c r="A232" t="s">
        <v>17</v>
      </c>
      <c r="B232" t="str">
        <f>"688036"</f>
        <v>688036</v>
      </c>
      <c r="C232" t="s">
        <v>562</v>
      </c>
      <c r="D232" t="s">
        <v>563</v>
      </c>
      <c r="F232">
        <v>4038582068</v>
      </c>
      <c r="G232">
        <v>4307934791</v>
      </c>
      <c r="H232">
        <v>4040518883</v>
      </c>
      <c r="I232">
        <v>2073322246</v>
      </c>
      <c r="J232">
        <v>1506845099</v>
      </c>
      <c r="K232">
        <v>621806781</v>
      </c>
      <c r="P232">
        <v>596</v>
      </c>
      <c r="Q232" t="s">
        <v>564</v>
      </c>
    </row>
    <row r="233" spans="1:17" x14ac:dyDescent="0.3">
      <c r="A233" t="s">
        <v>17</v>
      </c>
      <c r="B233" t="str">
        <f>"600600"</f>
        <v>600600</v>
      </c>
      <c r="C233" t="s">
        <v>565</v>
      </c>
      <c r="D233" t="s">
        <v>566</v>
      </c>
      <c r="F233">
        <v>6043111455</v>
      </c>
      <c r="G233">
        <v>4953422362</v>
      </c>
      <c r="H233">
        <v>4016552579</v>
      </c>
      <c r="I233">
        <v>3992008401</v>
      </c>
      <c r="J233">
        <v>2223535875</v>
      </c>
      <c r="K233">
        <v>2970891204</v>
      </c>
      <c r="L233">
        <v>2574565760</v>
      </c>
      <c r="M233">
        <v>1690634341</v>
      </c>
      <c r="N233">
        <v>3401151163</v>
      </c>
      <c r="O233">
        <v>3103596774</v>
      </c>
      <c r="P233">
        <v>2021</v>
      </c>
      <c r="Q233" t="s">
        <v>567</v>
      </c>
    </row>
    <row r="234" spans="1:17" x14ac:dyDescent="0.3">
      <c r="A234" t="s">
        <v>17</v>
      </c>
      <c r="B234" t="str">
        <f>"600908"</f>
        <v>600908</v>
      </c>
      <c r="C234" t="s">
        <v>568</v>
      </c>
      <c r="D234" t="s">
        <v>153</v>
      </c>
      <c r="F234">
        <v>7221939000</v>
      </c>
      <c r="G234">
        <v>9486903000</v>
      </c>
      <c r="H234">
        <v>4005455000</v>
      </c>
      <c r="I234">
        <v>-3956915000</v>
      </c>
      <c r="J234">
        <v>6237020000</v>
      </c>
      <c r="K234">
        <v>3091109000</v>
      </c>
      <c r="L234">
        <v>11611578000</v>
      </c>
      <c r="M234">
        <v>8882103000</v>
      </c>
      <c r="N234">
        <v>-1330923000</v>
      </c>
      <c r="O234">
        <v>4363721000</v>
      </c>
      <c r="P234">
        <v>897</v>
      </c>
      <c r="Q234" t="s">
        <v>569</v>
      </c>
    </row>
    <row r="235" spans="1:17" x14ac:dyDescent="0.3">
      <c r="A235" t="s">
        <v>59</v>
      </c>
      <c r="B235" t="str">
        <f>"002500"</f>
        <v>002500</v>
      </c>
      <c r="C235" t="s">
        <v>570</v>
      </c>
      <c r="D235" t="s">
        <v>75</v>
      </c>
      <c r="F235">
        <v>1434061388</v>
      </c>
      <c r="G235">
        <v>-1459123198</v>
      </c>
      <c r="H235">
        <v>3958246266</v>
      </c>
      <c r="I235">
        <v>-3785401055</v>
      </c>
      <c r="J235">
        <v>-592034904</v>
      </c>
      <c r="K235">
        <v>-913271620</v>
      </c>
      <c r="L235">
        <v>3621355865</v>
      </c>
      <c r="M235">
        <v>2252672689</v>
      </c>
      <c r="N235">
        <v>-2437420677</v>
      </c>
      <c r="O235">
        <v>-2452207755</v>
      </c>
      <c r="P235">
        <v>1129</v>
      </c>
      <c r="Q235" t="s">
        <v>571</v>
      </c>
    </row>
    <row r="236" spans="1:17" x14ac:dyDescent="0.3">
      <c r="A236" t="s">
        <v>59</v>
      </c>
      <c r="B236" t="str">
        <f>"002157"</f>
        <v>002157</v>
      </c>
      <c r="C236" t="s">
        <v>572</v>
      </c>
      <c r="D236" t="s">
        <v>196</v>
      </c>
      <c r="F236">
        <v>-2204291113</v>
      </c>
      <c r="G236">
        <v>4553054242</v>
      </c>
      <c r="H236">
        <v>3923605317</v>
      </c>
      <c r="I236">
        <v>1330734874</v>
      </c>
      <c r="J236">
        <v>911791580</v>
      </c>
      <c r="K236">
        <v>1690945010</v>
      </c>
      <c r="L236">
        <v>734968815</v>
      </c>
      <c r="M236">
        <v>593959443</v>
      </c>
      <c r="N236">
        <v>-57277274</v>
      </c>
      <c r="O236">
        <v>259921935</v>
      </c>
      <c r="P236">
        <v>1128</v>
      </c>
      <c r="Q236" t="s">
        <v>573</v>
      </c>
    </row>
    <row r="237" spans="1:17" x14ac:dyDescent="0.3">
      <c r="A237" t="s">
        <v>17</v>
      </c>
      <c r="B237" t="str">
        <f>"600699"</f>
        <v>600699</v>
      </c>
      <c r="C237" t="s">
        <v>574</v>
      </c>
      <c r="D237" t="s">
        <v>575</v>
      </c>
      <c r="F237">
        <v>1821489080</v>
      </c>
      <c r="G237">
        <v>3120751355</v>
      </c>
      <c r="H237">
        <v>3919457032</v>
      </c>
      <c r="I237">
        <v>2974226963</v>
      </c>
      <c r="J237">
        <v>1901328375</v>
      </c>
      <c r="K237">
        <v>673689474</v>
      </c>
      <c r="L237">
        <v>585155500</v>
      </c>
      <c r="M237">
        <v>737519429</v>
      </c>
      <c r="N237">
        <v>650462416</v>
      </c>
      <c r="O237">
        <v>605242097</v>
      </c>
      <c r="P237">
        <v>958</v>
      </c>
      <c r="Q237" t="s">
        <v>576</v>
      </c>
    </row>
    <row r="238" spans="1:17" x14ac:dyDescent="0.3">
      <c r="A238" t="s">
        <v>17</v>
      </c>
      <c r="B238" t="str">
        <f>"600863"</f>
        <v>600863</v>
      </c>
      <c r="C238" t="s">
        <v>577</v>
      </c>
      <c r="D238" t="s">
        <v>98</v>
      </c>
      <c r="F238">
        <v>3094464575</v>
      </c>
      <c r="G238">
        <v>3912858516</v>
      </c>
      <c r="H238">
        <v>3882115489</v>
      </c>
      <c r="I238">
        <v>3283895926</v>
      </c>
      <c r="J238">
        <v>3323618270</v>
      </c>
      <c r="K238">
        <v>2141882203</v>
      </c>
      <c r="L238">
        <v>2997236073</v>
      </c>
      <c r="M238">
        <v>4343607503</v>
      </c>
      <c r="N238">
        <v>4882640090</v>
      </c>
      <c r="O238">
        <v>3788349997</v>
      </c>
      <c r="P238">
        <v>310</v>
      </c>
      <c r="Q238" t="s">
        <v>578</v>
      </c>
    </row>
    <row r="239" spans="1:17" x14ac:dyDescent="0.3">
      <c r="A239" t="s">
        <v>59</v>
      </c>
      <c r="B239" t="str">
        <f>"000625"</f>
        <v>000625</v>
      </c>
      <c r="C239" t="s">
        <v>579</v>
      </c>
      <c r="D239" t="s">
        <v>57</v>
      </c>
      <c r="F239">
        <v>22971723211</v>
      </c>
      <c r="G239">
        <v>10675953479</v>
      </c>
      <c r="H239">
        <v>3881748238</v>
      </c>
      <c r="I239">
        <v>-3887475302</v>
      </c>
      <c r="J239">
        <v>-1369576777</v>
      </c>
      <c r="K239">
        <v>2286551305</v>
      </c>
      <c r="L239">
        <v>5414890770</v>
      </c>
      <c r="M239">
        <v>3779921775</v>
      </c>
      <c r="N239">
        <v>1832646224</v>
      </c>
      <c r="O239">
        <v>511885673</v>
      </c>
      <c r="P239">
        <v>3098</v>
      </c>
      <c r="Q239" t="s">
        <v>580</v>
      </c>
    </row>
    <row r="240" spans="1:17" x14ac:dyDescent="0.3">
      <c r="A240" t="s">
        <v>17</v>
      </c>
      <c r="B240" t="str">
        <f>"601168"</f>
        <v>601168</v>
      </c>
      <c r="C240" t="s">
        <v>581</v>
      </c>
      <c r="D240" t="s">
        <v>259</v>
      </c>
      <c r="F240">
        <v>7952211906</v>
      </c>
      <c r="G240">
        <v>3280046541</v>
      </c>
      <c r="H240">
        <v>3874963709</v>
      </c>
      <c r="I240">
        <v>585408780</v>
      </c>
      <c r="J240">
        <v>1431510448</v>
      </c>
      <c r="K240">
        <v>2671923283</v>
      </c>
      <c r="L240">
        <v>2430071361</v>
      </c>
      <c r="M240">
        <v>1627449334</v>
      </c>
      <c r="N240">
        <v>1653549182</v>
      </c>
      <c r="O240">
        <v>1436324531</v>
      </c>
      <c r="P240">
        <v>392</v>
      </c>
      <c r="Q240" t="s">
        <v>582</v>
      </c>
    </row>
    <row r="241" spans="1:17" x14ac:dyDescent="0.3">
      <c r="A241" t="s">
        <v>59</v>
      </c>
      <c r="B241" t="str">
        <f>"000825"</f>
        <v>000825</v>
      </c>
      <c r="C241" t="s">
        <v>583</v>
      </c>
      <c r="D241" t="s">
        <v>330</v>
      </c>
      <c r="F241">
        <v>15766777776</v>
      </c>
      <c r="G241">
        <v>6885716673</v>
      </c>
      <c r="H241">
        <v>3871370192</v>
      </c>
      <c r="I241">
        <v>9209819120</v>
      </c>
      <c r="J241">
        <v>10885615283</v>
      </c>
      <c r="K241">
        <v>7654012004</v>
      </c>
      <c r="L241">
        <v>2728674008</v>
      </c>
      <c r="M241">
        <v>5421387602</v>
      </c>
      <c r="N241">
        <v>3995817414</v>
      </c>
      <c r="O241">
        <v>6912361012</v>
      </c>
      <c r="P241">
        <v>581</v>
      </c>
      <c r="Q241" t="s">
        <v>584</v>
      </c>
    </row>
    <row r="242" spans="1:17" x14ac:dyDescent="0.3">
      <c r="A242" t="s">
        <v>17</v>
      </c>
      <c r="B242" t="str">
        <f>"600906"</f>
        <v>600906</v>
      </c>
      <c r="C242" t="s">
        <v>585</v>
      </c>
      <c r="D242" t="s">
        <v>75</v>
      </c>
      <c r="F242">
        <v>-90523038</v>
      </c>
      <c r="G242">
        <v>937057999</v>
      </c>
      <c r="H242">
        <v>3849457314</v>
      </c>
      <c r="I242">
        <v>-3516121218</v>
      </c>
      <c r="J242">
        <v>-1670638122</v>
      </c>
      <c r="P242">
        <v>131</v>
      </c>
      <c r="Q242" t="s">
        <v>586</v>
      </c>
    </row>
    <row r="243" spans="1:17" x14ac:dyDescent="0.3">
      <c r="A243" t="s">
        <v>17</v>
      </c>
      <c r="B243" t="str">
        <f>"600466"</f>
        <v>600466</v>
      </c>
      <c r="C243" t="s">
        <v>587</v>
      </c>
      <c r="D243" t="s">
        <v>61</v>
      </c>
      <c r="F243">
        <v>-107778440</v>
      </c>
      <c r="G243">
        <v>-6127011606</v>
      </c>
      <c r="H243">
        <v>3833354072</v>
      </c>
      <c r="I243">
        <v>461984073</v>
      </c>
      <c r="J243">
        <v>7553892329</v>
      </c>
      <c r="K243">
        <v>-2688116865</v>
      </c>
      <c r="L243">
        <v>1430441367</v>
      </c>
      <c r="M243">
        <v>37223110</v>
      </c>
      <c r="N243">
        <v>31243385</v>
      </c>
      <c r="O243">
        <v>15025374</v>
      </c>
      <c r="P243">
        <v>844</v>
      </c>
      <c r="Q243" t="s">
        <v>588</v>
      </c>
    </row>
    <row r="244" spans="1:17" x14ac:dyDescent="0.3">
      <c r="A244" t="s">
        <v>59</v>
      </c>
      <c r="B244" t="str">
        <f>"000750"</f>
        <v>000750</v>
      </c>
      <c r="C244" t="s">
        <v>589</v>
      </c>
      <c r="D244" t="s">
        <v>75</v>
      </c>
      <c r="F244">
        <v>1056520132</v>
      </c>
      <c r="G244">
        <v>-2854444270</v>
      </c>
      <c r="H244">
        <v>3819009116</v>
      </c>
      <c r="I244">
        <v>-1496133333</v>
      </c>
      <c r="J244">
        <v>-5597704646</v>
      </c>
      <c r="K244">
        <v>-5272628584</v>
      </c>
      <c r="L244">
        <v>-6004761470</v>
      </c>
      <c r="M244">
        <v>5482255475</v>
      </c>
      <c r="N244">
        <v>-2932705735</v>
      </c>
      <c r="O244">
        <v>523701066</v>
      </c>
      <c r="P244">
        <v>1038</v>
      </c>
      <c r="Q244" t="s">
        <v>590</v>
      </c>
    </row>
    <row r="245" spans="1:17" x14ac:dyDescent="0.3">
      <c r="A245" t="s">
        <v>17</v>
      </c>
      <c r="B245" t="str">
        <f>"600276"</f>
        <v>600276</v>
      </c>
      <c r="C245" t="s">
        <v>591</v>
      </c>
      <c r="D245" t="s">
        <v>592</v>
      </c>
      <c r="F245">
        <v>4218816053</v>
      </c>
      <c r="G245">
        <v>3431934805</v>
      </c>
      <c r="H245">
        <v>3816832867</v>
      </c>
      <c r="I245">
        <v>2774212734</v>
      </c>
      <c r="J245">
        <v>2547385417</v>
      </c>
      <c r="K245">
        <v>2592628396</v>
      </c>
      <c r="L245">
        <v>2277293123</v>
      </c>
      <c r="M245">
        <v>1574306024</v>
      </c>
      <c r="N245">
        <v>1364958666</v>
      </c>
      <c r="O245">
        <v>958368892</v>
      </c>
      <c r="P245">
        <v>70860</v>
      </c>
      <c r="Q245" t="s">
        <v>593</v>
      </c>
    </row>
    <row r="246" spans="1:17" x14ac:dyDescent="0.3">
      <c r="A246" t="s">
        <v>17</v>
      </c>
      <c r="B246" t="str">
        <f>"600751"</f>
        <v>600751</v>
      </c>
      <c r="C246" t="s">
        <v>594</v>
      </c>
      <c r="D246" t="s">
        <v>595</v>
      </c>
      <c r="F246">
        <v>-3050252000</v>
      </c>
      <c r="G246">
        <v>18217907000</v>
      </c>
      <c r="H246">
        <v>3803943000</v>
      </c>
      <c r="I246">
        <v>3066234000</v>
      </c>
      <c r="J246">
        <v>-4807626000</v>
      </c>
      <c r="K246">
        <v>1669197000</v>
      </c>
      <c r="L246">
        <v>-40036199</v>
      </c>
      <c r="M246">
        <v>128743625</v>
      </c>
      <c r="N246">
        <v>147876970</v>
      </c>
      <c r="O246">
        <v>28046664</v>
      </c>
      <c r="P246">
        <v>226</v>
      </c>
      <c r="Q246" t="s">
        <v>596</v>
      </c>
    </row>
    <row r="247" spans="1:17" x14ac:dyDescent="0.3">
      <c r="A247" t="s">
        <v>17</v>
      </c>
      <c r="B247" t="str">
        <f>"600233"</f>
        <v>600233</v>
      </c>
      <c r="C247" t="s">
        <v>597</v>
      </c>
      <c r="D247" t="s">
        <v>301</v>
      </c>
      <c r="F247">
        <v>4068128151</v>
      </c>
      <c r="G247">
        <v>3491018414</v>
      </c>
      <c r="H247">
        <v>3798784186</v>
      </c>
      <c r="I247">
        <v>2336008470</v>
      </c>
      <c r="J247">
        <v>1556380865</v>
      </c>
      <c r="K247">
        <v>1878954708</v>
      </c>
      <c r="L247">
        <v>102253267</v>
      </c>
      <c r="M247">
        <v>58087801</v>
      </c>
      <c r="N247">
        <v>87903724</v>
      </c>
      <c r="O247">
        <v>52885722</v>
      </c>
      <c r="P247">
        <v>733</v>
      </c>
      <c r="Q247" t="s">
        <v>598</v>
      </c>
    </row>
    <row r="248" spans="1:17" x14ac:dyDescent="0.3">
      <c r="A248" t="s">
        <v>17</v>
      </c>
      <c r="B248" t="str">
        <f>"601456"</f>
        <v>601456</v>
      </c>
      <c r="C248" t="s">
        <v>599</v>
      </c>
      <c r="D248" t="s">
        <v>75</v>
      </c>
      <c r="F248">
        <v>-5186349934</v>
      </c>
      <c r="G248">
        <v>-4396968698</v>
      </c>
      <c r="H248">
        <v>3796784000</v>
      </c>
      <c r="I248">
        <v>-275789000</v>
      </c>
      <c r="J248">
        <v>-6669049000</v>
      </c>
      <c r="P248">
        <v>310</v>
      </c>
      <c r="Q248" t="s">
        <v>600</v>
      </c>
    </row>
    <row r="249" spans="1:17" x14ac:dyDescent="0.3">
      <c r="A249" t="s">
        <v>17</v>
      </c>
      <c r="B249" t="str">
        <f>"600219"</f>
        <v>600219</v>
      </c>
      <c r="C249" t="s">
        <v>601</v>
      </c>
      <c r="D249" t="s">
        <v>238</v>
      </c>
      <c r="F249">
        <v>4416010733</v>
      </c>
      <c r="G249">
        <v>5883410831</v>
      </c>
      <c r="H249">
        <v>3792042388</v>
      </c>
      <c r="I249">
        <v>2183561376</v>
      </c>
      <c r="J249">
        <v>1809587241</v>
      </c>
      <c r="K249">
        <v>1892042398</v>
      </c>
      <c r="L249">
        <v>893711608</v>
      </c>
      <c r="M249">
        <v>1454782684</v>
      </c>
      <c r="N249">
        <v>1410283115</v>
      </c>
      <c r="O249">
        <v>1304978233</v>
      </c>
      <c r="P249">
        <v>609</v>
      </c>
      <c r="Q249" t="s">
        <v>602</v>
      </c>
    </row>
    <row r="250" spans="1:17" x14ac:dyDescent="0.3">
      <c r="A250" t="s">
        <v>17</v>
      </c>
      <c r="B250" t="str">
        <f>"603323"</f>
        <v>603323</v>
      </c>
      <c r="C250" t="s">
        <v>603</v>
      </c>
      <c r="D250" t="s">
        <v>153</v>
      </c>
      <c r="F250">
        <v>-1778939000</v>
      </c>
      <c r="G250">
        <v>7358413000</v>
      </c>
      <c r="H250">
        <v>3787867000</v>
      </c>
      <c r="I250">
        <v>2651796000</v>
      </c>
      <c r="J250">
        <v>-776854000</v>
      </c>
      <c r="K250">
        <v>2541299000</v>
      </c>
      <c r="L250">
        <v>5477663000</v>
      </c>
      <c r="M250">
        <v>-3470017000</v>
      </c>
      <c r="N250">
        <v>39389000</v>
      </c>
      <c r="O250">
        <v>2420919000</v>
      </c>
      <c r="P250">
        <v>498</v>
      </c>
      <c r="Q250" t="s">
        <v>604</v>
      </c>
    </row>
    <row r="251" spans="1:17" x14ac:dyDescent="0.3">
      <c r="A251" t="s">
        <v>17</v>
      </c>
      <c r="B251" t="str">
        <f>"600967"</f>
        <v>600967</v>
      </c>
      <c r="C251" t="s">
        <v>605</v>
      </c>
      <c r="D251" t="s">
        <v>606</v>
      </c>
      <c r="F251">
        <v>635938171</v>
      </c>
      <c r="G251">
        <v>4481924499</v>
      </c>
      <c r="H251">
        <v>3778532162</v>
      </c>
      <c r="I251">
        <v>1603049949</v>
      </c>
      <c r="J251">
        <v>1769741931</v>
      </c>
      <c r="K251">
        <v>704304582</v>
      </c>
      <c r="L251">
        <v>-302218649</v>
      </c>
      <c r="M251">
        <v>-170062659</v>
      </c>
      <c r="N251">
        <v>207087621</v>
      </c>
      <c r="O251">
        <v>-195079060</v>
      </c>
      <c r="P251">
        <v>286</v>
      </c>
      <c r="Q251" t="s">
        <v>607</v>
      </c>
    </row>
    <row r="252" spans="1:17" x14ac:dyDescent="0.3">
      <c r="A252" t="s">
        <v>17</v>
      </c>
      <c r="B252" t="str">
        <f>"600956"</f>
        <v>600956</v>
      </c>
      <c r="C252" t="s">
        <v>608</v>
      </c>
      <c r="D252" t="s">
        <v>391</v>
      </c>
      <c r="F252">
        <v>4332641167</v>
      </c>
      <c r="G252">
        <v>3898510464</v>
      </c>
      <c r="H252">
        <v>3748697616</v>
      </c>
      <c r="I252">
        <v>3170604688</v>
      </c>
      <c r="J252">
        <v>2653614735</v>
      </c>
      <c r="P252">
        <v>204</v>
      </c>
      <c r="Q252" t="s">
        <v>609</v>
      </c>
    </row>
    <row r="253" spans="1:17" x14ac:dyDescent="0.3">
      <c r="A253" t="s">
        <v>17</v>
      </c>
      <c r="B253" t="str">
        <f>"600426"</f>
        <v>600426</v>
      </c>
      <c r="C253" t="s">
        <v>610</v>
      </c>
      <c r="D253" t="s">
        <v>611</v>
      </c>
      <c r="F253">
        <v>4905799645</v>
      </c>
      <c r="G253">
        <v>2994781388</v>
      </c>
      <c r="H253">
        <v>3736038990</v>
      </c>
      <c r="I253">
        <v>3940722336</v>
      </c>
      <c r="J253">
        <v>1711455111</v>
      </c>
      <c r="K253">
        <v>997192500</v>
      </c>
      <c r="L253">
        <v>2408934801</v>
      </c>
      <c r="M253">
        <v>1606549743</v>
      </c>
      <c r="N253">
        <v>1386820985</v>
      </c>
      <c r="O253">
        <v>505144488</v>
      </c>
      <c r="P253">
        <v>1013</v>
      </c>
      <c r="Q253" t="s">
        <v>612</v>
      </c>
    </row>
    <row r="254" spans="1:17" x14ac:dyDescent="0.3">
      <c r="A254" t="s">
        <v>17</v>
      </c>
      <c r="B254" t="str">
        <f>"600685"</f>
        <v>600685</v>
      </c>
      <c r="C254" t="s">
        <v>613</v>
      </c>
      <c r="D254" t="s">
        <v>614</v>
      </c>
      <c r="F254">
        <v>4365184194</v>
      </c>
      <c r="G254">
        <v>-1024407421</v>
      </c>
      <c r="H254">
        <v>3735554001</v>
      </c>
      <c r="I254">
        <v>-1544910134</v>
      </c>
      <c r="J254">
        <v>-847216894</v>
      </c>
      <c r="K254">
        <v>-3761073635</v>
      </c>
      <c r="L254">
        <v>-1058252074</v>
      </c>
      <c r="M254">
        <v>855224352</v>
      </c>
      <c r="N254">
        <v>-277361321</v>
      </c>
      <c r="O254">
        <v>-147651545</v>
      </c>
      <c r="P254">
        <v>263</v>
      </c>
      <c r="Q254" t="s">
        <v>615</v>
      </c>
    </row>
    <row r="255" spans="1:17" x14ac:dyDescent="0.3">
      <c r="A255" t="s">
        <v>59</v>
      </c>
      <c r="B255" t="str">
        <f>"002459"</f>
        <v>002459</v>
      </c>
      <c r="C255" t="s">
        <v>616</v>
      </c>
      <c r="D255" t="s">
        <v>430</v>
      </c>
      <c r="F255">
        <v>3750322314</v>
      </c>
      <c r="G255">
        <v>2264976986</v>
      </c>
      <c r="H255">
        <v>3690528723</v>
      </c>
      <c r="I255">
        <v>-9607841</v>
      </c>
      <c r="J255">
        <v>-31399833</v>
      </c>
      <c r="K255">
        <v>-5023790</v>
      </c>
      <c r="L255">
        <v>-72711893</v>
      </c>
      <c r="M255">
        <v>-171376674</v>
      </c>
      <c r="N255">
        <v>225757360</v>
      </c>
      <c r="O255">
        <v>-86269450</v>
      </c>
      <c r="P255">
        <v>1227</v>
      </c>
      <c r="Q255" t="s">
        <v>617</v>
      </c>
    </row>
    <row r="256" spans="1:17" x14ac:dyDescent="0.3">
      <c r="A256" t="s">
        <v>59</v>
      </c>
      <c r="B256" t="str">
        <f>"000807"</f>
        <v>000807</v>
      </c>
      <c r="C256" t="s">
        <v>618</v>
      </c>
      <c r="D256" t="s">
        <v>238</v>
      </c>
      <c r="F256">
        <v>6961627864</v>
      </c>
      <c r="G256">
        <v>4980888757</v>
      </c>
      <c r="H256">
        <v>3683920647</v>
      </c>
      <c r="I256">
        <v>337325820</v>
      </c>
      <c r="J256">
        <v>2032199302</v>
      </c>
      <c r="K256">
        <v>911348709</v>
      </c>
      <c r="L256">
        <v>3076078839</v>
      </c>
      <c r="M256">
        <v>295140676</v>
      </c>
      <c r="N256">
        <v>2319876823</v>
      </c>
      <c r="O256">
        <v>956136510</v>
      </c>
      <c r="P256">
        <v>551</v>
      </c>
      <c r="Q256" t="s">
        <v>619</v>
      </c>
    </row>
    <row r="257" spans="1:17" x14ac:dyDescent="0.3">
      <c r="A257" t="s">
        <v>17</v>
      </c>
      <c r="B257" t="str">
        <f>"600039"</f>
        <v>600039</v>
      </c>
      <c r="C257" t="s">
        <v>620</v>
      </c>
      <c r="D257" t="s">
        <v>85</v>
      </c>
      <c r="F257">
        <v>-1023166353</v>
      </c>
      <c r="G257">
        <v>3277147133</v>
      </c>
      <c r="H257">
        <v>3670514027</v>
      </c>
      <c r="I257">
        <v>3232929936</v>
      </c>
      <c r="J257">
        <v>1185160657</v>
      </c>
      <c r="K257">
        <v>1190137550</v>
      </c>
      <c r="L257">
        <v>3052712886</v>
      </c>
      <c r="M257">
        <v>1776631213</v>
      </c>
      <c r="N257">
        <v>1878673938</v>
      </c>
      <c r="O257">
        <v>599930997</v>
      </c>
      <c r="P257">
        <v>484</v>
      </c>
      <c r="Q257" t="s">
        <v>621</v>
      </c>
    </row>
    <row r="258" spans="1:17" x14ac:dyDescent="0.3">
      <c r="A258" t="s">
        <v>59</v>
      </c>
      <c r="B258" t="str">
        <f>"000930"</f>
        <v>000930</v>
      </c>
      <c r="C258" t="s">
        <v>622</v>
      </c>
      <c r="D258" t="s">
        <v>623</v>
      </c>
      <c r="F258">
        <v>4841590965</v>
      </c>
      <c r="G258">
        <v>-2910855638</v>
      </c>
      <c r="H258">
        <v>3649709321</v>
      </c>
      <c r="I258">
        <v>-923311085</v>
      </c>
      <c r="J258">
        <v>747682722</v>
      </c>
      <c r="K258">
        <v>784676105</v>
      </c>
      <c r="L258">
        <v>-114172074</v>
      </c>
      <c r="M258">
        <v>206776195</v>
      </c>
      <c r="N258">
        <v>737712318</v>
      </c>
      <c r="O258">
        <v>268695624</v>
      </c>
      <c r="P258">
        <v>378</v>
      </c>
      <c r="Q258" t="s">
        <v>624</v>
      </c>
    </row>
    <row r="259" spans="1:17" x14ac:dyDescent="0.3">
      <c r="A259" t="s">
        <v>17</v>
      </c>
      <c r="B259" t="str">
        <f>"600098"</f>
        <v>600098</v>
      </c>
      <c r="C259" t="s">
        <v>625</v>
      </c>
      <c r="D259" t="s">
        <v>98</v>
      </c>
      <c r="F259">
        <v>2019287245</v>
      </c>
      <c r="G259">
        <v>2284166998</v>
      </c>
      <c r="H259">
        <v>3636233141</v>
      </c>
      <c r="I259">
        <v>1684263889</v>
      </c>
      <c r="J259">
        <v>2358221140</v>
      </c>
      <c r="K259">
        <v>2475175328</v>
      </c>
      <c r="L259">
        <v>3189175089</v>
      </c>
      <c r="M259">
        <v>3235942365</v>
      </c>
      <c r="N259">
        <v>2740196117</v>
      </c>
      <c r="O259">
        <v>3031271477</v>
      </c>
      <c r="P259">
        <v>192</v>
      </c>
      <c r="Q259" t="s">
        <v>626</v>
      </c>
    </row>
    <row r="260" spans="1:17" x14ac:dyDescent="0.3">
      <c r="A260" t="s">
        <v>17</v>
      </c>
      <c r="B260" t="str">
        <f>"600909"</f>
        <v>600909</v>
      </c>
      <c r="C260" t="s">
        <v>627</v>
      </c>
      <c r="D260" t="s">
        <v>75</v>
      </c>
      <c r="F260">
        <v>1268426</v>
      </c>
      <c r="G260">
        <v>-667959231</v>
      </c>
      <c r="H260">
        <v>3605559351</v>
      </c>
      <c r="I260">
        <v>613934962</v>
      </c>
      <c r="J260">
        <v>-4096152556</v>
      </c>
      <c r="K260">
        <v>-7854148163</v>
      </c>
      <c r="L260">
        <v>3662526769</v>
      </c>
      <c r="M260">
        <v>4978389461</v>
      </c>
      <c r="N260">
        <v>-515953782</v>
      </c>
      <c r="O260">
        <v>-338669262.91000003</v>
      </c>
      <c r="P260">
        <v>832</v>
      </c>
      <c r="Q260" t="s">
        <v>628</v>
      </c>
    </row>
    <row r="261" spans="1:17" x14ac:dyDescent="0.3">
      <c r="A261" t="s">
        <v>17</v>
      </c>
      <c r="B261" t="str">
        <f>"600989"</f>
        <v>600989</v>
      </c>
      <c r="C261" t="s">
        <v>629</v>
      </c>
      <c r="D261" t="s">
        <v>611</v>
      </c>
      <c r="F261">
        <v>6487817727</v>
      </c>
      <c r="G261">
        <v>5183714666</v>
      </c>
      <c r="H261">
        <v>3572586032</v>
      </c>
      <c r="I261">
        <v>3265187613</v>
      </c>
      <c r="J261">
        <v>3015633268</v>
      </c>
      <c r="K261">
        <v>1772189972</v>
      </c>
      <c r="P261">
        <v>769</v>
      </c>
      <c r="Q261" t="s">
        <v>630</v>
      </c>
    </row>
    <row r="262" spans="1:17" x14ac:dyDescent="0.3">
      <c r="A262" t="s">
        <v>17</v>
      </c>
      <c r="B262" t="str">
        <f>"600295"</f>
        <v>600295</v>
      </c>
      <c r="C262" t="s">
        <v>631</v>
      </c>
      <c r="D262" t="s">
        <v>517</v>
      </c>
      <c r="F262">
        <v>12446414488</v>
      </c>
      <c r="G262">
        <v>5208696632</v>
      </c>
      <c r="H262">
        <v>3561087051</v>
      </c>
      <c r="I262">
        <v>7091757686</v>
      </c>
      <c r="J262">
        <v>4343437214</v>
      </c>
      <c r="K262">
        <v>4273045526</v>
      </c>
      <c r="L262">
        <v>5006105339</v>
      </c>
      <c r="M262">
        <v>4936761609</v>
      </c>
      <c r="N262">
        <v>2580841988</v>
      </c>
      <c r="O262">
        <v>3797839560</v>
      </c>
      <c r="P262">
        <v>435</v>
      </c>
      <c r="Q262" t="s">
        <v>632</v>
      </c>
    </row>
    <row r="263" spans="1:17" x14ac:dyDescent="0.3">
      <c r="A263" t="s">
        <v>59</v>
      </c>
      <c r="B263" t="str">
        <f>"300072"</f>
        <v>300072</v>
      </c>
      <c r="C263" t="s">
        <v>633</v>
      </c>
      <c r="D263" t="s">
        <v>634</v>
      </c>
      <c r="F263">
        <v>1024302950</v>
      </c>
      <c r="G263">
        <v>-926110671</v>
      </c>
      <c r="H263">
        <v>3553046502</v>
      </c>
      <c r="I263">
        <v>-1385135327</v>
      </c>
      <c r="J263">
        <v>-353628624</v>
      </c>
      <c r="K263">
        <v>321400428</v>
      </c>
      <c r="L263">
        <v>60730592</v>
      </c>
      <c r="M263">
        <v>318638817</v>
      </c>
      <c r="N263">
        <v>29844867</v>
      </c>
      <c r="O263">
        <v>-39104088</v>
      </c>
      <c r="P263">
        <v>1138</v>
      </c>
      <c r="Q263" t="s">
        <v>635</v>
      </c>
    </row>
    <row r="264" spans="1:17" x14ac:dyDescent="0.3">
      <c r="A264" t="s">
        <v>59</v>
      </c>
      <c r="B264" t="str">
        <f>"000039"</f>
        <v>000039</v>
      </c>
      <c r="C264" t="s">
        <v>636</v>
      </c>
      <c r="D264" t="s">
        <v>637</v>
      </c>
      <c r="F264">
        <v>20574655000</v>
      </c>
      <c r="G264">
        <v>12810486000</v>
      </c>
      <c r="H264">
        <v>3538522000</v>
      </c>
      <c r="I264">
        <v>140732000</v>
      </c>
      <c r="J264">
        <v>4275379000</v>
      </c>
      <c r="K264">
        <v>2341619000</v>
      </c>
      <c r="L264">
        <v>-3610223000</v>
      </c>
      <c r="M264">
        <v>6434477000</v>
      </c>
      <c r="N264">
        <v>2749926000</v>
      </c>
      <c r="O264">
        <v>2242919000</v>
      </c>
      <c r="P264">
        <v>679</v>
      </c>
      <c r="Q264" t="s">
        <v>638</v>
      </c>
    </row>
    <row r="265" spans="1:17" x14ac:dyDescent="0.3">
      <c r="A265" t="s">
        <v>17</v>
      </c>
      <c r="B265" t="str">
        <f>"600655"</f>
        <v>600655</v>
      </c>
      <c r="C265" t="s">
        <v>639</v>
      </c>
      <c r="D265" t="s">
        <v>548</v>
      </c>
      <c r="F265">
        <v>-6877136849</v>
      </c>
      <c r="G265">
        <v>-954832872</v>
      </c>
      <c r="H265">
        <v>3534453280</v>
      </c>
      <c r="I265">
        <v>7577355798</v>
      </c>
      <c r="J265">
        <v>1113125399</v>
      </c>
      <c r="K265">
        <v>397230810</v>
      </c>
      <c r="L265">
        <v>-306941320</v>
      </c>
      <c r="M265">
        <v>353628258</v>
      </c>
      <c r="N265">
        <v>649418108</v>
      </c>
      <c r="O265">
        <v>1658180025</v>
      </c>
      <c r="P265">
        <v>409</v>
      </c>
      <c r="Q265" t="s">
        <v>640</v>
      </c>
    </row>
    <row r="266" spans="1:17" x14ac:dyDescent="0.3">
      <c r="A266" t="s">
        <v>17</v>
      </c>
      <c r="B266" t="str">
        <f>"600348"</f>
        <v>600348</v>
      </c>
      <c r="C266" t="s">
        <v>641</v>
      </c>
      <c r="D266" t="s">
        <v>294</v>
      </c>
      <c r="F266">
        <v>8463875829</v>
      </c>
      <c r="G266">
        <v>3967332492</v>
      </c>
      <c r="H266">
        <v>3505053320</v>
      </c>
      <c r="I266">
        <v>3763883895</v>
      </c>
      <c r="J266">
        <v>2869895720</v>
      </c>
      <c r="K266">
        <v>3418085115</v>
      </c>
      <c r="L266">
        <v>980712108</v>
      </c>
      <c r="M266">
        <v>1209682237</v>
      </c>
      <c r="N266">
        <v>2576966431</v>
      </c>
      <c r="O266">
        <v>1683067026</v>
      </c>
      <c r="P266">
        <v>1285</v>
      </c>
      <c r="Q266" t="s">
        <v>642</v>
      </c>
    </row>
    <row r="267" spans="1:17" x14ac:dyDescent="0.3">
      <c r="A267" t="s">
        <v>17</v>
      </c>
      <c r="B267" t="str">
        <f>"601375"</f>
        <v>601375</v>
      </c>
      <c r="C267" t="s">
        <v>643</v>
      </c>
      <c r="D267" t="s">
        <v>75</v>
      </c>
      <c r="F267">
        <v>-956413909</v>
      </c>
      <c r="G267">
        <v>1370803122</v>
      </c>
      <c r="H267">
        <v>3488339971</v>
      </c>
      <c r="I267">
        <v>1591520729</v>
      </c>
      <c r="J267">
        <v>-4153277912</v>
      </c>
      <c r="K267">
        <v>-2701990424</v>
      </c>
      <c r="L267">
        <v>-1062141293</v>
      </c>
      <c r="M267">
        <v>2645370610</v>
      </c>
      <c r="N267">
        <v>-883841427</v>
      </c>
      <c r="O267">
        <v>193776371.81999999</v>
      </c>
      <c r="P267">
        <v>690</v>
      </c>
      <c r="Q267" t="s">
        <v>644</v>
      </c>
    </row>
    <row r="268" spans="1:17" x14ac:dyDescent="0.3">
      <c r="A268" t="s">
        <v>17</v>
      </c>
      <c r="B268" t="str">
        <f>"600398"</f>
        <v>600398</v>
      </c>
      <c r="C268" t="s">
        <v>645</v>
      </c>
      <c r="D268" t="s">
        <v>646</v>
      </c>
      <c r="F268">
        <v>4361248948</v>
      </c>
      <c r="G268">
        <v>2830253817</v>
      </c>
      <c r="H268">
        <v>3462340359</v>
      </c>
      <c r="I268">
        <v>2419427879</v>
      </c>
      <c r="J268">
        <v>2879566617</v>
      </c>
      <c r="K268">
        <v>2927780740</v>
      </c>
      <c r="L268">
        <v>2787161941</v>
      </c>
      <c r="M268">
        <v>1923411729</v>
      </c>
      <c r="N268">
        <v>457980045</v>
      </c>
      <c r="O268">
        <v>365945506</v>
      </c>
      <c r="P268">
        <v>2674</v>
      </c>
      <c r="Q268" t="s">
        <v>647</v>
      </c>
    </row>
    <row r="269" spans="1:17" x14ac:dyDescent="0.3">
      <c r="A269" t="s">
        <v>59</v>
      </c>
      <c r="B269" t="str">
        <f>"000937"</f>
        <v>000937</v>
      </c>
      <c r="C269" t="s">
        <v>648</v>
      </c>
      <c r="D269" t="s">
        <v>294</v>
      </c>
      <c r="F269">
        <v>5018810655</v>
      </c>
      <c r="G269">
        <v>6639715520</v>
      </c>
      <c r="H269">
        <v>3462169000</v>
      </c>
      <c r="I269">
        <v>3104024886</v>
      </c>
      <c r="J269">
        <v>4236864129</v>
      </c>
      <c r="K269">
        <v>-244055267</v>
      </c>
      <c r="L269">
        <v>1050759175</v>
      </c>
      <c r="M269">
        <v>1952086013</v>
      </c>
      <c r="N269">
        <v>5444095745</v>
      </c>
      <c r="O269">
        <v>2461548651</v>
      </c>
      <c r="P269">
        <v>350</v>
      </c>
      <c r="Q269" t="s">
        <v>649</v>
      </c>
    </row>
    <row r="270" spans="1:17" x14ac:dyDescent="0.3">
      <c r="A270" t="s">
        <v>59</v>
      </c>
      <c r="B270" t="str">
        <f>"002128"</f>
        <v>002128</v>
      </c>
      <c r="C270" t="s">
        <v>650</v>
      </c>
      <c r="D270" t="s">
        <v>54</v>
      </c>
      <c r="F270">
        <v>6332752662</v>
      </c>
      <c r="G270">
        <v>6297660204</v>
      </c>
      <c r="H270">
        <v>3462034564</v>
      </c>
      <c r="I270">
        <v>1792122438</v>
      </c>
      <c r="J270">
        <v>2067811290</v>
      </c>
      <c r="K270">
        <v>1053378378</v>
      </c>
      <c r="L270">
        <v>1963462957</v>
      </c>
      <c r="M270">
        <v>1404935534</v>
      </c>
      <c r="N270">
        <v>1541007789</v>
      </c>
      <c r="O270">
        <v>1329960812</v>
      </c>
      <c r="P270">
        <v>1050</v>
      </c>
      <c r="Q270" t="s">
        <v>651</v>
      </c>
    </row>
    <row r="271" spans="1:17" x14ac:dyDescent="0.3">
      <c r="A271" t="s">
        <v>17</v>
      </c>
      <c r="B271" t="str">
        <f>"600864"</f>
        <v>600864</v>
      </c>
      <c r="C271" t="s">
        <v>652</v>
      </c>
      <c r="D271" t="s">
        <v>75</v>
      </c>
      <c r="F271">
        <v>1042141997</v>
      </c>
      <c r="G271">
        <v>3424769058</v>
      </c>
      <c r="H271">
        <v>3437286046</v>
      </c>
      <c r="I271">
        <v>3091598694</v>
      </c>
      <c r="J271">
        <v>-9184467642</v>
      </c>
      <c r="K271">
        <v>-9297708405</v>
      </c>
      <c r="L271">
        <v>150474646</v>
      </c>
      <c r="M271">
        <v>227795554</v>
      </c>
      <c r="N271">
        <v>204908988</v>
      </c>
      <c r="O271">
        <v>106680625</v>
      </c>
      <c r="P271">
        <v>412</v>
      </c>
      <c r="Q271" t="s">
        <v>653</v>
      </c>
    </row>
    <row r="272" spans="1:17" x14ac:dyDescent="0.3">
      <c r="A272" t="s">
        <v>17</v>
      </c>
      <c r="B272" t="str">
        <f>"601021"</f>
        <v>601021</v>
      </c>
      <c r="C272" t="s">
        <v>654</v>
      </c>
      <c r="D272" t="s">
        <v>93</v>
      </c>
      <c r="F272">
        <v>1683550095</v>
      </c>
      <c r="G272">
        <v>825762360</v>
      </c>
      <c r="H272">
        <v>3436309193</v>
      </c>
      <c r="I272">
        <v>2895794003</v>
      </c>
      <c r="J272">
        <v>2301692351</v>
      </c>
      <c r="K272">
        <v>2039738341</v>
      </c>
      <c r="L272">
        <v>1610295679</v>
      </c>
      <c r="M272">
        <v>1076380614</v>
      </c>
      <c r="N272">
        <v>1536379642</v>
      </c>
      <c r="O272">
        <v>884014136</v>
      </c>
      <c r="P272">
        <v>1019</v>
      </c>
      <c r="Q272" t="s">
        <v>655</v>
      </c>
    </row>
    <row r="273" spans="1:17" x14ac:dyDescent="0.3">
      <c r="A273" t="s">
        <v>17</v>
      </c>
      <c r="B273" t="str">
        <f>"601918"</f>
        <v>601918</v>
      </c>
      <c r="C273" t="s">
        <v>656</v>
      </c>
      <c r="D273" t="s">
        <v>54</v>
      </c>
      <c r="F273">
        <v>4460117317</v>
      </c>
      <c r="G273">
        <v>2033643288</v>
      </c>
      <c r="H273">
        <v>3433897172</v>
      </c>
      <c r="I273">
        <v>3374933553</v>
      </c>
      <c r="J273">
        <v>2160085738</v>
      </c>
      <c r="K273">
        <v>1032869659</v>
      </c>
      <c r="L273">
        <v>-722965447</v>
      </c>
      <c r="M273">
        <v>-1187112729</v>
      </c>
      <c r="N273">
        <v>508671137</v>
      </c>
      <c r="O273">
        <v>1696640428</v>
      </c>
      <c r="P273">
        <v>237</v>
      </c>
      <c r="Q273" t="s">
        <v>657</v>
      </c>
    </row>
    <row r="274" spans="1:17" x14ac:dyDescent="0.3">
      <c r="A274" t="s">
        <v>17</v>
      </c>
      <c r="B274" t="str">
        <f>"600710"</f>
        <v>600710</v>
      </c>
      <c r="C274" t="s">
        <v>658</v>
      </c>
      <c r="D274" t="s">
        <v>659</v>
      </c>
      <c r="F274">
        <v>5718334224</v>
      </c>
      <c r="G274">
        <v>4003327397</v>
      </c>
      <c r="H274">
        <v>3433571267</v>
      </c>
      <c r="I274">
        <v>3223657543</v>
      </c>
      <c r="J274">
        <v>4167442777</v>
      </c>
      <c r="K274">
        <v>-1872685153</v>
      </c>
      <c r="L274">
        <v>-72452260</v>
      </c>
      <c r="M274">
        <v>-43827485</v>
      </c>
      <c r="N274">
        <v>-65700748</v>
      </c>
      <c r="O274">
        <v>-93307934</v>
      </c>
      <c r="P274">
        <v>166</v>
      </c>
      <c r="Q274" t="s">
        <v>660</v>
      </c>
    </row>
    <row r="275" spans="1:17" x14ac:dyDescent="0.3">
      <c r="A275" t="s">
        <v>59</v>
      </c>
      <c r="B275" t="str">
        <f>"002027"</f>
        <v>002027</v>
      </c>
      <c r="C275" t="s">
        <v>661</v>
      </c>
      <c r="D275" t="s">
        <v>662</v>
      </c>
      <c r="F275">
        <v>9590416890</v>
      </c>
      <c r="G275">
        <v>5223411677</v>
      </c>
      <c r="H275">
        <v>3429869870</v>
      </c>
      <c r="I275">
        <v>3782842145</v>
      </c>
      <c r="J275">
        <v>4156254605</v>
      </c>
      <c r="K275">
        <v>4800012043</v>
      </c>
      <c r="L275">
        <v>2630453815</v>
      </c>
      <c r="M275">
        <v>5804090</v>
      </c>
      <c r="N275">
        <v>40868661</v>
      </c>
      <c r="O275">
        <v>-4533412</v>
      </c>
      <c r="P275">
        <v>5236</v>
      </c>
      <c r="Q275" t="s">
        <v>663</v>
      </c>
    </row>
    <row r="276" spans="1:17" x14ac:dyDescent="0.3">
      <c r="A276" t="s">
        <v>59</v>
      </c>
      <c r="B276" t="str">
        <f>"000987"</f>
        <v>000987</v>
      </c>
      <c r="C276" t="s">
        <v>664</v>
      </c>
      <c r="D276" t="s">
        <v>117</v>
      </c>
      <c r="F276">
        <v>-7275850062</v>
      </c>
      <c r="G276">
        <v>-5206619175</v>
      </c>
      <c r="H276">
        <v>3381533440</v>
      </c>
      <c r="I276">
        <v>321177248</v>
      </c>
      <c r="J276">
        <v>-9525242223</v>
      </c>
      <c r="K276">
        <v>-5835727710</v>
      </c>
      <c r="L276">
        <v>106071800</v>
      </c>
      <c r="M276">
        <v>56818303</v>
      </c>
      <c r="N276">
        <v>319575440</v>
      </c>
      <c r="O276">
        <v>418446235</v>
      </c>
      <c r="P276">
        <v>520</v>
      </c>
      <c r="Q276" t="s">
        <v>665</v>
      </c>
    </row>
    <row r="277" spans="1:17" x14ac:dyDescent="0.3">
      <c r="A277" t="s">
        <v>17</v>
      </c>
      <c r="B277" t="str">
        <f>"688009"</f>
        <v>688009</v>
      </c>
      <c r="C277" t="s">
        <v>666</v>
      </c>
      <c r="D277" t="s">
        <v>165</v>
      </c>
      <c r="F277">
        <v>2768701491</v>
      </c>
      <c r="G277">
        <v>3007375953</v>
      </c>
      <c r="H277">
        <v>3371360785</v>
      </c>
      <c r="I277">
        <v>-1586789943</v>
      </c>
      <c r="J277">
        <v>-886018364</v>
      </c>
      <c r="K277">
        <v>2935057735</v>
      </c>
      <c r="P277">
        <v>201</v>
      </c>
      <c r="Q277" t="s">
        <v>667</v>
      </c>
    </row>
    <row r="278" spans="1:17" x14ac:dyDescent="0.3">
      <c r="A278" t="s">
        <v>17</v>
      </c>
      <c r="B278" t="str">
        <f>"600008"</f>
        <v>600008</v>
      </c>
      <c r="C278" t="s">
        <v>668</v>
      </c>
      <c r="D278" t="s">
        <v>669</v>
      </c>
      <c r="F278">
        <v>3145413451</v>
      </c>
      <c r="G278">
        <v>4454163492</v>
      </c>
      <c r="H278">
        <v>3333386035</v>
      </c>
      <c r="I278">
        <v>3295011187</v>
      </c>
      <c r="J278">
        <v>2489257933</v>
      </c>
      <c r="K278">
        <v>2958193370</v>
      </c>
      <c r="L278">
        <v>1006725266</v>
      </c>
      <c r="M278">
        <v>341934649</v>
      </c>
      <c r="N278">
        <v>106898612</v>
      </c>
      <c r="O278">
        <v>65564099</v>
      </c>
      <c r="P278">
        <v>445</v>
      </c>
      <c r="Q278" t="s">
        <v>670</v>
      </c>
    </row>
    <row r="279" spans="1:17" x14ac:dyDescent="0.3">
      <c r="A279" t="s">
        <v>17</v>
      </c>
      <c r="B279" t="str">
        <f>"600811"</f>
        <v>600811</v>
      </c>
      <c r="C279" t="s">
        <v>671</v>
      </c>
      <c r="D279" t="s">
        <v>672</v>
      </c>
      <c r="F279">
        <v>499993119</v>
      </c>
      <c r="G279">
        <v>48139288</v>
      </c>
      <c r="H279">
        <v>3322899253</v>
      </c>
      <c r="I279">
        <v>229317243</v>
      </c>
      <c r="J279">
        <v>-1832984424</v>
      </c>
      <c r="K279">
        <v>-1563936292</v>
      </c>
      <c r="L279">
        <v>-96353791</v>
      </c>
      <c r="M279">
        <v>351856019</v>
      </c>
      <c r="N279">
        <v>1591957197</v>
      </c>
      <c r="O279">
        <v>-809993233</v>
      </c>
      <c r="P279">
        <v>205</v>
      </c>
      <c r="Q279" t="s">
        <v>673</v>
      </c>
    </row>
    <row r="280" spans="1:17" x14ac:dyDescent="0.3">
      <c r="A280" t="s">
        <v>59</v>
      </c>
      <c r="B280" t="str">
        <f>"300070"</f>
        <v>300070</v>
      </c>
      <c r="C280" t="s">
        <v>674</v>
      </c>
      <c r="D280" t="s">
        <v>669</v>
      </c>
      <c r="F280">
        <v>-1627976861</v>
      </c>
      <c r="G280">
        <v>1545496808</v>
      </c>
      <c r="H280">
        <v>3321487295</v>
      </c>
      <c r="I280">
        <v>1304926436</v>
      </c>
      <c r="J280">
        <v>2513942713</v>
      </c>
      <c r="K280">
        <v>751830059</v>
      </c>
      <c r="L280">
        <v>1359223497</v>
      </c>
      <c r="M280">
        <v>781390751</v>
      </c>
      <c r="N280">
        <v>674076773</v>
      </c>
      <c r="O280">
        <v>348943129</v>
      </c>
      <c r="P280">
        <v>1163</v>
      </c>
      <c r="Q280" t="s">
        <v>675</v>
      </c>
    </row>
    <row r="281" spans="1:17" x14ac:dyDescent="0.3">
      <c r="A281" t="s">
        <v>17</v>
      </c>
      <c r="B281" t="str">
        <f>"601598"</f>
        <v>601598</v>
      </c>
      <c r="C281" t="s">
        <v>676</v>
      </c>
      <c r="D281" t="s">
        <v>677</v>
      </c>
      <c r="F281">
        <v>4164899745</v>
      </c>
      <c r="G281">
        <v>3956385015</v>
      </c>
      <c r="H281">
        <v>3319984465</v>
      </c>
      <c r="I281">
        <v>2013393335</v>
      </c>
      <c r="J281">
        <v>3005727400</v>
      </c>
      <c r="K281">
        <v>2372902300</v>
      </c>
      <c r="L281">
        <v>2433568600</v>
      </c>
      <c r="P281">
        <v>316</v>
      </c>
      <c r="Q281" t="s">
        <v>678</v>
      </c>
    </row>
    <row r="282" spans="1:17" x14ac:dyDescent="0.3">
      <c r="A282" t="s">
        <v>59</v>
      </c>
      <c r="B282" t="str">
        <f>"000959"</f>
        <v>000959</v>
      </c>
      <c r="C282" t="s">
        <v>679</v>
      </c>
      <c r="D282" t="s">
        <v>120</v>
      </c>
      <c r="F282">
        <v>15043727258</v>
      </c>
      <c r="G282">
        <v>10274678796</v>
      </c>
      <c r="H282">
        <v>3318628939</v>
      </c>
      <c r="I282">
        <v>12459389585</v>
      </c>
      <c r="J282">
        <v>9333531191</v>
      </c>
      <c r="K282">
        <v>7861026789</v>
      </c>
      <c r="L282">
        <v>751645464</v>
      </c>
      <c r="M282">
        <v>3105728791</v>
      </c>
      <c r="N282">
        <v>389504236</v>
      </c>
      <c r="O282">
        <v>329371009</v>
      </c>
      <c r="P282">
        <v>254</v>
      </c>
      <c r="Q282" t="s">
        <v>680</v>
      </c>
    </row>
    <row r="283" spans="1:17" x14ac:dyDescent="0.3">
      <c r="A283" t="s">
        <v>59</v>
      </c>
      <c r="B283" t="str">
        <f>"000883"</f>
        <v>000883</v>
      </c>
      <c r="C283" t="s">
        <v>681</v>
      </c>
      <c r="D283" t="s">
        <v>682</v>
      </c>
      <c r="F283">
        <v>3199631880</v>
      </c>
      <c r="G283">
        <v>5384304900</v>
      </c>
      <c r="H283">
        <v>3300138855</v>
      </c>
      <c r="I283">
        <v>2634288960</v>
      </c>
      <c r="J283">
        <v>3201489262</v>
      </c>
      <c r="K283">
        <v>3627571054</v>
      </c>
      <c r="L283">
        <v>3460703030</v>
      </c>
      <c r="M283">
        <v>2535550317</v>
      </c>
      <c r="N283">
        <v>2023621265</v>
      </c>
      <c r="O283">
        <v>3248697101</v>
      </c>
      <c r="P283">
        <v>419</v>
      </c>
      <c r="Q283" t="s">
        <v>683</v>
      </c>
    </row>
    <row r="284" spans="1:17" x14ac:dyDescent="0.3">
      <c r="A284" t="s">
        <v>59</v>
      </c>
      <c r="B284" t="str">
        <f>"000629"</f>
        <v>000629</v>
      </c>
      <c r="C284" t="s">
        <v>684</v>
      </c>
      <c r="D284" t="s">
        <v>517</v>
      </c>
      <c r="F284">
        <v>1776323979</v>
      </c>
      <c r="G284">
        <v>600073498</v>
      </c>
      <c r="H284">
        <v>3281821609</v>
      </c>
      <c r="I284">
        <v>1778814795</v>
      </c>
      <c r="J284">
        <v>-380322053</v>
      </c>
      <c r="K284">
        <v>-336111149</v>
      </c>
      <c r="L284">
        <v>29554466</v>
      </c>
      <c r="M284">
        <v>1671534927</v>
      </c>
      <c r="N284">
        <v>327554393</v>
      </c>
      <c r="O284">
        <v>1561037075</v>
      </c>
      <c r="P284">
        <v>335</v>
      </c>
      <c r="Q284" t="s">
        <v>685</v>
      </c>
    </row>
    <row r="285" spans="1:17" x14ac:dyDescent="0.3">
      <c r="A285" t="s">
        <v>17</v>
      </c>
      <c r="B285" t="str">
        <f>"600162"</f>
        <v>600162</v>
      </c>
      <c r="C285" t="s">
        <v>686</v>
      </c>
      <c r="D285" t="s">
        <v>61</v>
      </c>
      <c r="F285">
        <v>490883430</v>
      </c>
      <c r="G285">
        <v>597328921</v>
      </c>
      <c r="H285">
        <v>3280495757</v>
      </c>
      <c r="I285">
        <v>-2941096588</v>
      </c>
      <c r="J285">
        <v>570120451</v>
      </c>
      <c r="K285">
        <v>1940206032</v>
      </c>
      <c r="L285">
        <v>-153402434</v>
      </c>
      <c r="M285">
        <v>-369458469</v>
      </c>
      <c r="N285">
        <v>-452795265</v>
      </c>
      <c r="O285">
        <v>1562062957</v>
      </c>
      <c r="P285">
        <v>170</v>
      </c>
      <c r="Q285" t="s">
        <v>687</v>
      </c>
    </row>
    <row r="286" spans="1:17" x14ac:dyDescent="0.3">
      <c r="A286" t="s">
        <v>59</v>
      </c>
      <c r="B286" t="str">
        <f>"002555"</f>
        <v>002555</v>
      </c>
      <c r="C286" t="s">
        <v>688</v>
      </c>
      <c r="D286" t="s">
        <v>689</v>
      </c>
      <c r="F286">
        <v>3658748941</v>
      </c>
      <c r="G286">
        <v>2927937305</v>
      </c>
      <c r="H286">
        <v>3257563998</v>
      </c>
      <c r="I286">
        <v>1954433621</v>
      </c>
      <c r="J286">
        <v>1831895928</v>
      </c>
      <c r="K286">
        <v>1051939578</v>
      </c>
      <c r="L286">
        <v>1081238240</v>
      </c>
      <c r="M286">
        <v>91586948</v>
      </c>
      <c r="N286">
        <v>48849264</v>
      </c>
      <c r="O286">
        <v>24244013</v>
      </c>
      <c r="P286">
        <v>2918</v>
      </c>
      <c r="Q286" t="s">
        <v>690</v>
      </c>
    </row>
    <row r="287" spans="1:17" x14ac:dyDescent="0.3">
      <c r="A287" t="s">
        <v>59</v>
      </c>
      <c r="B287" t="str">
        <f>"002456"</f>
        <v>002456</v>
      </c>
      <c r="C287" t="s">
        <v>691</v>
      </c>
      <c r="D287" t="s">
        <v>692</v>
      </c>
      <c r="F287">
        <v>1998023583</v>
      </c>
      <c r="G287">
        <v>4031610342</v>
      </c>
      <c r="H287">
        <v>3256359172</v>
      </c>
      <c r="I287">
        <v>644506274</v>
      </c>
      <c r="J287">
        <v>329330346</v>
      </c>
      <c r="K287">
        <v>810682489</v>
      </c>
      <c r="L287">
        <v>584880994</v>
      </c>
      <c r="M287">
        <v>-220894777</v>
      </c>
      <c r="N287">
        <v>690541171</v>
      </c>
      <c r="O287">
        <v>179232938</v>
      </c>
      <c r="P287">
        <v>1607</v>
      </c>
      <c r="Q287" t="s">
        <v>693</v>
      </c>
    </row>
    <row r="288" spans="1:17" x14ac:dyDescent="0.3">
      <c r="A288" t="s">
        <v>59</v>
      </c>
      <c r="B288" t="str">
        <f>"002311"</f>
        <v>002311</v>
      </c>
      <c r="C288" t="s">
        <v>694</v>
      </c>
      <c r="D288" t="s">
        <v>695</v>
      </c>
      <c r="F288">
        <v>3137948251</v>
      </c>
      <c r="G288">
        <v>485259232</v>
      </c>
      <c r="H288">
        <v>3246980705</v>
      </c>
      <c r="I288">
        <v>1035764006</v>
      </c>
      <c r="J288">
        <v>494221456</v>
      </c>
      <c r="K288">
        <v>1142154548</v>
      </c>
      <c r="L288">
        <v>1414063051</v>
      </c>
      <c r="M288">
        <v>1071398757</v>
      </c>
      <c r="N288">
        <v>697938914</v>
      </c>
      <c r="O288">
        <v>63126336</v>
      </c>
      <c r="P288">
        <v>1933</v>
      </c>
      <c r="Q288" t="s">
        <v>696</v>
      </c>
    </row>
    <row r="289" spans="1:17" x14ac:dyDescent="0.3">
      <c r="A289" t="s">
        <v>17</v>
      </c>
      <c r="B289" t="str">
        <f>"600020"</f>
        <v>600020</v>
      </c>
      <c r="C289" t="s">
        <v>697</v>
      </c>
      <c r="D289" t="s">
        <v>406</v>
      </c>
      <c r="F289">
        <v>2837521852</v>
      </c>
      <c r="G289">
        <v>2270434996</v>
      </c>
      <c r="H289">
        <v>3236009068</v>
      </c>
      <c r="I289">
        <v>4609528029</v>
      </c>
      <c r="J289">
        <v>2916034752</v>
      </c>
      <c r="K289">
        <v>3370506797</v>
      </c>
      <c r="L289">
        <v>2574118955</v>
      </c>
      <c r="M289">
        <v>2541219511</v>
      </c>
      <c r="N289">
        <v>2178575898</v>
      </c>
      <c r="O289">
        <v>1864361880</v>
      </c>
      <c r="P289">
        <v>386</v>
      </c>
      <c r="Q289" t="s">
        <v>698</v>
      </c>
    </row>
    <row r="290" spans="1:17" x14ac:dyDescent="0.3">
      <c r="A290" t="s">
        <v>17</v>
      </c>
      <c r="B290" t="str">
        <f>"600546"</f>
        <v>600546</v>
      </c>
      <c r="C290" t="s">
        <v>699</v>
      </c>
      <c r="D290" t="s">
        <v>54</v>
      </c>
      <c r="F290">
        <v>16235048240</v>
      </c>
      <c r="G290">
        <v>4277187673</v>
      </c>
      <c r="H290">
        <v>3223400446</v>
      </c>
      <c r="I290">
        <v>3761034552</v>
      </c>
      <c r="J290">
        <v>5450678880</v>
      </c>
      <c r="K290">
        <v>3910565833</v>
      </c>
      <c r="L290">
        <v>580499227</v>
      </c>
      <c r="M290">
        <v>991957947</v>
      </c>
      <c r="N290">
        <v>1154139192</v>
      </c>
      <c r="O290">
        <v>-639576178</v>
      </c>
      <c r="P290">
        <v>357</v>
      </c>
      <c r="Q290" t="s">
        <v>700</v>
      </c>
    </row>
    <row r="291" spans="1:17" x14ac:dyDescent="0.3">
      <c r="A291" t="s">
        <v>17</v>
      </c>
      <c r="B291" t="str">
        <f>"600196"</f>
        <v>600196</v>
      </c>
      <c r="C291" t="s">
        <v>701</v>
      </c>
      <c r="D291" t="s">
        <v>592</v>
      </c>
      <c r="F291">
        <v>3948747009</v>
      </c>
      <c r="G291">
        <v>2579774350</v>
      </c>
      <c r="H291">
        <v>3222412571</v>
      </c>
      <c r="I291">
        <v>2950105213</v>
      </c>
      <c r="J291">
        <v>2580225776</v>
      </c>
      <c r="K291">
        <v>2110039265</v>
      </c>
      <c r="L291">
        <v>1621027875</v>
      </c>
      <c r="M291">
        <v>1200214192</v>
      </c>
      <c r="N291">
        <v>1011633375</v>
      </c>
      <c r="O291">
        <v>665517021</v>
      </c>
      <c r="P291">
        <v>3821</v>
      </c>
      <c r="Q291" t="s">
        <v>702</v>
      </c>
    </row>
    <row r="292" spans="1:17" x14ac:dyDescent="0.3">
      <c r="A292" t="s">
        <v>17</v>
      </c>
      <c r="B292" t="str">
        <f>"600584"</f>
        <v>600584</v>
      </c>
      <c r="C292" t="s">
        <v>703</v>
      </c>
      <c r="D292" t="s">
        <v>704</v>
      </c>
      <c r="F292">
        <v>7428671369</v>
      </c>
      <c r="G292">
        <v>5434695225</v>
      </c>
      <c r="H292">
        <v>3176424596</v>
      </c>
      <c r="I292">
        <v>2509192669</v>
      </c>
      <c r="J292">
        <v>3657245327</v>
      </c>
      <c r="K292">
        <v>2669283157</v>
      </c>
      <c r="L292">
        <v>1745946193</v>
      </c>
      <c r="M292">
        <v>1048518721</v>
      </c>
      <c r="N292">
        <v>810322250</v>
      </c>
      <c r="O292">
        <v>506252315</v>
      </c>
      <c r="P292">
        <v>1664</v>
      </c>
      <c r="Q292" t="s">
        <v>705</v>
      </c>
    </row>
    <row r="293" spans="1:17" x14ac:dyDescent="0.3">
      <c r="A293" t="s">
        <v>17</v>
      </c>
      <c r="B293" t="str">
        <f>"603019"</f>
        <v>603019</v>
      </c>
      <c r="C293" t="s">
        <v>706</v>
      </c>
      <c r="D293" t="s">
        <v>707</v>
      </c>
      <c r="F293">
        <v>-495288571</v>
      </c>
      <c r="G293">
        <v>2315269005</v>
      </c>
      <c r="H293">
        <v>3173782935</v>
      </c>
      <c r="I293">
        <v>631060300</v>
      </c>
      <c r="J293">
        <v>41937996</v>
      </c>
      <c r="K293">
        <v>-241105634</v>
      </c>
      <c r="L293">
        <v>29869144</v>
      </c>
      <c r="M293">
        <v>30752260</v>
      </c>
      <c r="N293">
        <v>192325525</v>
      </c>
      <c r="O293">
        <v>110797278</v>
      </c>
      <c r="P293">
        <v>1206</v>
      </c>
      <c r="Q293" t="s">
        <v>708</v>
      </c>
    </row>
    <row r="294" spans="1:17" x14ac:dyDescent="0.3">
      <c r="A294" t="s">
        <v>17</v>
      </c>
      <c r="B294" t="str">
        <f>"600307"</f>
        <v>600307</v>
      </c>
      <c r="C294" t="s">
        <v>709</v>
      </c>
      <c r="D294" t="s">
        <v>120</v>
      </c>
      <c r="F294">
        <v>3828716502</v>
      </c>
      <c r="G294">
        <v>1118355848</v>
      </c>
      <c r="H294">
        <v>3134989459</v>
      </c>
      <c r="I294">
        <v>3574204684</v>
      </c>
      <c r="J294">
        <v>2032672458</v>
      </c>
      <c r="K294">
        <v>4346817592</v>
      </c>
      <c r="L294">
        <v>-324296481</v>
      </c>
      <c r="M294">
        <v>6746769287</v>
      </c>
      <c r="N294">
        <v>-2958222763</v>
      </c>
      <c r="O294">
        <v>515349455</v>
      </c>
      <c r="P294">
        <v>211</v>
      </c>
      <c r="Q294" t="s">
        <v>710</v>
      </c>
    </row>
    <row r="295" spans="1:17" x14ac:dyDescent="0.3">
      <c r="A295" t="s">
        <v>59</v>
      </c>
      <c r="B295" t="str">
        <f>"000778"</f>
        <v>000778</v>
      </c>
      <c r="C295" t="s">
        <v>711</v>
      </c>
      <c r="D295" t="s">
        <v>712</v>
      </c>
      <c r="F295">
        <v>3169027826</v>
      </c>
      <c r="G295">
        <v>3119614994</v>
      </c>
      <c r="H295">
        <v>3128328933</v>
      </c>
      <c r="I295">
        <v>3752643853</v>
      </c>
      <c r="J295">
        <v>3684258401</v>
      </c>
      <c r="K295">
        <v>1103937793</v>
      </c>
      <c r="L295">
        <v>2092902193</v>
      </c>
      <c r="M295">
        <v>2005061005</v>
      </c>
      <c r="N295">
        <v>37802737</v>
      </c>
      <c r="O295">
        <v>2375964153</v>
      </c>
      <c r="P295">
        <v>674</v>
      </c>
      <c r="Q295" t="s">
        <v>713</v>
      </c>
    </row>
    <row r="296" spans="1:17" x14ac:dyDescent="0.3">
      <c r="A296" t="s">
        <v>59</v>
      </c>
      <c r="B296" t="str">
        <f>"000672"</f>
        <v>000672</v>
      </c>
      <c r="C296" t="s">
        <v>714</v>
      </c>
      <c r="D296" t="s">
        <v>78</v>
      </c>
      <c r="F296">
        <v>2840039077</v>
      </c>
      <c r="G296">
        <v>2014156628</v>
      </c>
      <c r="H296">
        <v>3124977972</v>
      </c>
      <c r="I296">
        <v>1817776194</v>
      </c>
      <c r="J296">
        <v>1029429722</v>
      </c>
      <c r="K296">
        <v>544710170</v>
      </c>
      <c r="L296">
        <v>181790669</v>
      </c>
      <c r="M296">
        <v>799989010</v>
      </c>
      <c r="N296">
        <v>522021515</v>
      </c>
      <c r="O296">
        <v>13772951</v>
      </c>
      <c r="P296">
        <v>1263</v>
      </c>
      <c r="Q296" t="s">
        <v>715</v>
      </c>
    </row>
    <row r="297" spans="1:17" x14ac:dyDescent="0.3">
      <c r="A297" t="s">
        <v>59</v>
      </c>
      <c r="B297" t="str">
        <f>"002060"</f>
        <v>002060</v>
      </c>
      <c r="C297" t="s">
        <v>716</v>
      </c>
      <c r="D297" t="s">
        <v>85</v>
      </c>
      <c r="F297">
        <v>846855820</v>
      </c>
      <c r="G297">
        <v>970985522</v>
      </c>
      <c r="H297">
        <v>3124514596</v>
      </c>
      <c r="I297">
        <v>822255721</v>
      </c>
      <c r="J297">
        <v>152264574</v>
      </c>
      <c r="K297">
        <v>534164990</v>
      </c>
      <c r="L297">
        <v>1562721593</v>
      </c>
      <c r="M297">
        <v>580694004</v>
      </c>
      <c r="N297">
        <v>199217198</v>
      </c>
      <c r="O297">
        <v>-105476221</v>
      </c>
      <c r="P297">
        <v>169</v>
      </c>
      <c r="Q297" t="s">
        <v>717</v>
      </c>
    </row>
    <row r="298" spans="1:17" x14ac:dyDescent="0.3">
      <c r="A298" t="s">
        <v>59</v>
      </c>
      <c r="B298" t="str">
        <f>"000830"</f>
        <v>000830</v>
      </c>
      <c r="C298" t="s">
        <v>718</v>
      </c>
      <c r="D298" t="s">
        <v>611</v>
      </c>
      <c r="F298">
        <v>9464326001</v>
      </c>
      <c r="G298">
        <v>3010574927</v>
      </c>
      <c r="H298">
        <v>3095808906</v>
      </c>
      <c r="I298">
        <v>5265126239</v>
      </c>
      <c r="J298">
        <v>4006783041</v>
      </c>
      <c r="K298">
        <v>1082600511</v>
      </c>
      <c r="L298">
        <v>1743258283</v>
      </c>
      <c r="M298">
        <v>1320122375</v>
      </c>
      <c r="N298">
        <v>597919705</v>
      </c>
      <c r="O298">
        <v>1527127593</v>
      </c>
      <c r="P298">
        <v>891</v>
      </c>
      <c r="Q298" t="s">
        <v>719</v>
      </c>
    </row>
    <row r="299" spans="1:17" x14ac:dyDescent="0.3">
      <c r="A299" t="s">
        <v>17</v>
      </c>
      <c r="B299" t="str">
        <f>"601098"</f>
        <v>601098</v>
      </c>
      <c r="C299" t="s">
        <v>720</v>
      </c>
      <c r="D299" t="s">
        <v>721</v>
      </c>
      <c r="F299">
        <v>-454047007</v>
      </c>
      <c r="G299">
        <v>917651551</v>
      </c>
      <c r="H299">
        <v>3086043991</v>
      </c>
      <c r="I299">
        <v>1268590401</v>
      </c>
      <c r="J299">
        <v>1970543446</v>
      </c>
      <c r="K299">
        <v>2164686772</v>
      </c>
      <c r="L299">
        <v>1943536470</v>
      </c>
      <c r="M299">
        <v>1534733871</v>
      </c>
      <c r="N299">
        <v>1279257903</v>
      </c>
      <c r="O299">
        <v>1095995509</v>
      </c>
      <c r="P299">
        <v>882</v>
      </c>
      <c r="Q299" t="s">
        <v>722</v>
      </c>
    </row>
    <row r="300" spans="1:17" x14ac:dyDescent="0.3">
      <c r="A300" t="s">
        <v>17</v>
      </c>
      <c r="B300" t="str">
        <f>"600809"</f>
        <v>600809</v>
      </c>
      <c r="C300" t="s">
        <v>723</v>
      </c>
      <c r="D300" t="s">
        <v>67</v>
      </c>
      <c r="F300">
        <v>7645105078</v>
      </c>
      <c r="G300">
        <v>2009820404</v>
      </c>
      <c r="H300">
        <v>3076551084</v>
      </c>
      <c r="I300">
        <v>965920921</v>
      </c>
      <c r="J300">
        <v>896452001</v>
      </c>
      <c r="K300">
        <v>585922002</v>
      </c>
      <c r="L300">
        <v>427832562</v>
      </c>
      <c r="M300">
        <v>416261350</v>
      </c>
      <c r="N300">
        <v>-305927704</v>
      </c>
      <c r="O300">
        <v>1039204997</v>
      </c>
      <c r="P300">
        <v>3742</v>
      </c>
      <c r="Q300" t="s">
        <v>724</v>
      </c>
    </row>
    <row r="301" spans="1:17" x14ac:dyDescent="0.3">
      <c r="A301" t="s">
        <v>59</v>
      </c>
      <c r="B301" t="str">
        <f>"200550"</f>
        <v>200550</v>
      </c>
      <c r="C301" t="s">
        <v>725</v>
      </c>
      <c r="F301">
        <v>2152364012.6279998</v>
      </c>
      <c r="G301">
        <v>4386604428.2908001</v>
      </c>
      <c r="H301">
        <v>3061186005.7030001</v>
      </c>
      <c r="I301">
        <v>-115660842.3135</v>
      </c>
      <c r="J301">
        <v>809911958.43260002</v>
      </c>
      <c r="K301">
        <v>5127144748.6831999</v>
      </c>
      <c r="L301">
        <v>2298305217.4436998</v>
      </c>
      <c r="M301">
        <v>5239259039.0640001</v>
      </c>
      <c r="N301">
        <v>4033016812.0661998</v>
      </c>
      <c r="O301">
        <v>2820209940.3155999</v>
      </c>
      <c r="P301">
        <v>154</v>
      </c>
      <c r="Q301" t="s">
        <v>726</v>
      </c>
    </row>
    <row r="302" spans="1:17" x14ac:dyDescent="0.3">
      <c r="A302" t="s">
        <v>17</v>
      </c>
      <c r="B302" t="str">
        <f>"600004"</f>
        <v>600004</v>
      </c>
      <c r="C302" t="s">
        <v>727</v>
      </c>
      <c r="D302" t="s">
        <v>465</v>
      </c>
      <c r="F302">
        <v>844850286</v>
      </c>
      <c r="G302">
        <v>-34625928</v>
      </c>
      <c r="H302">
        <v>3012703610</v>
      </c>
      <c r="I302">
        <v>3119314302</v>
      </c>
      <c r="J302">
        <v>2153068900</v>
      </c>
      <c r="K302">
        <v>1956099716</v>
      </c>
      <c r="L302">
        <v>1739112382</v>
      </c>
      <c r="M302">
        <v>1823799354</v>
      </c>
      <c r="N302">
        <v>1965968927</v>
      </c>
      <c r="O302">
        <v>1796659661</v>
      </c>
      <c r="P302">
        <v>1892</v>
      </c>
      <c r="Q302" t="s">
        <v>728</v>
      </c>
    </row>
    <row r="303" spans="1:17" x14ac:dyDescent="0.3">
      <c r="A303" t="s">
        <v>59</v>
      </c>
      <c r="B303" t="str">
        <f>"002673"</f>
        <v>002673</v>
      </c>
      <c r="C303" t="s">
        <v>729</v>
      </c>
      <c r="D303" t="s">
        <v>75</v>
      </c>
      <c r="F303">
        <v>-13719347140</v>
      </c>
      <c r="G303">
        <v>-1138710507</v>
      </c>
      <c r="H303">
        <v>2997587479</v>
      </c>
      <c r="I303">
        <v>3171754441</v>
      </c>
      <c r="J303">
        <v>-4454742514</v>
      </c>
      <c r="K303">
        <v>-5237357095</v>
      </c>
      <c r="L303">
        <v>-99159980</v>
      </c>
      <c r="M303">
        <v>3881274005</v>
      </c>
      <c r="N303">
        <v>-1379502773</v>
      </c>
      <c r="O303">
        <v>-818228320</v>
      </c>
      <c r="P303">
        <v>1135</v>
      </c>
      <c r="Q303" t="s">
        <v>730</v>
      </c>
    </row>
    <row r="304" spans="1:17" x14ac:dyDescent="0.3">
      <c r="A304" t="s">
        <v>59</v>
      </c>
      <c r="B304" t="str">
        <f>"002600"</f>
        <v>002600</v>
      </c>
      <c r="C304" t="s">
        <v>731</v>
      </c>
      <c r="D304" t="s">
        <v>349</v>
      </c>
      <c r="F304">
        <v>1059076880</v>
      </c>
      <c r="G304">
        <v>2469829700</v>
      </c>
      <c r="H304">
        <v>2997104502</v>
      </c>
      <c r="I304">
        <v>1532292457</v>
      </c>
      <c r="J304">
        <v>584353672</v>
      </c>
      <c r="K304">
        <v>-44447634</v>
      </c>
      <c r="L304">
        <v>255904262</v>
      </c>
      <c r="M304">
        <v>-8739537</v>
      </c>
      <c r="N304">
        <v>-94251003</v>
      </c>
      <c r="O304">
        <v>-43740714</v>
      </c>
      <c r="P304">
        <v>877</v>
      </c>
      <c r="Q304" t="s">
        <v>732</v>
      </c>
    </row>
    <row r="305" spans="1:17" x14ac:dyDescent="0.3">
      <c r="A305" t="s">
        <v>59</v>
      </c>
      <c r="B305" t="str">
        <f>"000620"</f>
        <v>000620</v>
      </c>
      <c r="C305" t="s">
        <v>733</v>
      </c>
      <c r="D305" t="s">
        <v>61</v>
      </c>
      <c r="F305">
        <v>2866592139</v>
      </c>
      <c r="G305">
        <v>3115417243</v>
      </c>
      <c r="H305">
        <v>2990357620</v>
      </c>
      <c r="I305">
        <v>3842127389</v>
      </c>
      <c r="J305">
        <v>934783518</v>
      </c>
      <c r="K305">
        <v>-989717074</v>
      </c>
      <c r="L305">
        <v>-2900221310</v>
      </c>
      <c r="M305">
        <v>-2012662078</v>
      </c>
      <c r="N305">
        <v>-3571783721</v>
      </c>
      <c r="O305">
        <v>-200636485</v>
      </c>
      <c r="P305">
        <v>298</v>
      </c>
      <c r="Q305" t="s">
        <v>734</v>
      </c>
    </row>
    <row r="306" spans="1:17" x14ac:dyDescent="0.3">
      <c r="A306" t="s">
        <v>59</v>
      </c>
      <c r="B306" t="str">
        <f>"002080"</f>
        <v>002080</v>
      </c>
      <c r="C306" t="s">
        <v>735</v>
      </c>
      <c r="D306" t="s">
        <v>736</v>
      </c>
      <c r="F306">
        <v>3672122790</v>
      </c>
      <c r="G306">
        <v>3300968707</v>
      </c>
      <c r="H306">
        <v>2969563549</v>
      </c>
      <c r="I306">
        <v>1578669631</v>
      </c>
      <c r="J306">
        <v>770234500</v>
      </c>
      <c r="K306">
        <v>1082285420</v>
      </c>
      <c r="L306">
        <v>822953692</v>
      </c>
      <c r="M306">
        <v>381621479</v>
      </c>
      <c r="N306">
        <v>252818107</v>
      </c>
      <c r="O306">
        <v>135797404</v>
      </c>
      <c r="P306">
        <v>913</v>
      </c>
      <c r="Q306" t="s">
        <v>737</v>
      </c>
    </row>
    <row r="307" spans="1:17" x14ac:dyDescent="0.3">
      <c r="A307" t="s">
        <v>17</v>
      </c>
      <c r="B307" t="str">
        <f>"601298"</f>
        <v>601298</v>
      </c>
      <c r="C307" t="s">
        <v>738</v>
      </c>
      <c r="D307" t="s">
        <v>386</v>
      </c>
      <c r="F307">
        <v>2754376808</v>
      </c>
      <c r="G307">
        <v>3604996111</v>
      </c>
      <c r="H307">
        <v>2965989770</v>
      </c>
      <c r="I307">
        <v>2291004214</v>
      </c>
      <c r="J307">
        <v>1924288597</v>
      </c>
      <c r="K307">
        <v>958801041</v>
      </c>
      <c r="L307">
        <v>1451145516</v>
      </c>
      <c r="P307">
        <v>431</v>
      </c>
      <c r="Q307" t="s">
        <v>739</v>
      </c>
    </row>
    <row r="308" spans="1:17" x14ac:dyDescent="0.3">
      <c r="A308" t="s">
        <v>17</v>
      </c>
      <c r="B308" t="str">
        <f>"600582"</f>
        <v>600582</v>
      </c>
      <c r="C308" t="s">
        <v>740</v>
      </c>
      <c r="D308" t="s">
        <v>741</v>
      </c>
      <c r="F308">
        <v>4250138997</v>
      </c>
      <c r="G308">
        <v>2556574777</v>
      </c>
      <c r="H308">
        <v>2945422384</v>
      </c>
      <c r="I308">
        <v>1856019706</v>
      </c>
      <c r="J308">
        <v>1196031177</v>
      </c>
      <c r="K308">
        <v>110994641</v>
      </c>
      <c r="L308">
        <v>239048383</v>
      </c>
      <c r="M308">
        <v>406556459</v>
      </c>
      <c r="N308">
        <v>-189095616</v>
      </c>
      <c r="O308">
        <v>715232179</v>
      </c>
      <c r="P308">
        <v>396</v>
      </c>
      <c r="Q308" t="s">
        <v>742</v>
      </c>
    </row>
    <row r="309" spans="1:17" x14ac:dyDescent="0.3">
      <c r="A309" t="s">
        <v>59</v>
      </c>
      <c r="B309" t="str">
        <f>"200152"</f>
        <v>200152</v>
      </c>
      <c r="C309" t="s">
        <v>743</v>
      </c>
      <c r="F309">
        <v>1904293119.0504</v>
      </c>
      <c r="G309">
        <v>-2016048283.4221001</v>
      </c>
      <c r="H309">
        <v>2941445003.862</v>
      </c>
      <c r="I309">
        <v>2789344945.3814998</v>
      </c>
      <c r="J309">
        <v>2225672630.0244002</v>
      </c>
      <c r="K309">
        <v>2709079893.8056002</v>
      </c>
      <c r="L309">
        <v>2894075327.1890998</v>
      </c>
      <c r="M309">
        <v>1825369200.036</v>
      </c>
      <c r="N309">
        <v>1808717765.2474</v>
      </c>
      <c r="O309">
        <v>2148574761.7445998</v>
      </c>
      <c r="P309">
        <v>112</v>
      </c>
      <c r="Q309" t="s">
        <v>744</v>
      </c>
    </row>
    <row r="310" spans="1:17" x14ac:dyDescent="0.3">
      <c r="A310" t="s">
        <v>17</v>
      </c>
      <c r="B310" t="str">
        <f>"600968"</f>
        <v>600968</v>
      </c>
      <c r="C310" t="s">
        <v>745</v>
      </c>
      <c r="D310" t="s">
        <v>363</v>
      </c>
      <c r="F310">
        <v>2633528825</v>
      </c>
      <c r="G310">
        <v>4142814184</v>
      </c>
      <c r="H310">
        <v>2931268601</v>
      </c>
      <c r="I310">
        <v>1605686804</v>
      </c>
      <c r="J310">
        <v>2122280920</v>
      </c>
      <c r="K310">
        <v>2256620852</v>
      </c>
      <c r="P310">
        <v>189</v>
      </c>
      <c r="Q310" t="s">
        <v>746</v>
      </c>
    </row>
    <row r="311" spans="1:17" x14ac:dyDescent="0.3">
      <c r="A311" t="s">
        <v>17</v>
      </c>
      <c r="B311" t="str">
        <f>"601888"</f>
        <v>601888</v>
      </c>
      <c r="C311" t="s">
        <v>747</v>
      </c>
      <c r="D311" t="s">
        <v>748</v>
      </c>
      <c r="F311">
        <v>8328824733</v>
      </c>
      <c r="G311">
        <v>8202265131</v>
      </c>
      <c r="H311">
        <v>2926031415</v>
      </c>
      <c r="I311">
        <v>2722225218</v>
      </c>
      <c r="J311">
        <v>3017128440</v>
      </c>
      <c r="K311">
        <v>1936528564</v>
      </c>
      <c r="L311">
        <v>1570916108</v>
      </c>
      <c r="M311">
        <v>1495839222</v>
      </c>
      <c r="N311">
        <v>1470221414</v>
      </c>
      <c r="O311">
        <v>1272572562</v>
      </c>
      <c r="P311">
        <v>6129</v>
      </c>
      <c r="Q311" t="s">
        <v>749</v>
      </c>
    </row>
    <row r="312" spans="1:17" x14ac:dyDescent="0.3">
      <c r="A312" t="s">
        <v>17</v>
      </c>
      <c r="B312" t="str">
        <f>"603259"</f>
        <v>603259</v>
      </c>
      <c r="C312" t="s">
        <v>750</v>
      </c>
      <c r="D312" t="s">
        <v>751</v>
      </c>
      <c r="F312">
        <v>4589288733</v>
      </c>
      <c r="G312">
        <v>3973728222</v>
      </c>
      <c r="H312">
        <v>2916032313</v>
      </c>
      <c r="I312">
        <v>1640427764</v>
      </c>
      <c r="J312">
        <v>1793610275</v>
      </c>
      <c r="K312">
        <v>1756793418</v>
      </c>
      <c r="L312">
        <v>738595778</v>
      </c>
      <c r="P312">
        <v>3986</v>
      </c>
      <c r="Q312" t="s">
        <v>752</v>
      </c>
    </row>
    <row r="313" spans="1:17" x14ac:dyDescent="0.3">
      <c r="A313" t="s">
        <v>17</v>
      </c>
      <c r="B313" t="str">
        <f>"600522"</f>
        <v>600522</v>
      </c>
      <c r="C313" t="s">
        <v>753</v>
      </c>
      <c r="D313" t="s">
        <v>754</v>
      </c>
      <c r="F313">
        <v>-547066018</v>
      </c>
      <c r="G313">
        <v>2587550556</v>
      </c>
      <c r="H313">
        <v>2895307770</v>
      </c>
      <c r="I313">
        <v>2381279015</v>
      </c>
      <c r="J313">
        <v>1063651505</v>
      </c>
      <c r="K313">
        <v>1237666837</v>
      </c>
      <c r="L313">
        <v>1784006894</v>
      </c>
      <c r="M313">
        <v>-197790298</v>
      </c>
      <c r="N313">
        <v>293987409</v>
      </c>
      <c r="O313">
        <v>255586990</v>
      </c>
      <c r="P313">
        <v>1218</v>
      </c>
      <c r="Q313" t="s">
        <v>755</v>
      </c>
    </row>
    <row r="314" spans="1:17" x14ac:dyDescent="0.3">
      <c r="A314" t="s">
        <v>17</v>
      </c>
      <c r="B314" t="str">
        <f>"600518"</f>
        <v>600518</v>
      </c>
      <c r="C314" t="s">
        <v>756</v>
      </c>
      <c r="D314" t="s">
        <v>455</v>
      </c>
      <c r="F314">
        <v>214205102</v>
      </c>
      <c r="G314">
        <v>1031392102</v>
      </c>
      <c r="H314">
        <v>2882044986</v>
      </c>
      <c r="I314">
        <v>305616727</v>
      </c>
      <c r="J314">
        <v>1842794238</v>
      </c>
      <c r="K314">
        <v>1603189351</v>
      </c>
      <c r="L314">
        <v>508863225</v>
      </c>
      <c r="M314">
        <v>1132203881</v>
      </c>
      <c r="N314">
        <v>1674010629</v>
      </c>
      <c r="O314">
        <v>1008350206</v>
      </c>
      <c r="P314">
        <v>1483</v>
      </c>
      <c r="Q314" t="s">
        <v>757</v>
      </c>
    </row>
    <row r="315" spans="1:17" x14ac:dyDescent="0.3">
      <c r="A315" t="s">
        <v>17</v>
      </c>
      <c r="B315" t="str">
        <f>"603160"</f>
        <v>603160</v>
      </c>
      <c r="C315" t="s">
        <v>758</v>
      </c>
      <c r="D315" t="s">
        <v>759</v>
      </c>
      <c r="F315">
        <v>321776222</v>
      </c>
      <c r="G315">
        <v>1211641303</v>
      </c>
      <c r="H315">
        <v>2880029630</v>
      </c>
      <c r="I315">
        <v>1232098069</v>
      </c>
      <c r="J315">
        <v>1099540700</v>
      </c>
      <c r="K315">
        <v>-182464537</v>
      </c>
      <c r="L315">
        <v>228472712</v>
      </c>
      <c r="M315">
        <v>334658476</v>
      </c>
      <c r="N315">
        <v>251653191</v>
      </c>
      <c r="P315">
        <v>2243</v>
      </c>
      <c r="Q315" t="s">
        <v>760</v>
      </c>
    </row>
    <row r="316" spans="1:17" x14ac:dyDescent="0.3">
      <c r="A316" t="s">
        <v>17</v>
      </c>
      <c r="B316" t="str">
        <f>"601717"</f>
        <v>601717</v>
      </c>
      <c r="C316" t="s">
        <v>761</v>
      </c>
      <c r="D316" t="s">
        <v>741</v>
      </c>
      <c r="F316">
        <v>2955260115</v>
      </c>
      <c r="G316">
        <v>2411971480</v>
      </c>
      <c r="H316">
        <v>2852217599</v>
      </c>
      <c r="I316">
        <v>1231807640</v>
      </c>
      <c r="J316">
        <v>1184773847</v>
      </c>
      <c r="K316">
        <v>528351080</v>
      </c>
      <c r="L316">
        <v>306220989</v>
      </c>
      <c r="M316">
        <v>186933475</v>
      </c>
      <c r="N316">
        <v>-531773138</v>
      </c>
      <c r="O316">
        <v>347408409</v>
      </c>
      <c r="P316">
        <v>318</v>
      </c>
      <c r="Q316" t="s">
        <v>762</v>
      </c>
    </row>
    <row r="317" spans="1:17" x14ac:dyDescent="0.3">
      <c r="A317" t="s">
        <v>59</v>
      </c>
      <c r="B317" t="str">
        <f>"002064"</f>
        <v>002064</v>
      </c>
      <c r="C317" t="s">
        <v>763</v>
      </c>
      <c r="D317" t="s">
        <v>764</v>
      </c>
      <c r="F317">
        <v>6134916586</v>
      </c>
      <c r="G317">
        <v>4208611223</v>
      </c>
      <c r="H317">
        <v>2850968124</v>
      </c>
      <c r="I317">
        <v>863449029</v>
      </c>
      <c r="J317">
        <v>355594912</v>
      </c>
      <c r="K317">
        <v>614851204</v>
      </c>
      <c r="L317">
        <v>242268277</v>
      </c>
      <c r="M317">
        <v>712873114</v>
      </c>
      <c r="N317">
        <v>221490048</v>
      </c>
      <c r="O317">
        <v>94833980</v>
      </c>
      <c r="P317">
        <v>686</v>
      </c>
      <c r="Q317" t="s">
        <v>765</v>
      </c>
    </row>
    <row r="318" spans="1:17" x14ac:dyDescent="0.3">
      <c r="A318" t="s">
        <v>17</v>
      </c>
      <c r="B318" t="str">
        <f>"601966"</f>
        <v>601966</v>
      </c>
      <c r="C318" t="s">
        <v>766</v>
      </c>
      <c r="D318" t="s">
        <v>767</v>
      </c>
      <c r="F318">
        <v>489984059</v>
      </c>
      <c r="G318">
        <v>4291621031</v>
      </c>
      <c r="H318">
        <v>2799896129</v>
      </c>
      <c r="I318">
        <v>1841966629</v>
      </c>
      <c r="J318">
        <v>1118870818</v>
      </c>
      <c r="K318">
        <v>2391864195</v>
      </c>
      <c r="L318">
        <v>1013951000</v>
      </c>
      <c r="M318">
        <v>769167630</v>
      </c>
      <c r="N318">
        <v>851928405</v>
      </c>
      <c r="P318">
        <v>927</v>
      </c>
      <c r="Q318" t="s">
        <v>768</v>
      </c>
    </row>
    <row r="319" spans="1:17" x14ac:dyDescent="0.3">
      <c r="A319" t="s">
        <v>17</v>
      </c>
      <c r="B319" t="str">
        <f>"600873"</f>
        <v>600873</v>
      </c>
      <c r="C319" t="s">
        <v>769</v>
      </c>
      <c r="D319" t="s">
        <v>375</v>
      </c>
      <c r="F319">
        <v>3669562832</v>
      </c>
      <c r="G319">
        <v>1661132800</v>
      </c>
      <c r="H319">
        <v>2797944625</v>
      </c>
      <c r="I319">
        <v>2449646803</v>
      </c>
      <c r="J319">
        <v>1544108816</v>
      </c>
      <c r="K319">
        <v>3058568974</v>
      </c>
      <c r="L319">
        <v>3444038777</v>
      </c>
      <c r="M319">
        <v>406577732</v>
      </c>
      <c r="N319">
        <v>983274766</v>
      </c>
      <c r="O319">
        <v>1309515401</v>
      </c>
      <c r="P319">
        <v>990</v>
      </c>
      <c r="Q319" t="s">
        <v>770</v>
      </c>
    </row>
    <row r="320" spans="1:17" x14ac:dyDescent="0.3">
      <c r="A320" t="s">
        <v>17</v>
      </c>
      <c r="B320" t="str">
        <f>"600703"</f>
        <v>600703</v>
      </c>
      <c r="C320" t="s">
        <v>771</v>
      </c>
      <c r="D320" t="s">
        <v>772</v>
      </c>
      <c r="F320">
        <v>1607785449</v>
      </c>
      <c r="G320">
        <v>1934541886</v>
      </c>
      <c r="H320">
        <v>2789320272</v>
      </c>
      <c r="I320">
        <v>3339467015</v>
      </c>
      <c r="J320">
        <v>2561353906</v>
      </c>
      <c r="K320">
        <v>2056105181</v>
      </c>
      <c r="L320">
        <v>2390748381</v>
      </c>
      <c r="M320">
        <v>665256703</v>
      </c>
      <c r="N320">
        <v>765279143</v>
      </c>
      <c r="O320">
        <v>404643430</v>
      </c>
      <c r="P320">
        <v>2761</v>
      </c>
      <c r="Q320" t="s">
        <v>773</v>
      </c>
    </row>
    <row r="321" spans="1:17" x14ac:dyDescent="0.3">
      <c r="A321" t="s">
        <v>17</v>
      </c>
      <c r="B321" t="str">
        <f>"600637"</f>
        <v>600637</v>
      </c>
      <c r="C321" t="s">
        <v>774</v>
      </c>
      <c r="D321" t="s">
        <v>775</v>
      </c>
      <c r="F321">
        <v>2105218348</v>
      </c>
      <c r="G321">
        <v>3609240902</v>
      </c>
      <c r="H321">
        <v>2788815601</v>
      </c>
      <c r="I321">
        <v>2565297794</v>
      </c>
      <c r="J321">
        <v>3009160235</v>
      </c>
      <c r="K321">
        <v>2291572564</v>
      </c>
      <c r="L321">
        <v>994137080</v>
      </c>
      <c r="M321">
        <v>1100991287</v>
      </c>
      <c r="N321">
        <v>741774000</v>
      </c>
      <c r="O321">
        <v>922669266</v>
      </c>
      <c r="P321">
        <v>442</v>
      </c>
      <c r="Q321" t="s">
        <v>776</v>
      </c>
    </row>
    <row r="322" spans="1:17" x14ac:dyDescent="0.3">
      <c r="A322" t="s">
        <v>59</v>
      </c>
      <c r="B322" t="str">
        <f>"000792"</f>
        <v>000792</v>
      </c>
      <c r="C322" t="s">
        <v>777</v>
      </c>
      <c r="D322" t="s">
        <v>778</v>
      </c>
      <c r="F322">
        <v>4769379699</v>
      </c>
      <c r="G322">
        <v>-452420253</v>
      </c>
      <c r="H322">
        <v>2788553555</v>
      </c>
      <c r="I322">
        <v>7147480014</v>
      </c>
      <c r="J322">
        <v>1518326402</v>
      </c>
      <c r="K322">
        <v>2028817195</v>
      </c>
      <c r="L322">
        <v>753060427</v>
      </c>
      <c r="M322">
        <v>1355651679</v>
      </c>
      <c r="N322">
        <v>133938867</v>
      </c>
      <c r="O322">
        <v>1487176110</v>
      </c>
      <c r="P322">
        <v>422</v>
      </c>
      <c r="Q322" t="s">
        <v>779</v>
      </c>
    </row>
    <row r="323" spans="1:17" x14ac:dyDescent="0.3">
      <c r="A323" t="s">
        <v>17</v>
      </c>
      <c r="B323" t="str">
        <f>"688660"</f>
        <v>688660</v>
      </c>
      <c r="C323" t="s">
        <v>780</v>
      </c>
      <c r="D323" t="s">
        <v>403</v>
      </c>
      <c r="F323">
        <v>336112790</v>
      </c>
      <c r="G323">
        <v>1476944098</v>
      </c>
      <c r="H323">
        <v>2769763776</v>
      </c>
      <c r="I323">
        <v>432685476</v>
      </c>
      <c r="J323">
        <v>-431854391</v>
      </c>
      <c r="P323">
        <v>54</v>
      </c>
      <c r="Q323" t="s">
        <v>781</v>
      </c>
    </row>
    <row r="324" spans="1:17" x14ac:dyDescent="0.3">
      <c r="A324" t="s">
        <v>17</v>
      </c>
      <c r="B324" t="str">
        <f>"600176"</f>
        <v>600176</v>
      </c>
      <c r="C324" t="s">
        <v>782</v>
      </c>
      <c r="D324" t="s">
        <v>736</v>
      </c>
      <c r="F324">
        <v>5981158526</v>
      </c>
      <c r="G324">
        <v>2051501993</v>
      </c>
      <c r="H324">
        <v>2768596593</v>
      </c>
      <c r="I324">
        <v>3862006790</v>
      </c>
      <c r="J324">
        <v>3802770323</v>
      </c>
      <c r="K324">
        <v>3169081427</v>
      </c>
      <c r="L324">
        <v>2429601489</v>
      </c>
      <c r="M324">
        <v>1663215648</v>
      </c>
      <c r="N324">
        <v>1425846462</v>
      </c>
      <c r="O324">
        <v>1128842341</v>
      </c>
      <c r="P324">
        <v>2781</v>
      </c>
      <c r="Q324" t="s">
        <v>783</v>
      </c>
    </row>
    <row r="325" spans="1:17" x14ac:dyDescent="0.3">
      <c r="A325" t="s">
        <v>17</v>
      </c>
      <c r="B325" t="str">
        <f>"600998"</f>
        <v>600998</v>
      </c>
      <c r="C325" t="s">
        <v>784</v>
      </c>
      <c r="D325" t="s">
        <v>396</v>
      </c>
      <c r="F325">
        <v>3459045057</v>
      </c>
      <c r="G325">
        <v>3443884109</v>
      </c>
      <c r="H325">
        <v>2767873048</v>
      </c>
      <c r="I325">
        <v>1222023165</v>
      </c>
      <c r="J325">
        <v>-1012045577</v>
      </c>
      <c r="K325">
        <v>431263753</v>
      </c>
      <c r="L325">
        <v>435955994</v>
      </c>
      <c r="M325">
        <v>-171679533</v>
      </c>
      <c r="N325">
        <v>138468582</v>
      </c>
      <c r="O325">
        <v>-368932765</v>
      </c>
      <c r="P325">
        <v>612</v>
      </c>
      <c r="Q325" t="s">
        <v>785</v>
      </c>
    </row>
    <row r="326" spans="1:17" x14ac:dyDescent="0.3">
      <c r="A326" t="s">
        <v>17</v>
      </c>
      <c r="B326" t="str">
        <f>"600177"</f>
        <v>600177</v>
      </c>
      <c r="C326" t="s">
        <v>786</v>
      </c>
      <c r="D326" t="s">
        <v>646</v>
      </c>
      <c r="F326">
        <v>1062075357</v>
      </c>
      <c r="G326">
        <v>2205669257</v>
      </c>
      <c r="H326">
        <v>2764431913</v>
      </c>
      <c r="I326">
        <v>2721612787</v>
      </c>
      <c r="J326">
        <v>3798796199</v>
      </c>
      <c r="K326">
        <v>327544157</v>
      </c>
      <c r="L326">
        <v>1963920153</v>
      </c>
      <c r="M326">
        <v>3186200849</v>
      </c>
      <c r="N326">
        <v>5801863356</v>
      </c>
      <c r="O326">
        <v>5290751343</v>
      </c>
      <c r="P326">
        <v>1571</v>
      </c>
      <c r="Q326" t="s">
        <v>787</v>
      </c>
    </row>
    <row r="327" spans="1:17" x14ac:dyDescent="0.3">
      <c r="A327" t="s">
        <v>17</v>
      </c>
      <c r="B327" t="str">
        <f>"601360"</f>
        <v>601360</v>
      </c>
      <c r="C327" t="s">
        <v>788</v>
      </c>
      <c r="D327" t="s">
        <v>789</v>
      </c>
      <c r="F327">
        <v>165582000</v>
      </c>
      <c r="G327">
        <v>1942970000</v>
      </c>
      <c r="H327">
        <v>2759929000</v>
      </c>
      <c r="I327">
        <v>3747795000</v>
      </c>
      <c r="J327">
        <v>608614</v>
      </c>
      <c r="K327">
        <v>45143317</v>
      </c>
      <c r="L327">
        <v>172392555</v>
      </c>
      <c r="M327">
        <v>276660615</v>
      </c>
      <c r="N327">
        <v>223323852</v>
      </c>
      <c r="O327">
        <v>210603448</v>
      </c>
      <c r="P327">
        <v>1010</v>
      </c>
      <c r="Q327" t="s">
        <v>790</v>
      </c>
    </row>
    <row r="328" spans="1:17" x14ac:dyDescent="0.3">
      <c r="A328" t="s">
        <v>17</v>
      </c>
      <c r="B328" t="str">
        <f>"600143"</f>
        <v>600143</v>
      </c>
      <c r="C328" t="s">
        <v>791</v>
      </c>
      <c r="D328" t="s">
        <v>792</v>
      </c>
      <c r="F328">
        <v>2215003094</v>
      </c>
      <c r="G328">
        <v>6216986372</v>
      </c>
      <c r="H328">
        <v>2738343439</v>
      </c>
      <c r="I328">
        <v>390337856</v>
      </c>
      <c r="J328">
        <v>211789969</v>
      </c>
      <c r="K328">
        <v>781016245</v>
      </c>
      <c r="L328">
        <v>1519890240</v>
      </c>
      <c r="M328">
        <v>1004148977</v>
      </c>
      <c r="N328">
        <v>642935531</v>
      </c>
      <c r="O328">
        <v>200181681</v>
      </c>
      <c r="P328">
        <v>1349</v>
      </c>
      <c r="Q328" t="s">
        <v>793</v>
      </c>
    </row>
    <row r="329" spans="1:17" x14ac:dyDescent="0.3">
      <c r="A329" t="s">
        <v>59</v>
      </c>
      <c r="B329" t="str">
        <f>"000550"</f>
        <v>000550</v>
      </c>
      <c r="C329" t="s">
        <v>794</v>
      </c>
      <c r="D329" t="s">
        <v>475</v>
      </c>
      <c r="F329">
        <v>1760193010</v>
      </c>
      <c r="G329">
        <v>3698342828</v>
      </c>
      <c r="H329">
        <v>2736867238</v>
      </c>
      <c r="I329">
        <v>-101590551</v>
      </c>
      <c r="J329">
        <v>674814163</v>
      </c>
      <c r="K329">
        <v>4593392536</v>
      </c>
      <c r="L329">
        <v>1925362501</v>
      </c>
      <c r="M329">
        <v>4190066410</v>
      </c>
      <c r="N329">
        <v>3146615286</v>
      </c>
      <c r="O329">
        <v>2265956886</v>
      </c>
      <c r="P329">
        <v>595</v>
      </c>
      <c r="Q329" t="s">
        <v>795</v>
      </c>
    </row>
    <row r="330" spans="1:17" x14ac:dyDescent="0.3">
      <c r="A330" t="s">
        <v>17</v>
      </c>
      <c r="B330" t="str">
        <f>"603885"</f>
        <v>603885</v>
      </c>
      <c r="C330" t="s">
        <v>796</v>
      </c>
      <c r="D330" t="s">
        <v>93</v>
      </c>
      <c r="F330">
        <v>1556853731</v>
      </c>
      <c r="G330">
        <v>612652822</v>
      </c>
      <c r="H330">
        <v>2736747856</v>
      </c>
      <c r="I330">
        <v>1948908720</v>
      </c>
      <c r="J330">
        <v>2761349265</v>
      </c>
      <c r="K330">
        <v>2027271649</v>
      </c>
      <c r="L330">
        <v>1975629345</v>
      </c>
      <c r="M330">
        <v>867288109</v>
      </c>
      <c r="N330">
        <v>1006123882</v>
      </c>
      <c r="O330">
        <v>394596281</v>
      </c>
      <c r="P330">
        <v>475</v>
      </c>
      <c r="Q330" t="s">
        <v>797</v>
      </c>
    </row>
    <row r="331" spans="1:17" x14ac:dyDescent="0.3">
      <c r="A331" t="s">
        <v>59</v>
      </c>
      <c r="B331" t="str">
        <f>"000059"</f>
        <v>000059</v>
      </c>
      <c r="C331" t="s">
        <v>798</v>
      </c>
      <c r="D331" t="s">
        <v>24</v>
      </c>
      <c r="F331">
        <v>2804759467</v>
      </c>
      <c r="G331">
        <v>2814637063</v>
      </c>
      <c r="H331">
        <v>2723475056</v>
      </c>
      <c r="I331">
        <v>2373152180</v>
      </c>
      <c r="J331">
        <v>2965001796</v>
      </c>
      <c r="K331">
        <v>4223844095</v>
      </c>
      <c r="L331">
        <v>4676956187</v>
      </c>
      <c r="M331">
        <v>-364539321</v>
      </c>
      <c r="N331">
        <v>1820595147</v>
      </c>
      <c r="O331">
        <v>-2103484583</v>
      </c>
      <c r="P331">
        <v>387</v>
      </c>
      <c r="Q331" t="s">
        <v>799</v>
      </c>
    </row>
    <row r="332" spans="1:17" x14ac:dyDescent="0.3">
      <c r="A332" t="s">
        <v>59</v>
      </c>
      <c r="B332" t="str">
        <f>"000783"</f>
        <v>000783</v>
      </c>
      <c r="C332" t="s">
        <v>800</v>
      </c>
      <c r="D332" t="s">
        <v>75</v>
      </c>
      <c r="F332">
        <v>9000930602</v>
      </c>
      <c r="G332">
        <v>-4498998999</v>
      </c>
      <c r="H332">
        <v>2721794769</v>
      </c>
      <c r="I332">
        <v>11548794785</v>
      </c>
      <c r="J332">
        <v>-17637826592</v>
      </c>
      <c r="K332">
        <v>-13727423048</v>
      </c>
      <c r="L332">
        <v>1307036634</v>
      </c>
      <c r="M332">
        <v>10923913281</v>
      </c>
      <c r="N332">
        <v>-2326092131</v>
      </c>
      <c r="O332">
        <v>-1794695852</v>
      </c>
      <c r="P332">
        <v>1208</v>
      </c>
      <c r="Q332" t="s">
        <v>801</v>
      </c>
    </row>
    <row r="333" spans="1:17" x14ac:dyDescent="0.3">
      <c r="A333" t="s">
        <v>17</v>
      </c>
      <c r="B333" t="str">
        <f>"600483"</f>
        <v>600483</v>
      </c>
      <c r="C333" t="s">
        <v>802</v>
      </c>
      <c r="D333" t="s">
        <v>682</v>
      </c>
      <c r="F333">
        <v>2312619413</v>
      </c>
      <c r="G333">
        <v>2261725869</v>
      </c>
      <c r="H333">
        <v>2710013713</v>
      </c>
      <c r="I333">
        <v>2140631737</v>
      </c>
      <c r="J333">
        <v>1699722350</v>
      </c>
      <c r="K333">
        <v>1761570028</v>
      </c>
      <c r="L333">
        <v>2501530070</v>
      </c>
      <c r="M333">
        <v>1958951032</v>
      </c>
      <c r="N333">
        <v>100291937</v>
      </c>
      <c r="O333">
        <v>-58932762</v>
      </c>
      <c r="P333">
        <v>331</v>
      </c>
      <c r="Q333" t="s">
        <v>803</v>
      </c>
    </row>
    <row r="334" spans="1:17" x14ac:dyDescent="0.3">
      <c r="A334" t="s">
        <v>17</v>
      </c>
      <c r="B334" t="str">
        <f>"601001"</f>
        <v>601001</v>
      </c>
      <c r="C334" t="s">
        <v>804</v>
      </c>
      <c r="D334" t="s">
        <v>54</v>
      </c>
      <c r="F334">
        <v>7819892871</v>
      </c>
      <c r="G334">
        <v>3749281933</v>
      </c>
      <c r="H334">
        <v>2694562555</v>
      </c>
      <c r="I334">
        <v>3528429730</v>
      </c>
      <c r="J334">
        <v>2982434058</v>
      </c>
      <c r="K334">
        <v>2659371478</v>
      </c>
      <c r="L334">
        <v>-1586727115</v>
      </c>
      <c r="M334">
        <v>389661918</v>
      </c>
      <c r="N334">
        <v>1108431000</v>
      </c>
      <c r="O334">
        <v>866884693</v>
      </c>
      <c r="P334">
        <v>289</v>
      </c>
      <c r="Q334" t="s">
        <v>805</v>
      </c>
    </row>
    <row r="335" spans="1:17" x14ac:dyDescent="0.3">
      <c r="A335" t="s">
        <v>59</v>
      </c>
      <c r="B335" t="str">
        <f>"000877"</f>
        <v>000877</v>
      </c>
      <c r="C335" t="s">
        <v>806</v>
      </c>
      <c r="D335" t="s">
        <v>78</v>
      </c>
      <c r="F335">
        <v>28425109743</v>
      </c>
      <c r="G335">
        <v>2565979192</v>
      </c>
      <c r="H335">
        <v>2676069555</v>
      </c>
      <c r="I335">
        <v>1719691180</v>
      </c>
      <c r="J335">
        <v>1167217095</v>
      </c>
      <c r="K335">
        <v>578933502</v>
      </c>
      <c r="L335">
        <v>236784193</v>
      </c>
      <c r="M335">
        <v>426977041</v>
      </c>
      <c r="N335">
        <v>211844816</v>
      </c>
      <c r="O335">
        <v>328565470</v>
      </c>
      <c r="P335">
        <v>742</v>
      </c>
      <c r="Q335" t="s">
        <v>807</v>
      </c>
    </row>
    <row r="336" spans="1:17" x14ac:dyDescent="0.3">
      <c r="A336" t="s">
        <v>59</v>
      </c>
      <c r="B336" t="str">
        <f>"000543"</f>
        <v>000543</v>
      </c>
      <c r="C336" t="s">
        <v>808</v>
      </c>
      <c r="D336" t="s">
        <v>98</v>
      </c>
      <c r="F336">
        <v>-1056417220</v>
      </c>
      <c r="G336">
        <v>2949739753</v>
      </c>
      <c r="H336">
        <v>2667407746</v>
      </c>
      <c r="I336">
        <v>1367348095</v>
      </c>
      <c r="J336">
        <v>989442166</v>
      </c>
      <c r="K336">
        <v>1940543171</v>
      </c>
      <c r="L336">
        <v>3185205155</v>
      </c>
      <c r="M336">
        <v>3535502835</v>
      </c>
      <c r="N336">
        <v>3308017988</v>
      </c>
      <c r="O336">
        <v>1480128907</v>
      </c>
      <c r="P336">
        <v>322</v>
      </c>
      <c r="Q336" t="s">
        <v>809</v>
      </c>
    </row>
    <row r="337" spans="1:17" x14ac:dyDescent="0.3">
      <c r="A337" t="s">
        <v>59</v>
      </c>
      <c r="B337" t="str">
        <f>"200012"</f>
        <v>200012</v>
      </c>
      <c r="C337" t="s">
        <v>810</v>
      </c>
      <c r="F337">
        <v>4771468785.9779997</v>
      </c>
      <c r="G337">
        <v>3238787950.2596002</v>
      </c>
      <c r="H337">
        <v>2660952123.9200001</v>
      </c>
      <c r="I337">
        <v>2425435466.8499999</v>
      </c>
      <c r="J337">
        <v>2956628076.4312</v>
      </c>
      <c r="K337">
        <v>2501239136.3439999</v>
      </c>
      <c r="L337">
        <v>1304514151.6689</v>
      </c>
      <c r="M337">
        <v>1758386516.184</v>
      </c>
      <c r="N337">
        <v>2177438519.6094999</v>
      </c>
      <c r="O337">
        <v>2147925115.3934002</v>
      </c>
      <c r="P337">
        <v>85</v>
      </c>
      <c r="Q337" t="s">
        <v>811</v>
      </c>
    </row>
    <row r="338" spans="1:17" x14ac:dyDescent="0.3">
      <c r="A338" t="s">
        <v>59</v>
      </c>
      <c r="B338" t="str">
        <f>"000402"</f>
        <v>000402</v>
      </c>
      <c r="C338" t="s">
        <v>812</v>
      </c>
      <c r="D338" t="s">
        <v>70</v>
      </c>
      <c r="F338">
        <v>3893007416</v>
      </c>
      <c r="G338">
        <v>9889877868</v>
      </c>
      <c r="H338">
        <v>2660294878</v>
      </c>
      <c r="I338">
        <v>-9029133233</v>
      </c>
      <c r="J338">
        <v>-7254328127</v>
      </c>
      <c r="K338">
        <v>17085923186</v>
      </c>
      <c r="L338">
        <v>-12841570688</v>
      </c>
      <c r="M338">
        <v>-321179673</v>
      </c>
      <c r="N338">
        <v>-2905952632</v>
      </c>
      <c r="O338">
        <v>-1925903793</v>
      </c>
      <c r="P338">
        <v>974</v>
      </c>
      <c r="Q338" t="s">
        <v>813</v>
      </c>
    </row>
    <row r="339" spans="1:17" x14ac:dyDescent="0.3">
      <c r="A339" t="s">
        <v>17</v>
      </c>
      <c r="B339" t="str">
        <f>"601228"</f>
        <v>601228</v>
      </c>
      <c r="C339" t="s">
        <v>814</v>
      </c>
      <c r="D339" t="s">
        <v>386</v>
      </c>
      <c r="F339">
        <v>1997967788</v>
      </c>
      <c r="G339">
        <v>2401258175</v>
      </c>
      <c r="H339">
        <v>2655838448</v>
      </c>
      <c r="I339">
        <v>3418716182</v>
      </c>
      <c r="J339">
        <v>1481030190</v>
      </c>
      <c r="K339">
        <v>1099817895</v>
      </c>
      <c r="L339">
        <v>684241223</v>
      </c>
      <c r="M339">
        <v>1309308995</v>
      </c>
      <c r="P339">
        <v>189</v>
      </c>
      <c r="Q339" t="s">
        <v>815</v>
      </c>
    </row>
    <row r="340" spans="1:17" x14ac:dyDescent="0.3">
      <c r="A340" t="s">
        <v>59</v>
      </c>
      <c r="B340" t="str">
        <f>"002180"</f>
        <v>002180</v>
      </c>
      <c r="C340" t="s">
        <v>816</v>
      </c>
      <c r="D340" t="s">
        <v>817</v>
      </c>
      <c r="F340">
        <v>2856819210</v>
      </c>
      <c r="G340">
        <v>2013110157</v>
      </c>
      <c r="H340">
        <v>2651868174</v>
      </c>
      <c r="I340">
        <v>2158916393</v>
      </c>
      <c r="J340">
        <v>394003537</v>
      </c>
      <c r="K340">
        <v>126296930</v>
      </c>
      <c r="L340">
        <v>212578293</v>
      </c>
      <c r="M340">
        <v>205494613</v>
      </c>
      <c r="N340">
        <v>6626285</v>
      </c>
      <c r="O340">
        <v>-18190824</v>
      </c>
      <c r="P340">
        <v>472</v>
      </c>
      <c r="Q340" t="s">
        <v>818</v>
      </c>
    </row>
    <row r="341" spans="1:17" x14ac:dyDescent="0.3">
      <c r="A341" t="s">
        <v>59</v>
      </c>
      <c r="B341" t="str">
        <f>"002384"</f>
        <v>002384</v>
      </c>
      <c r="C341" t="s">
        <v>819</v>
      </c>
      <c r="D341" t="s">
        <v>539</v>
      </c>
      <c r="F341">
        <v>3209544484</v>
      </c>
      <c r="G341">
        <v>2932168895</v>
      </c>
      <c r="H341">
        <v>2651461601</v>
      </c>
      <c r="I341">
        <v>1405584247</v>
      </c>
      <c r="J341">
        <v>160765838</v>
      </c>
      <c r="K341">
        <v>75040975</v>
      </c>
      <c r="L341">
        <v>-142473200</v>
      </c>
      <c r="M341">
        <v>-141783150</v>
      </c>
      <c r="N341">
        <v>136581487</v>
      </c>
      <c r="O341">
        <v>-21244675</v>
      </c>
      <c r="P341">
        <v>1070</v>
      </c>
      <c r="Q341" t="s">
        <v>820</v>
      </c>
    </row>
    <row r="342" spans="1:17" x14ac:dyDescent="0.3">
      <c r="A342" t="s">
        <v>17</v>
      </c>
      <c r="B342" t="str">
        <f>"601216"</f>
        <v>601216</v>
      </c>
      <c r="C342" t="s">
        <v>821</v>
      </c>
      <c r="D342" t="s">
        <v>317</v>
      </c>
      <c r="F342">
        <v>6438754486</v>
      </c>
      <c r="G342">
        <v>3577130671</v>
      </c>
      <c r="H342">
        <v>2650808074</v>
      </c>
      <c r="I342">
        <v>3278632387</v>
      </c>
      <c r="J342">
        <v>2317061791</v>
      </c>
      <c r="K342">
        <v>2041109997</v>
      </c>
      <c r="L342">
        <v>1307348531</v>
      </c>
      <c r="M342">
        <v>954921207</v>
      </c>
      <c r="N342">
        <v>88815489</v>
      </c>
      <c r="O342">
        <v>235310219</v>
      </c>
      <c r="P342">
        <v>958</v>
      </c>
      <c r="Q342" t="s">
        <v>822</v>
      </c>
    </row>
    <row r="343" spans="1:17" x14ac:dyDescent="0.3">
      <c r="A343" t="s">
        <v>17</v>
      </c>
      <c r="B343" t="str">
        <f>"600754"</f>
        <v>600754</v>
      </c>
      <c r="C343" t="s">
        <v>823</v>
      </c>
      <c r="D343" t="s">
        <v>824</v>
      </c>
      <c r="F343">
        <v>2068952071</v>
      </c>
      <c r="G343">
        <v>151636180</v>
      </c>
      <c r="H343">
        <v>2637918099</v>
      </c>
      <c r="I343">
        <v>3515211066</v>
      </c>
      <c r="J343">
        <v>3251784781</v>
      </c>
      <c r="K343">
        <v>2281976773</v>
      </c>
      <c r="L343">
        <v>1124261263</v>
      </c>
      <c r="M343">
        <v>559229654</v>
      </c>
      <c r="N343">
        <v>639137604</v>
      </c>
      <c r="O343">
        <v>555664535</v>
      </c>
      <c r="P343">
        <v>668</v>
      </c>
      <c r="Q343" t="s">
        <v>825</v>
      </c>
    </row>
    <row r="344" spans="1:17" x14ac:dyDescent="0.3">
      <c r="A344" t="s">
        <v>59</v>
      </c>
      <c r="B344" t="str">
        <f>"000875"</f>
        <v>000875</v>
      </c>
      <c r="C344" t="s">
        <v>826</v>
      </c>
      <c r="D344" t="s">
        <v>682</v>
      </c>
      <c r="F344">
        <v>3437161889</v>
      </c>
      <c r="G344">
        <v>3336523370</v>
      </c>
      <c r="H344">
        <v>2630586973</v>
      </c>
      <c r="I344">
        <v>2365200462</v>
      </c>
      <c r="J344">
        <v>1382018428</v>
      </c>
      <c r="K344">
        <v>1464396827</v>
      </c>
      <c r="L344">
        <v>1581481130</v>
      </c>
      <c r="M344">
        <v>1623525213</v>
      </c>
      <c r="N344">
        <v>1446632663</v>
      </c>
      <c r="O344">
        <v>1663784920</v>
      </c>
      <c r="P344">
        <v>278</v>
      </c>
      <c r="Q344" t="s">
        <v>827</v>
      </c>
    </row>
    <row r="345" spans="1:17" x14ac:dyDescent="0.3">
      <c r="A345" t="s">
        <v>17</v>
      </c>
      <c r="B345" t="str">
        <f>"600827"</f>
        <v>600827</v>
      </c>
      <c r="C345" t="s">
        <v>828</v>
      </c>
      <c r="D345" t="s">
        <v>829</v>
      </c>
      <c r="F345">
        <v>3723379560</v>
      </c>
      <c r="G345">
        <v>4448847646</v>
      </c>
      <c r="H345">
        <v>2623990328</v>
      </c>
      <c r="I345">
        <v>1798988206</v>
      </c>
      <c r="J345">
        <v>2132864648</v>
      </c>
      <c r="K345">
        <v>1684750634</v>
      </c>
      <c r="L345">
        <v>1599620395</v>
      </c>
      <c r="M345">
        <v>2028623722</v>
      </c>
      <c r="N345">
        <v>3843414929</v>
      </c>
      <c r="O345">
        <v>1671251531</v>
      </c>
      <c r="P345">
        <v>274</v>
      </c>
      <c r="Q345" t="s">
        <v>830</v>
      </c>
    </row>
    <row r="346" spans="1:17" x14ac:dyDescent="0.3">
      <c r="A346" t="s">
        <v>17</v>
      </c>
      <c r="B346" t="str">
        <f>"603858"</f>
        <v>603858</v>
      </c>
      <c r="C346" t="s">
        <v>831</v>
      </c>
      <c r="D346" t="s">
        <v>455</v>
      </c>
      <c r="F346">
        <v>1320513370</v>
      </c>
      <c r="G346">
        <v>1958763387</v>
      </c>
      <c r="H346">
        <v>2621333529</v>
      </c>
      <c r="I346">
        <v>2050837314</v>
      </c>
      <c r="J346">
        <v>1961975603</v>
      </c>
      <c r="K346">
        <v>1668783082</v>
      </c>
      <c r="L346">
        <v>2120730716</v>
      </c>
      <c r="M346">
        <v>1780581764</v>
      </c>
      <c r="N346">
        <v>1113956790</v>
      </c>
      <c r="P346">
        <v>828</v>
      </c>
      <c r="Q346" t="s">
        <v>832</v>
      </c>
    </row>
    <row r="347" spans="1:17" x14ac:dyDescent="0.3">
      <c r="A347" t="s">
        <v>59</v>
      </c>
      <c r="B347" t="str">
        <f>"002244"</f>
        <v>002244</v>
      </c>
      <c r="C347" t="s">
        <v>833</v>
      </c>
      <c r="D347" t="s">
        <v>61</v>
      </c>
      <c r="F347">
        <v>839419096</v>
      </c>
      <c r="G347">
        <v>-3157140189</v>
      </c>
      <c r="H347">
        <v>2621124243</v>
      </c>
      <c r="I347">
        <v>-13940192250</v>
      </c>
      <c r="J347">
        <v>3429860913</v>
      </c>
      <c r="K347">
        <v>13131138944</v>
      </c>
      <c r="L347">
        <v>8048609243</v>
      </c>
      <c r="M347">
        <v>-1317042448</v>
      </c>
      <c r="N347">
        <v>405373880</v>
      </c>
      <c r="O347">
        <v>4512862725</v>
      </c>
      <c r="P347">
        <v>403</v>
      </c>
      <c r="Q347" t="s">
        <v>834</v>
      </c>
    </row>
    <row r="348" spans="1:17" x14ac:dyDescent="0.3">
      <c r="A348" t="s">
        <v>17</v>
      </c>
      <c r="B348" t="str">
        <f>"600959"</f>
        <v>600959</v>
      </c>
      <c r="C348" t="s">
        <v>835</v>
      </c>
      <c r="D348" t="s">
        <v>775</v>
      </c>
      <c r="F348">
        <v>2357976290</v>
      </c>
      <c r="G348">
        <v>2494802981</v>
      </c>
      <c r="H348">
        <v>2620761774</v>
      </c>
      <c r="I348">
        <v>3090728316</v>
      </c>
      <c r="J348">
        <v>2764112552</v>
      </c>
      <c r="K348">
        <v>2534166401</v>
      </c>
      <c r="L348">
        <v>2303232325</v>
      </c>
      <c r="M348">
        <v>2197777685</v>
      </c>
      <c r="N348">
        <v>2144696615</v>
      </c>
      <c r="O348">
        <v>1915851950</v>
      </c>
      <c r="P348">
        <v>150</v>
      </c>
      <c r="Q348" t="s">
        <v>836</v>
      </c>
    </row>
    <row r="349" spans="1:17" x14ac:dyDescent="0.3">
      <c r="A349" t="s">
        <v>59</v>
      </c>
      <c r="B349" t="str">
        <f>"002183"</f>
        <v>002183</v>
      </c>
      <c r="C349" t="s">
        <v>837</v>
      </c>
      <c r="D349" t="s">
        <v>838</v>
      </c>
      <c r="F349">
        <v>1589308096</v>
      </c>
      <c r="G349">
        <v>2097739784</v>
      </c>
      <c r="H349">
        <v>2613956558</v>
      </c>
      <c r="I349">
        <v>1636755233</v>
      </c>
      <c r="J349">
        <v>40644959</v>
      </c>
      <c r="K349">
        <v>-4146834390</v>
      </c>
      <c r="L349">
        <v>-1805458722</v>
      </c>
      <c r="M349">
        <v>-3280440670</v>
      </c>
      <c r="N349">
        <v>-2718755216</v>
      </c>
      <c r="O349">
        <v>268017790</v>
      </c>
      <c r="P349">
        <v>261</v>
      </c>
      <c r="Q349" t="s">
        <v>839</v>
      </c>
    </row>
    <row r="350" spans="1:17" x14ac:dyDescent="0.3">
      <c r="A350" t="s">
        <v>17</v>
      </c>
      <c r="B350" t="str">
        <f>"600997"</f>
        <v>600997</v>
      </c>
      <c r="C350" t="s">
        <v>840</v>
      </c>
      <c r="D350" t="s">
        <v>841</v>
      </c>
      <c r="F350">
        <v>4377967592</v>
      </c>
      <c r="G350">
        <v>1851288659</v>
      </c>
      <c r="H350">
        <v>2609464561</v>
      </c>
      <c r="I350">
        <v>3319729809</v>
      </c>
      <c r="J350">
        <v>1785054103</v>
      </c>
      <c r="K350">
        <v>891092766</v>
      </c>
      <c r="L350">
        <v>1180476681</v>
      </c>
      <c r="M350">
        <v>1509013374</v>
      </c>
      <c r="N350">
        <v>1496441820</v>
      </c>
      <c r="O350">
        <v>1570950205</v>
      </c>
      <c r="P350">
        <v>729</v>
      </c>
      <c r="Q350" t="s">
        <v>842</v>
      </c>
    </row>
    <row r="351" spans="1:17" x14ac:dyDescent="0.3">
      <c r="A351" t="s">
        <v>59</v>
      </c>
      <c r="B351" t="str">
        <f>"300118"</f>
        <v>300118</v>
      </c>
      <c r="C351" t="s">
        <v>843</v>
      </c>
      <c r="D351" t="s">
        <v>430</v>
      </c>
      <c r="F351">
        <v>601040111</v>
      </c>
      <c r="G351">
        <v>686412831</v>
      </c>
      <c r="H351">
        <v>2609265283</v>
      </c>
      <c r="I351">
        <v>131847631</v>
      </c>
      <c r="J351">
        <v>426147427</v>
      </c>
      <c r="K351">
        <v>333265299</v>
      </c>
      <c r="L351">
        <v>-143620402</v>
      </c>
      <c r="M351">
        <v>-103034538</v>
      </c>
      <c r="N351">
        <v>-86355934</v>
      </c>
      <c r="O351">
        <v>263138436</v>
      </c>
      <c r="P351">
        <v>443</v>
      </c>
      <c r="Q351" t="s">
        <v>844</v>
      </c>
    </row>
    <row r="352" spans="1:17" x14ac:dyDescent="0.3">
      <c r="A352" t="s">
        <v>59</v>
      </c>
      <c r="B352" t="str">
        <f>"000951"</f>
        <v>000951</v>
      </c>
      <c r="C352" t="s">
        <v>845</v>
      </c>
      <c r="D352" t="s">
        <v>475</v>
      </c>
      <c r="F352">
        <v>2062876160</v>
      </c>
      <c r="G352">
        <v>4153479025</v>
      </c>
      <c r="H352">
        <v>2603680461</v>
      </c>
      <c r="I352">
        <v>1871247698</v>
      </c>
      <c r="J352">
        <v>887062932</v>
      </c>
      <c r="K352">
        <v>-308434884</v>
      </c>
      <c r="L352">
        <v>240045642</v>
      </c>
      <c r="M352">
        <v>47332552</v>
      </c>
      <c r="N352">
        <v>111543145</v>
      </c>
      <c r="O352">
        <v>1095535241</v>
      </c>
      <c r="P352">
        <v>856</v>
      </c>
      <c r="Q352" t="s">
        <v>846</v>
      </c>
    </row>
    <row r="353" spans="1:17" x14ac:dyDescent="0.3">
      <c r="A353" t="s">
        <v>17</v>
      </c>
      <c r="B353" t="str">
        <f>"603799"</f>
        <v>603799</v>
      </c>
      <c r="C353" t="s">
        <v>847</v>
      </c>
      <c r="D353" t="s">
        <v>848</v>
      </c>
      <c r="F353">
        <v>-61708590</v>
      </c>
      <c r="G353">
        <v>1859769120</v>
      </c>
      <c r="H353">
        <v>2599671577</v>
      </c>
      <c r="I353">
        <v>1822550039</v>
      </c>
      <c r="J353">
        <v>-1794532583</v>
      </c>
      <c r="K353">
        <v>972520586</v>
      </c>
      <c r="L353">
        <v>-451663619</v>
      </c>
      <c r="M353">
        <v>-719632136</v>
      </c>
      <c r="N353">
        <v>-593345573</v>
      </c>
      <c r="O353">
        <v>406354840</v>
      </c>
      <c r="P353">
        <v>1518</v>
      </c>
      <c r="Q353" t="s">
        <v>849</v>
      </c>
    </row>
    <row r="354" spans="1:17" x14ac:dyDescent="0.3">
      <c r="A354" t="s">
        <v>59</v>
      </c>
      <c r="B354" t="str">
        <f>"000785"</f>
        <v>000785</v>
      </c>
      <c r="C354" t="s">
        <v>850</v>
      </c>
      <c r="D354" t="s">
        <v>548</v>
      </c>
      <c r="F354">
        <v>5700890812</v>
      </c>
      <c r="G354">
        <v>2055205938</v>
      </c>
      <c r="H354">
        <v>2573673512</v>
      </c>
      <c r="I354">
        <v>239058897</v>
      </c>
      <c r="J354">
        <v>288016513</v>
      </c>
      <c r="K354">
        <v>229146960</v>
      </c>
      <c r="L354">
        <v>155416854</v>
      </c>
      <c r="M354">
        <v>203198046</v>
      </c>
      <c r="N354">
        <v>319285894</v>
      </c>
      <c r="O354">
        <v>299556685</v>
      </c>
      <c r="P354">
        <v>333</v>
      </c>
      <c r="Q354" t="s">
        <v>851</v>
      </c>
    </row>
    <row r="355" spans="1:17" x14ac:dyDescent="0.3">
      <c r="A355" t="s">
        <v>17</v>
      </c>
      <c r="B355" t="str">
        <f>"600299"</f>
        <v>600299</v>
      </c>
      <c r="C355" t="s">
        <v>852</v>
      </c>
      <c r="D355" t="s">
        <v>853</v>
      </c>
      <c r="F355">
        <v>2601939265</v>
      </c>
      <c r="G355">
        <v>2708415580</v>
      </c>
      <c r="H355">
        <v>2550601183</v>
      </c>
      <c r="I355">
        <v>1441696047</v>
      </c>
      <c r="J355">
        <v>2513085624</v>
      </c>
      <c r="K355">
        <v>3053923615</v>
      </c>
      <c r="L355">
        <v>3555802311</v>
      </c>
      <c r="M355">
        <v>166584845</v>
      </c>
      <c r="N355">
        <v>423910941</v>
      </c>
      <c r="O355">
        <v>523069529</v>
      </c>
      <c r="P355">
        <v>497</v>
      </c>
      <c r="Q355" t="s">
        <v>854</v>
      </c>
    </row>
    <row r="356" spans="1:17" x14ac:dyDescent="0.3">
      <c r="A356" t="s">
        <v>17</v>
      </c>
      <c r="B356" t="str">
        <f>"600497"</f>
        <v>600497</v>
      </c>
      <c r="C356" t="s">
        <v>855</v>
      </c>
      <c r="D356" t="s">
        <v>856</v>
      </c>
      <c r="F356">
        <v>3240231450</v>
      </c>
      <c r="G356">
        <v>2671717936</v>
      </c>
      <c r="H356">
        <v>2543194090</v>
      </c>
      <c r="I356">
        <v>2691527091</v>
      </c>
      <c r="J356">
        <v>3650265402</v>
      </c>
      <c r="K356">
        <v>1742116393</v>
      </c>
      <c r="L356">
        <v>1836680084</v>
      </c>
      <c r="M356">
        <v>884152669</v>
      </c>
      <c r="N356">
        <v>830616118</v>
      </c>
      <c r="O356">
        <v>1359385191</v>
      </c>
      <c r="P356">
        <v>286</v>
      </c>
      <c r="Q356" t="s">
        <v>857</v>
      </c>
    </row>
    <row r="357" spans="1:17" x14ac:dyDescent="0.3">
      <c r="A357" t="s">
        <v>59</v>
      </c>
      <c r="B357" t="str">
        <f>"000712"</f>
        <v>000712</v>
      </c>
      <c r="C357" t="s">
        <v>858</v>
      </c>
      <c r="D357" t="s">
        <v>75</v>
      </c>
      <c r="F357">
        <v>-2460735509</v>
      </c>
      <c r="G357">
        <v>3532054828</v>
      </c>
      <c r="H357">
        <v>2543021731</v>
      </c>
      <c r="I357">
        <v>1830892530</v>
      </c>
      <c r="J357">
        <v>-4010848958</v>
      </c>
      <c r="K357">
        <v>-1445686936</v>
      </c>
      <c r="L357">
        <v>1133099883.4000001</v>
      </c>
      <c r="M357">
        <v>1541439207.1700001</v>
      </c>
      <c r="N357">
        <v>282453728.89999998</v>
      </c>
      <c r="O357">
        <v>32723518.050000001</v>
      </c>
      <c r="P357">
        <v>557</v>
      </c>
      <c r="Q357" t="s">
        <v>859</v>
      </c>
    </row>
    <row r="358" spans="1:17" x14ac:dyDescent="0.3">
      <c r="A358" t="s">
        <v>17</v>
      </c>
      <c r="B358" t="str">
        <f>"601212"</f>
        <v>601212</v>
      </c>
      <c r="C358" t="s">
        <v>860</v>
      </c>
      <c r="D358" t="s">
        <v>861</v>
      </c>
      <c r="F358">
        <v>1481421378</v>
      </c>
      <c r="G358">
        <v>2184777885</v>
      </c>
      <c r="H358">
        <v>2518107225</v>
      </c>
      <c r="I358">
        <v>3030955608</v>
      </c>
      <c r="J358">
        <v>-1235743704</v>
      </c>
      <c r="K358">
        <v>410983551</v>
      </c>
      <c r="L358">
        <v>1358419293</v>
      </c>
      <c r="M358">
        <v>948823899</v>
      </c>
      <c r="N358">
        <v>3495178276</v>
      </c>
      <c r="P358">
        <v>185</v>
      </c>
      <c r="Q358" t="s">
        <v>862</v>
      </c>
    </row>
    <row r="359" spans="1:17" x14ac:dyDescent="0.3">
      <c r="A359" t="s">
        <v>59</v>
      </c>
      <c r="B359" t="str">
        <f>"002129"</f>
        <v>002129</v>
      </c>
      <c r="C359" t="s">
        <v>863</v>
      </c>
      <c r="D359" t="s">
        <v>322</v>
      </c>
      <c r="F359">
        <v>4281641056</v>
      </c>
      <c r="G359">
        <v>2858845789</v>
      </c>
      <c r="H359">
        <v>2506972805</v>
      </c>
      <c r="I359">
        <v>1707709058</v>
      </c>
      <c r="J359">
        <v>1051745767</v>
      </c>
      <c r="K359">
        <v>819180674</v>
      </c>
      <c r="L359">
        <v>795496379</v>
      </c>
      <c r="M359">
        <v>239336177</v>
      </c>
      <c r="N359">
        <v>304696529</v>
      </c>
      <c r="O359">
        <v>-396910291</v>
      </c>
      <c r="P359">
        <v>1522</v>
      </c>
      <c r="Q359" t="s">
        <v>864</v>
      </c>
    </row>
    <row r="360" spans="1:17" x14ac:dyDescent="0.3">
      <c r="A360" t="s">
        <v>59</v>
      </c>
      <c r="B360" t="str">
        <f>"000600"</f>
        <v>000600</v>
      </c>
      <c r="C360" t="s">
        <v>865</v>
      </c>
      <c r="D360" t="s">
        <v>98</v>
      </c>
      <c r="F360">
        <v>148174118</v>
      </c>
      <c r="G360">
        <v>2632335313</v>
      </c>
      <c r="H360">
        <v>2484173638</v>
      </c>
      <c r="I360">
        <v>2565710579</v>
      </c>
      <c r="J360">
        <v>1257742564</v>
      </c>
      <c r="K360">
        <v>2851355229</v>
      </c>
      <c r="L360">
        <v>3488206311</v>
      </c>
      <c r="M360">
        <v>4659307798</v>
      </c>
      <c r="N360">
        <v>3035928395</v>
      </c>
      <c r="O360">
        <v>1507218035</v>
      </c>
      <c r="P360">
        <v>312</v>
      </c>
      <c r="Q360" t="s">
        <v>866</v>
      </c>
    </row>
    <row r="361" spans="1:17" x14ac:dyDescent="0.3">
      <c r="A361" t="s">
        <v>59</v>
      </c>
      <c r="B361" t="str">
        <f>"300274"</f>
        <v>300274</v>
      </c>
      <c r="C361" t="s">
        <v>867</v>
      </c>
      <c r="D361" t="s">
        <v>868</v>
      </c>
      <c r="F361">
        <v>-1638632123</v>
      </c>
      <c r="G361">
        <v>3088658225</v>
      </c>
      <c r="H361">
        <v>2480423195</v>
      </c>
      <c r="I361">
        <v>180882222</v>
      </c>
      <c r="J361">
        <v>855355842</v>
      </c>
      <c r="K361">
        <v>865792599</v>
      </c>
      <c r="L361">
        <v>-326656273</v>
      </c>
      <c r="M361">
        <v>10336629</v>
      </c>
      <c r="N361">
        <v>294025297</v>
      </c>
      <c r="O361">
        <v>-222845728</v>
      </c>
      <c r="P361">
        <v>2195</v>
      </c>
      <c r="Q361" t="s">
        <v>869</v>
      </c>
    </row>
    <row r="362" spans="1:17" x14ac:dyDescent="0.3">
      <c r="A362" t="s">
        <v>59</v>
      </c>
      <c r="B362" t="str">
        <f>"002607"</f>
        <v>002607</v>
      </c>
      <c r="C362" t="s">
        <v>870</v>
      </c>
      <c r="D362" t="s">
        <v>871</v>
      </c>
      <c r="F362">
        <v>-4097961549</v>
      </c>
      <c r="G362">
        <v>4882469102</v>
      </c>
      <c r="H362">
        <v>2473986085</v>
      </c>
      <c r="I362">
        <v>1407946377</v>
      </c>
      <c r="J362">
        <v>-126461193</v>
      </c>
      <c r="K362">
        <v>-46854384</v>
      </c>
      <c r="L362">
        <v>189686190</v>
      </c>
      <c r="M362">
        <v>118923719</v>
      </c>
      <c r="N362">
        <v>86196761</v>
      </c>
      <c r="O362">
        <v>40570566</v>
      </c>
      <c r="P362">
        <v>1791</v>
      </c>
      <c r="Q362" t="s">
        <v>872</v>
      </c>
    </row>
    <row r="363" spans="1:17" x14ac:dyDescent="0.3">
      <c r="A363" t="s">
        <v>17</v>
      </c>
      <c r="B363" t="str">
        <f>"688223"</f>
        <v>688223</v>
      </c>
      <c r="C363" t="s">
        <v>873</v>
      </c>
      <c r="D363" t="s">
        <v>874</v>
      </c>
      <c r="F363">
        <v>3228747055</v>
      </c>
      <c r="G363">
        <v>2507869074</v>
      </c>
      <c r="H363">
        <v>2464231635</v>
      </c>
      <c r="I363">
        <v>2048993867</v>
      </c>
      <c r="P363">
        <v>29</v>
      </c>
      <c r="Q363" t="s">
        <v>875</v>
      </c>
    </row>
    <row r="364" spans="1:17" x14ac:dyDescent="0.3">
      <c r="A364" t="s">
        <v>59</v>
      </c>
      <c r="B364" t="str">
        <f>"002016"</f>
        <v>002016</v>
      </c>
      <c r="C364" t="s">
        <v>876</v>
      </c>
      <c r="D364" t="s">
        <v>61</v>
      </c>
      <c r="F364">
        <v>-212149847</v>
      </c>
      <c r="G364">
        <v>673459088</v>
      </c>
      <c r="H364">
        <v>2453438452</v>
      </c>
      <c r="I364">
        <v>-287199</v>
      </c>
      <c r="J364">
        <v>30382426</v>
      </c>
      <c r="K364">
        <v>2538993967</v>
      </c>
      <c r="L364">
        <v>30311050</v>
      </c>
      <c r="M364">
        <v>-834249130</v>
      </c>
      <c r="N364">
        <v>187546320</v>
      </c>
      <c r="O364">
        <v>-77932662</v>
      </c>
      <c r="P364">
        <v>457</v>
      </c>
      <c r="Q364" t="s">
        <v>877</v>
      </c>
    </row>
    <row r="365" spans="1:17" x14ac:dyDescent="0.3">
      <c r="A365" t="s">
        <v>17</v>
      </c>
      <c r="B365" t="str">
        <f>"601326"</f>
        <v>601326</v>
      </c>
      <c r="C365" t="s">
        <v>878</v>
      </c>
      <c r="D365" t="s">
        <v>386</v>
      </c>
      <c r="F365">
        <v>2505773344</v>
      </c>
      <c r="G365">
        <v>2555826406</v>
      </c>
      <c r="H365">
        <v>2453136528</v>
      </c>
      <c r="I365">
        <v>2697203347</v>
      </c>
      <c r="J365">
        <v>2888395124</v>
      </c>
      <c r="K365">
        <v>1488868847</v>
      </c>
      <c r="L365">
        <v>2321238332</v>
      </c>
      <c r="M365">
        <v>2983810567</v>
      </c>
      <c r="P365">
        <v>127</v>
      </c>
      <c r="Q365" t="s">
        <v>879</v>
      </c>
    </row>
    <row r="366" spans="1:17" x14ac:dyDescent="0.3">
      <c r="A366" t="s">
        <v>59</v>
      </c>
      <c r="B366" t="str">
        <f>"000789"</f>
        <v>000789</v>
      </c>
      <c r="C366" t="s">
        <v>880</v>
      </c>
      <c r="D366" t="s">
        <v>78</v>
      </c>
      <c r="F366">
        <v>1873369308</v>
      </c>
      <c r="G366">
        <v>2236838421</v>
      </c>
      <c r="H366">
        <v>2453107950</v>
      </c>
      <c r="I366">
        <v>2520439548</v>
      </c>
      <c r="J366">
        <v>1589914903</v>
      </c>
      <c r="K366">
        <v>912962144</v>
      </c>
      <c r="L366">
        <v>795296266</v>
      </c>
      <c r="M366">
        <v>997633773</v>
      </c>
      <c r="N366">
        <v>1064740471</v>
      </c>
      <c r="O366">
        <v>579206743</v>
      </c>
      <c r="P366">
        <v>1139</v>
      </c>
      <c r="Q366" t="s">
        <v>881</v>
      </c>
    </row>
    <row r="367" spans="1:17" x14ac:dyDescent="0.3">
      <c r="A367" t="s">
        <v>17</v>
      </c>
      <c r="B367" t="str">
        <f>"601139"</f>
        <v>601139</v>
      </c>
      <c r="C367" t="s">
        <v>882</v>
      </c>
      <c r="D367" t="s">
        <v>883</v>
      </c>
      <c r="F367">
        <v>1337474875</v>
      </c>
      <c r="G367">
        <v>3027639210</v>
      </c>
      <c r="H367">
        <v>2445445795</v>
      </c>
      <c r="I367">
        <v>1854679386</v>
      </c>
      <c r="J367">
        <v>1393803301</v>
      </c>
      <c r="K367">
        <v>1540973376</v>
      </c>
      <c r="L367">
        <v>1563147841</v>
      </c>
      <c r="M367">
        <v>1122697876</v>
      </c>
      <c r="N367">
        <v>1293155945</v>
      </c>
      <c r="O367">
        <v>616905221</v>
      </c>
      <c r="P367">
        <v>476</v>
      </c>
      <c r="Q367" t="s">
        <v>884</v>
      </c>
    </row>
    <row r="368" spans="1:17" x14ac:dyDescent="0.3">
      <c r="A368" t="s">
        <v>17</v>
      </c>
      <c r="B368" t="str">
        <f>"601231"</f>
        <v>601231</v>
      </c>
      <c r="C368" t="s">
        <v>885</v>
      </c>
      <c r="D368" t="s">
        <v>349</v>
      </c>
      <c r="F368">
        <v>-1102446979</v>
      </c>
      <c r="G368">
        <v>1436523674</v>
      </c>
      <c r="H368">
        <v>2425772254</v>
      </c>
      <c r="I368">
        <v>-218879839</v>
      </c>
      <c r="J368">
        <v>1238991405</v>
      </c>
      <c r="K368">
        <v>1600497881</v>
      </c>
      <c r="L368">
        <v>1301078480</v>
      </c>
      <c r="M368">
        <v>963221745</v>
      </c>
      <c r="N368">
        <v>1326398998</v>
      </c>
      <c r="O368">
        <v>-6766791</v>
      </c>
      <c r="P368">
        <v>735</v>
      </c>
      <c r="Q368" t="s">
        <v>886</v>
      </c>
    </row>
    <row r="369" spans="1:17" x14ac:dyDescent="0.3">
      <c r="A369" t="s">
        <v>59</v>
      </c>
      <c r="B369" t="str">
        <f>"002670"</f>
        <v>002670</v>
      </c>
      <c r="C369" t="s">
        <v>887</v>
      </c>
      <c r="D369" t="s">
        <v>75</v>
      </c>
      <c r="F369">
        <v>2987830102</v>
      </c>
      <c r="G369">
        <v>4290382488</v>
      </c>
      <c r="H369">
        <v>2421798497</v>
      </c>
      <c r="I369">
        <v>1671452980</v>
      </c>
      <c r="J369">
        <v>-3840551826</v>
      </c>
      <c r="K369">
        <v>-6233746504</v>
      </c>
      <c r="L369">
        <v>266728451</v>
      </c>
      <c r="M369">
        <v>127378602</v>
      </c>
      <c r="N369">
        <v>-55803329</v>
      </c>
      <c r="O369">
        <v>121022442</v>
      </c>
      <c r="P369">
        <v>580</v>
      </c>
      <c r="Q369" t="s">
        <v>888</v>
      </c>
    </row>
    <row r="370" spans="1:17" x14ac:dyDescent="0.3">
      <c r="A370" t="s">
        <v>59</v>
      </c>
      <c r="B370" t="str">
        <f>"300761"</f>
        <v>300761</v>
      </c>
      <c r="C370" t="s">
        <v>889</v>
      </c>
      <c r="D370" t="s">
        <v>470</v>
      </c>
      <c r="F370">
        <v>681492572</v>
      </c>
      <c r="G370">
        <v>205009731</v>
      </c>
      <c r="H370">
        <v>2417361404</v>
      </c>
      <c r="I370">
        <v>1711516684</v>
      </c>
      <c r="J370">
        <v>954064848</v>
      </c>
      <c r="K370">
        <v>815215825</v>
      </c>
      <c r="L370">
        <v>767957454</v>
      </c>
      <c r="P370">
        <v>369</v>
      </c>
      <c r="Q370" t="s">
        <v>890</v>
      </c>
    </row>
    <row r="371" spans="1:17" x14ac:dyDescent="0.3">
      <c r="A371" t="s">
        <v>17</v>
      </c>
      <c r="B371" t="str">
        <f>"600597"</f>
        <v>600597</v>
      </c>
      <c r="C371" t="s">
        <v>891</v>
      </c>
      <c r="D371" t="s">
        <v>308</v>
      </c>
      <c r="F371">
        <v>2058481160</v>
      </c>
      <c r="G371">
        <v>2158595143</v>
      </c>
      <c r="H371">
        <v>2409715881</v>
      </c>
      <c r="I371">
        <v>1453636150</v>
      </c>
      <c r="J371">
        <v>1600415936</v>
      </c>
      <c r="K371">
        <v>2609272988</v>
      </c>
      <c r="L371">
        <v>1866355005</v>
      </c>
      <c r="M371">
        <v>335769887</v>
      </c>
      <c r="N371">
        <v>1305302953</v>
      </c>
      <c r="O371">
        <v>1241841613</v>
      </c>
      <c r="P371">
        <v>1247</v>
      </c>
      <c r="Q371" t="s">
        <v>892</v>
      </c>
    </row>
    <row r="372" spans="1:17" x14ac:dyDescent="0.3">
      <c r="A372" t="s">
        <v>59</v>
      </c>
      <c r="B372" t="str">
        <f>"000035"</f>
        <v>000035</v>
      </c>
      <c r="C372" t="s">
        <v>893</v>
      </c>
      <c r="D372" t="s">
        <v>894</v>
      </c>
      <c r="F372">
        <v>2524740712</v>
      </c>
      <c r="G372">
        <v>3006570197</v>
      </c>
      <c r="H372">
        <v>2400196526</v>
      </c>
      <c r="I372">
        <v>209786562</v>
      </c>
      <c r="J372">
        <v>35146008</v>
      </c>
      <c r="K372">
        <v>225475303</v>
      </c>
      <c r="L372">
        <v>157646737</v>
      </c>
      <c r="M372">
        <v>73449013</v>
      </c>
      <c r="N372">
        <v>-106677214</v>
      </c>
      <c r="O372">
        <v>-395029389</v>
      </c>
      <c r="P372">
        <v>198</v>
      </c>
      <c r="Q372" t="s">
        <v>895</v>
      </c>
    </row>
    <row r="373" spans="1:17" x14ac:dyDescent="0.3">
      <c r="A373" t="s">
        <v>17</v>
      </c>
      <c r="B373" t="str">
        <f>"601333"</f>
        <v>601333</v>
      </c>
      <c r="C373" t="s">
        <v>896</v>
      </c>
      <c r="D373" t="s">
        <v>206</v>
      </c>
      <c r="F373">
        <v>1002468547</v>
      </c>
      <c r="G373">
        <v>1336173449</v>
      </c>
      <c r="H373">
        <v>2395245101</v>
      </c>
      <c r="I373">
        <v>3261402688</v>
      </c>
      <c r="J373">
        <v>2634838584</v>
      </c>
      <c r="K373">
        <v>1641239307</v>
      </c>
      <c r="L373">
        <v>2259690512</v>
      </c>
      <c r="M373">
        <v>2113226429</v>
      </c>
      <c r="N373">
        <v>2051059191</v>
      </c>
      <c r="O373">
        <v>2345320911</v>
      </c>
      <c r="P373">
        <v>318</v>
      </c>
      <c r="Q373" t="s">
        <v>897</v>
      </c>
    </row>
    <row r="374" spans="1:17" x14ac:dyDescent="0.3">
      <c r="A374" t="s">
        <v>17</v>
      </c>
      <c r="B374" t="str">
        <f>"601928"</f>
        <v>601928</v>
      </c>
      <c r="C374" t="s">
        <v>898</v>
      </c>
      <c r="D374" t="s">
        <v>721</v>
      </c>
      <c r="F374">
        <v>3321016151</v>
      </c>
      <c r="G374">
        <v>3598345526</v>
      </c>
      <c r="H374">
        <v>2388619783</v>
      </c>
      <c r="I374">
        <v>2188043219</v>
      </c>
      <c r="J374">
        <v>1816911232</v>
      </c>
      <c r="K374">
        <v>1904077866</v>
      </c>
      <c r="L374">
        <v>1878032921</v>
      </c>
      <c r="M374">
        <v>1647094212</v>
      </c>
      <c r="N374">
        <v>1042467278</v>
      </c>
      <c r="O374">
        <v>1086487376</v>
      </c>
      <c r="P374">
        <v>551</v>
      </c>
      <c r="Q374" t="s">
        <v>899</v>
      </c>
    </row>
    <row r="375" spans="1:17" x14ac:dyDescent="0.3">
      <c r="A375" t="s">
        <v>59</v>
      </c>
      <c r="B375" t="str">
        <f>"000012"</f>
        <v>000012</v>
      </c>
      <c r="C375" t="s">
        <v>900</v>
      </c>
      <c r="D375" t="s">
        <v>901</v>
      </c>
      <c r="F375">
        <v>3902084385</v>
      </c>
      <c r="G375">
        <v>2730619636</v>
      </c>
      <c r="H375">
        <v>2379036320</v>
      </c>
      <c r="I375">
        <v>2130378100</v>
      </c>
      <c r="J375">
        <v>2463446156</v>
      </c>
      <c r="K375">
        <v>2240852120</v>
      </c>
      <c r="L375">
        <v>1092832497</v>
      </c>
      <c r="M375">
        <v>1406259210</v>
      </c>
      <c r="N375">
        <v>1698867535</v>
      </c>
      <c r="O375">
        <v>1725795529</v>
      </c>
      <c r="P375">
        <v>409</v>
      </c>
      <c r="Q375" t="s">
        <v>902</v>
      </c>
    </row>
    <row r="376" spans="1:17" x14ac:dyDescent="0.3">
      <c r="A376" t="s">
        <v>59</v>
      </c>
      <c r="B376" t="str">
        <f>"002841"</f>
        <v>002841</v>
      </c>
      <c r="C376" t="s">
        <v>903</v>
      </c>
      <c r="D376" t="s">
        <v>904</v>
      </c>
      <c r="F376">
        <v>2701649097</v>
      </c>
      <c r="G376">
        <v>1987518033</v>
      </c>
      <c r="H376">
        <v>2373788128</v>
      </c>
      <c r="I376">
        <v>1782654220</v>
      </c>
      <c r="J376">
        <v>917092047</v>
      </c>
      <c r="K376">
        <v>755083754</v>
      </c>
      <c r="L376">
        <v>538217603</v>
      </c>
      <c r="M376">
        <v>270299233</v>
      </c>
      <c r="N376">
        <v>394287566</v>
      </c>
      <c r="P376">
        <v>3102</v>
      </c>
      <c r="Q376" t="s">
        <v>905</v>
      </c>
    </row>
    <row r="377" spans="1:17" x14ac:dyDescent="0.3">
      <c r="A377" t="s">
        <v>17</v>
      </c>
      <c r="B377" t="str">
        <f>"600438"</f>
        <v>600438</v>
      </c>
      <c r="C377" t="s">
        <v>906</v>
      </c>
      <c r="D377" t="s">
        <v>322</v>
      </c>
      <c r="F377">
        <v>7618273877</v>
      </c>
      <c r="G377">
        <v>3024927932</v>
      </c>
      <c r="H377">
        <v>2357465208</v>
      </c>
      <c r="I377">
        <v>3099620044</v>
      </c>
      <c r="J377">
        <v>2915836072</v>
      </c>
      <c r="K377">
        <v>2431633666</v>
      </c>
      <c r="L377">
        <v>1017733294</v>
      </c>
      <c r="M377">
        <v>579696887</v>
      </c>
      <c r="N377">
        <v>826505824</v>
      </c>
      <c r="O377">
        <v>380095647</v>
      </c>
      <c r="P377">
        <v>2549</v>
      </c>
      <c r="Q377" t="s">
        <v>907</v>
      </c>
    </row>
    <row r="378" spans="1:17" x14ac:dyDescent="0.3">
      <c r="A378" t="s">
        <v>17</v>
      </c>
      <c r="B378" t="str">
        <f>"600308"</f>
        <v>600308</v>
      </c>
      <c r="C378" t="s">
        <v>908</v>
      </c>
      <c r="D378" t="s">
        <v>241</v>
      </c>
      <c r="F378">
        <v>1741519130</v>
      </c>
      <c r="G378">
        <v>2486917729</v>
      </c>
      <c r="H378">
        <v>2356437690</v>
      </c>
      <c r="I378">
        <v>1397513039</v>
      </c>
      <c r="J378">
        <v>2348962446</v>
      </c>
      <c r="K378">
        <v>1790664986</v>
      </c>
      <c r="L378">
        <v>1834759223</v>
      </c>
      <c r="M378">
        <v>1213028838</v>
      </c>
      <c r="N378">
        <v>1696906177</v>
      </c>
      <c r="O378">
        <v>1429228977</v>
      </c>
      <c r="P378">
        <v>644</v>
      </c>
      <c r="Q378" t="s">
        <v>909</v>
      </c>
    </row>
    <row r="379" spans="1:17" x14ac:dyDescent="0.3">
      <c r="A379" t="s">
        <v>59</v>
      </c>
      <c r="B379" t="str">
        <f>"002466"</f>
        <v>002466</v>
      </c>
      <c r="C379" t="s">
        <v>910</v>
      </c>
      <c r="D379" t="s">
        <v>911</v>
      </c>
      <c r="F379">
        <v>2094448936</v>
      </c>
      <c r="G379">
        <v>696434171</v>
      </c>
      <c r="H379">
        <v>2354927021</v>
      </c>
      <c r="I379">
        <v>3619975276</v>
      </c>
      <c r="J379">
        <v>3094618878</v>
      </c>
      <c r="K379">
        <v>1776366239</v>
      </c>
      <c r="L379">
        <v>659553712</v>
      </c>
      <c r="M379">
        <v>302255610</v>
      </c>
      <c r="N379">
        <v>-128210980</v>
      </c>
      <c r="O379">
        <v>-44436022</v>
      </c>
      <c r="P379">
        <v>2365</v>
      </c>
      <c r="Q379" t="s">
        <v>912</v>
      </c>
    </row>
    <row r="380" spans="1:17" x14ac:dyDescent="0.3">
      <c r="A380" t="s">
        <v>17</v>
      </c>
      <c r="B380" t="str">
        <f>"600373"</f>
        <v>600373</v>
      </c>
      <c r="C380" t="s">
        <v>913</v>
      </c>
      <c r="D380" t="s">
        <v>914</v>
      </c>
      <c r="F380">
        <v>1804027448</v>
      </c>
      <c r="G380">
        <v>2770158153</v>
      </c>
      <c r="H380">
        <v>2326723445</v>
      </c>
      <c r="I380">
        <v>2605766691</v>
      </c>
      <c r="J380">
        <v>1503187129</v>
      </c>
      <c r="K380">
        <v>2357234262</v>
      </c>
      <c r="L380">
        <v>1011750597</v>
      </c>
      <c r="M380">
        <v>809723773</v>
      </c>
      <c r="N380">
        <v>1453348912</v>
      </c>
      <c r="O380">
        <v>1202042587</v>
      </c>
      <c r="P380">
        <v>776</v>
      </c>
      <c r="Q380" t="s">
        <v>915</v>
      </c>
    </row>
    <row r="381" spans="1:17" x14ac:dyDescent="0.3">
      <c r="A381" t="s">
        <v>17</v>
      </c>
      <c r="B381" t="str">
        <f>"600515"</f>
        <v>600515</v>
      </c>
      <c r="C381" t="s">
        <v>916</v>
      </c>
      <c r="D381" t="s">
        <v>61</v>
      </c>
      <c r="F381">
        <v>422539994</v>
      </c>
      <c r="G381">
        <v>871142763</v>
      </c>
      <c r="H381">
        <v>2312652855</v>
      </c>
      <c r="I381">
        <v>6003983468</v>
      </c>
      <c r="J381">
        <v>2949600806</v>
      </c>
      <c r="K381">
        <v>436151274</v>
      </c>
      <c r="L381">
        <v>215020774</v>
      </c>
      <c r="M381">
        <v>312818224</v>
      </c>
      <c r="N381">
        <v>79444526</v>
      </c>
      <c r="O381">
        <v>164346839</v>
      </c>
      <c r="P381">
        <v>163</v>
      </c>
      <c r="Q381" t="s">
        <v>917</v>
      </c>
    </row>
    <row r="382" spans="1:17" x14ac:dyDescent="0.3">
      <c r="A382" t="s">
        <v>17</v>
      </c>
      <c r="B382" t="str">
        <f>"600380"</f>
        <v>600380</v>
      </c>
      <c r="C382" t="s">
        <v>918</v>
      </c>
      <c r="D382" t="s">
        <v>592</v>
      </c>
      <c r="F382">
        <v>2563089045</v>
      </c>
      <c r="G382">
        <v>3024999592</v>
      </c>
      <c r="H382">
        <v>2312447687</v>
      </c>
      <c r="I382">
        <v>1825535799</v>
      </c>
      <c r="J382">
        <v>1870376097</v>
      </c>
      <c r="K382">
        <v>1644557267</v>
      </c>
      <c r="L382">
        <v>1264582834</v>
      </c>
      <c r="M382">
        <v>979456227</v>
      </c>
      <c r="N382">
        <v>635518850</v>
      </c>
      <c r="O382">
        <v>734362616</v>
      </c>
      <c r="P382">
        <v>966</v>
      </c>
      <c r="Q382" t="s">
        <v>919</v>
      </c>
    </row>
    <row r="383" spans="1:17" x14ac:dyDescent="0.3">
      <c r="A383" t="s">
        <v>59</v>
      </c>
      <c r="B383" t="str">
        <f>"002797"</f>
        <v>002797</v>
      </c>
      <c r="C383" t="s">
        <v>920</v>
      </c>
      <c r="D383" t="s">
        <v>75</v>
      </c>
      <c r="F383">
        <v>1230520685</v>
      </c>
      <c r="G383">
        <v>-190323757</v>
      </c>
      <c r="H383">
        <v>2309804049</v>
      </c>
      <c r="I383">
        <v>-832723460</v>
      </c>
      <c r="J383">
        <v>458169528</v>
      </c>
      <c r="K383">
        <v>-6857913199</v>
      </c>
      <c r="L383">
        <v>3933647303</v>
      </c>
      <c r="M383">
        <v>2475914471</v>
      </c>
      <c r="N383">
        <v>-1952137890</v>
      </c>
      <c r="O383">
        <v>1187261.9099999999</v>
      </c>
      <c r="P383">
        <v>838</v>
      </c>
      <c r="Q383" t="s">
        <v>921</v>
      </c>
    </row>
    <row r="384" spans="1:17" x14ac:dyDescent="0.3">
      <c r="A384" t="s">
        <v>17</v>
      </c>
      <c r="B384" t="str">
        <f>"603195"</f>
        <v>603195</v>
      </c>
      <c r="C384" t="s">
        <v>922</v>
      </c>
      <c r="D384" t="s">
        <v>923</v>
      </c>
      <c r="F384">
        <v>3014326741</v>
      </c>
      <c r="G384">
        <v>3437202712</v>
      </c>
      <c r="H384">
        <v>2297332006</v>
      </c>
      <c r="I384">
        <v>1910158769</v>
      </c>
      <c r="J384">
        <v>1163785701</v>
      </c>
      <c r="K384">
        <v>1779243600</v>
      </c>
      <c r="P384">
        <v>1473</v>
      </c>
      <c r="Q384" t="s">
        <v>924</v>
      </c>
    </row>
    <row r="385" spans="1:17" x14ac:dyDescent="0.3">
      <c r="A385" t="s">
        <v>59</v>
      </c>
      <c r="B385" t="str">
        <f>"300979"</f>
        <v>300979</v>
      </c>
      <c r="C385" t="s">
        <v>925</v>
      </c>
      <c r="D385" t="s">
        <v>926</v>
      </c>
      <c r="F385">
        <v>2422966947</v>
      </c>
      <c r="G385">
        <v>2978166964</v>
      </c>
      <c r="H385">
        <v>2288315481</v>
      </c>
      <c r="I385">
        <v>1731954657</v>
      </c>
      <c r="J385">
        <v>1234985121</v>
      </c>
      <c r="P385">
        <v>95</v>
      </c>
      <c r="Q385" t="s">
        <v>927</v>
      </c>
    </row>
    <row r="386" spans="1:17" x14ac:dyDescent="0.3">
      <c r="A386" t="s">
        <v>59</v>
      </c>
      <c r="B386" t="str">
        <f>"000863"</f>
        <v>000863</v>
      </c>
      <c r="C386" t="s">
        <v>928</v>
      </c>
      <c r="D386" t="s">
        <v>61</v>
      </c>
      <c r="F386">
        <v>171121222</v>
      </c>
      <c r="G386">
        <v>2825894876</v>
      </c>
      <c r="H386">
        <v>2275105789</v>
      </c>
      <c r="I386">
        <v>1716858231</v>
      </c>
      <c r="J386">
        <v>-2545673422</v>
      </c>
      <c r="K386">
        <v>691104492</v>
      </c>
      <c r="L386">
        <v>-768907547</v>
      </c>
      <c r="M386">
        <v>-1425465823</v>
      </c>
      <c r="N386">
        <v>-204524341</v>
      </c>
      <c r="O386">
        <v>592891845</v>
      </c>
      <c r="P386">
        <v>171</v>
      </c>
      <c r="Q386" t="s">
        <v>929</v>
      </c>
    </row>
    <row r="387" spans="1:17" x14ac:dyDescent="0.3">
      <c r="A387" t="s">
        <v>17</v>
      </c>
      <c r="B387" t="str">
        <f>"600085"</f>
        <v>600085</v>
      </c>
      <c r="C387" t="s">
        <v>930</v>
      </c>
      <c r="D387" t="s">
        <v>455</v>
      </c>
      <c r="F387">
        <v>3426414564</v>
      </c>
      <c r="G387">
        <v>2174631664</v>
      </c>
      <c r="H387">
        <v>2273710539</v>
      </c>
      <c r="I387">
        <v>1928378995</v>
      </c>
      <c r="J387">
        <v>1448915163</v>
      </c>
      <c r="K387">
        <v>1045766483</v>
      </c>
      <c r="L387">
        <v>832472846</v>
      </c>
      <c r="M387">
        <v>696013987</v>
      </c>
      <c r="N387">
        <v>676398667</v>
      </c>
      <c r="O387">
        <v>873968415</v>
      </c>
      <c r="P387">
        <v>2030</v>
      </c>
      <c r="Q387" t="s">
        <v>931</v>
      </c>
    </row>
    <row r="388" spans="1:17" x14ac:dyDescent="0.3">
      <c r="A388" t="s">
        <v>59</v>
      </c>
      <c r="B388" t="str">
        <f>"000078"</f>
        <v>000078</v>
      </c>
      <c r="C388" t="s">
        <v>932</v>
      </c>
      <c r="D388" t="s">
        <v>396</v>
      </c>
      <c r="F388">
        <v>866120634</v>
      </c>
      <c r="G388">
        <v>1650554960</v>
      </c>
      <c r="H388">
        <v>2268621935</v>
      </c>
      <c r="I388">
        <v>-1135175523</v>
      </c>
      <c r="J388">
        <v>-2432914043</v>
      </c>
      <c r="K388">
        <v>-1496994920</v>
      </c>
      <c r="L388">
        <v>90507111</v>
      </c>
      <c r="M388">
        <v>-117480859</v>
      </c>
      <c r="N388">
        <v>-123071951</v>
      </c>
      <c r="O388">
        <v>-81725560</v>
      </c>
      <c r="P388">
        <v>291</v>
      </c>
      <c r="Q388" t="s">
        <v>933</v>
      </c>
    </row>
    <row r="389" spans="1:17" x14ac:dyDescent="0.3">
      <c r="A389" t="s">
        <v>17</v>
      </c>
      <c r="B389" t="str">
        <f>"600208"</f>
        <v>600208</v>
      </c>
      <c r="C389" t="s">
        <v>934</v>
      </c>
      <c r="D389" t="s">
        <v>61</v>
      </c>
      <c r="F389">
        <v>14560445371</v>
      </c>
      <c r="G389">
        <v>5039415978</v>
      </c>
      <c r="H389">
        <v>2267505772</v>
      </c>
      <c r="I389">
        <v>-3778675669</v>
      </c>
      <c r="J389">
        <v>1683174246</v>
      </c>
      <c r="K389">
        <v>4628101821</v>
      </c>
      <c r="L389">
        <v>701793577</v>
      </c>
      <c r="M389">
        <v>-5008432533</v>
      </c>
      <c r="N389">
        <v>-861632484</v>
      </c>
      <c r="O389">
        <v>-115774183</v>
      </c>
      <c r="P389">
        <v>331</v>
      </c>
      <c r="Q389" t="s">
        <v>935</v>
      </c>
    </row>
    <row r="390" spans="1:17" x14ac:dyDescent="0.3">
      <c r="A390" t="s">
        <v>59</v>
      </c>
      <c r="B390" t="str">
        <f>"000422"</f>
        <v>000422</v>
      </c>
      <c r="C390" t="s">
        <v>936</v>
      </c>
      <c r="D390" t="s">
        <v>317</v>
      </c>
      <c r="F390">
        <v>3658608151</v>
      </c>
      <c r="G390">
        <v>1260708215</v>
      </c>
      <c r="H390">
        <v>2253870396</v>
      </c>
      <c r="I390">
        <v>165983658</v>
      </c>
      <c r="J390">
        <v>1215949642</v>
      </c>
      <c r="K390">
        <v>2453696349</v>
      </c>
      <c r="L390">
        <v>4836730789</v>
      </c>
      <c r="M390">
        <v>3657926602</v>
      </c>
      <c r="N390">
        <v>2861735410</v>
      </c>
      <c r="O390">
        <v>4027086722</v>
      </c>
      <c r="P390">
        <v>257</v>
      </c>
      <c r="Q390" t="s">
        <v>937</v>
      </c>
    </row>
    <row r="391" spans="1:17" x14ac:dyDescent="0.3">
      <c r="A391" t="s">
        <v>17</v>
      </c>
      <c r="B391" t="str">
        <f>"600971"</f>
        <v>600971</v>
      </c>
      <c r="C391" t="s">
        <v>938</v>
      </c>
      <c r="D391" t="s">
        <v>54</v>
      </c>
      <c r="F391">
        <v>2153365521</v>
      </c>
      <c r="G391">
        <v>1666320823</v>
      </c>
      <c r="H391">
        <v>2249378469</v>
      </c>
      <c r="I391">
        <v>2376968063</v>
      </c>
      <c r="J391">
        <v>2754881707</v>
      </c>
      <c r="K391">
        <v>1938220023</v>
      </c>
      <c r="L391">
        <v>-230154282</v>
      </c>
      <c r="M391">
        <v>212030355</v>
      </c>
      <c r="N391">
        <v>621880308</v>
      </c>
      <c r="O391">
        <v>1517246266</v>
      </c>
      <c r="P391">
        <v>1522</v>
      </c>
      <c r="Q391" t="s">
        <v>939</v>
      </c>
    </row>
    <row r="392" spans="1:17" x14ac:dyDescent="0.3">
      <c r="A392" t="s">
        <v>17</v>
      </c>
      <c r="B392" t="str">
        <f>"601158"</f>
        <v>601158</v>
      </c>
      <c r="C392" t="s">
        <v>940</v>
      </c>
      <c r="D392" t="s">
        <v>669</v>
      </c>
      <c r="F392">
        <v>2734704902</v>
      </c>
      <c r="G392">
        <v>2301313982</v>
      </c>
      <c r="H392">
        <v>2241922143</v>
      </c>
      <c r="I392">
        <v>2366234254</v>
      </c>
      <c r="J392">
        <v>1997218195</v>
      </c>
      <c r="K392">
        <v>2129175624</v>
      </c>
      <c r="L392">
        <v>2052404566</v>
      </c>
      <c r="M392">
        <v>2177246383</v>
      </c>
      <c r="N392">
        <v>2273117963</v>
      </c>
      <c r="O392">
        <v>1981916119</v>
      </c>
      <c r="P392">
        <v>587</v>
      </c>
      <c r="Q392" t="s">
        <v>941</v>
      </c>
    </row>
    <row r="393" spans="1:17" x14ac:dyDescent="0.3">
      <c r="A393" t="s">
        <v>59</v>
      </c>
      <c r="B393" t="str">
        <f>"000656"</f>
        <v>000656</v>
      </c>
      <c r="C393" t="s">
        <v>942</v>
      </c>
      <c r="D393" t="s">
        <v>61</v>
      </c>
      <c r="F393">
        <v>14204064821</v>
      </c>
      <c r="G393">
        <v>14507907188</v>
      </c>
      <c r="H393">
        <v>2238735232</v>
      </c>
      <c r="I393">
        <v>1329109451</v>
      </c>
      <c r="J393">
        <v>-8485546381</v>
      </c>
      <c r="K393">
        <v>6244121481</v>
      </c>
      <c r="L393">
        <v>412270028</v>
      </c>
      <c r="M393">
        <v>-8384763000</v>
      </c>
      <c r="N393">
        <v>-4518006054</v>
      </c>
      <c r="O393">
        <v>-312555572</v>
      </c>
      <c r="P393">
        <v>1065</v>
      </c>
      <c r="Q393" t="s">
        <v>943</v>
      </c>
    </row>
    <row r="394" spans="1:17" x14ac:dyDescent="0.3">
      <c r="A394" t="s">
        <v>59</v>
      </c>
      <c r="B394" t="str">
        <f>"200028"</f>
        <v>200028</v>
      </c>
      <c r="C394" t="s">
        <v>944</v>
      </c>
      <c r="F394">
        <v>2023955298.6756001</v>
      </c>
      <c r="G394">
        <v>1782407739.8878</v>
      </c>
      <c r="H394">
        <v>2237393804.8354998</v>
      </c>
      <c r="I394">
        <v>1505787331.7520001</v>
      </c>
      <c r="J394">
        <v>1542607352.7823999</v>
      </c>
      <c r="K394">
        <v>1643655385.3255999</v>
      </c>
      <c r="L394">
        <v>1250972655.2511001</v>
      </c>
      <c r="M394">
        <v>-996189968.81280005</v>
      </c>
      <c r="N394">
        <v>596026515.76999998</v>
      </c>
      <c r="O394">
        <v>403194807.45179999</v>
      </c>
      <c r="P394">
        <v>209</v>
      </c>
      <c r="Q394" t="s">
        <v>945</v>
      </c>
    </row>
    <row r="395" spans="1:17" x14ac:dyDescent="0.3">
      <c r="A395" t="s">
        <v>59</v>
      </c>
      <c r="B395" t="str">
        <f>"200429"</f>
        <v>200429</v>
      </c>
      <c r="C395" t="s">
        <v>946</v>
      </c>
      <c r="F395">
        <v>4487363844.8388004</v>
      </c>
      <c r="G395">
        <v>3126781686.5500998</v>
      </c>
      <c r="H395">
        <v>2224195297.9130001</v>
      </c>
      <c r="I395">
        <v>2181349580.553</v>
      </c>
      <c r="J395">
        <v>2634426907.9850001</v>
      </c>
      <c r="K395">
        <v>2147858965.1195998</v>
      </c>
      <c r="L395">
        <v>1190110891.4667001</v>
      </c>
      <c r="M395">
        <v>1209439080.4488001</v>
      </c>
      <c r="N395">
        <v>970825945.14429998</v>
      </c>
      <c r="O395">
        <v>773115069.6164</v>
      </c>
      <c r="P395">
        <v>453</v>
      </c>
      <c r="Q395" t="s">
        <v>947</v>
      </c>
    </row>
    <row r="396" spans="1:17" x14ac:dyDescent="0.3">
      <c r="A396" t="s">
        <v>59</v>
      </c>
      <c r="B396" t="str">
        <f>"000060"</f>
        <v>000060</v>
      </c>
      <c r="C396" t="s">
        <v>948</v>
      </c>
      <c r="D396" t="s">
        <v>856</v>
      </c>
      <c r="F396">
        <v>1767516529</v>
      </c>
      <c r="G396">
        <v>1602286399</v>
      </c>
      <c r="H396">
        <v>2221317093</v>
      </c>
      <c r="I396">
        <v>1971769056</v>
      </c>
      <c r="J396">
        <v>2469242827</v>
      </c>
      <c r="K396">
        <v>1406369904</v>
      </c>
      <c r="L396">
        <v>335015672</v>
      </c>
      <c r="M396">
        <v>859415243</v>
      </c>
      <c r="N396">
        <v>971028259</v>
      </c>
      <c r="O396">
        <v>1487007726</v>
      </c>
      <c r="P396">
        <v>373</v>
      </c>
      <c r="Q396" t="s">
        <v>949</v>
      </c>
    </row>
    <row r="397" spans="1:17" x14ac:dyDescent="0.3">
      <c r="A397" t="s">
        <v>59</v>
      </c>
      <c r="B397" t="str">
        <f>"000767"</f>
        <v>000767</v>
      </c>
      <c r="C397" t="s">
        <v>950</v>
      </c>
      <c r="D397" t="s">
        <v>98</v>
      </c>
      <c r="F397">
        <v>2045614545</v>
      </c>
      <c r="G397">
        <v>2843943731</v>
      </c>
      <c r="H397">
        <v>2216905412</v>
      </c>
      <c r="I397">
        <v>2018353229</v>
      </c>
      <c r="J397">
        <v>1157728879</v>
      </c>
      <c r="K397">
        <v>1553571803</v>
      </c>
      <c r="L397">
        <v>2777347128</v>
      </c>
      <c r="M397">
        <v>2816877057</v>
      </c>
      <c r="N397">
        <v>2212173514</v>
      </c>
      <c r="O397">
        <v>382698200</v>
      </c>
      <c r="P397">
        <v>173</v>
      </c>
      <c r="Q397" t="s">
        <v>951</v>
      </c>
    </row>
    <row r="398" spans="1:17" x14ac:dyDescent="0.3">
      <c r="A398" t="s">
        <v>59</v>
      </c>
      <c r="B398" t="str">
        <f>"002422"</f>
        <v>002422</v>
      </c>
      <c r="C398" t="s">
        <v>952</v>
      </c>
      <c r="D398" t="s">
        <v>592</v>
      </c>
      <c r="F398">
        <v>2847118428</v>
      </c>
      <c r="G398">
        <v>2219381519</v>
      </c>
      <c r="H398">
        <v>2216737639</v>
      </c>
      <c r="I398">
        <v>2953506967</v>
      </c>
      <c r="J398">
        <v>1102520828</v>
      </c>
      <c r="K398">
        <v>1725407415</v>
      </c>
      <c r="L398">
        <v>1239429436</v>
      </c>
      <c r="M398">
        <v>1218735938</v>
      </c>
      <c r="N398">
        <v>1050373845</v>
      </c>
      <c r="O398">
        <v>402771467</v>
      </c>
      <c r="P398">
        <v>927</v>
      </c>
      <c r="Q398" t="s">
        <v>953</v>
      </c>
    </row>
    <row r="399" spans="1:17" x14ac:dyDescent="0.3">
      <c r="A399" t="s">
        <v>17</v>
      </c>
      <c r="B399" t="str">
        <f>"600673"</f>
        <v>600673</v>
      </c>
      <c r="C399" t="s">
        <v>954</v>
      </c>
      <c r="D399" t="s">
        <v>592</v>
      </c>
      <c r="F399">
        <v>1863734159</v>
      </c>
      <c r="G399">
        <v>1291115794</v>
      </c>
      <c r="H399">
        <v>2215869577</v>
      </c>
      <c r="I399">
        <v>1405852831</v>
      </c>
      <c r="J399">
        <v>498236392</v>
      </c>
      <c r="K399">
        <v>456527033</v>
      </c>
      <c r="L399">
        <v>599275845</v>
      </c>
      <c r="M399">
        <v>719744530</v>
      </c>
      <c r="N399">
        <v>695887273</v>
      </c>
      <c r="O399">
        <v>470945987</v>
      </c>
      <c r="P399">
        <v>274</v>
      </c>
      <c r="Q399" t="s">
        <v>955</v>
      </c>
    </row>
    <row r="400" spans="1:17" x14ac:dyDescent="0.3">
      <c r="A400" t="s">
        <v>17</v>
      </c>
      <c r="B400" t="str">
        <f>"600489"</f>
        <v>600489</v>
      </c>
      <c r="C400" t="s">
        <v>956</v>
      </c>
      <c r="D400" t="s">
        <v>530</v>
      </c>
      <c r="F400">
        <v>4389099101</v>
      </c>
      <c r="G400">
        <v>4563350162</v>
      </c>
      <c r="H400">
        <v>2186887402</v>
      </c>
      <c r="I400">
        <v>2417981828</v>
      </c>
      <c r="J400">
        <v>630234630</v>
      </c>
      <c r="K400">
        <v>989965341</v>
      </c>
      <c r="L400">
        <v>-1508498735</v>
      </c>
      <c r="M400">
        <v>811612429</v>
      </c>
      <c r="N400">
        <v>813013050</v>
      </c>
      <c r="O400">
        <v>2446127741</v>
      </c>
      <c r="P400">
        <v>454</v>
      </c>
      <c r="Q400" t="s">
        <v>957</v>
      </c>
    </row>
    <row r="401" spans="1:17" x14ac:dyDescent="0.3">
      <c r="A401" t="s">
        <v>59</v>
      </c>
      <c r="B401" t="str">
        <f>"002602"</f>
        <v>002602</v>
      </c>
      <c r="C401" t="s">
        <v>958</v>
      </c>
      <c r="D401" t="s">
        <v>689</v>
      </c>
      <c r="F401">
        <v>890440514</v>
      </c>
      <c r="G401">
        <v>3173650846</v>
      </c>
      <c r="H401">
        <v>2178304329</v>
      </c>
      <c r="I401">
        <v>930049465</v>
      </c>
      <c r="J401">
        <v>198883096</v>
      </c>
      <c r="K401">
        <v>713769228</v>
      </c>
      <c r="L401">
        <v>476859520</v>
      </c>
      <c r="M401">
        <v>245450358</v>
      </c>
      <c r="N401">
        <v>70701834</v>
      </c>
      <c r="O401">
        <v>83007648</v>
      </c>
      <c r="P401">
        <v>718</v>
      </c>
      <c r="Q401" t="s">
        <v>959</v>
      </c>
    </row>
    <row r="402" spans="1:17" x14ac:dyDescent="0.3">
      <c r="A402" t="s">
        <v>17</v>
      </c>
      <c r="B402" t="str">
        <f>"600707"</f>
        <v>600707</v>
      </c>
      <c r="C402" t="s">
        <v>960</v>
      </c>
      <c r="D402" t="s">
        <v>139</v>
      </c>
      <c r="F402">
        <v>7096452919</v>
      </c>
      <c r="G402">
        <v>3957920739</v>
      </c>
      <c r="H402">
        <v>2163420788</v>
      </c>
      <c r="I402">
        <v>1227051944</v>
      </c>
      <c r="J402">
        <v>179031043</v>
      </c>
      <c r="K402">
        <v>-107272139</v>
      </c>
      <c r="L402">
        <v>-138581487</v>
      </c>
      <c r="M402">
        <v>-145986677</v>
      </c>
      <c r="N402">
        <v>37766809</v>
      </c>
      <c r="O402">
        <v>-56893769</v>
      </c>
      <c r="P402">
        <v>251</v>
      </c>
      <c r="Q402" t="s">
        <v>961</v>
      </c>
    </row>
    <row r="403" spans="1:17" x14ac:dyDescent="0.3">
      <c r="A403" t="s">
        <v>17</v>
      </c>
      <c r="B403" t="str">
        <f>"603833"</f>
        <v>603833</v>
      </c>
      <c r="C403" t="s">
        <v>962</v>
      </c>
      <c r="D403" t="s">
        <v>963</v>
      </c>
      <c r="F403">
        <v>4045966670</v>
      </c>
      <c r="G403">
        <v>3889455693</v>
      </c>
      <c r="H403">
        <v>2156335589</v>
      </c>
      <c r="I403">
        <v>2018209399</v>
      </c>
      <c r="J403">
        <v>1877862801</v>
      </c>
      <c r="K403">
        <v>1496770843</v>
      </c>
      <c r="L403">
        <v>624924839</v>
      </c>
      <c r="M403">
        <v>906252830</v>
      </c>
      <c r="P403">
        <v>2566</v>
      </c>
      <c r="Q403" t="s">
        <v>964</v>
      </c>
    </row>
    <row r="404" spans="1:17" x14ac:dyDescent="0.3">
      <c r="A404" t="s">
        <v>17</v>
      </c>
      <c r="B404" t="str">
        <f>"600566"</f>
        <v>600566</v>
      </c>
      <c r="C404" t="s">
        <v>965</v>
      </c>
      <c r="D404" t="s">
        <v>455</v>
      </c>
      <c r="F404">
        <v>1894329393</v>
      </c>
      <c r="G404">
        <v>1781691163</v>
      </c>
      <c r="H404">
        <v>2147676112</v>
      </c>
      <c r="I404">
        <v>1709147319</v>
      </c>
      <c r="J404">
        <v>1188750420</v>
      </c>
      <c r="K404">
        <v>913095390</v>
      </c>
      <c r="L404">
        <v>645475176</v>
      </c>
      <c r="M404">
        <v>616112024</v>
      </c>
      <c r="N404">
        <v>287164898</v>
      </c>
      <c r="O404">
        <v>27010323</v>
      </c>
      <c r="P404">
        <v>13801</v>
      </c>
      <c r="Q404" t="s">
        <v>966</v>
      </c>
    </row>
    <row r="405" spans="1:17" x14ac:dyDescent="0.3">
      <c r="A405" t="s">
        <v>59</v>
      </c>
      <c r="B405" t="str">
        <f>"002458"</f>
        <v>002458</v>
      </c>
      <c r="C405" t="s">
        <v>967</v>
      </c>
      <c r="D405" t="s">
        <v>470</v>
      </c>
      <c r="F405">
        <v>100251756</v>
      </c>
      <c r="G405">
        <v>58166557</v>
      </c>
      <c r="H405">
        <v>2134744427</v>
      </c>
      <c r="I405">
        <v>428795290</v>
      </c>
      <c r="J405">
        <v>-140988484</v>
      </c>
      <c r="K405">
        <v>571257593</v>
      </c>
      <c r="L405">
        <v>-261497297</v>
      </c>
      <c r="M405">
        <v>70034625</v>
      </c>
      <c r="N405">
        <v>-98285504</v>
      </c>
      <c r="O405">
        <v>71892616</v>
      </c>
      <c r="P405">
        <v>815</v>
      </c>
      <c r="Q405" t="s">
        <v>968</v>
      </c>
    </row>
    <row r="406" spans="1:17" x14ac:dyDescent="0.3">
      <c r="A406" t="s">
        <v>17</v>
      </c>
      <c r="B406" t="str">
        <f>"600225"</f>
        <v>600225</v>
      </c>
      <c r="C406" t="s">
        <v>969</v>
      </c>
      <c r="D406" t="s">
        <v>61</v>
      </c>
      <c r="F406">
        <v>-636133552</v>
      </c>
      <c r="G406">
        <v>513058684</v>
      </c>
      <c r="H406">
        <v>2131313300</v>
      </c>
      <c r="I406">
        <v>1577990637</v>
      </c>
      <c r="J406">
        <v>-684537939</v>
      </c>
      <c r="K406">
        <v>503587769</v>
      </c>
      <c r="L406">
        <v>-792474520</v>
      </c>
      <c r="M406">
        <v>-1475844814</v>
      </c>
      <c r="N406">
        <v>-1675648604</v>
      </c>
      <c r="O406">
        <v>-421222273</v>
      </c>
      <c r="P406">
        <v>110</v>
      </c>
      <c r="Q406" t="s">
        <v>970</v>
      </c>
    </row>
    <row r="407" spans="1:17" x14ac:dyDescent="0.3">
      <c r="A407" t="s">
        <v>17</v>
      </c>
      <c r="B407" t="str">
        <f>"603816"</f>
        <v>603816</v>
      </c>
      <c r="C407" t="s">
        <v>971</v>
      </c>
      <c r="D407" t="s">
        <v>972</v>
      </c>
      <c r="F407">
        <v>2040643222</v>
      </c>
      <c r="G407">
        <v>2180405293</v>
      </c>
      <c r="H407">
        <v>2124141757</v>
      </c>
      <c r="I407">
        <v>1009503764</v>
      </c>
      <c r="J407">
        <v>1136221813</v>
      </c>
      <c r="K407">
        <v>974597075</v>
      </c>
      <c r="L407">
        <v>762093686</v>
      </c>
      <c r="M407">
        <v>228504789</v>
      </c>
      <c r="N407">
        <v>454528928</v>
      </c>
      <c r="P407">
        <v>1965</v>
      </c>
      <c r="Q407" t="s">
        <v>973</v>
      </c>
    </row>
    <row r="408" spans="1:17" x14ac:dyDescent="0.3">
      <c r="A408" t="s">
        <v>59</v>
      </c>
      <c r="B408" t="str">
        <f>"002008"</f>
        <v>002008</v>
      </c>
      <c r="C408" t="s">
        <v>974</v>
      </c>
      <c r="D408" t="s">
        <v>975</v>
      </c>
      <c r="F408">
        <v>1311590758</v>
      </c>
      <c r="G408">
        <v>1891763227</v>
      </c>
      <c r="H408">
        <v>2123412788</v>
      </c>
      <c r="I408">
        <v>796557095</v>
      </c>
      <c r="J408">
        <v>1973559467</v>
      </c>
      <c r="K408">
        <v>796300962</v>
      </c>
      <c r="L408">
        <v>538806484</v>
      </c>
      <c r="M408">
        <v>958317537</v>
      </c>
      <c r="N408">
        <v>662964067</v>
      </c>
      <c r="O408">
        <v>415805791</v>
      </c>
      <c r="P408">
        <v>4830</v>
      </c>
      <c r="Q408" t="s">
        <v>976</v>
      </c>
    </row>
    <row r="409" spans="1:17" x14ac:dyDescent="0.3">
      <c r="A409" t="s">
        <v>59</v>
      </c>
      <c r="B409" t="str">
        <f>"002146"</f>
        <v>002146</v>
      </c>
      <c r="C409" t="s">
        <v>977</v>
      </c>
      <c r="D409" t="s">
        <v>61</v>
      </c>
      <c r="F409">
        <v>16915150922</v>
      </c>
      <c r="G409">
        <v>1366658580</v>
      </c>
      <c r="H409">
        <v>2119738884</v>
      </c>
      <c r="I409">
        <v>17511658542</v>
      </c>
      <c r="J409">
        <v>2273669394</v>
      </c>
      <c r="K409">
        <v>-3694886907</v>
      </c>
      <c r="L409">
        <v>-2473456285</v>
      </c>
      <c r="M409">
        <v>-1660815661</v>
      </c>
      <c r="N409">
        <v>-4736187064</v>
      </c>
      <c r="O409">
        <v>-1202731786</v>
      </c>
      <c r="P409">
        <v>12588</v>
      </c>
      <c r="Q409" t="s">
        <v>978</v>
      </c>
    </row>
    <row r="410" spans="1:17" x14ac:dyDescent="0.3">
      <c r="A410" t="s">
        <v>59</v>
      </c>
      <c r="B410" t="str">
        <f>"002091"</f>
        <v>002091</v>
      </c>
      <c r="C410" t="s">
        <v>979</v>
      </c>
      <c r="D410" t="s">
        <v>659</v>
      </c>
      <c r="F410">
        <v>-446734508</v>
      </c>
      <c r="G410">
        <v>4330174109</v>
      </c>
      <c r="H410">
        <v>2112903849</v>
      </c>
      <c r="I410">
        <v>1729723057</v>
      </c>
      <c r="J410">
        <v>-104282534</v>
      </c>
      <c r="K410">
        <v>1354263790</v>
      </c>
      <c r="L410">
        <v>-157351221</v>
      </c>
      <c r="M410">
        <v>62837696</v>
      </c>
      <c r="N410">
        <v>128313052</v>
      </c>
      <c r="O410">
        <v>258937915</v>
      </c>
      <c r="P410">
        <v>509</v>
      </c>
      <c r="Q410" t="s">
        <v>980</v>
      </c>
    </row>
    <row r="411" spans="1:17" x14ac:dyDescent="0.3">
      <c r="A411" t="s">
        <v>59</v>
      </c>
      <c r="B411" t="str">
        <f>"000538"</f>
        <v>000538</v>
      </c>
      <c r="C411" t="s">
        <v>981</v>
      </c>
      <c r="D411" t="s">
        <v>455</v>
      </c>
      <c r="F411">
        <v>5223278283</v>
      </c>
      <c r="G411">
        <v>3828906632</v>
      </c>
      <c r="H411">
        <v>2104744825</v>
      </c>
      <c r="I411">
        <v>2629807237</v>
      </c>
      <c r="J411">
        <v>1155689949</v>
      </c>
      <c r="K411">
        <v>2984757683</v>
      </c>
      <c r="L411">
        <v>2179500401</v>
      </c>
      <c r="M411">
        <v>1586864180</v>
      </c>
      <c r="N411">
        <v>341641587</v>
      </c>
      <c r="O411">
        <v>794948911</v>
      </c>
      <c r="P411">
        <v>30717</v>
      </c>
      <c r="Q411" t="s">
        <v>982</v>
      </c>
    </row>
    <row r="412" spans="1:17" x14ac:dyDescent="0.3">
      <c r="A412" t="s">
        <v>59</v>
      </c>
      <c r="B412" t="str">
        <f>"002001"</f>
        <v>002001</v>
      </c>
      <c r="C412" t="s">
        <v>983</v>
      </c>
      <c r="D412" t="s">
        <v>984</v>
      </c>
      <c r="F412">
        <v>5837878052</v>
      </c>
      <c r="G412">
        <v>3122807363</v>
      </c>
      <c r="H412">
        <v>2102315195</v>
      </c>
      <c r="I412">
        <v>3660322312</v>
      </c>
      <c r="J412">
        <v>1271723760</v>
      </c>
      <c r="K412">
        <v>1190295713</v>
      </c>
      <c r="L412">
        <v>972022384</v>
      </c>
      <c r="M412">
        <v>1079736503</v>
      </c>
      <c r="N412">
        <v>1335018638</v>
      </c>
      <c r="O412">
        <v>985864876</v>
      </c>
      <c r="P412">
        <v>1984</v>
      </c>
      <c r="Q412" t="s">
        <v>985</v>
      </c>
    </row>
    <row r="413" spans="1:17" x14ac:dyDescent="0.3">
      <c r="A413" t="s">
        <v>59</v>
      </c>
      <c r="B413" t="str">
        <f>"000960"</f>
        <v>000960</v>
      </c>
      <c r="C413" t="s">
        <v>986</v>
      </c>
      <c r="D413" t="s">
        <v>987</v>
      </c>
      <c r="F413">
        <v>2914970492</v>
      </c>
      <c r="G413">
        <v>2037994026</v>
      </c>
      <c r="H413">
        <v>2100877375</v>
      </c>
      <c r="I413">
        <v>2547194262</v>
      </c>
      <c r="J413">
        <v>2294948090</v>
      </c>
      <c r="K413">
        <v>1798118501</v>
      </c>
      <c r="L413">
        <v>2030756348</v>
      </c>
      <c r="M413">
        <v>1730784086</v>
      </c>
      <c r="N413">
        <v>2184091602</v>
      </c>
      <c r="O413">
        <v>276554620</v>
      </c>
      <c r="P413">
        <v>356</v>
      </c>
      <c r="Q413" t="s">
        <v>988</v>
      </c>
    </row>
    <row r="414" spans="1:17" x14ac:dyDescent="0.3">
      <c r="A414" t="s">
        <v>59</v>
      </c>
      <c r="B414" t="str">
        <f>"000800"</f>
        <v>000800</v>
      </c>
      <c r="C414" t="s">
        <v>989</v>
      </c>
      <c r="D414" t="s">
        <v>475</v>
      </c>
      <c r="F414">
        <v>15203123279</v>
      </c>
      <c r="G414">
        <v>-780466106</v>
      </c>
      <c r="H414">
        <v>2098335078</v>
      </c>
      <c r="I414">
        <v>85192802</v>
      </c>
      <c r="J414">
        <v>2285079918</v>
      </c>
      <c r="K414">
        <v>567644521</v>
      </c>
      <c r="L414">
        <v>839565223</v>
      </c>
      <c r="M414">
        <v>291061293</v>
      </c>
      <c r="N414">
        <v>1393764478</v>
      </c>
      <c r="O414">
        <v>1509640522</v>
      </c>
      <c r="P414">
        <v>446</v>
      </c>
      <c r="Q414" t="s">
        <v>990</v>
      </c>
    </row>
    <row r="415" spans="1:17" x14ac:dyDescent="0.3">
      <c r="A415" t="s">
        <v>59</v>
      </c>
      <c r="B415" t="str">
        <f>"002589"</f>
        <v>002589</v>
      </c>
      <c r="C415" t="s">
        <v>991</v>
      </c>
      <c r="D415" t="s">
        <v>396</v>
      </c>
      <c r="F415">
        <v>442952612</v>
      </c>
      <c r="G415">
        <v>364539133</v>
      </c>
      <c r="H415">
        <v>2094524875</v>
      </c>
      <c r="I415">
        <v>-169414942</v>
      </c>
      <c r="J415">
        <v>-2421912440</v>
      </c>
      <c r="K415">
        <v>-1759045836</v>
      </c>
      <c r="L415">
        <v>-466261669</v>
      </c>
      <c r="M415">
        <v>-163621029</v>
      </c>
      <c r="N415">
        <v>-274459110</v>
      </c>
      <c r="O415">
        <v>-170520250</v>
      </c>
      <c r="P415">
        <v>460</v>
      </c>
      <c r="Q415" t="s">
        <v>992</v>
      </c>
    </row>
    <row r="416" spans="1:17" x14ac:dyDescent="0.3">
      <c r="A416" t="s">
        <v>59</v>
      </c>
      <c r="B416" t="str">
        <f>"002110"</f>
        <v>002110</v>
      </c>
      <c r="C416" t="s">
        <v>993</v>
      </c>
      <c r="D416" t="s">
        <v>994</v>
      </c>
      <c r="F416">
        <v>981350646</v>
      </c>
      <c r="G416">
        <v>4855786611</v>
      </c>
      <c r="H416">
        <v>2091812219</v>
      </c>
      <c r="I416">
        <v>7017272852</v>
      </c>
      <c r="J416">
        <v>2999138312</v>
      </c>
      <c r="K416">
        <v>997889107</v>
      </c>
      <c r="L416">
        <v>414114772</v>
      </c>
      <c r="M416">
        <v>1367087982</v>
      </c>
      <c r="N416">
        <v>512820545</v>
      </c>
      <c r="O416">
        <v>-17551013</v>
      </c>
      <c r="P416">
        <v>1174</v>
      </c>
      <c r="Q416" t="s">
        <v>995</v>
      </c>
    </row>
    <row r="417" spans="1:17" x14ac:dyDescent="0.3">
      <c r="A417" t="s">
        <v>59</v>
      </c>
      <c r="B417" t="str">
        <f>"002004"</f>
        <v>002004</v>
      </c>
      <c r="C417" t="s">
        <v>996</v>
      </c>
      <c r="D417" t="s">
        <v>592</v>
      </c>
      <c r="F417">
        <v>1269621986</v>
      </c>
      <c r="G417">
        <v>2372722439</v>
      </c>
      <c r="H417">
        <v>2082144718</v>
      </c>
      <c r="I417">
        <v>1908623127</v>
      </c>
      <c r="J417">
        <v>591399507</v>
      </c>
      <c r="K417">
        <v>511900517</v>
      </c>
      <c r="L417">
        <v>342447446</v>
      </c>
      <c r="M417">
        <v>455964028</v>
      </c>
      <c r="N417">
        <v>349505047</v>
      </c>
      <c r="O417">
        <v>257750434</v>
      </c>
      <c r="P417">
        <v>328</v>
      </c>
      <c r="Q417" t="s">
        <v>997</v>
      </c>
    </row>
    <row r="418" spans="1:17" x14ac:dyDescent="0.3">
      <c r="A418" t="s">
        <v>59</v>
      </c>
      <c r="B418" t="str">
        <f>"300015"</f>
        <v>300015</v>
      </c>
      <c r="C418" t="s">
        <v>998</v>
      </c>
      <c r="D418" t="s">
        <v>999</v>
      </c>
      <c r="F418">
        <v>4084103958</v>
      </c>
      <c r="G418">
        <v>3343611325</v>
      </c>
      <c r="H418">
        <v>2078432735</v>
      </c>
      <c r="I418">
        <v>1399870398</v>
      </c>
      <c r="J418">
        <v>1330404512</v>
      </c>
      <c r="K418">
        <v>675098166</v>
      </c>
      <c r="L418">
        <v>522168231</v>
      </c>
      <c r="M418">
        <v>453683706</v>
      </c>
      <c r="N418">
        <v>412651459</v>
      </c>
      <c r="O418">
        <v>301818987</v>
      </c>
      <c r="P418">
        <v>11096</v>
      </c>
      <c r="Q418" t="s">
        <v>1000</v>
      </c>
    </row>
    <row r="419" spans="1:17" x14ac:dyDescent="0.3">
      <c r="A419" t="s">
        <v>59</v>
      </c>
      <c r="B419" t="str">
        <f>"002233"</f>
        <v>002233</v>
      </c>
      <c r="C419" t="s">
        <v>1001</v>
      </c>
      <c r="D419" t="s">
        <v>78</v>
      </c>
      <c r="F419">
        <v>2197288934</v>
      </c>
      <c r="G419">
        <v>2419137202</v>
      </c>
      <c r="H419">
        <v>2077724552</v>
      </c>
      <c r="I419">
        <v>2615635595</v>
      </c>
      <c r="J419">
        <v>951468508</v>
      </c>
      <c r="K419">
        <v>971056966</v>
      </c>
      <c r="L419">
        <v>1048589079</v>
      </c>
      <c r="M419">
        <v>1152205536</v>
      </c>
      <c r="N419">
        <v>653958379</v>
      </c>
      <c r="O419">
        <v>531918712</v>
      </c>
      <c r="P419">
        <v>1388</v>
      </c>
      <c r="Q419" t="s">
        <v>1002</v>
      </c>
    </row>
    <row r="420" spans="1:17" x14ac:dyDescent="0.3">
      <c r="A420" t="s">
        <v>59</v>
      </c>
      <c r="B420" t="str">
        <f>"000717"</f>
        <v>000717</v>
      </c>
      <c r="C420" t="s">
        <v>1003</v>
      </c>
      <c r="D420" t="s">
        <v>994</v>
      </c>
      <c r="F420">
        <v>3392175832</v>
      </c>
      <c r="G420">
        <v>3064651596</v>
      </c>
      <c r="H420">
        <v>2070808844</v>
      </c>
      <c r="I420">
        <v>4160689881</v>
      </c>
      <c r="J420">
        <v>3508058257</v>
      </c>
      <c r="K420">
        <v>431821678</v>
      </c>
      <c r="L420">
        <v>495643819</v>
      </c>
      <c r="M420">
        <v>2047132281</v>
      </c>
      <c r="N420">
        <v>1590420595</v>
      </c>
      <c r="O420">
        <v>2091278767</v>
      </c>
      <c r="P420">
        <v>681</v>
      </c>
      <c r="Q420" t="s">
        <v>1004</v>
      </c>
    </row>
    <row r="421" spans="1:17" x14ac:dyDescent="0.3">
      <c r="A421" t="s">
        <v>59</v>
      </c>
      <c r="B421" t="str">
        <f>"002302"</f>
        <v>002302</v>
      </c>
      <c r="C421" t="s">
        <v>1005</v>
      </c>
      <c r="D421" t="s">
        <v>1006</v>
      </c>
      <c r="F421">
        <v>403807218</v>
      </c>
      <c r="G421">
        <v>633113839</v>
      </c>
      <c r="H421">
        <v>2063988574</v>
      </c>
      <c r="I421">
        <v>-992909365</v>
      </c>
      <c r="J421">
        <v>592964279</v>
      </c>
      <c r="K421">
        <v>923318698</v>
      </c>
      <c r="L421">
        <v>786196754</v>
      </c>
      <c r="M421">
        <v>19244366</v>
      </c>
      <c r="N421">
        <v>-417627290</v>
      </c>
      <c r="O421">
        <v>112757300</v>
      </c>
      <c r="P421">
        <v>201</v>
      </c>
      <c r="Q421" t="s">
        <v>1007</v>
      </c>
    </row>
    <row r="422" spans="1:17" x14ac:dyDescent="0.3">
      <c r="A422" t="s">
        <v>17</v>
      </c>
      <c r="B422" t="str">
        <f>"600100"</f>
        <v>600100</v>
      </c>
      <c r="C422" t="s">
        <v>1008</v>
      </c>
      <c r="D422" t="s">
        <v>707</v>
      </c>
      <c r="F422">
        <v>-611127008</v>
      </c>
      <c r="G422">
        <v>-871022201</v>
      </c>
      <c r="H422">
        <v>2043900647</v>
      </c>
      <c r="I422">
        <v>-525453478</v>
      </c>
      <c r="J422">
        <v>453445937</v>
      </c>
      <c r="K422">
        <v>-2105126322</v>
      </c>
      <c r="L422">
        <v>2500765008</v>
      </c>
      <c r="M422">
        <v>856103305</v>
      </c>
      <c r="N422">
        <v>863593861</v>
      </c>
      <c r="O422">
        <v>872327054</v>
      </c>
      <c r="P422">
        <v>321</v>
      </c>
      <c r="Q422" t="s">
        <v>1009</v>
      </c>
    </row>
    <row r="423" spans="1:17" x14ac:dyDescent="0.3">
      <c r="A423" t="s">
        <v>17</v>
      </c>
      <c r="B423" t="str">
        <f>"600079"</f>
        <v>600079</v>
      </c>
      <c r="C423" t="s">
        <v>1010</v>
      </c>
      <c r="D423" t="s">
        <v>592</v>
      </c>
      <c r="F423">
        <v>2018841774</v>
      </c>
      <c r="G423">
        <v>1988506273</v>
      </c>
      <c r="H423">
        <v>2037831553</v>
      </c>
      <c r="I423">
        <v>602993621</v>
      </c>
      <c r="J423">
        <v>38167500</v>
      </c>
      <c r="K423">
        <v>526477791</v>
      </c>
      <c r="L423">
        <v>311216561</v>
      </c>
      <c r="M423">
        <v>502704784</v>
      </c>
      <c r="N423">
        <v>498216711</v>
      </c>
      <c r="O423">
        <v>172273069</v>
      </c>
      <c r="P423">
        <v>941</v>
      </c>
      <c r="Q423" t="s">
        <v>1011</v>
      </c>
    </row>
    <row r="424" spans="1:17" x14ac:dyDescent="0.3">
      <c r="A424" t="s">
        <v>59</v>
      </c>
      <c r="B424" t="str">
        <f>"002624"</f>
        <v>002624</v>
      </c>
      <c r="C424" t="s">
        <v>1012</v>
      </c>
      <c r="D424" t="s">
        <v>689</v>
      </c>
      <c r="F424">
        <v>1097681875</v>
      </c>
      <c r="G424">
        <v>3692549365</v>
      </c>
      <c r="H424">
        <v>2023440593</v>
      </c>
      <c r="I424">
        <v>-129988896</v>
      </c>
      <c r="J424">
        <v>804382387</v>
      </c>
      <c r="K424">
        <v>1154900313</v>
      </c>
      <c r="L424">
        <v>198336844</v>
      </c>
      <c r="M424">
        <v>-227648921</v>
      </c>
      <c r="N424">
        <v>9068666</v>
      </c>
      <c r="O424">
        <v>14587419</v>
      </c>
      <c r="P424">
        <v>2399</v>
      </c>
      <c r="Q424" t="s">
        <v>1013</v>
      </c>
    </row>
    <row r="425" spans="1:17" x14ac:dyDescent="0.3">
      <c r="A425" t="s">
        <v>17</v>
      </c>
      <c r="B425" t="str">
        <f>"600720"</f>
        <v>600720</v>
      </c>
      <c r="C425" t="s">
        <v>1014</v>
      </c>
      <c r="D425" t="s">
        <v>78</v>
      </c>
      <c r="F425">
        <v>1447404485</v>
      </c>
      <c r="G425">
        <v>2277510060</v>
      </c>
      <c r="H425">
        <v>2018069477</v>
      </c>
      <c r="I425">
        <v>1277109038</v>
      </c>
      <c r="J425">
        <v>1018106592</v>
      </c>
      <c r="K425">
        <v>856827534</v>
      </c>
      <c r="L425">
        <v>642026005</v>
      </c>
      <c r="M425">
        <v>931196679</v>
      </c>
      <c r="N425">
        <v>977867084</v>
      </c>
      <c r="O425">
        <v>674210924</v>
      </c>
      <c r="P425">
        <v>864</v>
      </c>
      <c r="Q425" t="s">
        <v>1015</v>
      </c>
    </row>
    <row r="426" spans="1:17" x14ac:dyDescent="0.3">
      <c r="A426" t="s">
        <v>17</v>
      </c>
      <c r="B426" t="str">
        <f>"601636"</f>
        <v>601636</v>
      </c>
      <c r="C426" t="s">
        <v>1016</v>
      </c>
      <c r="D426" t="s">
        <v>901</v>
      </c>
      <c r="F426">
        <v>5073234454</v>
      </c>
      <c r="G426">
        <v>3117899414</v>
      </c>
      <c r="H426">
        <v>2017309139</v>
      </c>
      <c r="I426">
        <v>2066382413</v>
      </c>
      <c r="J426">
        <v>2351840587</v>
      </c>
      <c r="K426">
        <v>1658926562</v>
      </c>
      <c r="L426">
        <v>846205887</v>
      </c>
      <c r="M426">
        <v>714903740</v>
      </c>
      <c r="N426">
        <v>1477555912</v>
      </c>
      <c r="O426">
        <v>-34959874</v>
      </c>
      <c r="P426">
        <v>1517</v>
      </c>
      <c r="Q426" t="s">
        <v>1017</v>
      </c>
    </row>
    <row r="427" spans="1:17" x14ac:dyDescent="0.3">
      <c r="A427" t="s">
        <v>17</v>
      </c>
      <c r="B427" t="str">
        <f>"688187"</f>
        <v>688187</v>
      </c>
      <c r="C427" t="s">
        <v>1018</v>
      </c>
      <c r="D427" t="s">
        <v>165</v>
      </c>
      <c r="F427">
        <v>2150254658</v>
      </c>
      <c r="G427">
        <v>1747348457</v>
      </c>
      <c r="H427">
        <v>2015247731</v>
      </c>
      <c r="I427">
        <v>3758563202</v>
      </c>
      <c r="J427">
        <v>1469187620</v>
      </c>
      <c r="P427">
        <v>59</v>
      </c>
      <c r="Q427" t="s">
        <v>1019</v>
      </c>
    </row>
    <row r="428" spans="1:17" x14ac:dyDescent="0.3">
      <c r="A428" t="s">
        <v>17</v>
      </c>
      <c r="B428" t="str">
        <f>"600508"</f>
        <v>600508</v>
      </c>
      <c r="C428" t="s">
        <v>1020</v>
      </c>
      <c r="D428" t="s">
        <v>294</v>
      </c>
      <c r="F428">
        <v>1201639755</v>
      </c>
      <c r="G428">
        <v>622337854</v>
      </c>
      <c r="H428">
        <v>2011653462</v>
      </c>
      <c r="I428">
        <v>1010909584</v>
      </c>
      <c r="J428">
        <v>732257422</v>
      </c>
      <c r="K428">
        <v>1356068539</v>
      </c>
      <c r="L428">
        <v>647347584</v>
      </c>
      <c r="M428">
        <v>788025558</v>
      </c>
      <c r="N428">
        <v>787156330</v>
      </c>
      <c r="O428">
        <v>1473723052</v>
      </c>
      <c r="P428">
        <v>267</v>
      </c>
      <c r="Q428" t="s">
        <v>1021</v>
      </c>
    </row>
    <row r="429" spans="1:17" x14ac:dyDescent="0.3">
      <c r="A429" t="s">
        <v>59</v>
      </c>
      <c r="B429" t="str">
        <f>"002048"</f>
        <v>002048</v>
      </c>
      <c r="C429" t="s">
        <v>1022</v>
      </c>
      <c r="D429" t="s">
        <v>289</v>
      </c>
      <c r="F429">
        <v>2264269894</v>
      </c>
      <c r="G429">
        <v>2869779774</v>
      </c>
      <c r="H429">
        <v>2009046379</v>
      </c>
      <c r="I429">
        <v>1229181733</v>
      </c>
      <c r="J429">
        <v>1403538417</v>
      </c>
      <c r="K429">
        <v>1432897822</v>
      </c>
      <c r="L429">
        <v>600217977</v>
      </c>
      <c r="M429">
        <v>465301001</v>
      </c>
      <c r="N429">
        <v>748852146</v>
      </c>
      <c r="O429">
        <v>162673431</v>
      </c>
      <c r="P429">
        <v>645</v>
      </c>
      <c r="Q429" t="s">
        <v>1023</v>
      </c>
    </row>
    <row r="430" spans="1:17" x14ac:dyDescent="0.3">
      <c r="A430" t="s">
        <v>17</v>
      </c>
      <c r="B430" t="str">
        <f>"601058"</f>
        <v>601058</v>
      </c>
      <c r="C430" t="s">
        <v>1024</v>
      </c>
      <c r="D430" t="s">
        <v>767</v>
      </c>
      <c r="F430">
        <v>836670626</v>
      </c>
      <c r="G430">
        <v>3423117931</v>
      </c>
      <c r="H430">
        <v>2008760004</v>
      </c>
      <c r="I430">
        <v>1998897817</v>
      </c>
      <c r="J430">
        <v>1150056833</v>
      </c>
      <c r="K430">
        <v>1180519770</v>
      </c>
      <c r="L430">
        <v>1239347004</v>
      </c>
      <c r="M430">
        <v>1348490122</v>
      </c>
      <c r="N430">
        <v>239056093</v>
      </c>
      <c r="O430">
        <v>603794664</v>
      </c>
      <c r="P430">
        <v>589</v>
      </c>
      <c r="Q430" t="s">
        <v>1025</v>
      </c>
    </row>
    <row r="431" spans="1:17" x14ac:dyDescent="0.3">
      <c r="A431" t="s">
        <v>59</v>
      </c>
      <c r="B431" t="str">
        <f>"000921"</f>
        <v>000921</v>
      </c>
      <c r="C431" t="s">
        <v>1026</v>
      </c>
      <c r="D431" t="s">
        <v>90</v>
      </c>
      <c r="F431">
        <v>4313780760</v>
      </c>
      <c r="G431">
        <v>5962707810</v>
      </c>
      <c r="H431">
        <v>2005337053</v>
      </c>
      <c r="I431">
        <v>1049366564</v>
      </c>
      <c r="J431">
        <v>455048576</v>
      </c>
      <c r="K431">
        <v>2925929985</v>
      </c>
      <c r="L431">
        <v>484261155</v>
      </c>
      <c r="M431">
        <v>965990458</v>
      </c>
      <c r="N431">
        <v>218798350</v>
      </c>
      <c r="O431">
        <v>1098192778</v>
      </c>
      <c r="P431">
        <v>13182</v>
      </c>
      <c r="Q431" t="s">
        <v>1027</v>
      </c>
    </row>
    <row r="432" spans="1:17" x14ac:dyDescent="0.3">
      <c r="A432" t="s">
        <v>59</v>
      </c>
      <c r="B432" t="str">
        <f>"002601"</f>
        <v>002601</v>
      </c>
      <c r="C432" t="s">
        <v>1028</v>
      </c>
      <c r="D432" t="s">
        <v>1029</v>
      </c>
      <c r="F432">
        <v>4328470772</v>
      </c>
      <c r="G432">
        <v>3120561622</v>
      </c>
      <c r="H432">
        <v>2003546326</v>
      </c>
      <c r="I432">
        <v>2030779405</v>
      </c>
      <c r="J432">
        <v>2367767997</v>
      </c>
      <c r="K432">
        <v>432222148</v>
      </c>
      <c r="L432">
        <v>-561933424</v>
      </c>
      <c r="M432">
        <v>21072155</v>
      </c>
      <c r="N432">
        <v>-186133027</v>
      </c>
      <c r="O432">
        <v>-145009431</v>
      </c>
      <c r="P432">
        <v>1262</v>
      </c>
      <c r="Q432" t="s">
        <v>1030</v>
      </c>
    </row>
    <row r="433" spans="1:17" x14ac:dyDescent="0.3">
      <c r="A433" t="s">
        <v>59</v>
      </c>
      <c r="B433" t="str">
        <f>"000963"</f>
        <v>000963</v>
      </c>
      <c r="C433" t="s">
        <v>1031</v>
      </c>
      <c r="D433" t="s">
        <v>592</v>
      </c>
      <c r="F433">
        <v>3169757868</v>
      </c>
      <c r="G433">
        <v>3411447748</v>
      </c>
      <c r="H433">
        <v>2001698171</v>
      </c>
      <c r="I433">
        <v>2039496083</v>
      </c>
      <c r="J433">
        <v>1661118664</v>
      </c>
      <c r="K433">
        <v>1346962808</v>
      </c>
      <c r="L433">
        <v>658536257</v>
      </c>
      <c r="M433">
        <v>740854725</v>
      </c>
      <c r="N433">
        <v>476977322</v>
      </c>
      <c r="O433">
        <v>642729227</v>
      </c>
      <c r="P433">
        <v>59262</v>
      </c>
      <c r="Q433" t="s">
        <v>1032</v>
      </c>
    </row>
    <row r="434" spans="1:17" x14ac:dyDescent="0.3">
      <c r="A434" t="s">
        <v>59</v>
      </c>
      <c r="B434" t="str">
        <f>"000028"</f>
        <v>000028</v>
      </c>
      <c r="C434" t="s">
        <v>1033</v>
      </c>
      <c r="D434" t="s">
        <v>396</v>
      </c>
      <c r="F434">
        <v>1655180977</v>
      </c>
      <c r="G434">
        <v>1502746598</v>
      </c>
      <c r="H434">
        <v>2000352083</v>
      </c>
      <c r="I434">
        <v>1322606352</v>
      </c>
      <c r="J434">
        <v>1285291912</v>
      </c>
      <c r="K434">
        <v>1472545588</v>
      </c>
      <c r="L434">
        <v>1047979103</v>
      </c>
      <c r="M434">
        <v>-796697032</v>
      </c>
      <c r="N434">
        <v>465028100</v>
      </c>
      <c r="O434">
        <v>323955333</v>
      </c>
      <c r="P434">
        <v>1098</v>
      </c>
      <c r="Q434" t="s">
        <v>1034</v>
      </c>
    </row>
    <row r="435" spans="1:17" x14ac:dyDescent="0.3">
      <c r="A435" t="s">
        <v>59</v>
      </c>
      <c r="B435" t="str">
        <f>"300003"</f>
        <v>300003</v>
      </c>
      <c r="C435" t="s">
        <v>1035</v>
      </c>
      <c r="D435" t="s">
        <v>1036</v>
      </c>
      <c r="F435">
        <v>3061991852</v>
      </c>
      <c r="G435">
        <v>2089699305</v>
      </c>
      <c r="H435">
        <v>1990255063</v>
      </c>
      <c r="I435">
        <v>1500508938</v>
      </c>
      <c r="J435">
        <v>913132541</v>
      </c>
      <c r="K435">
        <v>691890147</v>
      </c>
      <c r="L435">
        <v>436460677</v>
      </c>
      <c r="M435">
        <v>348316885</v>
      </c>
      <c r="N435">
        <v>329757071</v>
      </c>
      <c r="O435">
        <v>264962980</v>
      </c>
      <c r="P435">
        <v>3268</v>
      </c>
      <c r="Q435" t="s">
        <v>1037</v>
      </c>
    </row>
    <row r="436" spans="1:17" x14ac:dyDescent="0.3">
      <c r="A436" t="s">
        <v>59</v>
      </c>
      <c r="B436" t="str">
        <f>"000429"</f>
        <v>000429</v>
      </c>
      <c r="C436" t="s">
        <v>1038</v>
      </c>
      <c r="D436" t="s">
        <v>406</v>
      </c>
      <c r="F436">
        <v>3669744721</v>
      </c>
      <c r="G436">
        <v>2636187241</v>
      </c>
      <c r="H436">
        <v>1988551898</v>
      </c>
      <c r="I436">
        <v>1915985578</v>
      </c>
      <c r="J436">
        <v>2194989925</v>
      </c>
      <c r="K436">
        <v>1924259958</v>
      </c>
      <c r="L436">
        <v>996993291</v>
      </c>
      <c r="M436">
        <v>967241747</v>
      </c>
      <c r="N436">
        <v>757451779</v>
      </c>
      <c r="O436">
        <v>621175534</v>
      </c>
      <c r="P436">
        <v>1026</v>
      </c>
      <c r="Q436" t="s">
        <v>1039</v>
      </c>
    </row>
    <row r="437" spans="1:17" x14ac:dyDescent="0.3">
      <c r="A437" t="s">
        <v>59</v>
      </c>
      <c r="B437" t="str">
        <f>"000786"</f>
        <v>000786</v>
      </c>
      <c r="C437" t="s">
        <v>1040</v>
      </c>
      <c r="D437" t="s">
        <v>1041</v>
      </c>
      <c r="F437">
        <v>3830914739</v>
      </c>
      <c r="G437">
        <v>1838587010</v>
      </c>
      <c r="H437">
        <v>1984992470</v>
      </c>
      <c r="I437">
        <v>2782675391</v>
      </c>
      <c r="J437">
        <v>2654194436</v>
      </c>
      <c r="K437">
        <v>1708205475</v>
      </c>
      <c r="L437">
        <v>1909119849</v>
      </c>
      <c r="M437">
        <v>1568739191</v>
      </c>
      <c r="N437">
        <v>1505224937</v>
      </c>
      <c r="O437">
        <v>1133905585</v>
      </c>
      <c r="P437">
        <v>2486</v>
      </c>
      <c r="Q437" t="s">
        <v>1042</v>
      </c>
    </row>
    <row r="438" spans="1:17" x14ac:dyDescent="0.3">
      <c r="A438" t="s">
        <v>59</v>
      </c>
      <c r="B438" t="str">
        <f>"002468"</f>
        <v>002468</v>
      </c>
      <c r="C438" t="s">
        <v>1043</v>
      </c>
      <c r="D438" t="s">
        <v>301</v>
      </c>
      <c r="F438">
        <v>1920250911</v>
      </c>
      <c r="G438">
        <v>853640485</v>
      </c>
      <c r="H438">
        <v>1975653307</v>
      </c>
      <c r="I438">
        <v>2602674574</v>
      </c>
      <c r="J438">
        <v>2098042353</v>
      </c>
      <c r="K438">
        <v>1820288647</v>
      </c>
      <c r="L438">
        <v>150985121</v>
      </c>
      <c r="M438">
        <v>35002248</v>
      </c>
      <c r="N438">
        <v>103952486</v>
      </c>
      <c r="O438">
        <v>-44053851</v>
      </c>
      <c r="P438">
        <v>638</v>
      </c>
      <c r="Q438" t="s">
        <v>1044</v>
      </c>
    </row>
    <row r="439" spans="1:17" x14ac:dyDescent="0.3">
      <c r="A439" t="s">
        <v>59</v>
      </c>
      <c r="B439" t="str">
        <f>"002039"</f>
        <v>002039</v>
      </c>
      <c r="C439" t="s">
        <v>1045</v>
      </c>
      <c r="D439" t="s">
        <v>105</v>
      </c>
      <c r="F439">
        <v>1305753011</v>
      </c>
      <c r="G439">
        <v>2160476361</v>
      </c>
      <c r="H439">
        <v>1974709760</v>
      </c>
      <c r="I439">
        <v>1818127777</v>
      </c>
      <c r="J439">
        <v>1583543326</v>
      </c>
      <c r="K439">
        <v>1971799500</v>
      </c>
      <c r="L439">
        <v>2183961086</v>
      </c>
      <c r="M439">
        <v>1257377128</v>
      </c>
      <c r="N439">
        <v>734473992</v>
      </c>
      <c r="O439">
        <v>1462377874</v>
      </c>
      <c r="P439">
        <v>431</v>
      </c>
      <c r="Q439" t="s">
        <v>1046</v>
      </c>
    </row>
    <row r="440" spans="1:17" x14ac:dyDescent="0.3">
      <c r="A440" t="s">
        <v>17</v>
      </c>
      <c r="B440" t="str">
        <f>"900945"</f>
        <v>900945</v>
      </c>
      <c r="C440" t="s">
        <v>1047</v>
      </c>
      <c r="G440">
        <v>-77382857.879999995</v>
      </c>
      <c r="H440">
        <v>1972015289.2</v>
      </c>
      <c r="I440">
        <v>1341253932</v>
      </c>
      <c r="J440">
        <v>1990676582.4000001</v>
      </c>
      <c r="K440">
        <v>1769340816</v>
      </c>
      <c r="L440">
        <v>1930615918</v>
      </c>
      <c r="M440">
        <v>967948290.39999998</v>
      </c>
      <c r="N440">
        <v>1294368927.5999999</v>
      </c>
      <c r="O440">
        <v>1636443715.5</v>
      </c>
      <c r="P440">
        <v>7</v>
      </c>
      <c r="Q440" t="s">
        <v>1048</v>
      </c>
    </row>
    <row r="441" spans="1:17" x14ac:dyDescent="0.3">
      <c r="A441" t="s">
        <v>59</v>
      </c>
      <c r="B441" t="str">
        <f>"000999"</f>
        <v>000999</v>
      </c>
      <c r="C441" t="s">
        <v>1049</v>
      </c>
      <c r="D441" t="s">
        <v>455</v>
      </c>
      <c r="F441">
        <v>1870515968</v>
      </c>
      <c r="G441">
        <v>2223984706</v>
      </c>
      <c r="H441">
        <v>1971829766</v>
      </c>
      <c r="I441">
        <v>1911246818</v>
      </c>
      <c r="J441">
        <v>1560392824</v>
      </c>
      <c r="K441">
        <v>1392140677</v>
      </c>
      <c r="L441">
        <v>1259838184</v>
      </c>
      <c r="M441">
        <v>1184427722</v>
      </c>
      <c r="N441">
        <v>1467423826</v>
      </c>
      <c r="O441">
        <v>1211832617</v>
      </c>
      <c r="P441">
        <v>5773</v>
      </c>
      <c r="Q441" t="s">
        <v>1050</v>
      </c>
    </row>
    <row r="442" spans="1:17" x14ac:dyDescent="0.3">
      <c r="A442" t="s">
        <v>17</v>
      </c>
      <c r="B442" t="str">
        <f>"600928"</f>
        <v>600928</v>
      </c>
      <c r="C442" t="s">
        <v>1051</v>
      </c>
      <c r="D442" t="s">
        <v>64</v>
      </c>
      <c r="F442">
        <v>13800757000</v>
      </c>
      <c r="G442">
        <v>33518427000</v>
      </c>
      <c r="H442">
        <v>1970631000</v>
      </c>
      <c r="I442">
        <v>-17747006000</v>
      </c>
      <c r="J442">
        <v>12630274758</v>
      </c>
      <c r="K442">
        <v>-202384394</v>
      </c>
      <c r="L442">
        <v>-548678600</v>
      </c>
      <c r="M442">
        <v>-5495780000</v>
      </c>
      <c r="N442">
        <v>2908459000</v>
      </c>
      <c r="O442">
        <v>12022484000</v>
      </c>
      <c r="P442">
        <v>409</v>
      </c>
      <c r="Q442" t="s">
        <v>1052</v>
      </c>
    </row>
    <row r="443" spans="1:17" x14ac:dyDescent="0.3">
      <c r="A443" t="s">
        <v>17</v>
      </c>
      <c r="B443" t="str">
        <f>"600317"</f>
        <v>600317</v>
      </c>
      <c r="C443" t="s">
        <v>1053</v>
      </c>
      <c r="H443">
        <v>1965819534</v>
      </c>
      <c r="I443">
        <v>1691890862</v>
      </c>
      <c r="J443">
        <v>1703748491</v>
      </c>
      <c r="K443">
        <v>1070054020</v>
      </c>
      <c r="L443">
        <v>1733009639.26</v>
      </c>
      <c r="M443">
        <v>917829352.98000002</v>
      </c>
      <c r="N443">
        <v>1165093986.72</v>
      </c>
      <c r="O443">
        <v>1221871046.7</v>
      </c>
      <c r="P443">
        <v>92</v>
      </c>
      <c r="Q443" t="s">
        <v>1054</v>
      </c>
    </row>
    <row r="444" spans="1:17" x14ac:dyDescent="0.3">
      <c r="A444" t="s">
        <v>17</v>
      </c>
      <c r="B444" t="str">
        <f>"601698"</f>
        <v>601698</v>
      </c>
      <c r="C444" t="s">
        <v>1055</v>
      </c>
      <c r="D444" t="s">
        <v>1056</v>
      </c>
      <c r="F444">
        <v>2269138639</v>
      </c>
      <c r="G444">
        <v>2044045558</v>
      </c>
      <c r="H444">
        <v>1963313128</v>
      </c>
      <c r="I444">
        <v>2114401080</v>
      </c>
      <c r="J444">
        <v>1899220379</v>
      </c>
      <c r="K444">
        <v>1663564610</v>
      </c>
      <c r="P444">
        <v>316</v>
      </c>
      <c r="Q444" t="s">
        <v>1057</v>
      </c>
    </row>
    <row r="445" spans="1:17" x14ac:dyDescent="0.3">
      <c r="A445" t="s">
        <v>17</v>
      </c>
      <c r="B445" t="str">
        <f>"600977"</f>
        <v>600977</v>
      </c>
      <c r="C445" t="s">
        <v>1058</v>
      </c>
      <c r="D445" t="s">
        <v>1059</v>
      </c>
      <c r="F445">
        <v>977393372</v>
      </c>
      <c r="G445">
        <v>37177807</v>
      </c>
      <c r="H445">
        <v>1948183347</v>
      </c>
      <c r="I445">
        <v>563324062</v>
      </c>
      <c r="J445">
        <v>1472714118</v>
      </c>
      <c r="K445">
        <v>352745101</v>
      </c>
      <c r="L445">
        <v>2011178980</v>
      </c>
      <c r="M445">
        <v>993409120</v>
      </c>
      <c r="N445">
        <v>1126178209</v>
      </c>
      <c r="P445">
        <v>554</v>
      </c>
      <c r="Q445" t="s">
        <v>1060</v>
      </c>
    </row>
    <row r="446" spans="1:17" x14ac:dyDescent="0.3">
      <c r="A446" t="s">
        <v>59</v>
      </c>
      <c r="B446" t="str">
        <f>"000661"</f>
        <v>000661</v>
      </c>
      <c r="C446" t="s">
        <v>1061</v>
      </c>
      <c r="D446" t="s">
        <v>1062</v>
      </c>
      <c r="F446">
        <v>3330619225</v>
      </c>
      <c r="G446">
        <v>1110989855</v>
      </c>
      <c r="H446">
        <v>1934670685</v>
      </c>
      <c r="I446">
        <v>884066573</v>
      </c>
      <c r="J446">
        <v>381387328</v>
      </c>
      <c r="K446">
        <v>308073522</v>
      </c>
      <c r="L446">
        <v>770595142</v>
      </c>
      <c r="M446">
        <v>279752232</v>
      </c>
      <c r="N446">
        <v>498580432</v>
      </c>
      <c r="O446">
        <v>407944689</v>
      </c>
      <c r="P446">
        <v>59935</v>
      </c>
      <c r="Q446" t="s">
        <v>1063</v>
      </c>
    </row>
    <row r="447" spans="1:17" x14ac:dyDescent="0.3">
      <c r="A447" t="s">
        <v>17</v>
      </c>
      <c r="B447" t="str">
        <f>"600869"</f>
        <v>600869</v>
      </c>
      <c r="C447" t="s">
        <v>1064</v>
      </c>
      <c r="D447" t="s">
        <v>1065</v>
      </c>
      <c r="F447">
        <v>1102506070</v>
      </c>
      <c r="G447">
        <v>1531577310</v>
      </c>
      <c r="H447">
        <v>1927959969</v>
      </c>
      <c r="I447">
        <v>512349761</v>
      </c>
      <c r="J447">
        <v>-599206066</v>
      </c>
      <c r="K447">
        <v>-215878002</v>
      </c>
      <c r="L447">
        <v>1381505512</v>
      </c>
      <c r="M447">
        <v>671522697</v>
      </c>
      <c r="N447">
        <v>511747294</v>
      </c>
      <c r="O447">
        <v>1139786098</v>
      </c>
      <c r="P447">
        <v>206</v>
      </c>
      <c r="Q447" t="s">
        <v>1066</v>
      </c>
    </row>
    <row r="448" spans="1:17" x14ac:dyDescent="0.3">
      <c r="A448" t="s">
        <v>59</v>
      </c>
      <c r="B448" t="str">
        <f>"000723"</f>
        <v>000723</v>
      </c>
      <c r="C448" t="s">
        <v>1067</v>
      </c>
      <c r="D448" t="s">
        <v>841</v>
      </c>
      <c r="F448">
        <v>4910586044</v>
      </c>
      <c r="G448">
        <v>1218544164</v>
      </c>
      <c r="H448">
        <v>1926910849</v>
      </c>
      <c r="I448">
        <v>1534739748</v>
      </c>
      <c r="J448">
        <v>1415625656</v>
      </c>
      <c r="K448">
        <v>244755372</v>
      </c>
      <c r="L448">
        <v>988389752</v>
      </c>
      <c r="M448">
        <v>-26523334</v>
      </c>
      <c r="N448">
        <v>132923092</v>
      </c>
      <c r="O448">
        <v>-64951702</v>
      </c>
      <c r="P448">
        <v>673</v>
      </c>
      <c r="Q448" t="s">
        <v>1068</v>
      </c>
    </row>
    <row r="449" spans="1:17" x14ac:dyDescent="0.3">
      <c r="A449" t="s">
        <v>17</v>
      </c>
      <c r="B449" t="str">
        <f>"601106"</f>
        <v>601106</v>
      </c>
      <c r="C449" t="s">
        <v>1069</v>
      </c>
      <c r="D449" t="s">
        <v>741</v>
      </c>
      <c r="F449">
        <v>682169434</v>
      </c>
      <c r="G449">
        <v>690494481</v>
      </c>
      <c r="H449">
        <v>1918267431</v>
      </c>
      <c r="I449">
        <v>684437302</v>
      </c>
      <c r="J449">
        <v>983430764</v>
      </c>
      <c r="K449">
        <v>500340658</v>
      </c>
      <c r="L449">
        <v>-428867167</v>
      </c>
      <c r="M449">
        <v>-2294449001</v>
      </c>
      <c r="N449">
        <v>1484656667</v>
      </c>
      <c r="O449">
        <v>-1874189068</v>
      </c>
      <c r="P449">
        <v>175</v>
      </c>
      <c r="Q449" t="s">
        <v>1070</v>
      </c>
    </row>
    <row r="450" spans="1:17" x14ac:dyDescent="0.3">
      <c r="A450" t="s">
        <v>17</v>
      </c>
      <c r="B450" t="str">
        <f>"600269"</f>
        <v>600269</v>
      </c>
      <c r="C450" t="s">
        <v>1071</v>
      </c>
      <c r="D450" t="s">
        <v>406</v>
      </c>
      <c r="F450">
        <v>3381184029</v>
      </c>
      <c r="G450">
        <v>2327695225</v>
      </c>
      <c r="H450">
        <v>1915130550</v>
      </c>
      <c r="I450">
        <v>1936022693</v>
      </c>
      <c r="J450">
        <v>1933515128</v>
      </c>
      <c r="K450">
        <v>1700647860</v>
      </c>
      <c r="L450">
        <v>1899264632</v>
      </c>
      <c r="M450">
        <v>1556160299</v>
      </c>
      <c r="N450">
        <v>1614620268</v>
      </c>
      <c r="O450">
        <v>1931393383</v>
      </c>
      <c r="P450">
        <v>405</v>
      </c>
      <c r="Q450" t="s">
        <v>1072</v>
      </c>
    </row>
    <row r="451" spans="1:17" x14ac:dyDescent="0.3">
      <c r="A451" t="s">
        <v>17</v>
      </c>
      <c r="B451" t="str">
        <f>"601101"</f>
        <v>601101</v>
      </c>
      <c r="C451" t="s">
        <v>1073</v>
      </c>
      <c r="D451" t="s">
        <v>54</v>
      </c>
      <c r="F451">
        <v>4279086687</v>
      </c>
      <c r="G451">
        <v>1762948201</v>
      </c>
      <c r="H451">
        <v>1913616119</v>
      </c>
      <c r="I451">
        <v>2337855595</v>
      </c>
      <c r="J451">
        <v>1768678088</v>
      </c>
      <c r="K451">
        <v>1020410745</v>
      </c>
      <c r="L451">
        <v>-128938804</v>
      </c>
      <c r="M451">
        <v>171434974</v>
      </c>
      <c r="N451">
        <v>352057654</v>
      </c>
      <c r="O451">
        <v>812143064</v>
      </c>
      <c r="P451">
        <v>281</v>
      </c>
      <c r="Q451" t="s">
        <v>1074</v>
      </c>
    </row>
    <row r="452" spans="1:17" x14ac:dyDescent="0.3">
      <c r="A452" t="s">
        <v>59</v>
      </c>
      <c r="B452" t="str">
        <f>"301039"</f>
        <v>301039</v>
      </c>
      <c r="C452" t="s">
        <v>1075</v>
      </c>
      <c r="D452" t="s">
        <v>475</v>
      </c>
      <c r="F452">
        <v>174428263</v>
      </c>
      <c r="G452">
        <v>2746937975</v>
      </c>
      <c r="H452">
        <v>1908701960</v>
      </c>
      <c r="I452">
        <v>1084985409</v>
      </c>
      <c r="J452">
        <v>1763469716</v>
      </c>
      <c r="P452">
        <v>35</v>
      </c>
      <c r="Q452" t="s">
        <v>1076</v>
      </c>
    </row>
    <row r="453" spans="1:17" x14ac:dyDescent="0.3">
      <c r="A453" t="s">
        <v>17</v>
      </c>
      <c r="B453" t="str">
        <f>"600549"</f>
        <v>600549</v>
      </c>
      <c r="C453" t="s">
        <v>1077</v>
      </c>
      <c r="D453" t="s">
        <v>1078</v>
      </c>
      <c r="F453">
        <v>989141199</v>
      </c>
      <c r="G453">
        <v>1644101704</v>
      </c>
      <c r="H453">
        <v>1904646994</v>
      </c>
      <c r="I453">
        <v>371414049</v>
      </c>
      <c r="J453">
        <v>-930350319</v>
      </c>
      <c r="K453">
        <v>1205975880</v>
      </c>
      <c r="L453">
        <v>-1262971947</v>
      </c>
      <c r="M453">
        <v>-43823895</v>
      </c>
      <c r="N453">
        <v>2798176798</v>
      </c>
      <c r="O453">
        <v>1679707118</v>
      </c>
      <c r="P453">
        <v>446</v>
      </c>
      <c r="Q453" t="s">
        <v>1079</v>
      </c>
    </row>
    <row r="454" spans="1:17" x14ac:dyDescent="0.3">
      <c r="A454" t="s">
        <v>59</v>
      </c>
      <c r="B454" t="str">
        <f>"300182"</f>
        <v>300182</v>
      </c>
      <c r="C454" t="s">
        <v>1080</v>
      </c>
      <c r="D454" t="s">
        <v>1059</v>
      </c>
      <c r="F454">
        <v>1799435023</v>
      </c>
      <c r="G454">
        <v>1827801815</v>
      </c>
      <c r="H454">
        <v>1903847780</v>
      </c>
      <c r="I454">
        <v>2022639403</v>
      </c>
      <c r="J454">
        <v>490553175</v>
      </c>
      <c r="K454">
        <v>625211051</v>
      </c>
      <c r="L454">
        <v>126417466</v>
      </c>
      <c r="M454">
        <v>-133656508</v>
      </c>
      <c r="N454">
        <v>35112862</v>
      </c>
      <c r="O454">
        <v>49518807</v>
      </c>
      <c r="P454">
        <v>514</v>
      </c>
      <c r="Q454" t="s">
        <v>1081</v>
      </c>
    </row>
    <row r="455" spans="1:17" x14ac:dyDescent="0.3">
      <c r="A455" t="s">
        <v>59</v>
      </c>
      <c r="B455" t="str">
        <f>"000690"</f>
        <v>000690</v>
      </c>
      <c r="C455" t="s">
        <v>1082</v>
      </c>
      <c r="D455" t="s">
        <v>98</v>
      </c>
      <c r="F455">
        <v>1434788267</v>
      </c>
      <c r="G455">
        <v>3517729727</v>
      </c>
      <c r="H455">
        <v>1903336782</v>
      </c>
      <c r="I455">
        <v>982660769</v>
      </c>
      <c r="J455">
        <v>768248922</v>
      </c>
      <c r="K455">
        <v>1123920894</v>
      </c>
      <c r="L455">
        <v>1145407213</v>
      </c>
      <c r="M455">
        <v>1624554189</v>
      </c>
      <c r="N455">
        <v>2735440762</v>
      </c>
      <c r="O455">
        <v>1338575474</v>
      </c>
      <c r="P455">
        <v>643</v>
      </c>
      <c r="Q455" t="s">
        <v>1083</v>
      </c>
    </row>
    <row r="456" spans="1:17" x14ac:dyDescent="0.3">
      <c r="A456" t="s">
        <v>59</v>
      </c>
      <c r="B456" t="str">
        <f>"002945"</f>
        <v>002945</v>
      </c>
      <c r="C456" t="s">
        <v>1084</v>
      </c>
      <c r="D456" t="s">
        <v>75</v>
      </c>
      <c r="F456">
        <v>-6029899476</v>
      </c>
      <c r="G456">
        <v>10773784415</v>
      </c>
      <c r="H456">
        <v>1901110892</v>
      </c>
      <c r="I456">
        <v>63492802</v>
      </c>
      <c r="J456">
        <v>-973403724</v>
      </c>
      <c r="K456">
        <v>-1700470572</v>
      </c>
      <c r="L456">
        <v>1267492161</v>
      </c>
      <c r="M456">
        <v>2004025258</v>
      </c>
      <c r="N456">
        <v>-614024790</v>
      </c>
      <c r="O456">
        <v>287171145</v>
      </c>
      <c r="P456">
        <v>913</v>
      </c>
      <c r="Q456" t="s">
        <v>1085</v>
      </c>
    </row>
    <row r="457" spans="1:17" x14ac:dyDescent="0.3">
      <c r="A457" t="s">
        <v>59</v>
      </c>
      <c r="B457" t="str">
        <f>"002050"</f>
        <v>002050</v>
      </c>
      <c r="C457" t="s">
        <v>1086</v>
      </c>
      <c r="D457" t="s">
        <v>1087</v>
      </c>
      <c r="F457">
        <v>1555819103</v>
      </c>
      <c r="G457">
        <v>2087343783</v>
      </c>
      <c r="H457">
        <v>1900163605</v>
      </c>
      <c r="I457">
        <v>1287595478</v>
      </c>
      <c r="J457">
        <v>648722622</v>
      </c>
      <c r="K457">
        <v>1310231133</v>
      </c>
      <c r="L457">
        <v>819129163</v>
      </c>
      <c r="M457">
        <v>577502332</v>
      </c>
      <c r="N457">
        <v>277912503</v>
      </c>
      <c r="O457">
        <v>312530742</v>
      </c>
      <c r="P457">
        <v>2043</v>
      </c>
      <c r="Q457" t="s">
        <v>1088</v>
      </c>
    </row>
    <row r="458" spans="1:17" x14ac:dyDescent="0.3">
      <c r="A458" t="s">
        <v>59</v>
      </c>
      <c r="B458" t="str">
        <f>"002042"</f>
        <v>002042</v>
      </c>
      <c r="C458" t="s">
        <v>1089</v>
      </c>
      <c r="D458" t="s">
        <v>1090</v>
      </c>
      <c r="F458">
        <v>719880146</v>
      </c>
      <c r="G458">
        <v>828351709</v>
      </c>
      <c r="H458">
        <v>1892922477</v>
      </c>
      <c r="I458">
        <v>-485799889</v>
      </c>
      <c r="J458">
        <v>-1320866636</v>
      </c>
      <c r="K458">
        <v>825212771</v>
      </c>
      <c r="L458">
        <v>94550593</v>
      </c>
      <c r="M458">
        <v>117142360</v>
      </c>
      <c r="N458">
        <v>233374065</v>
      </c>
      <c r="O458">
        <v>472335940</v>
      </c>
      <c r="P458">
        <v>196</v>
      </c>
      <c r="Q458" t="s">
        <v>1091</v>
      </c>
    </row>
    <row r="459" spans="1:17" x14ac:dyDescent="0.3">
      <c r="A459" t="s">
        <v>17</v>
      </c>
      <c r="B459" t="str">
        <f>"601718"</f>
        <v>601718</v>
      </c>
      <c r="C459" t="s">
        <v>1092</v>
      </c>
      <c r="D459" t="s">
        <v>646</v>
      </c>
      <c r="F459">
        <v>1152175069</v>
      </c>
      <c r="G459">
        <v>148193665</v>
      </c>
      <c r="H459">
        <v>1886208072</v>
      </c>
      <c r="I459">
        <v>510964014</v>
      </c>
      <c r="J459">
        <v>-2664121384</v>
      </c>
      <c r="K459">
        <v>1125792910</v>
      </c>
      <c r="L459">
        <v>505534144</v>
      </c>
      <c r="M459">
        <v>374392187</v>
      </c>
      <c r="N459">
        <v>1204391589</v>
      </c>
      <c r="O459">
        <v>332947199</v>
      </c>
      <c r="P459">
        <v>180</v>
      </c>
      <c r="Q459" t="s">
        <v>1093</v>
      </c>
    </row>
    <row r="460" spans="1:17" x14ac:dyDescent="0.3">
      <c r="A460" t="s">
        <v>17</v>
      </c>
      <c r="B460" t="str">
        <f>"600160"</f>
        <v>600160</v>
      </c>
      <c r="C460" t="s">
        <v>1094</v>
      </c>
      <c r="D460" t="s">
        <v>1095</v>
      </c>
      <c r="F460">
        <v>1247330732</v>
      </c>
      <c r="G460">
        <v>988689294</v>
      </c>
      <c r="H460">
        <v>1882819885</v>
      </c>
      <c r="I460">
        <v>3189976356</v>
      </c>
      <c r="J460">
        <v>948394908</v>
      </c>
      <c r="K460">
        <v>921678954</v>
      </c>
      <c r="L460">
        <v>792349555</v>
      </c>
      <c r="M460">
        <v>622165420</v>
      </c>
      <c r="N460">
        <v>795099478</v>
      </c>
      <c r="O460">
        <v>-5119304</v>
      </c>
      <c r="P460">
        <v>471</v>
      </c>
      <c r="Q460" t="s">
        <v>1096</v>
      </c>
    </row>
    <row r="461" spans="1:17" x14ac:dyDescent="0.3">
      <c r="A461" t="s">
        <v>59</v>
      </c>
      <c r="B461" t="str">
        <f>"000598"</f>
        <v>000598</v>
      </c>
      <c r="C461" t="s">
        <v>1097</v>
      </c>
      <c r="D461" t="s">
        <v>669</v>
      </c>
      <c r="F461">
        <v>2727294344</v>
      </c>
      <c r="G461">
        <v>2751379453</v>
      </c>
      <c r="H461">
        <v>1881443808</v>
      </c>
      <c r="I461">
        <v>1910920158</v>
      </c>
      <c r="J461">
        <v>1657270342</v>
      </c>
      <c r="K461">
        <v>1419929055</v>
      </c>
      <c r="L461">
        <v>1334170196</v>
      </c>
      <c r="M461">
        <v>1173286622</v>
      </c>
      <c r="N461">
        <v>1079438367</v>
      </c>
      <c r="O461">
        <v>978408383</v>
      </c>
      <c r="P461">
        <v>444</v>
      </c>
      <c r="Q461" t="s">
        <v>1098</v>
      </c>
    </row>
    <row r="462" spans="1:17" x14ac:dyDescent="0.3">
      <c r="A462" t="s">
        <v>17</v>
      </c>
      <c r="B462" t="str">
        <f>"600717"</f>
        <v>600717</v>
      </c>
      <c r="C462" t="s">
        <v>1099</v>
      </c>
      <c r="D462" t="s">
        <v>386</v>
      </c>
      <c r="F462">
        <v>2778025908</v>
      </c>
      <c r="G462">
        <v>2244052831</v>
      </c>
      <c r="H462">
        <v>1861588367</v>
      </c>
      <c r="I462">
        <v>1955080260</v>
      </c>
      <c r="J462">
        <v>1838024807</v>
      </c>
      <c r="K462">
        <v>2355866117</v>
      </c>
      <c r="L462">
        <v>2257221346</v>
      </c>
      <c r="M462">
        <v>1853806486</v>
      </c>
      <c r="N462">
        <v>1112478683</v>
      </c>
      <c r="O462">
        <v>1665699895</v>
      </c>
      <c r="P462">
        <v>262</v>
      </c>
      <c r="Q462" t="s">
        <v>1100</v>
      </c>
    </row>
    <row r="463" spans="1:17" x14ac:dyDescent="0.3">
      <c r="A463" t="s">
        <v>59</v>
      </c>
      <c r="B463" t="str">
        <f>"002739"</f>
        <v>002739</v>
      </c>
      <c r="C463" t="s">
        <v>1101</v>
      </c>
      <c r="D463" t="s">
        <v>1102</v>
      </c>
      <c r="F463">
        <v>2981031422</v>
      </c>
      <c r="G463">
        <v>482122395</v>
      </c>
      <c r="H463">
        <v>1858832300</v>
      </c>
      <c r="I463">
        <v>1752063655</v>
      </c>
      <c r="J463">
        <v>1988083199</v>
      </c>
      <c r="K463">
        <v>1927538219</v>
      </c>
      <c r="L463">
        <v>2089100632</v>
      </c>
      <c r="M463">
        <v>1261361268</v>
      </c>
      <c r="N463">
        <v>1018587207</v>
      </c>
      <c r="O463">
        <v>910194871</v>
      </c>
      <c r="P463">
        <v>911</v>
      </c>
      <c r="Q463" t="s">
        <v>1103</v>
      </c>
    </row>
    <row r="464" spans="1:17" x14ac:dyDescent="0.3">
      <c r="A464" t="s">
        <v>59</v>
      </c>
      <c r="B464" t="str">
        <f>"000528"</f>
        <v>000528</v>
      </c>
      <c r="C464" t="s">
        <v>1104</v>
      </c>
      <c r="D464" t="s">
        <v>235</v>
      </c>
      <c r="F464">
        <v>846491366</v>
      </c>
      <c r="G464">
        <v>2007827380</v>
      </c>
      <c r="H464">
        <v>1857561471</v>
      </c>
      <c r="I464">
        <v>633885595</v>
      </c>
      <c r="J464">
        <v>952603458</v>
      </c>
      <c r="K464">
        <v>1378185788</v>
      </c>
      <c r="L464">
        <v>145394069</v>
      </c>
      <c r="M464">
        <v>554442986</v>
      </c>
      <c r="N464">
        <v>1083445164</v>
      </c>
      <c r="O464">
        <v>577464895</v>
      </c>
      <c r="P464">
        <v>481</v>
      </c>
      <c r="Q464" t="s">
        <v>1105</v>
      </c>
    </row>
    <row r="465" spans="1:17" x14ac:dyDescent="0.3">
      <c r="A465" t="s">
        <v>17</v>
      </c>
      <c r="B465" t="str">
        <f>"688819"</f>
        <v>688819</v>
      </c>
      <c r="C465" t="s">
        <v>1106</v>
      </c>
      <c r="D465" t="s">
        <v>1107</v>
      </c>
      <c r="F465">
        <v>3451758023</v>
      </c>
      <c r="G465">
        <v>2700655064</v>
      </c>
      <c r="H465">
        <v>1841620663</v>
      </c>
      <c r="I465">
        <v>2110875192</v>
      </c>
      <c r="J465">
        <v>2355396812</v>
      </c>
      <c r="K465">
        <v>2234179342</v>
      </c>
      <c r="P465">
        <v>159</v>
      </c>
      <c r="Q465" t="s">
        <v>1108</v>
      </c>
    </row>
    <row r="466" spans="1:17" x14ac:dyDescent="0.3">
      <c r="A466" t="s">
        <v>59</v>
      </c>
      <c r="B466" t="str">
        <f>"002440"</f>
        <v>002440</v>
      </c>
      <c r="C466" t="s">
        <v>1109</v>
      </c>
      <c r="D466" t="s">
        <v>372</v>
      </c>
      <c r="F466">
        <v>594192755</v>
      </c>
      <c r="G466">
        <v>1547847446</v>
      </c>
      <c r="H466">
        <v>1839697241</v>
      </c>
      <c r="I466">
        <v>1226450770</v>
      </c>
      <c r="J466">
        <v>606709469</v>
      </c>
      <c r="K466">
        <v>1246974519</v>
      </c>
      <c r="L466">
        <v>1263258850</v>
      </c>
      <c r="M466">
        <v>1224944289</v>
      </c>
      <c r="N466">
        <v>306904026</v>
      </c>
      <c r="O466">
        <v>582788359</v>
      </c>
      <c r="P466">
        <v>537</v>
      </c>
      <c r="Q466" t="s">
        <v>1110</v>
      </c>
    </row>
    <row r="467" spans="1:17" x14ac:dyDescent="0.3">
      <c r="A467" t="s">
        <v>17</v>
      </c>
      <c r="B467" t="str">
        <f>"601107"</f>
        <v>601107</v>
      </c>
      <c r="C467" t="s">
        <v>1111</v>
      </c>
      <c r="D467" t="s">
        <v>406</v>
      </c>
      <c r="F467">
        <v>1575277013</v>
      </c>
      <c r="G467">
        <v>2286420578</v>
      </c>
      <c r="H467">
        <v>1828681551</v>
      </c>
      <c r="I467">
        <v>2619625830</v>
      </c>
      <c r="J467">
        <v>1780086617</v>
      </c>
      <c r="K467">
        <v>2116846231</v>
      </c>
      <c r="L467">
        <v>1590447836</v>
      </c>
      <c r="M467">
        <v>1860554214</v>
      </c>
      <c r="N467">
        <v>-16718699</v>
      </c>
      <c r="O467">
        <v>1716482360</v>
      </c>
      <c r="P467">
        <v>231</v>
      </c>
      <c r="Q467" t="s">
        <v>1112</v>
      </c>
    </row>
    <row r="468" spans="1:17" x14ac:dyDescent="0.3">
      <c r="A468" t="s">
        <v>59</v>
      </c>
      <c r="B468" t="str">
        <f>"000838"</f>
        <v>000838</v>
      </c>
      <c r="C468" t="s">
        <v>1113</v>
      </c>
      <c r="D468" t="s">
        <v>61</v>
      </c>
      <c r="F468">
        <v>2891453946</v>
      </c>
      <c r="G468">
        <v>3108892078</v>
      </c>
      <c r="H468">
        <v>1826484238</v>
      </c>
      <c r="I468">
        <v>1243832957</v>
      </c>
      <c r="J468">
        <v>-1369219520</v>
      </c>
      <c r="K468">
        <v>-45432200</v>
      </c>
      <c r="L468">
        <v>-53495194</v>
      </c>
      <c r="M468">
        <v>-91774124</v>
      </c>
      <c r="N468">
        <v>137496458</v>
      </c>
      <c r="O468">
        <v>-22735950</v>
      </c>
      <c r="P468">
        <v>98</v>
      </c>
      <c r="Q468" t="s">
        <v>1114</v>
      </c>
    </row>
    <row r="469" spans="1:17" x14ac:dyDescent="0.3">
      <c r="A469" t="s">
        <v>17</v>
      </c>
      <c r="B469" t="str">
        <f>"603225"</f>
        <v>603225</v>
      </c>
      <c r="C469" t="s">
        <v>1115</v>
      </c>
      <c r="D469" t="s">
        <v>1116</v>
      </c>
      <c r="F469">
        <v>3142569155</v>
      </c>
      <c r="G469">
        <v>3183370129</v>
      </c>
      <c r="H469">
        <v>1824543845</v>
      </c>
      <c r="I469">
        <v>979329891</v>
      </c>
      <c r="J469">
        <v>1774302850</v>
      </c>
      <c r="K469">
        <v>1702333163</v>
      </c>
      <c r="L469">
        <v>693047489</v>
      </c>
      <c r="M469">
        <v>626999284</v>
      </c>
      <c r="P469">
        <v>388</v>
      </c>
      <c r="Q469" t="s">
        <v>1117</v>
      </c>
    </row>
    <row r="470" spans="1:17" x14ac:dyDescent="0.3">
      <c r="A470" t="s">
        <v>59</v>
      </c>
      <c r="B470" t="str">
        <f>"000591"</f>
        <v>000591</v>
      </c>
      <c r="C470" t="s">
        <v>1118</v>
      </c>
      <c r="D470" t="s">
        <v>1119</v>
      </c>
      <c r="F470">
        <v>2049121097</v>
      </c>
      <c r="G470">
        <v>2119854927</v>
      </c>
      <c r="H470">
        <v>1823526057</v>
      </c>
      <c r="I470">
        <v>1825665066</v>
      </c>
      <c r="J470">
        <v>1666227148</v>
      </c>
      <c r="K470">
        <v>1359069443</v>
      </c>
      <c r="L470">
        <v>757018491</v>
      </c>
      <c r="M470">
        <v>12229014</v>
      </c>
      <c r="N470">
        <v>-18668449</v>
      </c>
      <c r="O470">
        <v>189894648</v>
      </c>
      <c r="P470">
        <v>664</v>
      </c>
      <c r="Q470" t="s">
        <v>1120</v>
      </c>
    </row>
    <row r="471" spans="1:17" x14ac:dyDescent="0.3">
      <c r="A471" t="s">
        <v>17</v>
      </c>
      <c r="B471" t="str">
        <f>"600012"</f>
        <v>600012</v>
      </c>
      <c r="C471" t="s">
        <v>1121</v>
      </c>
      <c r="D471" t="s">
        <v>406</v>
      </c>
      <c r="F471">
        <v>2097060846</v>
      </c>
      <c r="G471">
        <v>1703936939</v>
      </c>
      <c r="H471">
        <v>1822702104</v>
      </c>
      <c r="I471">
        <v>1807617060</v>
      </c>
      <c r="J471">
        <v>1882799768</v>
      </c>
      <c r="K471">
        <v>1752401525</v>
      </c>
      <c r="L471">
        <v>1520718343</v>
      </c>
      <c r="M471">
        <v>1595801804</v>
      </c>
      <c r="N471">
        <v>1493126682</v>
      </c>
      <c r="O471">
        <v>1309791902</v>
      </c>
      <c r="P471">
        <v>805</v>
      </c>
      <c r="Q471" t="s">
        <v>1122</v>
      </c>
    </row>
    <row r="472" spans="1:17" x14ac:dyDescent="0.3">
      <c r="A472" t="s">
        <v>17</v>
      </c>
      <c r="B472" t="str">
        <f>"600258"</f>
        <v>600258</v>
      </c>
      <c r="C472" t="s">
        <v>1123</v>
      </c>
      <c r="D472" t="s">
        <v>824</v>
      </c>
      <c r="F472">
        <v>2308314729</v>
      </c>
      <c r="G472">
        <v>439835192</v>
      </c>
      <c r="H472">
        <v>1804331547</v>
      </c>
      <c r="I472">
        <v>1923042022</v>
      </c>
      <c r="J472">
        <v>2064542170</v>
      </c>
      <c r="K472">
        <v>1482291286</v>
      </c>
      <c r="L472">
        <v>363772213</v>
      </c>
      <c r="M472">
        <v>246441436</v>
      </c>
      <c r="N472">
        <v>239472460</v>
      </c>
      <c r="O472">
        <v>337082096</v>
      </c>
      <c r="P472">
        <v>514</v>
      </c>
      <c r="Q472" t="s">
        <v>1124</v>
      </c>
    </row>
    <row r="473" spans="1:17" x14ac:dyDescent="0.3">
      <c r="A473" t="s">
        <v>17</v>
      </c>
      <c r="B473" t="str">
        <f>"600033"</f>
        <v>600033</v>
      </c>
      <c r="C473" t="s">
        <v>1125</v>
      </c>
      <c r="D473" t="s">
        <v>406</v>
      </c>
      <c r="F473">
        <v>2368927087</v>
      </c>
      <c r="G473">
        <v>1759500566</v>
      </c>
      <c r="H473">
        <v>1790179085</v>
      </c>
      <c r="I473">
        <v>1912187902</v>
      </c>
      <c r="J473">
        <v>1758843679</v>
      </c>
      <c r="K473">
        <v>1823447308</v>
      </c>
      <c r="L473">
        <v>2299894904</v>
      </c>
      <c r="M473">
        <v>1828757852</v>
      </c>
      <c r="N473">
        <v>1826377548</v>
      </c>
      <c r="O473">
        <v>1643046794</v>
      </c>
      <c r="P473">
        <v>397</v>
      </c>
      <c r="Q473" t="s">
        <v>1126</v>
      </c>
    </row>
    <row r="474" spans="1:17" x14ac:dyDescent="0.3">
      <c r="A474" t="s">
        <v>59</v>
      </c>
      <c r="B474" t="str">
        <f>"002385"</f>
        <v>002385</v>
      </c>
      <c r="C474" t="s">
        <v>1127</v>
      </c>
      <c r="D474" t="s">
        <v>1128</v>
      </c>
      <c r="F474">
        <v>1148769577</v>
      </c>
      <c r="G474">
        <v>1856435731</v>
      </c>
      <c r="H474">
        <v>1787097828</v>
      </c>
      <c r="I474">
        <v>1067467487</v>
      </c>
      <c r="J474">
        <v>715022801</v>
      </c>
      <c r="K474">
        <v>642399239</v>
      </c>
      <c r="L474">
        <v>1299482365</v>
      </c>
      <c r="M474">
        <v>847419738</v>
      </c>
      <c r="N474">
        <v>522010005</v>
      </c>
      <c r="O474">
        <v>694869902</v>
      </c>
      <c r="P474">
        <v>890</v>
      </c>
      <c r="Q474" t="s">
        <v>1129</v>
      </c>
    </row>
    <row r="475" spans="1:17" x14ac:dyDescent="0.3">
      <c r="A475" t="s">
        <v>17</v>
      </c>
      <c r="B475" t="str">
        <f>"600060"</f>
        <v>600060</v>
      </c>
      <c r="C475" t="s">
        <v>1130</v>
      </c>
      <c r="D475" t="s">
        <v>1131</v>
      </c>
      <c r="F475">
        <v>662677243</v>
      </c>
      <c r="G475">
        <v>124230819</v>
      </c>
      <c r="H475">
        <v>1784426923</v>
      </c>
      <c r="I475">
        <v>-87138040</v>
      </c>
      <c r="J475">
        <v>2368264529</v>
      </c>
      <c r="K475">
        <v>2470434707</v>
      </c>
      <c r="L475">
        <v>1105329360</v>
      </c>
      <c r="M475">
        <v>954502475</v>
      </c>
      <c r="N475">
        <v>1314957642</v>
      </c>
      <c r="O475">
        <v>233760453</v>
      </c>
      <c r="P475">
        <v>532</v>
      </c>
      <c r="Q475" t="s">
        <v>1132</v>
      </c>
    </row>
    <row r="476" spans="1:17" x14ac:dyDescent="0.3">
      <c r="A476" t="s">
        <v>59</v>
      </c>
      <c r="B476" t="str">
        <f>"002267"</f>
        <v>002267</v>
      </c>
      <c r="C476" t="s">
        <v>1133</v>
      </c>
      <c r="D476" t="s">
        <v>883</v>
      </c>
      <c r="F476">
        <v>771406272</v>
      </c>
      <c r="G476">
        <v>998271103</v>
      </c>
      <c r="H476">
        <v>1782042250</v>
      </c>
      <c r="I476">
        <v>614861245</v>
      </c>
      <c r="J476">
        <v>1121044422</v>
      </c>
      <c r="K476">
        <v>1000276888</v>
      </c>
      <c r="L476">
        <v>1355544771</v>
      </c>
      <c r="M476">
        <v>1125546822</v>
      </c>
      <c r="N476">
        <v>852737380</v>
      </c>
      <c r="O476">
        <v>943314742</v>
      </c>
      <c r="P476">
        <v>202</v>
      </c>
      <c r="Q476" t="s">
        <v>1134</v>
      </c>
    </row>
    <row r="477" spans="1:17" x14ac:dyDescent="0.3">
      <c r="A477" t="s">
        <v>17</v>
      </c>
      <c r="B477" t="str">
        <f>"600511"</f>
        <v>600511</v>
      </c>
      <c r="C477" t="s">
        <v>1135</v>
      </c>
      <c r="D477" t="s">
        <v>396</v>
      </c>
      <c r="F477">
        <v>1957451032</v>
      </c>
      <c r="G477">
        <v>1301671104</v>
      </c>
      <c r="H477">
        <v>1776070491</v>
      </c>
      <c r="I477">
        <v>981654068</v>
      </c>
      <c r="J477">
        <v>1074491396</v>
      </c>
      <c r="K477">
        <v>591250428</v>
      </c>
      <c r="L477">
        <v>440285456</v>
      </c>
      <c r="M477">
        <v>218943204</v>
      </c>
      <c r="N477">
        <v>185563414</v>
      </c>
      <c r="O477">
        <v>185868316</v>
      </c>
      <c r="P477">
        <v>24746</v>
      </c>
      <c r="Q477" t="s">
        <v>1136</v>
      </c>
    </row>
    <row r="478" spans="1:17" x14ac:dyDescent="0.3">
      <c r="A478" t="s">
        <v>17</v>
      </c>
      <c r="B478" t="str">
        <f>"600260"</f>
        <v>600260</v>
      </c>
      <c r="C478" t="s">
        <v>1137</v>
      </c>
      <c r="D478" t="s">
        <v>1138</v>
      </c>
      <c r="F478">
        <v>-635303152</v>
      </c>
      <c r="G478">
        <v>2042920355</v>
      </c>
      <c r="H478">
        <v>1771174265</v>
      </c>
      <c r="I478">
        <v>1637067699</v>
      </c>
      <c r="J478">
        <v>156959693</v>
      </c>
      <c r="K478">
        <v>-1638662081</v>
      </c>
      <c r="L478">
        <v>956866385</v>
      </c>
      <c r="M478">
        <v>-82041222</v>
      </c>
      <c r="N478">
        <v>209749705</v>
      </c>
      <c r="O478">
        <v>197781271</v>
      </c>
      <c r="P478">
        <v>467</v>
      </c>
      <c r="Q478" t="s">
        <v>1139</v>
      </c>
    </row>
    <row r="479" spans="1:17" x14ac:dyDescent="0.3">
      <c r="A479" t="s">
        <v>17</v>
      </c>
      <c r="B479" t="str">
        <f>"601666"</f>
        <v>601666</v>
      </c>
      <c r="C479" t="s">
        <v>1140</v>
      </c>
      <c r="D479" t="s">
        <v>294</v>
      </c>
      <c r="F479">
        <v>8437113110</v>
      </c>
      <c r="G479">
        <v>2613777467</v>
      </c>
      <c r="H479">
        <v>1770205510</v>
      </c>
      <c r="I479">
        <v>2751068246</v>
      </c>
      <c r="J479">
        <v>2716321573</v>
      </c>
      <c r="K479">
        <v>3513194223</v>
      </c>
      <c r="L479">
        <v>-282242499</v>
      </c>
      <c r="M479">
        <v>-2542751034</v>
      </c>
      <c r="N479">
        <v>-3413723410</v>
      </c>
      <c r="O479">
        <v>-292428208</v>
      </c>
      <c r="P479">
        <v>401</v>
      </c>
      <c r="Q479" t="s">
        <v>1141</v>
      </c>
    </row>
    <row r="480" spans="1:17" x14ac:dyDescent="0.3">
      <c r="A480" t="s">
        <v>59</v>
      </c>
      <c r="B480" t="str">
        <f>"000513"</f>
        <v>000513</v>
      </c>
      <c r="C480" t="s">
        <v>1142</v>
      </c>
      <c r="D480" t="s">
        <v>592</v>
      </c>
      <c r="F480">
        <v>1902328139</v>
      </c>
      <c r="G480">
        <v>2160760606</v>
      </c>
      <c r="H480">
        <v>1767162883</v>
      </c>
      <c r="I480">
        <v>1267621181</v>
      </c>
      <c r="J480">
        <v>1315865468</v>
      </c>
      <c r="K480">
        <v>1279215038</v>
      </c>
      <c r="L480">
        <v>927788460</v>
      </c>
      <c r="M480">
        <v>717393894</v>
      </c>
      <c r="N480">
        <v>439986526</v>
      </c>
      <c r="O480">
        <v>593964664</v>
      </c>
      <c r="P480">
        <v>1622</v>
      </c>
      <c r="Q480" t="s">
        <v>1143</v>
      </c>
    </row>
    <row r="481" spans="1:17" x14ac:dyDescent="0.3">
      <c r="A481" t="s">
        <v>59</v>
      </c>
      <c r="B481" t="str">
        <f>"002185"</f>
        <v>002185</v>
      </c>
      <c r="C481" t="s">
        <v>1144</v>
      </c>
      <c r="D481" t="s">
        <v>704</v>
      </c>
      <c r="F481">
        <v>3444362299</v>
      </c>
      <c r="G481">
        <v>2058108187</v>
      </c>
      <c r="H481">
        <v>1765034058</v>
      </c>
      <c r="I481">
        <v>1133031257</v>
      </c>
      <c r="J481">
        <v>903535928</v>
      </c>
      <c r="K481">
        <v>862521251</v>
      </c>
      <c r="L481">
        <v>683548571</v>
      </c>
      <c r="M481">
        <v>553145925</v>
      </c>
      <c r="N481">
        <v>387657464</v>
      </c>
      <c r="O481">
        <v>214506256</v>
      </c>
      <c r="P481">
        <v>1176</v>
      </c>
      <c r="Q481" t="s">
        <v>1145</v>
      </c>
    </row>
    <row r="482" spans="1:17" x14ac:dyDescent="0.3">
      <c r="A482" t="s">
        <v>59</v>
      </c>
      <c r="B482" t="str">
        <f>"002251"</f>
        <v>002251</v>
      </c>
      <c r="C482" t="s">
        <v>1146</v>
      </c>
      <c r="D482" t="s">
        <v>1147</v>
      </c>
      <c r="F482">
        <v>3270655105</v>
      </c>
      <c r="G482">
        <v>1349027016</v>
      </c>
      <c r="H482">
        <v>1763297113</v>
      </c>
      <c r="I482">
        <v>1433847579</v>
      </c>
      <c r="J482">
        <v>1125038056</v>
      </c>
      <c r="K482">
        <v>984110454</v>
      </c>
      <c r="L482">
        <v>568133130</v>
      </c>
      <c r="M482">
        <v>648903621</v>
      </c>
      <c r="N482">
        <v>763124141</v>
      </c>
      <c r="O482">
        <v>793646376</v>
      </c>
      <c r="P482">
        <v>196</v>
      </c>
      <c r="Q482" t="s">
        <v>1148</v>
      </c>
    </row>
    <row r="483" spans="1:17" x14ac:dyDescent="0.3">
      <c r="A483" t="s">
        <v>59</v>
      </c>
      <c r="B483" t="str">
        <f>"002081"</f>
        <v>002081</v>
      </c>
      <c r="C483" t="s">
        <v>1149</v>
      </c>
      <c r="D483" t="s">
        <v>1150</v>
      </c>
      <c r="F483">
        <v>813571441</v>
      </c>
      <c r="G483">
        <v>1777115242</v>
      </c>
      <c r="H483">
        <v>1755219983</v>
      </c>
      <c r="I483">
        <v>1649422128</v>
      </c>
      <c r="J483">
        <v>1777251789</v>
      </c>
      <c r="K483">
        <v>1100571329</v>
      </c>
      <c r="L483">
        <v>81914982</v>
      </c>
      <c r="M483">
        <v>-346005196</v>
      </c>
      <c r="N483">
        <v>1000358163</v>
      </c>
      <c r="O483">
        <v>774500693</v>
      </c>
      <c r="P483">
        <v>18140</v>
      </c>
      <c r="Q483" t="s">
        <v>1151</v>
      </c>
    </row>
    <row r="484" spans="1:17" x14ac:dyDescent="0.3">
      <c r="A484" t="s">
        <v>17</v>
      </c>
      <c r="B484" t="str">
        <f>"600521"</f>
        <v>600521</v>
      </c>
      <c r="C484" t="s">
        <v>1152</v>
      </c>
      <c r="D484" t="s">
        <v>592</v>
      </c>
      <c r="F484">
        <v>938429831</v>
      </c>
      <c r="G484">
        <v>1555458119</v>
      </c>
      <c r="H484">
        <v>1753946218</v>
      </c>
      <c r="I484">
        <v>67895840</v>
      </c>
      <c r="J484">
        <v>546240886</v>
      </c>
      <c r="K484">
        <v>433099735</v>
      </c>
      <c r="L484">
        <v>195314063</v>
      </c>
      <c r="M484">
        <v>328608722</v>
      </c>
      <c r="N484">
        <v>490293727</v>
      </c>
      <c r="O484">
        <v>243829247</v>
      </c>
      <c r="P484">
        <v>964</v>
      </c>
      <c r="Q484" t="s">
        <v>1153</v>
      </c>
    </row>
    <row r="485" spans="1:17" x14ac:dyDescent="0.3">
      <c r="A485" t="s">
        <v>17</v>
      </c>
      <c r="B485" t="str">
        <f>"688425"</f>
        <v>688425</v>
      </c>
      <c r="C485" t="s">
        <v>1154</v>
      </c>
      <c r="D485" t="s">
        <v>235</v>
      </c>
      <c r="F485">
        <v>-1484087690</v>
      </c>
      <c r="G485">
        <v>-334844180</v>
      </c>
      <c r="H485">
        <v>1752388264</v>
      </c>
      <c r="I485">
        <v>1989286692</v>
      </c>
      <c r="J485">
        <v>386829983</v>
      </c>
      <c r="P485">
        <v>40</v>
      </c>
      <c r="Q485" t="s">
        <v>1155</v>
      </c>
    </row>
    <row r="486" spans="1:17" x14ac:dyDescent="0.3">
      <c r="A486" t="s">
        <v>59</v>
      </c>
      <c r="B486" t="str">
        <f>"000589"</f>
        <v>000589</v>
      </c>
      <c r="C486" t="s">
        <v>1156</v>
      </c>
      <c r="D486" t="s">
        <v>767</v>
      </c>
      <c r="F486">
        <v>285812969</v>
      </c>
      <c r="G486">
        <v>1659357744</v>
      </c>
      <c r="H486">
        <v>1751891890</v>
      </c>
      <c r="I486">
        <v>733203773</v>
      </c>
      <c r="J486">
        <v>226301257</v>
      </c>
      <c r="K486">
        <v>222405284</v>
      </c>
      <c r="L486">
        <v>579120499</v>
      </c>
      <c r="M486">
        <v>971399056</v>
      </c>
      <c r="N486">
        <v>159146115</v>
      </c>
      <c r="O486">
        <v>1077662517</v>
      </c>
      <c r="P486">
        <v>208</v>
      </c>
      <c r="Q486" t="s">
        <v>1157</v>
      </c>
    </row>
    <row r="487" spans="1:17" x14ac:dyDescent="0.3">
      <c r="A487" t="s">
        <v>17</v>
      </c>
      <c r="B487" t="str">
        <f>"600548"</f>
        <v>600548</v>
      </c>
      <c r="C487" t="s">
        <v>1158</v>
      </c>
      <c r="D487" t="s">
        <v>406</v>
      </c>
      <c r="F487">
        <v>3941530768</v>
      </c>
      <c r="G487">
        <v>1100633933</v>
      </c>
      <c r="H487">
        <v>1751428675</v>
      </c>
      <c r="I487">
        <v>3222228583</v>
      </c>
      <c r="J487">
        <v>2660705790</v>
      </c>
      <c r="K487">
        <v>2126610026</v>
      </c>
      <c r="L487">
        <v>1771505130</v>
      </c>
      <c r="M487">
        <v>1793755282</v>
      </c>
      <c r="N487">
        <v>1761224786</v>
      </c>
      <c r="O487">
        <v>1530654667</v>
      </c>
      <c r="P487">
        <v>794</v>
      </c>
      <c r="Q487" t="s">
        <v>1159</v>
      </c>
    </row>
    <row r="488" spans="1:17" x14ac:dyDescent="0.3">
      <c r="A488" t="s">
        <v>59</v>
      </c>
      <c r="B488" t="str">
        <f>"000917"</f>
        <v>000917</v>
      </c>
      <c r="C488" t="s">
        <v>1160</v>
      </c>
      <c r="D488" t="s">
        <v>775</v>
      </c>
      <c r="F488">
        <v>635482707</v>
      </c>
      <c r="G488">
        <v>156471919</v>
      </c>
      <c r="H488">
        <v>1745414146</v>
      </c>
      <c r="I488">
        <v>654630273</v>
      </c>
      <c r="J488">
        <v>128796400</v>
      </c>
      <c r="K488">
        <v>-294628449</v>
      </c>
      <c r="L488">
        <v>582461121</v>
      </c>
      <c r="M488">
        <v>153006649</v>
      </c>
      <c r="N488">
        <v>1947813564</v>
      </c>
      <c r="O488">
        <v>540592932</v>
      </c>
      <c r="P488">
        <v>267</v>
      </c>
      <c r="Q488" t="s">
        <v>1161</v>
      </c>
    </row>
    <row r="489" spans="1:17" x14ac:dyDescent="0.3">
      <c r="A489" t="s">
        <v>17</v>
      </c>
      <c r="B489" t="str">
        <f>"600395"</f>
        <v>600395</v>
      </c>
      <c r="C489" t="s">
        <v>1162</v>
      </c>
      <c r="D489" t="s">
        <v>294</v>
      </c>
      <c r="F489">
        <v>1678972096</v>
      </c>
      <c r="G489">
        <v>683420870</v>
      </c>
      <c r="H489">
        <v>1742099181</v>
      </c>
      <c r="I489">
        <v>887977584</v>
      </c>
      <c r="J489">
        <v>893519600</v>
      </c>
      <c r="K489">
        <v>-99010400</v>
      </c>
      <c r="L489">
        <v>554108800</v>
      </c>
      <c r="M489">
        <v>770710649</v>
      </c>
      <c r="N489">
        <v>906277896</v>
      </c>
      <c r="O489">
        <v>1427627607</v>
      </c>
      <c r="P489">
        <v>517</v>
      </c>
      <c r="Q489" t="s">
        <v>1163</v>
      </c>
    </row>
    <row r="490" spans="1:17" x14ac:dyDescent="0.3">
      <c r="A490" t="s">
        <v>17</v>
      </c>
      <c r="B490" t="str">
        <f>"600390"</f>
        <v>600390</v>
      </c>
      <c r="C490" t="s">
        <v>1164</v>
      </c>
      <c r="D490" t="s">
        <v>117</v>
      </c>
      <c r="F490">
        <v>8693491850</v>
      </c>
      <c r="G490">
        <v>-9593749748</v>
      </c>
      <c r="H490">
        <v>1741312824</v>
      </c>
      <c r="I490">
        <v>1072204030</v>
      </c>
      <c r="J490">
        <v>-3551504272</v>
      </c>
      <c r="K490">
        <v>236673968</v>
      </c>
      <c r="L490">
        <v>-188118493</v>
      </c>
      <c r="M490">
        <v>-169052252</v>
      </c>
      <c r="N490">
        <v>17464285</v>
      </c>
      <c r="O490">
        <v>65151902</v>
      </c>
      <c r="P490">
        <v>300</v>
      </c>
      <c r="Q490" t="s">
        <v>1165</v>
      </c>
    </row>
    <row r="491" spans="1:17" x14ac:dyDescent="0.3">
      <c r="A491" t="s">
        <v>59</v>
      </c>
      <c r="B491" t="str">
        <f>"002234"</f>
        <v>002234</v>
      </c>
      <c r="C491" t="s">
        <v>1166</v>
      </c>
      <c r="D491" t="s">
        <v>470</v>
      </c>
      <c r="F491">
        <v>42672842</v>
      </c>
      <c r="G491">
        <v>237190335</v>
      </c>
      <c r="H491">
        <v>1737331872</v>
      </c>
      <c r="I491">
        <v>444401403</v>
      </c>
      <c r="J491">
        <v>-76616170</v>
      </c>
      <c r="K491">
        <v>283651510</v>
      </c>
      <c r="L491">
        <v>178369261</v>
      </c>
      <c r="M491">
        <v>-173326630</v>
      </c>
      <c r="N491">
        <v>-63411143</v>
      </c>
      <c r="O491">
        <v>-7499704</v>
      </c>
      <c r="P491">
        <v>577</v>
      </c>
      <c r="Q491" t="s">
        <v>1167</v>
      </c>
    </row>
    <row r="492" spans="1:17" x14ac:dyDescent="0.3">
      <c r="A492" t="s">
        <v>17</v>
      </c>
      <c r="B492" t="str">
        <f>"603565"</f>
        <v>603565</v>
      </c>
      <c r="C492" t="s">
        <v>1168</v>
      </c>
      <c r="D492" t="s">
        <v>178</v>
      </c>
      <c r="F492">
        <v>3176340114</v>
      </c>
      <c r="G492">
        <v>2017213680</v>
      </c>
      <c r="H492">
        <v>1735864743</v>
      </c>
      <c r="I492">
        <v>1233740976</v>
      </c>
      <c r="J492">
        <v>1071573900</v>
      </c>
      <c r="K492">
        <v>664011162</v>
      </c>
      <c r="P492">
        <v>225</v>
      </c>
      <c r="Q492" t="s">
        <v>1169</v>
      </c>
    </row>
    <row r="493" spans="1:17" x14ac:dyDescent="0.3">
      <c r="A493" t="s">
        <v>17</v>
      </c>
      <c r="B493" t="str">
        <f>"600507"</f>
        <v>600507</v>
      </c>
      <c r="C493" t="s">
        <v>1170</v>
      </c>
      <c r="D493" t="s">
        <v>330</v>
      </c>
      <c r="F493">
        <v>2153588570</v>
      </c>
      <c r="G493">
        <v>3739883206</v>
      </c>
      <c r="H493">
        <v>1734752706</v>
      </c>
      <c r="I493">
        <v>3572897918</v>
      </c>
      <c r="J493">
        <v>2553641394</v>
      </c>
      <c r="K493">
        <v>1345446071</v>
      </c>
      <c r="L493">
        <v>706593356</v>
      </c>
      <c r="M493">
        <v>832840774</v>
      </c>
      <c r="N493">
        <v>741798967</v>
      </c>
      <c r="O493">
        <v>508511292</v>
      </c>
      <c r="P493">
        <v>1893</v>
      </c>
      <c r="Q493" t="s">
        <v>1171</v>
      </c>
    </row>
    <row r="494" spans="1:17" x14ac:dyDescent="0.3">
      <c r="A494" t="s">
        <v>59</v>
      </c>
      <c r="B494" t="str">
        <f>"002032"</f>
        <v>002032</v>
      </c>
      <c r="C494" t="s">
        <v>1172</v>
      </c>
      <c r="D494" t="s">
        <v>1173</v>
      </c>
      <c r="F494">
        <v>2049881569</v>
      </c>
      <c r="G494">
        <v>2076592774</v>
      </c>
      <c r="H494">
        <v>1732940977</v>
      </c>
      <c r="I494">
        <v>2013658745</v>
      </c>
      <c r="J494">
        <v>1081469057</v>
      </c>
      <c r="K494">
        <v>1388990551</v>
      </c>
      <c r="L494">
        <v>1133089711</v>
      </c>
      <c r="M494">
        <v>833189312</v>
      </c>
      <c r="N494">
        <v>587991878</v>
      </c>
      <c r="O494">
        <v>857330478</v>
      </c>
      <c r="P494">
        <v>52892</v>
      </c>
      <c r="Q494" t="s">
        <v>1174</v>
      </c>
    </row>
    <row r="495" spans="1:17" x14ac:dyDescent="0.3">
      <c r="A495" t="s">
        <v>17</v>
      </c>
      <c r="B495" t="str">
        <f>"600185"</f>
        <v>600185</v>
      </c>
      <c r="C495" t="s">
        <v>1175</v>
      </c>
      <c r="D495" t="s">
        <v>61</v>
      </c>
      <c r="F495">
        <v>3459723607</v>
      </c>
      <c r="G495">
        <v>1819913453</v>
      </c>
      <c r="H495">
        <v>1725313844</v>
      </c>
      <c r="I495">
        <v>-1216576403</v>
      </c>
      <c r="J495">
        <v>-2102417205</v>
      </c>
      <c r="K495">
        <v>-1234756556</v>
      </c>
      <c r="L495">
        <v>182129317</v>
      </c>
      <c r="M495">
        <v>-1145330910</v>
      </c>
      <c r="N495">
        <v>-127763159</v>
      </c>
      <c r="O495">
        <v>-1362069763</v>
      </c>
      <c r="P495">
        <v>321</v>
      </c>
      <c r="Q495" t="s">
        <v>1176</v>
      </c>
    </row>
    <row r="496" spans="1:17" x14ac:dyDescent="0.3">
      <c r="A496" t="s">
        <v>17</v>
      </c>
      <c r="B496" t="str">
        <f>"600376"</f>
        <v>600376</v>
      </c>
      <c r="C496" t="s">
        <v>1177</v>
      </c>
      <c r="D496" t="s">
        <v>61</v>
      </c>
      <c r="F496">
        <v>7403408176</v>
      </c>
      <c r="G496">
        <v>5589654392</v>
      </c>
      <c r="H496">
        <v>1724306637</v>
      </c>
      <c r="I496">
        <v>11643204843</v>
      </c>
      <c r="J496">
        <v>-20453239489</v>
      </c>
      <c r="K496">
        <v>-8509827413</v>
      </c>
      <c r="L496">
        <v>-9569353121</v>
      </c>
      <c r="M496">
        <v>3290204165</v>
      </c>
      <c r="N496">
        <v>-8273847646</v>
      </c>
      <c r="O496">
        <v>2143060042</v>
      </c>
      <c r="P496">
        <v>1101</v>
      </c>
      <c r="Q496" t="s">
        <v>1178</v>
      </c>
    </row>
    <row r="497" spans="1:17" x14ac:dyDescent="0.3">
      <c r="A497" t="s">
        <v>59</v>
      </c>
      <c r="B497" t="str">
        <f>"300408"</f>
        <v>300408</v>
      </c>
      <c r="C497" t="s">
        <v>1179</v>
      </c>
      <c r="D497" t="s">
        <v>1180</v>
      </c>
      <c r="F497">
        <v>1154322230</v>
      </c>
      <c r="G497">
        <v>1174900930</v>
      </c>
      <c r="H497">
        <v>1714660336</v>
      </c>
      <c r="I497">
        <v>1539470347</v>
      </c>
      <c r="J497">
        <v>977182884</v>
      </c>
      <c r="K497">
        <v>948009172</v>
      </c>
      <c r="L497">
        <v>528670245</v>
      </c>
      <c r="M497">
        <v>705567897</v>
      </c>
      <c r="N497">
        <v>644968930</v>
      </c>
      <c r="O497">
        <v>356376587</v>
      </c>
      <c r="P497">
        <v>1510</v>
      </c>
      <c r="Q497" t="s">
        <v>1181</v>
      </c>
    </row>
    <row r="498" spans="1:17" x14ac:dyDescent="0.3">
      <c r="A498" t="s">
        <v>17</v>
      </c>
      <c r="B498" t="str">
        <f>"603233"</f>
        <v>603233</v>
      </c>
      <c r="C498" t="s">
        <v>1182</v>
      </c>
      <c r="D498" t="s">
        <v>1183</v>
      </c>
      <c r="F498">
        <v>1554994863</v>
      </c>
      <c r="G498">
        <v>1953915828</v>
      </c>
      <c r="H498">
        <v>1707770708</v>
      </c>
      <c r="I498">
        <v>873639845</v>
      </c>
      <c r="J498">
        <v>640388128</v>
      </c>
      <c r="K498">
        <v>495601186</v>
      </c>
      <c r="L498">
        <v>468587222</v>
      </c>
      <c r="M498">
        <v>448578297</v>
      </c>
      <c r="P498">
        <v>1786</v>
      </c>
      <c r="Q498" t="s">
        <v>1184</v>
      </c>
    </row>
    <row r="499" spans="1:17" x14ac:dyDescent="0.3">
      <c r="A499" t="s">
        <v>17</v>
      </c>
      <c r="B499" t="str">
        <f>"603993"</f>
        <v>603993</v>
      </c>
      <c r="C499" t="s">
        <v>1185</v>
      </c>
      <c r="D499" t="s">
        <v>1186</v>
      </c>
      <c r="F499">
        <v>6190648052</v>
      </c>
      <c r="G499">
        <v>8492453630</v>
      </c>
      <c r="H499">
        <v>1704827884</v>
      </c>
      <c r="I499">
        <v>9434533590</v>
      </c>
      <c r="J499">
        <v>8428811928</v>
      </c>
      <c r="K499">
        <v>2914826436</v>
      </c>
      <c r="L499">
        <v>1358771923</v>
      </c>
      <c r="M499">
        <v>3635047137</v>
      </c>
      <c r="N499">
        <v>1371714376</v>
      </c>
      <c r="O499">
        <v>1606167150</v>
      </c>
      <c r="P499">
        <v>1125</v>
      </c>
      <c r="Q499" t="s">
        <v>1187</v>
      </c>
    </row>
    <row r="500" spans="1:17" x14ac:dyDescent="0.3">
      <c r="A500" t="s">
        <v>59</v>
      </c>
      <c r="B500" t="str">
        <f>"000938"</f>
        <v>000938</v>
      </c>
      <c r="C500" t="s">
        <v>1188</v>
      </c>
      <c r="D500" t="s">
        <v>1189</v>
      </c>
      <c r="F500">
        <v>-2180159671</v>
      </c>
      <c r="G500">
        <v>5067579147</v>
      </c>
      <c r="H500">
        <v>1698907946</v>
      </c>
      <c r="I500">
        <v>4869442344</v>
      </c>
      <c r="J500">
        <v>297457043</v>
      </c>
      <c r="K500">
        <v>1308281891</v>
      </c>
      <c r="L500">
        <v>93178380</v>
      </c>
      <c r="M500">
        <v>120815218</v>
      </c>
      <c r="N500">
        <v>123831142</v>
      </c>
      <c r="O500">
        <v>-129887387</v>
      </c>
      <c r="P500">
        <v>3894</v>
      </c>
      <c r="Q500" t="s">
        <v>1190</v>
      </c>
    </row>
    <row r="501" spans="1:17" x14ac:dyDescent="0.3">
      <c r="A501" t="s">
        <v>17</v>
      </c>
      <c r="B501" t="str">
        <f>"600183"</f>
        <v>600183</v>
      </c>
      <c r="C501" t="s">
        <v>1191</v>
      </c>
      <c r="D501" t="s">
        <v>539</v>
      </c>
      <c r="F501">
        <v>1775653273</v>
      </c>
      <c r="G501">
        <v>1757967492</v>
      </c>
      <c r="H501">
        <v>1692374381</v>
      </c>
      <c r="I501">
        <v>1337205019</v>
      </c>
      <c r="J501">
        <v>593145887</v>
      </c>
      <c r="K501">
        <v>1167616424</v>
      </c>
      <c r="L501">
        <v>1129845192</v>
      </c>
      <c r="M501">
        <v>205719559</v>
      </c>
      <c r="N501">
        <v>719354839</v>
      </c>
      <c r="O501">
        <v>319497003</v>
      </c>
      <c r="P501">
        <v>2338</v>
      </c>
      <c r="Q501" t="s">
        <v>1192</v>
      </c>
    </row>
    <row r="502" spans="1:17" x14ac:dyDescent="0.3">
      <c r="A502" t="s">
        <v>59</v>
      </c>
      <c r="B502" t="str">
        <f>"002416"</f>
        <v>002416</v>
      </c>
      <c r="C502" t="s">
        <v>1193</v>
      </c>
      <c r="D502" t="s">
        <v>1194</v>
      </c>
      <c r="F502">
        <v>-3315258515</v>
      </c>
      <c r="G502">
        <v>1627968649</v>
      </c>
      <c r="H502">
        <v>1691513845</v>
      </c>
      <c r="I502">
        <v>492248740</v>
      </c>
      <c r="J502">
        <v>-1542790911</v>
      </c>
      <c r="K502">
        <v>1389738734</v>
      </c>
      <c r="L502">
        <v>292544695</v>
      </c>
      <c r="M502">
        <v>9096769</v>
      </c>
      <c r="N502">
        <v>780181235</v>
      </c>
      <c r="O502">
        <v>87077444</v>
      </c>
      <c r="P502">
        <v>251</v>
      </c>
      <c r="Q502" t="s">
        <v>1195</v>
      </c>
    </row>
    <row r="503" spans="1:17" x14ac:dyDescent="0.3">
      <c r="A503" t="s">
        <v>17</v>
      </c>
      <c r="B503" t="str">
        <f>"601019"</f>
        <v>601019</v>
      </c>
      <c r="C503" t="s">
        <v>1196</v>
      </c>
      <c r="D503" t="s">
        <v>721</v>
      </c>
      <c r="F503">
        <v>2557397079</v>
      </c>
      <c r="G503">
        <v>1814897647</v>
      </c>
      <c r="H503">
        <v>1689524127</v>
      </c>
      <c r="I503">
        <v>1517236398</v>
      </c>
      <c r="J503">
        <v>659664319</v>
      </c>
      <c r="K503">
        <v>1165995133</v>
      </c>
      <c r="L503">
        <v>783486832</v>
      </c>
      <c r="M503">
        <v>882439937</v>
      </c>
      <c r="P503">
        <v>401</v>
      </c>
      <c r="Q503" t="s">
        <v>1197</v>
      </c>
    </row>
    <row r="504" spans="1:17" x14ac:dyDescent="0.3">
      <c r="A504" t="s">
        <v>17</v>
      </c>
      <c r="B504" t="str">
        <f>"600885"</f>
        <v>600885</v>
      </c>
      <c r="C504" t="s">
        <v>1198</v>
      </c>
      <c r="D504" t="s">
        <v>494</v>
      </c>
      <c r="F504">
        <v>911840233</v>
      </c>
      <c r="G504">
        <v>719589776</v>
      </c>
      <c r="H504">
        <v>1680947681</v>
      </c>
      <c r="I504">
        <v>827473933</v>
      </c>
      <c r="J504">
        <v>650306312</v>
      </c>
      <c r="K504">
        <v>497711317</v>
      </c>
      <c r="L504">
        <v>758177091</v>
      </c>
      <c r="M504">
        <v>351693512</v>
      </c>
      <c r="N504">
        <v>460692530</v>
      </c>
      <c r="O504">
        <v>330627354</v>
      </c>
      <c r="P504">
        <v>13105</v>
      </c>
      <c r="Q504" t="s">
        <v>1199</v>
      </c>
    </row>
    <row r="505" spans="1:17" x14ac:dyDescent="0.3">
      <c r="A505" t="s">
        <v>17</v>
      </c>
      <c r="B505" t="str">
        <f>"600667"</f>
        <v>600667</v>
      </c>
      <c r="C505" t="s">
        <v>1200</v>
      </c>
      <c r="D505" t="s">
        <v>704</v>
      </c>
      <c r="F505">
        <v>1589570383</v>
      </c>
      <c r="G505">
        <v>1901724077</v>
      </c>
      <c r="H505">
        <v>1680833522</v>
      </c>
      <c r="I505">
        <v>1290306654</v>
      </c>
      <c r="J505">
        <v>819649787</v>
      </c>
      <c r="K505">
        <v>513034455</v>
      </c>
      <c r="L505">
        <v>799703007</v>
      </c>
      <c r="M505">
        <v>940250537</v>
      </c>
      <c r="N505">
        <v>1187912633</v>
      </c>
      <c r="O505">
        <v>844890628</v>
      </c>
      <c r="P505">
        <v>445</v>
      </c>
      <c r="Q505" t="s">
        <v>1201</v>
      </c>
    </row>
    <row r="506" spans="1:17" x14ac:dyDescent="0.3">
      <c r="A506" t="s">
        <v>17</v>
      </c>
      <c r="B506" t="str">
        <f>"600535"</f>
        <v>600535</v>
      </c>
      <c r="C506" t="s">
        <v>1202</v>
      </c>
      <c r="D506" t="s">
        <v>455</v>
      </c>
      <c r="F506">
        <v>2801160372</v>
      </c>
      <c r="G506">
        <v>1791167019</v>
      </c>
      <c r="H506">
        <v>1680149979</v>
      </c>
      <c r="I506">
        <v>1493789723</v>
      </c>
      <c r="J506">
        <v>-822558541</v>
      </c>
      <c r="K506">
        <v>1153728621</v>
      </c>
      <c r="L506">
        <v>340002094</v>
      </c>
      <c r="M506">
        <v>616763925</v>
      </c>
      <c r="N506">
        <v>346172871</v>
      </c>
      <c r="O506">
        <v>413310500</v>
      </c>
      <c r="P506">
        <v>12549</v>
      </c>
      <c r="Q506" t="s">
        <v>1203</v>
      </c>
    </row>
    <row r="507" spans="1:17" x14ac:dyDescent="0.3">
      <c r="A507" t="s">
        <v>59</v>
      </c>
      <c r="B507" t="str">
        <f>"002563"</f>
        <v>002563</v>
      </c>
      <c r="C507" t="s">
        <v>1204</v>
      </c>
      <c r="D507" t="s">
        <v>646</v>
      </c>
      <c r="F507">
        <v>2075924690</v>
      </c>
      <c r="G507">
        <v>4456518195</v>
      </c>
      <c r="H507">
        <v>1676841525</v>
      </c>
      <c r="I507">
        <v>954971111</v>
      </c>
      <c r="J507">
        <v>2190731138</v>
      </c>
      <c r="K507">
        <v>857311192</v>
      </c>
      <c r="L507">
        <v>871582142</v>
      </c>
      <c r="M507">
        <v>761991510</v>
      </c>
      <c r="N507">
        <v>1392422625</v>
      </c>
      <c r="O507">
        <v>1034400355</v>
      </c>
      <c r="P507">
        <v>904</v>
      </c>
      <c r="Q507" t="s">
        <v>1205</v>
      </c>
    </row>
    <row r="508" spans="1:17" x14ac:dyDescent="0.3">
      <c r="A508" t="s">
        <v>59</v>
      </c>
      <c r="B508" t="str">
        <f>"000890"</f>
        <v>000890</v>
      </c>
      <c r="C508" t="s">
        <v>1206</v>
      </c>
      <c r="D508" t="s">
        <v>637</v>
      </c>
      <c r="F508">
        <v>-163650562</v>
      </c>
      <c r="G508">
        <v>2058155223</v>
      </c>
      <c r="H508">
        <v>1675805917</v>
      </c>
      <c r="I508">
        <v>1306697847</v>
      </c>
      <c r="J508">
        <v>-817837608</v>
      </c>
      <c r="K508">
        <v>-2523081291</v>
      </c>
      <c r="L508">
        <v>93736076</v>
      </c>
      <c r="M508">
        <v>292839293</v>
      </c>
      <c r="N508">
        <v>-111077028</v>
      </c>
      <c r="O508">
        <v>393776423</v>
      </c>
      <c r="P508">
        <v>133</v>
      </c>
      <c r="Q508" t="s">
        <v>1207</v>
      </c>
    </row>
    <row r="509" spans="1:17" x14ac:dyDescent="0.3">
      <c r="A509" t="s">
        <v>17</v>
      </c>
      <c r="B509" t="str">
        <f>"603156"</f>
        <v>603156</v>
      </c>
      <c r="C509" t="s">
        <v>1208</v>
      </c>
      <c r="D509" t="s">
        <v>1209</v>
      </c>
      <c r="F509">
        <v>2028551707</v>
      </c>
      <c r="G509">
        <v>1080826789</v>
      </c>
      <c r="H509">
        <v>1671449719</v>
      </c>
      <c r="I509">
        <v>2063627454</v>
      </c>
      <c r="J509">
        <v>2132909509</v>
      </c>
      <c r="K509">
        <v>2403166234</v>
      </c>
      <c r="L509">
        <v>2528144457</v>
      </c>
      <c r="M509">
        <v>2535053398</v>
      </c>
      <c r="P509">
        <v>1235</v>
      </c>
      <c r="Q509" t="s">
        <v>1210</v>
      </c>
    </row>
    <row r="510" spans="1:17" x14ac:dyDescent="0.3">
      <c r="A510" t="s">
        <v>17</v>
      </c>
      <c r="B510" t="str">
        <f>"601156"</f>
        <v>601156</v>
      </c>
      <c r="C510" t="s">
        <v>1211</v>
      </c>
      <c r="D510" t="s">
        <v>677</v>
      </c>
      <c r="F510">
        <v>5878405995</v>
      </c>
      <c r="G510">
        <v>3225259262</v>
      </c>
      <c r="H510">
        <v>1666267597</v>
      </c>
      <c r="I510">
        <v>872286569</v>
      </c>
      <c r="J510">
        <v>828886350</v>
      </c>
      <c r="P510">
        <v>105</v>
      </c>
      <c r="Q510" t="s">
        <v>1212</v>
      </c>
    </row>
    <row r="511" spans="1:17" x14ac:dyDescent="0.3">
      <c r="A511" t="s">
        <v>17</v>
      </c>
      <c r="B511" t="str">
        <f>"601100"</f>
        <v>601100</v>
      </c>
      <c r="C511" t="s">
        <v>1213</v>
      </c>
      <c r="D511" t="s">
        <v>1214</v>
      </c>
      <c r="F511">
        <v>2795650376</v>
      </c>
      <c r="G511">
        <v>1980571208</v>
      </c>
      <c r="H511">
        <v>1660257160</v>
      </c>
      <c r="I511">
        <v>798780123</v>
      </c>
      <c r="J511">
        <v>154191780</v>
      </c>
      <c r="K511">
        <v>7362237</v>
      </c>
      <c r="L511">
        <v>159741212</v>
      </c>
      <c r="M511">
        <v>251964181</v>
      </c>
      <c r="N511">
        <v>253084570</v>
      </c>
      <c r="O511">
        <v>238552481</v>
      </c>
      <c r="P511">
        <v>1782</v>
      </c>
      <c r="Q511" t="s">
        <v>1215</v>
      </c>
    </row>
    <row r="512" spans="1:17" x14ac:dyDescent="0.3">
      <c r="A512" t="s">
        <v>59</v>
      </c>
      <c r="B512" t="str">
        <f>"002195"</f>
        <v>002195</v>
      </c>
      <c r="C512" t="s">
        <v>1216</v>
      </c>
      <c r="D512" t="s">
        <v>1189</v>
      </c>
      <c r="F512">
        <v>183908930</v>
      </c>
      <c r="G512">
        <v>808275310</v>
      </c>
      <c r="H512">
        <v>1656574972</v>
      </c>
      <c r="I512">
        <v>-178559858</v>
      </c>
      <c r="J512">
        <v>165266703</v>
      </c>
      <c r="K512">
        <v>89026092</v>
      </c>
      <c r="L512">
        <v>483692983</v>
      </c>
      <c r="M512">
        <v>117391316</v>
      </c>
      <c r="N512">
        <v>45146849</v>
      </c>
      <c r="O512">
        <v>65747915</v>
      </c>
      <c r="P512">
        <v>558</v>
      </c>
      <c r="Q512" t="s">
        <v>1217</v>
      </c>
    </row>
    <row r="513" spans="1:17" x14ac:dyDescent="0.3">
      <c r="A513" t="s">
        <v>17</v>
      </c>
      <c r="B513" t="str">
        <f>"600810"</f>
        <v>600810</v>
      </c>
      <c r="C513" t="s">
        <v>1218</v>
      </c>
      <c r="D513" t="s">
        <v>1219</v>
      </c>
      <c r="F513">
        <v>1299173597</v>
      </c>
      <c r="G513">
        <v>289103041</v>
      </c>
      <c r="H513">
        <v>1653320333</v>
      </c>
      <c r="I513">
        <v>692204803</v>
      </c>
      <c r="J513">
        <v>209490524</v>
      </c>
      <c r="K513">
        <v>1168646304</v>
      </c>
      <c r="L513">
        <v>-174475551</v>
      </c>
      <c r="M513">
        <v>1359230284</v>
      </c>
      <c r="N513">
        <v>74045171</v>
      </c>
      <c r="O513">
        <v>-152338033</v>
      </c>
      <c r="P513">
        <v>354</v>
      </c>
      <c r="Q513" t="s">
        <v>1220</v>
      </c>
    </row>
    <row r="514" spans="1:17" x14ac:dyDescent="0.3">
      <c r="A514" t="s">
        <v>59</v>
      </c>
      <c r="B514" t="str">
        <f>"000966"</f>
        <v>000966</v>
      </c>
      <c r="C514" t="s">
        <v>1221</v>
      </c>
      <c r="D514" t="s">
        <v>98</v>
      </c>
      <c r="F514">
        <v>655800104</v>
      </c>
      <c r="G514">
        <v>577759010</v>
      </c>
      <c r="H514">
        <v>1652758557</v>
      </c>
      <c r="I514">
        <v>904737934</v>
      </c>
      <c r="J514">
        <v>574418204</v>
      </c>
      <c r="K514">
        <v>760851596</v>
      </c>
      <c r="L514">
        <v>2763492122</v>
      </c>
      <c r="M514">
        <v>2085198400</v>
      </c>
      <c r="N514">
        <v>2004448952</v>
      </c>
      <c r="O514">
        <v>2510576799</v>
      </c>
      <c r="P514">
        <v>398</v>
      </c>
      <c r="Q514" t="s">
        <v>1222</v>
      </c>
    </row>
    <row r="515" spans="1:17" x14ac:dyDescent="0.3">
      <c r="A515" t="s">
        <v>17</v>
      </c>
      <c r="B515" t="str">
        <f>"601200"</f>
        <v>601200</v>
      </c>
      <c r="C515" t="s">
        <v>1223</v>
      </c>
      <c r="D515" t="s">
        <v>894</v>
      </c>
      <c r="F515">
        <v>572753939</v>
      </c>
      <c r="G515">
        <v>1044188557</v>
      </c>
      <c r="H515">
        <v>1645655521</v>
      </c>
      <c r="I515">
        <v>1000280605</v>
      </c>
      <c r="J515">
        <v>869496455</v>
      </c>
      <c r="K515">
        <v>1015385691</v>
      </c>
      <c r="L515">
        <v>1040246000</v>
      </c>
      <c r="P515">
        <v>326</v>
      </c>
      <c r="Q515" t="s">
        <v>1224</v>
      </c>
    </row>
    <row r="516" spans="1:17" x14ac:dyDescent="0.3">
      <c r="A516" t="s">
        <v>59</v>
      </c>
      <c r="B516" t="str">
        <f>"000887"</f>
        <v>000887</v>
      </c>
      <c r="C516" t="s">
        <v>1225</v>
      </c>
      <c r="D516" t="s">
        <v>1226</v>
      </c>
      <c r="F516">
        <v>881528470</v>
      </c>
      <c r="G516">
        <v>1437881972</v>
      </c>
      <c r="H516">
        <v>1643004473</v>
      </c>
      <c r="I516">
        <v>973015992</v>
      </c>
      <c r="J516">
        <v>1149647781</v>
      </c>
      <c r="K516">
        <v>910614205</v>
      </c>
      <c r="L516">
        <v>1090666849</v>
      </c>
      <c r="M516">
        <v>547396371</v>
      </c>
      <c r="N516">
        <v>470195521</v>
      </c>
      <c r="O516">
        <v>418953674</v>
      </c>
      <c r="P516">
        <v>7118</v>
      </c>
      <c r="Q516" t="s">
        <v>1227</v>
      </c>
    </row>
    <row r="517" spans="1:17" x14ac:dyDescent="0.3">
      <c r="A517" t="s">
        <v>17</v>
      </c>
      <c r="B517" t="str">
        <f>"600173"</f>
        <v>600173</v>
      </c>
      <c r="C517" t="s">
        <v>1228</v>
      </c>
      <c r="D517" t="s">
        <v>61</v>
      </c>
      <c r="F517">
        <v>198895697</v>
      </c>
      <c r="G517">
        <v>-93060728</v>
      </c>
      <c r="H517">
        <v>1642740712</v>
      </c>
      <c r="I517">
        <v>274093376</v>
      </c>
      <c r="J517">
        <v>1451916264</v>
      </c>
      <c r="K517">
        <v>865593057</v>
      </c>
      <c r="L517">
        <v>471194513</v>
      </c>
      <c r="M517">
        <v>451561346</v>
      </c>
      <c r="N517">
        <v>-58282834</v>
      </c>
      <c r="O517">
        <v>-22975489</v>
      </c>
      <c r="P517">
        <v>302</v>
      </c>
      <c r="Q517" t="s">
        <v>1229</v>
      </c>
    </row>
    <row r="518" spans="1:17" x14ac:dyDescent="0.3">
      <c r="A518" t="s">
        <v>59</v>
      </c>
      <c r="B518" t="str">
        <f>"000156"</f>
        <v>000156</v>
      </c>
      <c r="C518" t="s">
        <v>1230</v>
      </c>
      <c r="D518" t="s">
        <v>775</v>
      </c>
      <c r="F518">
        <v>2806443620</v>
      </c>
      <c r="G518">
        <v>1922057078</v>
      </c>
      <c r="H518">
        <v>1642303314</v>
      </c>
      <c r="I518">
        <v>1194901642</v>
      </c>
      <c r="J518">
        <v>1263591599</v>
      </c>
      <c r="K518">
        <v>1485291540</v>
      </c>
      <c r="L518">
        <v>1206790073</v>
      </c>
      <c r="M518">
        <v>1345570067</v>
      </c>
      <c r="N518">
        <v>872756772</v>
      </c>
      <c r="O518">
        <v>681341444</v>
      </c>
      <c r="P518">
        <v>309</v>
      </c>
      <c r="Q518" t="s">
        <v>1231</v>
      </c>
    </row>
    <row r="519" spans="1:17" x14ac:dyDescent="0.3">
      <c r="A519" t="s">
        <v>17</v>
      </c>
      <c r="B519" t="str">
        <f>"600927"</f>
        <v>600927</v>
      </c>
      <c r="C519" t="s">
        <v>1232</v>
      </c>
      <c r="D519" t="s">
        <v>1233</v>
      </c>
      <c r="F519">
        <v>10012976476</v>
      </c>
      <c r="G519">
        <v>4544716739</v>
      </c>
      <c r="H519">
        <v>1638715959</v>
      </c>
      <c r="I519">
        <v>-1091342394</v>
      </c>
      <c r="J519">
        <v>-3499992700</v>
      </c>
      <c r="P519">
        <v>22</v>
      </c>
      <c r="Q519" t="s">
        <v>1234</v>
      </c>
    </row>
    <row r="520" spans="1:17" x14ac:dyDescent="0.3">
      <c r="A520" t="s">
        <v>17</v>
      </c>
      <c r="B520" t="str">
        <f>"600726"</f>
        <v>600726</v>
      </c>
      <c r="C520" t="s">
        <v>1235</v>
      </c>
      <c r="D520" t="s">
        <v>98</v>
      </c>
      <c r="F520">
        <v>87070375</v>
      </c>
      <c r="G520">
        <v>1307154353</v>
      </c>
      <c r="H520">
        <v>1637908365</v>
      </c>
      <c r="I520">
        <v>2519822298</v>
      </c>
      <c r="J520">
        <v>889058894</v>
      </c>
      <c r="K520">
        <v>2420888300</v>
      </c>
      <c r="L520">
        <v>2727968673</v>
      </c>
      <c r="M520">
        <v>2550771988</v>
      </c>
      <c r="N520">
        <v>2301920870</v>
      </c>
      <c r="O520">
        <v>1671171819</v>
      </c>
      <c r="P520">
        <v>110</v>
      </c>
      <c r="Q520" t="s">
        <v>1236</v>
      </c>
    </row>
    <row r="521" spans="1:17" x14ac:dyDescent="0.3">
      <c r="A521" t="s">
        <v>59</v>
      </c>
      <c r="B521" t="str">
        <f>"002015"</f>
        <v>002015</v>
      </c>
      <c r="C521" t="s">
        <v>1237</v>
      </c>
      <c r="D521" t="s">
        <v>1238</v>
      </c>
      <c r="F521">
        <v>2098804729</v>
      </c>
      <c r="G521">
        <v>2283401802</v>
      </c>
      <c r="H521">
        <v>1631026367</v>
      </c>
      <c r="I521">
        <v>-55302320</v>
      </c>
      <c r="J521">
        <v>20508945</v>
      </c>
      <c r="K521">
        <v>-47762186</v>
      </c>
      <c r="L521">
        <v>-74559016</v>
      </c>
      <c r="M521">
        <v>-359026002</v>
      </c>
      <c r="N521">
        <v>-276134083</v>
      </c>
      <c r="O521">
        <v>149894375</v>
      </c>
      <c r="P521">
        <v>239</v>
      </c>
      <c r="Q521" t="s">
        <v>1239</v>
      </c>
    </row>
    <row r="522" spans="1:17" x14ac:dyDescent="0.3">
      <c r="A522" t="s">
        <v>17</v>
      </c>
      <c r="B522" t="str">
        <f>"600328"</f>
        <v>600328</v>
      </c>
      <c r="C522" t="s">
        <v>1240</v>
      </c>
      <c r="D522" t="s">
        <v>1241</v>
      </c>
      <c r="F522">
        <v>3216614043</v>
      </c>
      <c r="G522">
        <v>1646016644</v>
      </c>
      <c r="H522">
        <v>1628575623</v>
      </c>
      <c r="I522">
        <v>848170646</v>
      </c>
      <c r="J522">
        <v>624816694</v>
      </c>
      <c r="K522">
        <v>281903575</v>
      </c>
      <c r="L522">
        <v>285828865</v>
      </c>
      <c r="M522">
        <v>267824021</v>
      </c>
      <c r="N522">
        <v>92872090</v>
      </c>
      <c r="O522">
        <v>19813521</v>
      </c>
      <c r="P522">
        <v>263</v>
      </c>
      <c r="Q522" t="s">
        <v>1242</v>
      </c>
    </row>
    <row r="523" spans="1:17" x14ac:dyDescent="0.3">
      <c r="A523" t="s">
        <v>17</v>
      </c>
      <c r="B523" t="str">
        <f>"600396"</f>
        <v>600396</v>
      </c>
      <c r="C523" t="s">
        <v>1243</v>
      </c>
      <c r="D523" t="s">
        <v>98</v>
      </c>
      <c r="F523">
        <v>139151530</v>
      </c>
      <c r="G523">
        <v>1062920380</v>
      </c>
      <c r="H523">
        <v>1625417627</v>
      </c>
      <c r="I523">
        <v>994446325</v>
      </c>
      <c r="J523">
        <v>967165432</v>
      </c>
      <c r="K523">
        <v>1734415274</v>
      </c>
      <c r="L523">
        <v>2772081391</v>
      </c>
      <c r="M523">
        <v>1660216156</v>
      </c>
      <c r="N523">
        <v>1760829415</v>
      </c>
      <c r="O523">
        <v>1351675220</v>
      </c>
      <c r="P523">
        <v>107</v>
      </c>
      <c r="Q523" t="s">
        <v>1244</v>
      </c>
    </row>
    <row r="524" spans="1:17" x14ac:dyDescent="0.3">
      <c r="A524" t="s">
        <v>59</v>
      </c>
      <c r="B524" t="str">
        <f>"300251"</f>
        <v>300251</v>
      </c>
      <c r="C524" t="s">
        <v>1245</v>
      </c>
      <c r="D524" t="s">
        <v>1059</v>
      </c>
      <c r="F524">
        <v>535848787</v>
      </c>
      <c r="G524">
        <v>-14265256</v>
      </c>
      <c r="H524">
        <v>1619048894</v>
      </c>
      <c r="I524">
        <v>-476309769</v>
      </c>
      <c r="J524">
        <v>-31864457</v>
      </c>
      <c r="K524">
        <v>746941352</v>
      </c>
      <c r="L524">
        <v>397745271</v>
      </c>
      <c r="M524">
        <v>-82888663</v>
      </c>
      <c r="N524">
        <v>754247220</v>
      </c>
      <c r="O524">
        <v>-108694149</v>
      </c>
      <c r="P524">
        <v>807</v>
      </c>
      <c r="Q524" t="s">
        <v>1246</v>
      </c>
    </row>
    <row r="525" spans="1:17" x14ac:dyDescent="0.3">
      <c r="A525" t="s">
        <v>17</v>
      </c>
      <c r="B525" t="str">
        <f>"600051"</f>
        <v>600051</v>
      </c>
      <c r="C525" t="s">
        <v>1247</v>
      </c>
      <c r="D525" t="s">
        <v>672</v>
      </c>
      <c r="F525">
        <v>-222534817</v>
      </c>
      <c r="G525">
        <v>199024831</v>
      </c>
      <c r="H525">
        <v>1607201881</v>
      </c>
      <c r="I525">
        <v>904160683</v>
      </c>
      <c r="J525">
        <v>123074658</v>
      </c>
      <c r="K525">
        <v>1107393780</v>
      </c>
      <c r="L525">
        <v>19678963</v>
      </c>
      <c r="M525">
        <v>-196745551</v>
      </c>
      <c r="N525">
        <v>-724228291</v>
      </c>
      <c r="O525">
        <v>1553590</v>
      </c>
      <c r="P525">
        <v>305</v>
      </c>
      <c r="Q525" t="s">
        <v>1248</v>
      </c>
    </row>
    <row r="526" spans="1:17" x14ac:dyDescent="0.3">
      <c r="A526" t="s">
        <v>17</v>
      </c>
      <c r="B526" t="str">
        <f>"601880"</f>
        <v>601880</v>
      </c>
      <c r="C526" t="s">
        <v>1249</v>
      </c>
      <c r="D526" t="s">
        <v>386</v>
      </c>
      <c r="F526">
        <v>3822920927</v>
      </c>
      <c r="G526">
        <v>2098376589</v>
      </c>
      <c r="H526">
        <v>1606591984</v>
      </c>
      <c r="I526">
        <v>1885625733</v>
      </c>
      <c r="J526">
        <v>1204366572</v>
      </c>
      <c r="K526">
        <v>2066383960</v>
      </c>
      <c r="L526">
        <v>1930698355</v>
      </c>
      <c r="M526">
        <v>829134676</v>
      </c>
      <c r="N526">
        <v>1613716297</v>
      </c>
      <c r="O526">
        <v>1299068275</v>
      </c>
      <c r="P526">
        <v>189</v>
      </c>
      <c r="Q526" t="s">
        <v>1250</v>
      </c>
    </row>
    <row r="527" spans="1:17" x14ac:dyDescent="0.3">
      <c r="A527" t="s">
        <v>17</v>
      </c>
      <c r="B527" t="str">
        <f>"600500"</f>
        <v>600500</v>
      </c>
      <c r="C527" t="s">
        <v>1251</v>
      </c>
      <c r="D527" t="s">
        <v>1252</v>
      </c>
      <c r="F527">
        <v>1374381494</v>
      </c>
      <c r="G527">
        <v>2577021848</v>
      </c>
      <c r="H527">
        <v>1606581217</v>
      </c>
      <c r="I527">
        <v>2363933709</v>
      </c>
      <c r="J527">
        <v>875167888</v>
      </c>
      <c r="K527">
        <v>1918910235</v>
      </c>
      <c r="L527">
        <v>2351597370</v>
      </c>
      <c r="M527">
        <v>956402424</v>
      </c>
      <c r="N527">
        <v>848280703</v>
      </c>
      <c r="O527">
        <v>658306406</v>
      </c>
      <c r="P527">
        <v>285</v>
      </c>
      <c r="Q527" t="s">
        <v>1253</v>
      </c>
    </row>
    <row r="528" spans="1:17" x14ac:dyDescent="0.3">
      <c r="A528" t="s">
        <v>59</v>
      </c>
      <c r="B528" t="str">
        <f>"002236"</f>
        <v>002236</v>
      </c>
      <c r="C528" t="s">
        <v>1254</v>
      </c>
      <c r="D528" t="s">
        <v>344</v>
      </c>
      <c r="F528">
        <v>1727560748</v>
      </c>
      <c r="G528">
        <v>4401533068</v>
      </c>
      <c r="H528">
        <v>1600604288</v>
      </c>
      <c r="I528">
        <v>955315978</v>
      </c>
      <c r="J528">
        <v>914231360</v>
      </c>
      <c r="K528">
        <v>470737105</v>
      </c>
      <c r="L528">
        <v>200763825</v>
      </c>
      <c r="M528">
        <v>-17080921</v>
      </c>
      <c r="N528">
        <v>356475221</v>
      </c>
      <c r="O528">
        <v>481913096</v>
      </c>
      <c r="P528">
        <v>32899</v>
      </c>
      <c r="Q528" t="s">
        <v>1255</v>
      </c>
    </row>
    <row r="529" spans="1:17" x14ac:dyDescent="0.3">
      <c r="A529" t="s">
        <v>17</v>
      </c>
      <c r="B529" t="str">
        <f>"603157"</f>
        <v>603157</v>
      </c>
      <c r="C529" t="s">
        <v>1256</v>
      </c>
      <c r="D529" t="s">
        <v>646</v>
      </c>
      <c r="F529">
        <v>37897000</v>
      </c>
      <c r="G529">
        <v>99596000</v>
      </c>
      <c r="H529">
        <v>1598014000</v>
      </c>
      <c r="I529">
        <v>157620000</v>
      </c>
      <c r="J529">
        <v>557161000</v>
      </c>
      <c r="K529">
        <v>705136000</v>
      </c>
      <c r="L529">
        <v>1081089000</v>
      </c>
      <c r="M529">
        <v>855346000</v>
      </c>
      <c r="P529">
        <v>88</v>
      </c>
      <c r="Q529" t="s">
        <v>1257</v>
      </c>
    </row>
    <row r="530" spans="1:17" x14ac:dyDescent="0.3">
      <c r="A530" t="s">
        <v>59</v>
      </c>
      <c r="B530" t="str">
        <f>"000049"</f>
        <v>000049</v>
      </c>
      <c r="C530" t="s">
        <v>1258</v>
      </c>
      <c r="D530" t="s">
        <v>232</v>
      </c>
      <c r="F530">
        <v>480409520</v>
      </c>
      <c r="G530">
        <v>1282157891</v>
      </c>
      <c r="H530">
        <v>1594569916</v>
      </c>
      <c r="I530">
        <v>122168482</v>
      </c>
      <c r="J530">
        <v>-417652353</v>
      </c>
      <c r="K530">
        <v>85562922</v>
      </c>
      <c r="L530">
        <v>639846046</v>
      </c>
      <c r="M530">
        <v>148800078</v>
      </c>
      <c r="N530">
        <v>55093593</v>
      </c>
      <c r="O530">
        <v>342137525</v>
      </c>
      <c r="P530">
        <v>41582</v>
      </c>
      <c r="Q530" t="s">
        <v>1259</v>
      </c>
    </row>
    <row r="531" spans="1:17" x14ac:dyDescent="0.3">
      <c r="A531" t="s">
        <v>59</v>
      </c>
      <c r="B531" t="str">
        <f>"002984"</f>
        <v>002984</v>
      </c>
      <c r="C531" t="s">
        <v>1260</v>
      </c>
      <c r="D531" t="s">
        <v>767</v>
      </c>
      <c r="F531">
        <v>831518333</v>
      </c>
      <c r="G531">
        <v>1680978801</v>
      </c>
      <c r="H531">
        <v>1593772012</v>
      </c>
      <c r="I531">
        <v>577654577</v>
      </c>
      <c r="J531">
        <v>618641836</v>
      </c>
      <c r="P531">
        <v>203</v>
      </c>
      <c r="Q531" t="s">
        <v>1261</v>
      </c>
    </row>
    <row r="532" spans="1:17" x14ac:dyDescent="0.3">
      <c r="A532" t="s">
        <v>17</v>
      </c>
      <c r="B532" t="str">
        <f>"600682"</f>
        <v>600682</v>
      </c>
      <c r="C532" t="s">
        <v>1262</v>
      </c>
      <c r="D532" t="s">
        <v>1062</v>
      </c>
      <c r="F532">
        <v>1997021144</v>
      </c>
      <c r="G532">
        <v>2054956464</v>
      </c>
      <c r="H532">
        <v>1593754591</v>
      </c>
      <c r="I532">
        <v>1485919627</v>
      </c>
      <c r="J532">
        <v>769752007</v>
      </c>
      <c r="K532">
        <v>2558755334</v>
      </c>
      <c r="L532">
        <v>2440944110</v>
      </c>
      <c r="M532">
        <v>1336892465</v>
      </c>
      <c r="N532">
        <v>336439367</v>
      </c>
      <c r="O532">
        <v>285865378</v>
      </c>
      <c r="P532">
        <v>237</v>
      </c>
      <c r="Q532" t="s">
        <v>1263</v>
      </c>
    </row>
    <row r="533" spans="1:17" x14ac:dyDescent="0.3">
      <c r="A533" t="s">
        <v>17</v>
      </c>
      <c r="B533" t="str">
        <f>"601000"</f>
        <v>601000</v>
      </c>
      <c r="C533" t="s">
        <v>1264</v>
      </c>
      <c r="D533" t="s">
        <v>386</v>
      </c>
      <c r="F533">
        <v>1920489050</v>
      </c>
      <c r="G533">
        <v>2367325488</v>
      </c>
      <c r="H533">
        <v>1590023488</v>
      </c>
      <c r="I533">
        <v>1701029406</v>
      </c>
      <c r="J533">
        <v>1594998320</v>
      </c>
      <c r="K533">
        <v>1522692832</v>
      </c>
      <c r="L533">
        <v>1084798502</v>
      </c>
      <c r="M533">
        <v>1306499289</v>
      </c>
      <c r="N533">
        <v>1018784894</v>
      </c>
      <c r="O533">
        <v>1134130607</v>
      </c>
      <c r="P533">
        <v>892</v>
      </c>
      <c r="Q533" t="s">
        <v>1265</v>
      </c>
    </row>
    <row r="534" spans="1:17" x14ac:dyDescent="0.3">
      <c r="A534" t="s">
        <v>59</v>
      </c>
      <c r="B534" t="str">
        <f>"002271"</f>
        <v>002271</v>
      </c>
      <c r="C534" t="s">
        <v>1266</v>
      </c>
      <c r="D534" t="s">
        <v>1267</v>
      </c>
      <c r="F534">
        <v>4114675325</v>
      </c>
      <c r="G534">
        <v>3951695456</v>
      </c>
      <c r="H534">
        <v>1588960347</v>
      </c>
      <c r="I534">
        <v>1013946630</v>
      </c>
      <c r="J534">
        <v>23949318</v>
      </c>
      <c r="K534">
        <v>590415049</v>
      </c>
      <c r="L534">
        <v>421316930</v>
      </c>
      <c r="M534">
        <v>351061517</v>
      </c>
      <c r="N534">
        <v>263594485</v>
      </c>
      <c r="O534">
        <v>383825845</v>
      </c>
      <c r="P534">
        <v>22866</v>
      </c>
      <c r="Q534" t="s">
        <v>1268</v>
      </c>
    </row>
    <row r="535" spans="1:17" x14ac:dyDescent="0.3">
      <c r="A535" t="s">
        <v>17</v>
      </c>
      <c r="B535" t="str">
        <f>"600732"</f>
        <v>600732</v>
      </c>
      <c r="C535" t="s">
        <v>1269</v>
      </c>
      <c r="D535" t="s">
        <v>430</v>
      </c>
      <c r="F535">
        <v>458753757</v>
      </c>
      <c r="G535">
        <v>270906614</v>
      </c>
      <c r="H535">
        <v>1587440767</v>
      </c>
      <c r="I535">
        <v>117172479</v>
      </c>
      <c r="J535">
        <v>-31117690</v>
      </c>
      <c r="K535">
        <v>150101124</v>
      </c>
      <c r="L535">
        <v>42717345</v>
      </c>
      <c r="M535">
        <v>-45038644</v>
      </c>
      <c r="N535">
        <v>-83846148</v>
      </c>
      <c r="O535">
        <v>7897461</v>
      </c>
      <c r="P535">
        <v>357</v>
      </c>
      <c r="Q535" t="s">
        <v>1270</v>
      </c>
    </row>
    <row r="536" spans="1:17" x14ac:dyDescent="0.3">
      <c r="A536" t="s">
        <v>59</v>
      </c>
      <c r="B536" t="str">
        <f>"001896"</f>
        <v>001896</v>
      </c>
      <c r="C536" t="s">
        <v>1271</v>
      </c>
      <c r="D536" t="s">
        <v>98</v>
      </c>
      <c r="F536">
        <v>-228964921</v>
      </c>
      <c r="G536">
        <v>1202121671</v>
      </c>
      <c r="H536">
        <v>1575564904</v>
      </c>
      <c r="I536">
        <v>1060895463</v>
      </c>
      <c r="J536">
        <v>567948704</v>
      </c>
      <c r="K536">
        <v>766122566</v>
      </c>
      <c r="L536">
        <v>1281736065</v>
      </c>
      <c r="M536">
        <v>1126506404</v>
      </c>
      <c r="N536">
        <v>955628802</v>
      </c>
      <c r="O536">
        <v>967173070</v>
      </c>
      <c r="P536">
        <v>202</v>
      </c>
      <c r="Q536" t="s">
        <v>1272</v>
      </c>
    </row>
    <row r="537" spans="1:17" x14ac:dyDescent="0.3">
      <c r="A537" t="s">
        <v>59</v>
      </c>
      <c r="B537" t="str">
        <f>"002285"</f>
        <v>002285</v>
      </c>
      <c r="C537" t="s">
        <v>1273</v>
      </c>
      <c r="D537" t="s">
        <v>1274</v>
      </c>
      <c r="F537">
        <v>1051069516</v>
      </c>
      <c r="G537">
        <v>758395038</v>
      </c>
      <c r="H537">
        <v>1574430963</v>
      </c>
      <c r="I537">
        <v>967493134</v>
      </c>
      <c r="J537">
        <v>-3025871484</v>
      </c>
      <c r="K537">
        <v>2294310945</v>
      </c>
      <c r="L537">
        <v>450598076</v>
      </c>
      <c r="M537">
        <v>-921857613</v>
      </c>
      <c r="N537">
        <v>463270772</v>
      </c>
      <c r="O537">
        <v>225335309</v>
      </c>
      <c r="P537">
        <v>477</v>
      </c>
      <c r="Q537" t="s">
        <v>1275</v>
      </c>
    </row>
    <row r="538" spans="1:17" x14ac:dyDescent="0.3">
      <c r="A538" t="s">
        <v>59</v>
      </c>
      <c r="B538" t="str">
        <f>"000729"</f>
        <v>000729</v>
      </c>
      <c r="C538" t="s">
        <v>1276</v>
      </c>
      <c r="D538" t="s">
        <v>566</v>
      </c>
      <c r="F538">
        <v>1625095305</v>
      </c>
      <c r="G538">
        <v>1569576444</v>
      </c>
      <c r="H538">
        <v>1574284005</v>
      </c>
      <c r="I538">
        <v>1075405402</v>
      </c>
      <c r="J538">
        <v>1387482124</v>
      </c>
      <c r="K538">
        <v>1245263759</v>
      </c>
      <c r="L538">
        <v>1622909347</v>
      </c>
      <c r="M538">
        <v>1202722310</v>
      </c>
      <c r="N538">
        <v>3093461048</v>
      </c>
      <c r="O538">
        <v>1333084659</v>
      </c>
      <c r="P538">
        <v>607</v>
      </c>
      <c r="Q538" t="s">
        <v>1277</v>
      </c>
    </row>
    <row r="539" spans="1:17" x14ac:dyDescent="0.3">
      <c r="A539" t="s">
        <v>17</v>
      </c>
      <c r="B539" t="str">
        <f>"601016"</f>
        <v>601016</v>
      </c>
      <c r="C539" t="s">
        <v>1278</v>
      </c>
      <c r="D539" t="s">
        <v>391</v>
      </c>
      <c r="F539">
        <v>2101949323</v>
      </c>
      <c r="G539">
        <v>1397175837</v>
      </c>
      <c r="H539">
        <v>1574003943</v>
      </c>
      <c r="I539">
        <v>1505395454</v>
      </c>
      <c r="J539">
        <v>1203308494</v>
      </c>
      <c r="K539">
        <v>1138448281</v>
      </c>
      <c r="L539">
        <v>1349002179</v>
      </c>
      <c r="M539">
        <v>1120038285</v>
      </c>
      <c r="N539">
        <v>1088584293</v>
      </c>
      <c r="O539">
        <v>671957535</v>
      </c>
      <c r="P539">
        <v>542</v>
      </c>
      <c r="Q539" t="s">
        <v>1279</v>
      </c>
    </row>
    <row r="540" spans="1:17" x14ac:dyDescent="0.3">
      <c r="A540" t="s">
        <v>59</v>
      </c>
      <c r="B540" t="str">
        <f>"300144"</f>
        <v>300144</v>
      </c>
      <c r="C540" t="s">
        <v>1280</v>
      </c>
      <c r="D540" t="s">
        <v>1281</v>
      </c>
      <c r="F540">
        <v>750473810</v>
      </c>
      <c r="G540">
        <v>393941900</v>
      </c>
      <c r="H540">
        <v>1571451500</v>
      </c>
      <c r="I540">
        <v>1647243748</v>
      </c>
      <c r="J540">
        <v>1764016869</v>
      </c>
      <c r="K540">
        <v>1030251692</v>
      </c>
      <c r="L540">
        <v>915321127</v>
      </c>
      <c r="M540">
        <v>528002593</v>
      </c>
      <c r="N540">
        <v>429346661</v>
      </c>
      <c r="O540">
        <v>395550931</v>
      </c>
      <c r="P540">
        <v>3022</v>
      </c>
      <c r="Q540" t="s">
        <v>1282</v>
      </c>
    </row>
    <row r="541" spans="1:17" x14ac:dyDescent="0.3">
      <c r="A541" t="s">
        <v>17</v>
      </c>
      <c r="B541" t="str">
        <f>"600839"</f>
        <v>600839</v>
      </c>
      <c r="C541" t="s">
        <v>1283</v>
      </c>
      <c r="D541" t="s">
        <v>1131</v>
      </c>
      <c r="F541">
        <v>4688101033</v>
      </c>
      <c r="G541">
        <v>1387432734</v>
      </c>
      <c r="H541">
        <v>1565512587</v>
      </c>
      <c r="I541">
        <v>4424987981</v>
      </c>
      <c r="J541">
        <v>1456160301</v>
      </c>
      <c r="K541">
        <v>4670497537</v>
      </c>
      <c r="L541">
        <v>3236231015</v>
      </c>
      <c r="M541">
        <v>1920744486</v>
      </c>
      <c r="N541">
        <v>2889283147</v>
      </c>
      <c r="O541">
        <v>719459181</v>
      </c>
      <c r="P541">
        <v>272</v>
      </c>
      <c r="Q541" t="s">
        <v>1284</v>
      </c>
    </row>
    <row r="542" spans="1:17" x14ac:dyDescent="0.3">
      <c r="A542" t="s">
        <v>59</v>
      </c>
      <c r="B542" t="str">
        <f>"002013"</f>
        <v>002013</v>
      </c>
      <c r="C542" t="s">
        <v>1285</v>
      </c>
      <c r="D542" t="s">
        <v>448</v>
      </c>
      <c r="F542">
        <v>6375300545</v>
      </c>
      <c r="G542">
        <v>1292781337</v>
      </c>
      <c r="H542">
        <v>1560067711</v>
      </c>
      <c r="I542">
        <v>-909260585</v>
      </c>
      <c r="J542">
        <v>1988333545</v>
      </c>
      <c r="K542">
        <v>813794016</v>
      </c>
      <c r="L542">
        <v>474266256</v>
      </c>
      <c r="M542">
        <v>198051381</v>
      </c>
      <c r="N542">
        <v>29705141</v>
      </c>
      <c r="O542">
        <v>384411047</v>
      </c>
      <c r="P542">
        <v>656</v>
      </c>
      <c r="Q542" t="s">
        <v>1286</v>
      </c>
    </row>
    <row r="543" spans="1:17" x14ac:dyDescent="0.3">
      <c r="A543" t="s">
        <v>17</v>
      </c>
      <c r="B543" t="str">
        <f>"600403"</f>
        <v>600403</v>
      </c>
      <c r="C543" t="s">
        <v>1287</v>
      </c>
      <c r="D543" t="s">
        <v>54</v>
      </c>
      <c r="F543">
        <v>5740711055</v>
      </c>
      <c r="G543">
        <v>-277329656</v>
      </c>
      <c r="H543">
        <v>1559101011</v>
      </c>
      <c r="I543">
        <v>2223479289</v>
      </c>
      <c r="J543">
        <v>1397332895</v>
      </c>
      <c r="K543">
        <v>260665579</v>
      </c>
      <c r="L543">
        <v>-132147383</v>
      </c>
      <c r="M543">
        <v>97793044</v>
      </c>
      <c r="N543">
        <v>730418682</v>
      </c>
      <c r="O543">
        <v>4064176863</v>
      </c>
      <c r="P543">
        <v>221</v>
      </c>
      <c r="Q543" t="s">
        <v>1288</v>
      </c>
    </row>
    <row r="544" spans="1:17" x14ac:dyDescent="0.3">
      <c r="A544" t="s">
        <v>59</v>
      </c>
      <c r="B544" t="str">
        <f>"000813"</f>
        <v>000813</v>
      </c>
      <c r="C544" t="s">
        <v>1289</v>
      </c>
      <c r="D544" t="s">
        <v>592</v>
      </c>
      <c r="F544">
        <v>42409947</v>
      </c>
      <c r="G544">
        <v>827536289</v>
      </c>
      <c r="H544">
        <v>1558808736</v>
      </c>
      <c r="I544">
        <v>379780870</v>
      </c>
      <c r="J544">
        <v>384636715</v>
      </c>
      <c r="K544">
        <v>262356181</v>
      </c>
      <c r="L544">
        <v>124913816</v>
      </c>
      <c r="M544">
        <v>136465461</v>
      </c>
      <c r="N544">
        <v>170585210</v>
      </c>
      <c r="O544">
        <v>16510559</v>
      </c>
      <c r="P544">
        <v>281</v>
      </c>
      <c r="Q544" t="s">
        <v>1290</v>
      </c>
    </row>
    <row r="545" spans="1:17" x14ac:dyDescent="0.3">
      <c r="A545" t="s">
        <v>17</v>
      </c>
      <c r="B545" t="str">
        <f>"600686"</f>
        <v>600686</v>
      </c>
      <c r="C545" t="s">
        <v>1291</v>
      </c>
      <c r="D545" t="s">
        <v>427</v>
      </c>
      <c r="F545">
        <v>1886619898</v>
      </c>
      <c r="G545">
        <v>170453438</v>
      </c>
      <c r="H545">
        <v>1557816016</v>
      </c>
      <c r="I545">
        <v>302859214</v>
      </c>
      <c r="J545">
        <v>-690644848</v>
      </c>
      <c r="K545">
        <v>-1716646726</v>
      </c>
      <c r="L545">
        <v>892513161</v>
      </c>
      <c r="M545">
        <v>113905364</v>
      </c>
      <c r="N545">
        <v>702273171</v>
      </c>
      <c r="O545">
        <v>931537009</v>
      </c>
      <c r="P545">
        <v>177</v>
      </c>
      <c r="Q545" t="s">
        <v>1292</v>
      </c>
    </row>
    <row r="546" spans="1:17" x14ac:dyDescent="0.3">
      <c r="A546" t="s">
        <v>59</v>
      </c>
      <c r="B546" t="str">
        <f>"002508"</f>
        <v>002508</v>
      </c>
      <c r="C546" t="s">
        <v>1293</v>
      </c>
      <c r="D546" t="s">
        <v>1294</v>
      </c>
      <c r="F546">
        <v>1365377219</v>
      </c>
      <c r="G546">
        <v>1537299959</v>
      </c>
      <c r="H546">
        <v>1555220927</v>
      </c>
      <c r="I546">
        <v>1508960311</v>
      </c>
      <c r="J546">
        <v>1256125454</v>
      </c>
      <c r="K546">
        <v>1545448492</v>
      </c>
      <c r="L546">
        <v>1123649775</v>
      </c>
      <c r="M546">
        <v>658696444</v>
      </c>
      <c r="N546">
        <v>322784846</v>
      </c>
      <c r="O546">
        <v>324093374</v>
      </c>
      <c r="P546">
        <v>40627</v>
      </c>
      <c r="Q546" t="s">
        <v>1295</v>
      </c>
    </row>
    <row r="547" spans="1:17" x14ac:dyDescent="0.3">
      <c r="A547" t="s">
        <v>59</v>
      </c>
      <c r="B547" t="str">
        <f>"000582"</f>
        <v>000582</v>
      </c>
      <c r="C547" t="s">
        <v>1296</v>
      </c>
      <c r="D547" t="s">
        <v>386</v>
      </c>
      <c r="F547">
        <v>1437939104</v>
      </c>
      <c r="G547">
        <v>2339863044</v>
      </c>
      <c r="H547">
        <v>1552455594</v>
      </c>
      <c r="I547">
        <v>1831445959</v>
      </c>
      <c r="J547">
        <v>1304886285</v>
      </c>
      <c r="K547">
        <v>1101877437</v>
      </c>
      <c r="L547">
        <v>473164276</v>
      </c>
      <c r="M547">
        <v>1192662892</v>
      </c>
      <c r="N547">
        <v>912931293</v>
      </c>
      <c r="O547">
        <v>132928130</v>
      </c>
      <c r="P547">
        <v>227</v>
      </c>
      <c r="Q547" t="s">
        <v>1297</v>
      </c>
    </row>
    <row r="548" spans="1:17" x14ac:dyDescent="0.3">
      <c r="A548" t="s">
        <v>17</v>
      </c>
      <c r="B548" t="str">
        <f>"600007"</f>
        <v>600007</v>
      </c>
      <c r="C548" t="s">
        <v>1298</v>
      </c>
      <c r="D548" t="s">
        <v>70</v>
      </c>
      <c r="F548">
        <v>1780173946</v>
      </c>
      <c r="G548">
        <v>1406522534</v>
      </c>
      <c r="H548">
        <v>1537171961</v>
      </c>
      <c r="I548">
        <v>1444509542</v>
      </c>
      <c r="J548">
        <v>1205496354</v>
      </c>
      <c r="K548">
        <v>1115094373</v>
      </c>
      <c r="L548">
        <v>1144557072</v>
      </c>
      <c r="M548">
        <v>1088768235</v>
      </c>
      <c r="N548">
        <v>1097411315</v>
      </c>
      <c r="O548">
        <v>979722570</v>
      </c>
      <c r="P548">
        <v>328</v>
      </c>
      <c r="Q548" t="s">
        <v>1299</v>
      </c>
    </row>
    <row r="549" spans="1:17" x14ac:dyDescent="0.3">
      <c r="A549" t="s">
        <v>59</v>
      </c>
      <c r="B549" t="str">
        <f>"300146"</f>
        <v>300146</v>
      </c>
      <c r="C549" t="s">
        <v>1300</v>
      </c>
      <c r="D549" t="s">
        <v>1301</v>
      </c>
      <c r="F549">
        <v>1818978028</v>
      </c>
      <c r="G549">
        <v>1566364374</v>
      </c>
      <c r="H549">
        <v>1536520103</v>
      </c>
      <c r="I549">
        <v>1349053225</v>
      </c>
      <c r="J549">
        <v>954308997</v>
      </c>
      <c r="K549">
        <v>684648484</v>
      </c>
      <c r="L549">
        <v>634893057</v>
      </c>
      <c r="M549">
        <v>560640272</v>
      </c>
      <c r="N549">
        <v>626512474</v>
      </c>
      <c r="O549">
        <v>111224133</v>
      </c>
      <c r="P549">
        <v>2832</v>
      </c>
      <c r="Q549" t="s">
        <v>1302</v>
      </c>
    </row>
    <row r="550" spans="1:17" x14ac:dyDescent="0.3">
      <c r="A550" t="s">
        <v>17</v>
      </c>
      <c r="B550" t="str">
        <f>"600588"</f>
        <v>600588</v>
      </c>
      <c r="C550" t="s">
        <v>1303</v>
      </c>
      <c r="D550" t="s">
        <v>789</v>
      </c>
      <c r="F550">
        <v>1303626688</v>
      </c>
      <c r="G550">
        <v>1613019564</v>
      </c>
      <c r="H550">
        <v>1533042056</v>
      </c>
      <c r="I550">
        <v>2042653091</v>
      </c>
      <c r="J550">
        <v>1430325852</v>
      </c>
      <c r="K550">
        <v>887081189</v>
      </c>
      <c r="L550">
        <v>549715458</v>
      </c>
      <c r="M550">
        <v>804302209</v>
      </c>
      <c r="N550">
        <v>740069456</v>
      </c>
      <c r="O550">
        <v>498651913</v>
      </c>
      <c r="P550">
        <v>4576</v>
      </c>
      <c r="Q550" t="s">
        <v>1304</v>
      </c>
    </row>
    <row r="551" spans="1:17" x14ac:dyDescent="0.3">
      <c r="A551" t="s">
        <v>59</v>
      </c>
      <c r="B551" t="str">
        <f>"002230"</f>
        <v>002230</v>
      </c>
      <c r="C551" t="s">
        <v>1305</v>
      </c>
      <c r="D551" t="s">
        <v>789</v>
      </c>
      <c r="F551">
        <v>893075431</v>
      </c>
      <c r="G551">
        <v>2270754856</v>
      </c>
      <c r="H551">
        <v>1531468510</v>
      </c>
      <c r="I551">
        <v>1148136361</v>
      </c>
      <c r="J551">
        <v>362726218</v>
      </c>
      <c r="K551">
        <v>299303978</v>
      </c>
      <c r="L551">
        <v>515601631</v>
      </c>
      <c r="M551">
        <v>420075250</v>
      </c>
      <c r="N551">
        <v>296068780</v>
      </c>
      <c r="O551">
        <v>162059478</v>
      </c>
      <c r="P551">
        <v>3020</v>
      </c>
      <c r="Q551" t="s">
        <v>1306</v>
      </c>
    </row>
    <row r="552" spans="1:17" x14ac:dyDescent="0.3">
      <c r="A552" t="s">
        <v>59</v>
      </c>
      <c r="B552" t="str">
        <f>"000791"</f>
        <v>000791</v>
      </c>
      <c r="C552" t="s">
        <v>1307</v>
      </c>
      <c r="D552" t="s">
        <v>105</v>
      </c>
      <c r="F552">
        <v>1320576069</v>
      </c>
      <c r="G552">
        <v>1613371681</v>
      </c>
      <c r="H552">
        <v>1531225612</v>
      </c>
      <c r="I552">
        <v>1370860478</v>
      </c>
      <c r="J552">
        <v>1167719362</v>
      </c>
      <c r="K552">
        <v>1027839220</v>
      </c>
      <c r="L552">
        <v>877937820</v>
      </c>
      <c r="M552">
        <v>917477544</v>
      </c>
      <c r="N552">
        <v>1270492743</v>
      </c>
      <c r="O552">
        <v>1151137024</v>
      </c>
      <c r="P552">
        <v>219</v>
      </c>
      <c r="Q552" t="s">
        <v>1308</v>
      </c>
    </row>
    <row r="553" spans="1:17" x14ac:dyDescent="0.3">
      <c r="A553" t="s">
        <v>59</v>
      </c>
      <c r="B553" t="str">
        <f>"000683"</f>
        <v>000683</v>
      </c>
      <c r="C553" t="s">
        <v>1309</v>
      </c>
      <c r="D553" t="s">
        <v>1310</v>
      </c>
      <c r="F553">
        <v>3489241181</v>
      </c>
      <c r="G553">
        <v>1989263178</v>
      </c>
      <c r="H553">
        <v>1521607499</v>
      </c>
      <c r="I553">
        <v>1738552047</v>
      </c>
      <c r="J553">
        <v>1408247712</v>
      </c>
      <c r="K553">
        <v>482272004</v>
      </c>
      <c r="L553">
        <v>645562586</v>
      </c>
      <c r="M553">
        <v>763851229</v>
      </c>
      <c r="N553">
        <v>455444565</v>
      </c>
      <c r="O553">
        <v>664463044</v>
      </c>
      <c r="P553">
        <v>314</v>
      </c>
      <c r="Q553" t="s">
        <v>1311</v>
      </c>
    </row>
    <row r="554" spans="1:17" x14ac:dyDescent="0.3">
      <c r="A554" t="s">
        <v>17</v>
      </c>
      <c r="B554" t="str">
        <f>"600487"</f>
        <v>600487</v>
      </c>
      <c r="C554" t="s">
        <v>1312</v>
      </c>
      <c r="D554" t="s">
        <v>754</v>
      </c>
      <c r="F554">
        <v>1375948619</v>
      </c>
      <c r="G554">
        <v>1612385365</v>
      </c>
      <c r="H554">
        <v>1516773696</v>
      </c>
      <c r="I554">
        <v>1853250917</v>
      </c>
      <c r="J554">
        <v>294194782</v>
      </c>
      <c r="K554">
        <v>2578888934</v>
      </c>
      <c r="L554">
        <v>1156819138</v>
      </c>
      <c r="M554">
        <v>227548096</v>
      </c>
      <c r="N554">
        <v>112680869</v>
      </c>
      <c r="O554">
        <v>691437329</v>
      </c>
      <c r="P554">
        <v>2802</v>
      </c>
      <c r="Q554" t="s">
        <v>1313</v>
      </c>
    </row>
    <row r="555" spans="1:17" x14ac:dyDescent="0.3">
      <c r="A555" t="s">
        <v>59</v>
      </c>
      <c r="B555" t="str">
        <f>"002294"</f>
        <v>002294</v>
      </c>
      <c r="C555" t="s">
        <v>1314</v>
      </c>
      <c r="D555" t="s">
        <v>592</v>
      </c>
      <c r="F555">
        <v>1184978526</v>
      </c>
      <c r="G555">
        <v>1374329020</v>
      </c>
      <c r="H555">
        <v>1506644799</v>
      </c>
      <c r="I555">
        <v>1340663516</v>
      </c>
      <c r="J555">
        <v>1457722427</v>
      </c>
      <c r="K555">
        <v>1434812003</v>
      </c>
      <c r="L555">
        <v>1056028827</v>
      </c>
      <c r="M555">
        <v>982249147</v>
      </c>
      <c r="N555">
        <v>668521965</v>
      </c>
      <c r="O555">
        <v>521213684</v>
      </c>
      <c r="P555">
        <v>25590</v>
      </c>
      <c r="Q555" t="s">
        <v>1315</v>
      </c>
    </row>
    <row r="556" spans="1:17" x14ac:dyDescent="0.3">
      <c r="A556" t="s">
        <v>59</v>
      </c>
      <c r="B556" t="str">
        <f>"000902"</f>
        <v>000902</v>
      </c>
      <c r="C556" t="s">
        <v>1316</v>
      </c>
      <c r="D556" t="s">
        <v>1317</v>
      </c>
      <c r="F556">
        <v>335119104</v>
      </c>
      <c r="G556">
        <v>2432504201</v>
      </c>
      <c r="H556">
        <v>1505624087</v>
      </c>
      <c r="I556">
        <v>185400811</v>
      </c>
      <c r="J556">
        <v>915195556</v>
      </c>
      <c r="K556">
        <v>750425853</v>
      </c>
      <c r="L556">
        <v>644058090</v>
      </c>
      <c r="M556">
        <v>651535154</v>
      </c>
      <c r="N556">
        <v>-15786283</v>
      </c>
      <c r="O556">
        <v>-49579706</v>
      </c>
      <c r="P556">
        <v>406</v>
      </c>
      <c r="Q556" t="s">
        <v>1318</v>
      </c>
    </row>
    <row r="557" spans="1:17" x14ac:dyDescent="0.3">
      <c r="A557" t="s">
        <v>59</v>
      </c>
      <c r="B557" t="str">
        <f>"002558"</f>
        <v>002558</v>
      </c>
      <c r="C557" t="s">
        <v>1319</v>
      </c>
      <c r="D557" t="s">
        <v>689</v>
      </c>
      <c r="F557">
        <v>637938977</v>
      </c>
      <c r="G557">
        <v>963316008</v>
      </c>
      <c r="H557">
        <v>1505072616</v>
      </c>
      <c r="I557">
        <v>-13514051</v>
      </c>
      <c r="J557">
        <v>1493611568</v>
      </c>
      <c r="K557">
        <v>1137598749</v>
      </c>
      <c r="L557">
        <v>21917945</v>
      </c>
      <c r="M557">
        <v>74226996</v>
      </c>
      <c r="N557">
        <v>809830</v>
      </c>
      <c r="O557">
        <v>10563636</v>
      </c>
      <c r="P557">
        <v>458</v>
      </c>
      <c r="Q557" t="s">
        <v>1320</v>
      </c>
    </row>
    <row r="558" spans="1:17" x14ac:dyDescent="0.3">
      <c r="A558" t="s">
        <v>59</v>
      </c>
      <c r="B558" t="str">
        <f>"000034"</f>
        <v>000034</v>
      </c>
      <c r="C558" t="s">
        <v>1321</v>
      </c>
      <c r="D558" t="s">
        <v>1189</v>
      </c>
      <c r="F558">
        <v>-156127597</v>
      </c>
      <c r="G558">
        <v>1456920144</v>
      </c>
      <c r="H558">
        <v>1499628700</v>
      </c>
      <c r="I558">
        <v>360539618</v>
      </c>
      <c r="J558">
        <v>-291800291</v>
      </c>
      <c r="K558">
        <v>345882116</v>
      </c>
      <c r="L558">
        <v>-13502357</v>
      </c>
      <c r="M558">
        <v>-28153148</v>
      </c>
      <c r="N558">
        <v>7254418</v>
      </c>
      <c r="O558">
        <v>-7974856</v>
      </c>
      <c r="P558">
        <v>412</v>
      </c>
      <c r="Q558" t="s">
        <v>1322</v>
      </c>
    </row>
    <row r="559" spans="1:17" x14ac:dyDescent="0.3">
      <c r="A559" t="s">
        <v>17</v>
      </c>
      <c r="B559" t="str">
        <f>"600271"</f>
        <v>600271</v>
      </c>
      <c r="C559" t="s">
        <v>1323</v>
      </c>
      <c r="D559" t="s">
        <v>1189</v>
      </c>
      <c r="F559">
        <v>1874538630</v>
      </c>
      <c r="G559">
        <v>3119378189</v>
      </c>
      <c r="H559">
        <v>1499331948</v>
      </c>
      <c r="I559">
        <v>1990012511</v>
      </c>
      <c r="J559">
        <v>3031647329</v>
      </c>
      <c r="K559">
        <v>2986338938</v>
      </c>
      <c r="L559">
        <v>2512023506</v>
      </c>
      <c r="M559">
        <v>1757805646</v>
      </c>
      <c r="N559">
        <v>1474467001</v>
      </c>
      <c r="O559">
        <v>1217499881</v>
      </c>
      <c r="P559">
        <v>16700</v>
      </c>
      <c r="Q559" t="s">
        <v>1324</v>
      </c>
    </row>
    <row r="560" spans="1:17" x14ac:dyDescent="0.3">
      <c r="A560" t="s">
        <v>59</v>
      </c>
      <c r="B560" t="str">
        <f>"000036"</f>
        <v>000036</v>
      </c>
      <c r="C560" t="s">
        <v>1325</v>
      </c>
      <c r="D560" t="s">
        <v>61</v>
      </c>
      <c r="F560">
        <v>-114616281</v>
      </c>
      <c r="G560">
        <v>-539008527</v>
      </c>
      <c r="H560">
        <v>1498188178</v>
      </c>
      <c r="I560">
        <v>2808043117</v>
      </c>
      <c r="J560">
        <v>-250441171</v>
      </c>
      <c r="K560">
        <v>2102808644</v>
      </c>
      <c r="L560">
        <v>108958201</v>
      </c>
      <c r="M560">
        <v>-1794265906</v>
      </c>
      <c r="N560">
        <v>-265751989</v>
      </c>
      <c r="O560">
        <v>-166836997</v>
      </c>
      <c r="P560">
        <v>880</v>
      </c>
      <c r="Q560" t="s">
        <v>1326</v>
      </c>
    </row>
    <row r="561" spans="1:17" x14ac:dyDescent="0.3">
      <c r="A561" t="s">
        <v>59</v>
      </c>
      <c r="B561" t="str">
        <f>"002701"</f>
        <v>002701</v>
      </c>
      <c r="C561" t="s">
        <v>1327</v>
      </c>
      <c r="D561" t="s">
        <v>1328</v>
      </c>
      <c r="F561">
        <v>1182809536</v>
      </c>
      <c r="G561">
        <v>723599105</v>
      </c>
      <c r="H561">
        <v>1497640619</v>
      </c>
      <c r="I561">
        <v>2077973215</v>
      </c>
      <c r="J561">
        <v>1890634617</v>
      </c>
      <c r="K561">
        <v>760354235</v>
      </c>
      <c r="L561">
        <v>1185482321</v>
      </c>
      <c r="M561">
        <v>769522323</v>
      </c>
      <c r="N561">
        <v>668895954</v>
      </c>
      <c r="O561">
        <v>415278014</v>
      </c>
      <c r="P561">
        <v>1656</v>
      </c>
      <c r="Q561" t="s">
        <v>1329</v>
      </c>
    </row>
    <row r="562" spans="1:17" x14ac:dyDescent="0.3">
      <c r="A562" t="s">
        <v>59</v>
      </c>
      <c r="B562" t="str">
        <f>"000632"</f>
        <v>000632</v>
      </c>
      <c r="C562" t="s">
        <v>1330</v>
      </c>
      <c r="D562" t="s">
        <v>672</v>
      </c>
      <c r="F562">
        <v>395102977</v>
      </c>
      <c r="G562">
        <v>-1821105126</v>
      </c>
      <c r="H562">
        <v>1493328863</v>
      </c>
      <c r="I562">
        <v>787075608</v>
      </c>
      <c r="J562">
        <v>303230395</v>
      </c>
      <c r="K562">
        <v>240730826</v>
      </c>
      <c r="L562">
        <v>428431121</v>
      </c>
      <c r="M562">
        <v>-219450148</v>
      </c>
      <c r="N562">
        <v>-176795663</v>
      </c>
      <c r="O562">
        <v>135817299</v>
      </c>
      <c r="P562">
        <v>69</v>
      </c>
      <c r="Q562" t="s">
        <v>1331</v>
      </c>
    </row>
    <row r="563" spans="1:17" x14ac:dyDescent="0.3">
      <c r="A563" t="s">
        <v>17</v>
      </c>
      <c r="B563" t="str">
        <f>"600512"</f>
        <v>600512</v>
      </c>
      <c r="C563" t="s">
        <v>1332</v>
      </c>
      <c r="D563" t="s">
        <v>85</v>
      </c>
      <c r="F563">
        <v>731470906</v>
      </c>
      <c r="G563">
        <v>454368577</v>
      </c>
      <c r="H563">
        <v>1491657230</v>
      </c>
      <c r="I563">
        <v>154949567</v>
      </c>
      <c r="J563">
        <v>170625472</v>
      </c>
      <c r="K563">
        <v>202420038</v>
      </c>
      <c r="L563">
        <v>-87197121</v>
      </c>
      <c r="M563">
        <v>7220202</v>
      </c>
      <c r="N563">
        <v>-35931204</v>
      </c>
      <c r="O563">
        <v>-320137593</v>
      </c>
      <c r="P563">
        <v>161</v>
      </c>
      <c r="Q563" t="s">
        <v>1333</v>
      </c>
    </row>
    <row r="564" spans="1:17" x14ac:dyDescent="0.3">
      <c r="A564" t="s">
        <v>59</v>
      </c>
      <c r="B564" t="str">
        <f>"000828"</f>
        <v>000828</v>
      </c>
      <c r="C564" t="s">
        <v>1334</v>
      </c>
      <c r="D564" t="s">
        <v>406</v>
      </c>
      <c r="F564">
        <v>1319035473</v>
      </c>
      <c r="G564">
        <v>2858390721</v>
      </c>
      <c r="H564">
        <v>1490560435</v>
      </c>
      <c r="I564">
        <v>2228948846</v>
      </c>
      <c r="J564">
        <v>48891244</v>
      </c>
      <c r="K564">
        <v>-975056800</v>
      </c>
      <c r="L564">
        <v>-1195350250</v>
      </c>
      <c r="M564">
        <v>269246621</v>
      </c>
      <c r="N564">
        <v>550385244</v>
      </c>
      <c r="O564">
        <v>538971839</v>
      </c>
      <c r="P564">
        <v>961</v>
      </c>
      <c r="Q564" t="s">
        <v>1335</v>
      </c>
    </row>
    <row r="565" spans="1:17" x14ac:dyDescent="0.3">
      <c r="A565" t="s">
        <v>59</v>
      </c>
      <c r="B565" t="str">
        <f>"000967"</f>
        <v>000967</v>
      </c>
      <c r="C565" t="s">
        <v>1336</v>
      </c>
      <c r="D565" t="s">
        <v>1337</v>
      </c>
      <c r="F565">
        <v>809218720</v>
      </c>
      <c r="G565">
        <v>1688714092</v>
      </c>
      <c r="H565">
        <v>1484750054</v>
      </c>
      <c r="I565">
        <v>-1150744895</v>
      </c>
      <c r="J565">
        <v>-591521906</v>
      </c>
      <c r="K565">
        <v>-213138977</v>
      </c>
      <c r="L565">
        <v>207161563</v>
      </c>
      <c r="M565">
        <v>89548347</v>
      </c>
      <c r="N565">
        <v>-64275363</v>
      </c>
      <c r="O565">
        <v>117754142</v>
      </c>
      <c r="P565">
        <v>329</v>
      </c>
      <c r="Q565" t="s">
        <v>1338</v>
      </c>
    </row>
    <row r="566" spans="1:17" x14ac:dyDescent="0.3">
      <c r="A566" t="s">
        <v>59</v>
      </c>
      <c r="B566" t="str">
        <f>"003022"</f>
        <v>003022</v>
      </c>
      <c r="C566" t="s">
        <v>1339</v>
      </c>
      <c r="D566" t="s">
        <v>1340</v>
      </c>
      <c r="F566">
        <v>1268213738</v>
      </c>
      <c r="G566">
        <v>1121261332</v>
      </c>
      <c r="H566">
        <v>1483563112</v>
      </c>
      <c r="I566">
        <v>878704892</v>
      </c>
      <c r="J566">
        <v>692863725</v>
      </c>
      <c r="K566">
        <v>815050166</v>
      </c>
      <c r="P566">
        <v>205</v>
      </c>
      <c r="Q566" t="s">
        <v>1341</v>
      </c>
    </row>
    <row r="567" spans="1:17" x14ac:dyDescent="0.3">
      <c r="A567" t="s">
        <v>59</v>
      </c>
      <c r="B567" t="str">
        <f>"300088"</f>
        <v>300088</v>
      </c>
      <c r="C567" t="s">
        <v>1342</v>
      </c>
      <c r="D567" t="s">
        <v>139</v>
      </c>
      <c r="F567">
        <v>1143973609</v>
      </c>
      <c r="G567">
        <v>1613905053</v>
      </c>
      <c r="H567">
        <v>1482730758</v>
      </c>
      <c r="I567">
        <v>753469401</v>
      </c>
      <c r="J567">
        <v>594008777</v>
      </c>
      <c r="K567">
        <v>260222730</v>
      </c>
      <c r="L567">
        <v>395100305</v>
      </c>
      <c r="M567">
        <v>33820196</v>
      </c>
      <c r="N567">
        <v>120781552</v>
      </c>
      <c r="O567">
        <v>231700516</v>
      </c>
      <c r="P567">
        <v>950</v>
      </c>
      <c r="Q567" t="s">
        <v>1343</v>
      </c>
    </row>
    <row r="568" spans="1:17" x14ac:dyDescent="0.3">
      <c r="A568" t="s">
        <v>17</v>
      </c>
      <c r="B568" t="str">
        <f>"600643"</f>
        <v>600643</v>
      </c>
      <c r="C568" t="s">
        <v>1344</v>
      </c>
      <c r="D568" t="s">
        <v>117</v>
      </c>
      <c r="F568">
        <v>1498152981</v>
      </c>
      <c r="G568">
        <v>2092670384</v>
      </c>
      <c r="H568">
        <v>1480830137</v>
      </c>
      <c r="I568">
        <v>284067315</v>
      </c>
      <c r="J568">
        <v>1194037060</v>
      </c>
      <c r="K568">
        <v>-189740078</v>
      </c>
      <c r="L568">
        <v>645348050</v>
      </c>
      <c r="M568">
        <v>-826590008</v>
      </c>
      <c r="N568">
        <v>-775759110</v>
      </c>
      <c r="O568">
        <v>-918036565</v>
      </c>
      <c r="P568">
        <v>344</v>
      </c>
      <c r="Q568" t="s">
        <v>1345</v>
      </c>
    </row>
    <row r="569" spans="1:17" x14ac:dyDescent="0.3">
      <c r="A569" t="s">
        <v>17</v>
      </c>
      <c r="B569" t="str">
        <f>"900940"</f>
        <v>900940</v>
      </c>
      <c r="C569" t="s">
        <v>1346</v>
      </c>
      <c r="G569">
        <v>-369552204.49229997</v>
      </c>
      <c r="H569">
        <v>1479133190.8759999</v>
      </c>
      <c r="I569">
        <v>920362239.55840003</v>
      </c>
      <c r="J569">
        <v>157048236.90239999</v>
      </c>
      <c r="K569">
        <v>-940172429.66400003</v>
      </c>
      <c r="L569">
        <v>-1035040174.938</v>
      </c>
      <c r="M569">
        <v>-425056691.97680002</v>
      </c>
      <c r="N569">
        <v>-495733408.25120002</v>
      </c>
      <c r="O569">
        <v>-177525299.59650001</v>
      </c>
      <c r="P569">
        <v>15</v>
      </c>
      <c r="Q569" t="s">
        <v>1347</v>
      </c>
    </row>
    <row r="570" spans="1:17" x14ac:dyDescent="0.3">
      <c r="A570" t="s">
        <v>17</v>
      </c>
      <c r="B570" t="str">
        <f>"600603"</f>
        <v>600603</v>
      </c>
      <c r="C570" t="s">
        <v>1348</v>
      </c>
      <c r="D570" t="s">
        <v>61</v>
      </c>
      <c r="F570">
        <v>1335379199</v>
      </c>
      <c r="G570">
        <v>1695024825</v>
      </c>
      <c r="H570">
        <v>1468323703</v>
      </c>
      <c r="I570">
        <v>563370748</v>
      </c>
      <c r="J570">
        <v>70572773</v>
      </c>
      <c r="K570">
        <v>40814458</v>
      </c>
      <c r="L570">
        <v>-11572130</v>
      </c>
      <c r="M570">
        <v>37584436</v>
      </c>
      <c r="N570">
        <v>-5881344</v>
      </c>
      <c r="O570">
        <v>-7928718</v>
      </c>
      <c r="P570">
        <v>510</v>
      </c>
      <c r="Q570" t="s">
        <v>1349</v>
      </c>
    </row>
    <row r="571" spans="1:17" x14ac:dyDescent="0.3">
      <c r="A571" t="s">
        <v>59</v>
      </c>
      <c r="B571" t="str">
        <f>"002430"</f>
        <v>002430</v>
      </c>
      <c r="C571" t="s">
        <v>1350</v>
      </c>
      <c r="D571" t="s">
        <v>1351</v>
      </c>
      <c r="F571">
        <v>1261637477</v>
      </c>
      <c r="G571">
        <v>937547908</v>
      </c>
      <c r="H571">
        <v>1466063973</v>
      </c>
      <c r="I571">
        <v>1281967865</v>
      </c>
      <c r="J571">
        <v>861650858</v>
      </c>
      <c r="K571">
        <v>427869677</v>
      </c>
      <c r="L571">
        <v>432593943</v>
      </c>
      <c r="M571">
        <v>139746126</v>
      </c>
      <c r="N571">
        <v>416590785</v>
      </c>
      <c r="O571">
        <v>156082398</v>
      </c>
      <c r="P571">
        <v>395</v>
      </c>
      <c r="Q571" t="s">
        <v>1352</v>
      </c>
    </row>
    <row r="572" spans="1:17" x14ac:dyDescent="0.3">
      <c r="A572" t="s">
        <v>17</v>
      </c>
      <c r="B572" t="str">
        <f>"601958"</f>
        <v>601958</v>
      </c>
      <c r="C572" t="s">
        <v>1353</v>
      </c>
      <c r="D572" t="s">
        <v>1186</v>
      </c>
      <c r="F572">
        <v>969117119</v>
      </c>
      <c r="G572">
        <v>429091352</v>
      </c>
      <c r="H572">
        <v>1464775179</v>
      </c>
      <c r="I572">
        <v>401986453</v>
      </c>
      <c r="J572">
        <v>391157134</v>
      </c>
      <c r="K572">
        <v>-83736327</v>
      </c>
      <c r="L572">
        <v>156030957</v>
      </c>
      <c r="M572">
        <v>98374250</v>
      </c>
      <c r="N572">
        <v>333342584</v>
      </c>
      <c r="O572">
        <v>1108273237</v>
      </c>
      <c r="P572">
        <v>244</v>
      </c>
      <c r="Q572" t="s">
        <v>1354</v>
      </c>
    </row>
    <row r="573" spans="1:17" x14ac:dyDescent="0.3">
      <c r="A573" t="s">
        <v>59</v>
      </c>
      <c r="B573" t="str">
        <f>"000525"</f>
        <v>000525</v>
      </c>
      <c r="C573" t="s">
        <v>1355</v>
      </c>
      <c r="D573" t="s">
        <v>1356</v>
      </c>
      <c r="F573">
        <v>348634782</v>
      </c>
      <c r="G573">
        <v>231238359</v>
      </c>
      <c r="H573">
        <v>1464507715</v>
      </c>
      <c r="I573">
        <v>377641081</v>
      </c>
      <c r="J573">
        <v>514335777</v>
      </c>
      <c r="K573">
        <v>266184114</v>
      </c>
      <c r="L573">
        <v>245746855</v>
      </c>
      <c r="M573">
        <v>779879198</v>
      </c>
      <c r="N573">
        <v>1024896503</v>
      </c>
      <c r="O573">
        <v>291269995</v>
      </c>
      <c r="P573">
        <v>150</v>
      </c>
      <c r="Q573" t="s">
        <v>1357</v>
      </c>
    </row>
    <row r="574" spans="1:17" x14ac:dyDescent="0.3">
      <c r="A574" t="s">
        <v>17</v>
      </c>
      <c r="B574" t="str">
        <f>"600369"</f>
        <v>600369</v>
      </c>
      <c r="C574" t="s">
        <v>1358</v>
      </c>
      <c r="D574" t="s">
        <v>75</v>
      </c>
      <c r="F574">
        <v>-157191968</v>
      </c>
      <c r="G574">
        <v>-3808187088</v>
      </c>
      <c r="H574">
        <v>1464202163</v>
      </c>
      <c r="I574">
        <v>2348842127</v>
      </c>
      <c r="J574">
        <v>-4161237066</v>
      </c>
      <c r="K574">
        <v>-10615695543</v>
      </c>
      <c r="L574">
        <v>2457455563</v>
      </c>
      <c r="M574">
        <v>5575305755</v>
      </c>
      <c r="N574">
        <v>-968475284</v>
      </c>
      <c r="O574">
        <v>-393438088</v>
      </c>
      <c r="P574">
        <v>930</v>
      </c>
      <c r="Q574" t="s">
        <v>1359</v>
      </c>
    </row>
    <row r="575" spans="1:17" x14ac:dyDescent="0.3">
      <c r="A575" t="s">
        <v>59</v>
      </c>
      <c r="B575" t="str">
        <f>"002419"</f>
        <v>002419</v>
      </c>
      <c r="C575" t="s">
        <v>1360</v>
      </c>
      <c r="D575" t="s">
        <v>1361</v>
      </c>
      <c r="F575">
        <v>2734048216</v>
      </c>
      <c r="G575">
        <v>1031298243</v>
      </c>
      <c r="H575">
        <v>1458986590</v>
      </c>
      <c r="I575">
        <v>2194560613</v>
      </c>
      <c r="J575">
        <v>1123260188</v>
      </c>
      <c r="K575">
        <v>1632155483</v>
      </c>
      <c r="L575">
        <v>1242949135</v>
      </c>
      <c r="M575">
        <v>748131306</v>
      </c>
      <c r="N575">
        <v>492110687</v>
      </c>
      <c r="O575">
        <v>770101812</v>
      </c>
      <c r="P575">
        <v>421</v>
      </c>
      <c r="Q575" t="s">
        <v>1362</v>
      </c>
    </row>
    <row r="576" spans="1:17" x14ac:dyDescent="0.3">
      <c r="A576" t="s">
        <v>17</v>
      </c>
      <c r="B576" t="str">
        <f>"600058"</f>
        <v>600058</v>
      </c>
      <c r="C576" t="s">
        <v>1363</v>
      </c>
      <c r="D576" t="s">
        <v>659</v>
      </c>
      <c r="F576">
        <v>932905146</v>
      </c>
      <c r="G576">
        <v>-138179624</v>
      </c>
      <c r="H576">
        <v>1455016294</v>
      </c>
      <c r="I576">
        <v>-230827816</v>
      </c>
      <c r="J576">
        <v>383569727</v>
      </c>
      <c r="K576">
        <v>10992100662</v>
      </c>
      <c r="L576">
        <v>1427696258</v>
      </c>
      <c r="M576">
        <v>-1654561080</v>
      </c>
      <c r="N576">
        <v>-3092308616</v>
      </c>
      <c r="O576">
        <v>4023844846</v>
      </c>
      <c r="P576">
        <v>139</v>
      </c>
      <c r="Q576" t="s">
        <v>1364</v>
      </c>
    </row>
    <row r="577" spans="1:17" x14ac:dyDescent="0.3">
      <c r="A577" t="s">
        <v>59</v>
      </c>
      <c r="B577" t="str">
        <f>"002705"</f>
        <v>002705</v>
      </c>
      <c r="C577" t="s">
        <v>1365</v>
      </c>
      <c r="D577" t="s">
        <v>1173</v>
      </c>
      <c r="F577">
        <v>846393455</v>
      </c>
      <c r="G577">
        <v>2509960223</v>
      </c>
      <c r="H577">
        <v>1444261887</v>
      </c>
      <c r="I577">
        <v>445296912</v>
      </c>
      <c r="J577">
        <v>461923169</v>
      </c>
      <c r="K577">
        <v>956010826</v>
      </c>
      <c r="L577">
        <v>761630448</v>
      </c>
      <c r="M577">
        <v>215007158</v>
      </c>
      <c r="N577">
        <v>565484740</v>
      </c>
      <c r="O577">
        <v>341133122</v>
      </c>
      <c r="P577">
        <v>1093</v>
      </c>
      <c r="Q577" t="s">
        <v>1366</v>
      </c>
    </row>
    <row r="578" spans="1:17" x14ac:dyDescent="0.3">
      <c r="A578" t="s">
        <v>17</v>
      </c>
      <c r="B578" t="str">
        <f>"601568"</f>
        <v>601568</v>
      </c>
      <c r="C578" t="s">
        <v>1367</v>
      </c>
      <c r="D578" t="s">
        <v>317</v>
      </c>
      <c r="F578">
        <v>3110737136</v>
      </c>
      <c r="G578">
        <v>1996620091</v>
      </c>
      <c r="H578">
        <v>1443946222</v>
      </c>
      <c r="I578">
        <v>2026698342</v>
      </c>
      <c r="J578">
        <v>2013427830</v>
      </c>
      <c r="K578">
        <v>2143885110</v>
      </c>
      <c r="P578">
        <v>121</v>
      </c>
      <c r="Q578" t="s">
        <v>1368</v>
      </c>
    </row>
    <row r="579" spans="1:17" x14ac:dyDescent="0.3">
      <c r="A579" t="s">
        <v>17</v>
      </c>
      <c r="B579" t="str">
        <f>"600062"</f>
        <v>600062</v>
      </c>
      <c r="C579" t="s">
        <v>1369</v>
      </c>
      <c r="D579" t="s">
        <v>592</v>
      </c>
      <c r="F579">
        <v>1340920964</v>
      </c>
      <c r="G579">
        <v>1360158210</v>
      </c>
      <c r="H579">
        <v>1439788471</v>
      </c>
      <c r="I579">
        <v>1469039631</v>
      </c>
      <c r="J579">
        <v>1187087991</v>
      </c>
      <c r="K579">
        <v>771247823</v>
      </c>
      <c r="L579">
        <v>701346760</v>
      </c>
      <c r="M579">
        <v>718376437</v>
      </c>
      <c r="N579">
        <v>546240145</v>
      </c>
      <c r="O579">
        <v>396048303</v>
      </c>
      <c r="P579">
        <v>635</v>
      </c>
      <c r="Q579" t="s">
        <v>1370</v>
      </c>
    </row>
    <row r="580" spans="1:17" x14ac:dyDescent="0.3">
      <c r="A580" t="s">
        <v>17</v>
      </c>
      <c r="B580" t="str">
        <f>"600167"</f>
        <v>600167</v>
      </c>
      <c r="C580" t="s">
        <v>1371</v>
      </c>
      <c r="D580" t="s">
        <v>1238</v>
      </c>
      <c r="F580">
        <v>1700018256</v>
      </c>
      <c r="G580">
        <v>927377471</v>
      </c>
      <c r="H580">
        <v>1438415965</v>
      </c>
      <c r="I580">
        <v>1132818443</v>
      </c>
      <c r="J580">
        <v>1122743634</v>
      </c>
      <c r="K580">
        <v>1025833924</v>
      </c>
      <c r="L580">
        <v>458962103</v>
      </c>
      <c r="M580">
        <v>386898767</v>
      </c>
      <c r="N580">
        <v>546438132</v>
      </c>
      <c r="O580">
        <v>434596686</v>
      </c>
      <c r="P580">
        <v>39750</v>
      </c>
      <c r="Q580" t="s">
        <v>1372</v>
      </c>
    </row>
    <row r="581" spans="1:17" x14ac:dyDescent="0.3">
      <c r="A581" t="s">
        <v>59</v>
      </c>
      <c r="B581" t="str">
        <f>"200521"</f>
        <v>200521</v>
      </c>
      <c r="C581" t="s">
        <v>1373</v>
      </c>
      <c r="F581">
        <v>196776959.88240001</v>
      </c>
      <c r="G581">
        <v>1664710590.9142001</v>
      </c>
      <c r="H581">
        <v>1437276957.2225001</v>
      </c>
      <c r="I581">
        <v>-251108260.17750001</v>
      </c>
      <c r="J581">
        <v>-661912694.39900005</v>
      </c>
      <c r="K581">
        <v>1099893318.1152</v>
      </c>
      <c r="L581">
        <v>252429418.4472</v>
      </c>
      <c r="M581">
        <v>206894847.67199999</v>
      </c>
      <c r="N581">
        <v>690826243.78180003</v>
      </c>
      <c r="O581">
        <v>522189462.68019998</v>
      </c>
      <c r="P581">
        <v>23</v>
      </c>
      <c r="Q581" t="s">
        <v>1374</v>
      </c>
    </row>
    <row r="582" spans="1:17" x14ac:dyDescent="0.3">
      <c r="A582" t="s">
        <v>59</v>
      </c>
      <c r="B582" t="str">
        <f>"300772"</f>
        <v>300772</v>
      </c>
      <c r="C582" t="s">
        <v>1375</v>
      </c>
      <c r="D582" t="s">
        <v>403</v>
      </c>
      <c r="F582">
        <v>2297924148</v>
      </c>
      <c r="G582">
        <v>-788084759</v>
      </c>
      <c r="H582">
        <v>1435885465</v>
      </c>
      <c r="I582">
        <v>205338183</v>
      </c>
      <c r="J582">
        <v>552714073</v>
      </c>
      <c r="K582">
        <v>-167696971</v>
      </c>
      <c r="P582">
        <v>177</v>
      </c>
      <c r="Q582" t="s">
        <v>1376</v>
      </c>
    </row>
    <row r="583" spans="1:17" x14ac:dyDescent="0.3">
      <c r="A583" t="s">
        <v>17</v>
      </c>
      <c r="B583" t="str">
        <f>"600681"</f>
        <v>600681</v>
      </c>
      <c r="C583" t="s">
        <v>1377</v>
      </c>
      <c r="D583" t="s">
        <v>883</v>
      </c>
      <c r="F583">
        <v>1136478929</v>
      </c>
      <c r="G583">
        <v>892971904</v>
      </c>
      <c r="H583">
        <v>1427413141</v>
      </c>
      <c r="I583">
        <v>1219450749</v>
      </c>
      <c r="J583">
        <v>878781745</v>
      </c>
      <c r="K583">
        <v>288827671</v>
      </c>
      <c r="L583">
        <v>-27872789</v>
      </c>
      <c r="M583">
        <v>-3381928</v>
      </c>
      <c r="N583">
        <v>-7677617</v>
      </c>
      <c r="O583">
        <v>-3598400</v>
      </c>
      <c r="P583">
        <v>472</v>
      </c>
      <c r="Q583" t="s">
        <v>1378</v>
      </c>
    </row>
    <row r="584" spans="1:17" x14ac:dyDescent="0.3">
      <c r="A584" t="s">
        <v>17</v>
      </c>
      <c r="B584" t="str">
        <f>"600528"</f>
        <v>600528</v>
      </c>
      <c r="C584" t="s">
        <v>1379</v>
      </c>
      <c r="D584" t="s">
        <v>165</v>
      </c>
      <c r="F584">
        <v>1627227422</v>
      </c>
      <c r="G584">
        <v>1074288559</v>
      </c>
      <c r="H584">
        <v>1424320458</v>
      </c>
      <c r="I584">
        <v>832333592</v>
      </c>
      <c r="J584">
        <v>610308191</v>
      </c>
      <c r="K584">
        <v>1368191894</v>
      </c>
      <c r="L584">
        <v>-5053497087</v>
      </c>
      <c r="M584">
        <v>1499558166</v>
      </c>
      <c r="N584">
        <v>134746718</v>
      </c>
      <c r="O584">
        <v>-198333847</v>
      </c>
      <c r="P584">
        <v>252</v>
      </c>
      <c r="Q584" t="s">
        <v>1380</v>
      </c>
    </row>
    <row r="585" spans="1:17" x14ac:dyDescent="0.3">
      <c r="A585" t="s">
        <v>59</v>
      </c>
      <c r="B585" t="str">
        <f>"000501"</f>
        <v>000501</v>
      </c>
      <c r="C585" t="s">
        <v>1381</v>
      </c>
      <c r="D585" t="s">
        <v>1361</v>
      </c>
      <c r="F585">
        <v>2176350587</v>
      </c>
      <c r="G585">
        <v>1229862879</v>
      </c>
      <c r="H585">
        <v>1417935493</v>
      </c>
      <c r="I585">
        <v>2505780994</v>
      </c>
      <c r="J585">
        <v>258499442</v>
      </c>
      <c r="K585">
        <v>1486999118</v>
      </c>
      <c r="L585">
        <v>853434838</v>
      </c>
      <c r="M585">
        <v>1035161998</v>
      </c>
      <c r="N585">
        <v>1845159288</v>
      </c>
      <c r="O585">
        <v>2165071861</v>
      </c>
      <c r="P585">
        <v>6225</v>
      </c>
      <c r="Q585" t="s">
        <v>1382</v>
      </c>
    </row>
    <row r="586" spans="1:17" x14ac:dyDescent="0.3">
      <c r="A586" t="s">
        <v>17</v>
      </c>
      <c r="B586" t="str">
        <f>"600828"</f>
        <v>600828</v>
      </c>
      <c r="C586" t="s">
        <v>1383</v>
      </c>
      <c r="D586" t="s">
        <v>1361</v>
      </c>
      <c r="F586">
        <v>1301868514</v>
      </c>
      <c r="G586">
        <v>895778231</v>
      </c>
      <c r="H586">
        <v>1416164880</v>
      </c>
      <c r="I586">
        <v>2672483834</v>
      </c>
      <c r="J586">
        <v>1157602757</v>
      </c>
      <c r="K586">
        <v>679980571</v>
      </c>
      <c r="L586">
        <v>67772886</v>
      </c>
      <c r="M586">
        <v>196272234</v>
      </c>
      <c r="N586">
        <v>211403981</v>
      </c>
      <c r="O586">
        <v>223210599</v>
      </c>
      <c r="P586">
        <v>628</v>
      </c>
      <c r="Q586" t="s">
        <v>1384</v>
      </c>
    </row>
    <row r="587" spans="1:17" x14ac:dyDescent="0.3">
      <c r="A587" t="s">
        <v>59</v>
      </c>
      <c r="B587" t="str">
        <f>"002156"</f>
        <v>002156</v>
      </c>
      <c r="C587" t="s">
        <v>1385</v>
      </c>
      <c r="D587" t="s">
        <v>704</v>
      </c>
      <c r="F587">
        <v>2870801232</v>
      </c>
      <c r="G587">
        <v>2721298916</v>
      </c>
      <c r="H587">
        <v>1415222975</v>
      </c>
      <c r="I587">
        <v>752859484</v>
      </c>
      <c r="J587">
        <v>1009689948</v>
      </c>
      <c r="K587">
        <v>784787114</v>
      </c>
      <c r="L587">
        <v>231402756</v>
      </c>
      <c r="M587">
        <v>415074338</v>
      </c>
      <c r="N587">
        <v>309429452</v>
      </c>
      <c r="O587">
        <v>179953067</v>
      </c>
      <c r="P587">
        <v>770</v>
      </c>
      <c r="Q587" t="s">
        <v>1386</v>
      </c>
    </row>
    <row r="588" spans="1:17" x14ac:dyDescent="0.3">
      <c r="A588" t="s">
        <v>59</v>
      </c>
      <c r="B588" t="str">
        <f>"002010"</f>
        <v>002010</v>
      </c>
      <c r="C588" t="s">
        <v>1387</v>
      </c>
      <c r="D588" t="s">
        <v>1388</v>
      </c>
      <c r="F588">
        <v>1326645671</v>
      </c>
      <c r="G588">
        <v>2179696070</v>
      </c>
      <c r="H588">
        <v>1414713927</v>
      </c>
      <c r="I588">
        <v>465601470</v>
      </c>
      <c r="J588">
        <v>-1051596479</v>
      </c>
      <c r="K588">
        <v>-400700474</v>
      </c>
      <c r="L588">
        <v>414190515</v>
      </c>
      <c r="M588">
        <v>337348093</v>
      </c>
      <c r="N588">
        <v>-202688684</v>
      </c>
      <c r="O588">
        <v>118248948</v>
      </c>
      <c r="P588">
        <v>279</v>
      </c>
      <c r="Q588" t="s">
        <v>1389</v>
      </c>
    </row>
    <row r="589" spans="1:17" x14ac:dyDescent="0.3">
      <c r="A589" t="s">
        <v>17</v>
      </c>
      <c r="B589" t="str">
        <f>"603529"</f>
        <v>603529</v>
      </c>
      <c r="C589" t="s">
        <v>1390</v>
      </c>
      <c r="D589" t="s">
        <v>1391</v>
      </c>
      <c r="F589">
        <v>2094187374</v>
      </c>
      <c r="G589">
        <v>1154579845</v>
      </c>
      <c r="H589">
        <v>1413660782</v>
      </c>
      <c r="I589">
        <v>727256796</v>
      </c>
      <c r="J589">
        <v>1412308856</v>
      </c>
      <c r="K589">
        <v>873392974</v>
      </c>
      <c r="P589">
        <v>73</v>
      </c>
      <c r="Q589" t="s">
        <v>1392</v>
      </c>
    </row>
    <row r="590" spans="1:17" x14ac:dyDescent="0.3">
      <c r="A590" t="s">
        <v>17</v>
      </c>
      <c r="B590" t="str">
        <f>"600273"</f>
        <v>600273</v>
      </c>
      <c r="C590" t="s">
        <v>1393</v>
      </c>
      <c r="D590" t="s">
        <v>1252</v>
      </c>
      <c r="F590">
        <v>1777987313</v>
      </c>
      <c r="G590">
        <v>1419765299</v>
      </c>
      <c r="H590">
        <v>1412245656</v>
      </c>
      <c r="I590">
        <v>741115029</v>
      </c>
      <c r="J590">
        <v>594063084</v>
      </c>
      <c r="K590">
        <v>1307847072</v>
      </c>
      <c r="L590">
        <v>505609787</v>
      </c>
      <c r="M590">
        <v>333783451</v>
      </c>
      <c r="N590">
        <v>26360696</v>
      </c>
      <c r="O590">
        <v>241898241</v>
      </c>
      <c r="P590">
        <v>3517</v>
      </c>
      <c r="Q590" t="s">
        <v>1394</v>
      </c>
    </row>
    <row r="591" spans="1:17" x14ac:dyDescent="0.3">
      <c r="A591" t="s">
        <v>17</v>
      </c>
      <c r="B591" t="str">
        <f>"600803"</f>
        <v>600803</v>
      </c>
      <c r="C591" t="s">
        <v>1395</v>
      </c>
      <c r="D591" t="s">
        <v>883</v>
      </c>
      <c r="F591">
        <v>13510380000</v>
      </c>
      <c r="G591">
        <v>12447680000</v>
      </c>
      <c r="H591">
        <v>1408468268</v>
      </c>
      <c r="I591">
        <v>1222086664</v>
      </c>
      <c r="J591">
        <v>990232051</v>
      </c>
      <c r="K591">
        <v>978604051</v>
      </c>
      <c r="L591">
        <v>1090628121</v>
      </c>
      <c r="M591">
        <v>1016183377</v>
      </c>
      <c r="N591">
        <v>677922075</v>
      </c>
      <c r="O591">
        <v>-33103203</v>
      </c>
      <c r="P591">
        <v>577</v>
      </c>
      <c r="Q591" t="s">
        <v>1396</v>
      </c>
    </row>
    <row r="592" spans="1:17" x14ac:dyDescent="0.3">
      <c r="A592" t="s">
        <v>17</v>
      </c>
      <c r="B592" t="str">
        <f>"900933"</f>
        <v>900933</v>
      </c>
      <c r="C592" t="s">
        <v>1397</v>
      </c>
      <c r="G592">
        <v>1285280839.7316</v>
      </c>
      <c r="H592">
        <v>1389931090.214</v>
      </c>
      <c r="I592">
        <v>1148602727.6670001</v>
      </c>
      <c r="J592">
        <v>599666080.97280002</v>
      </c>
      <c r="K592">
        <v>445845727.72799999</v>
      </c>
      <c r="L592">
        <v>423999913.10600001</v>
      </c>
      <c r="M592">
        <v>618985024.00279999</v>
      </c>
      <c r="N592">
        <v>496612294.22280002</v>
      </c>
      <c r="O592">
        <v>394159413.34500003</v>
      </c>
      <c r="P592">
        <v>142</v>
      </c>
      <c r="Q592" t="s">
        <v>1398</v>
      </c>
    </row>
    <row r="593" spans="1:17" x14ac:dyDescent="0.3">
      <c r="A593" t="s">
        <v>17</v>
      </c>
      <c r="B593" t="str">
        <f>"600871"</f>
        <v>600871</v>
      </c>
      <c r="C593" t="s">
        <v>1399</v>
      </c>
      <c r="D593" t="s">
        <v>363</v>
      </c>
      <c r="F593">
        <v>6206909000</v>
      </c>
      <c r="G593">
        <v>4471820000</v>
      </c>
      <c r="H593">
        <v>1377053000</v>
      </c>
      <c r="I593">
        <v>-2939789000</v>
      </c>
      <c r="J593">
        <v>419456000</v>
      </c>
      <c r="K593">
        <v>-3907318000</v>
      </c>
      <c r="L593">
        <v>2575929000</v>
      </c>
      <c r="M593">
        <v>6746135000</v>
      </c>
      <c r="N593">
        <v>-1073285000</v>
      </c>
      <c r="O593">
        <v>-967719000</v>
      </c>
      <c r="P593">
        <v>172</v>
      </c>
      <c r="Q593" t="s">
        <v>1400</v>
      </c>
    </row>
    <row r="594" spans="1:17" x14ac:dyDescent="0.3">
      <c r="A594" t="s">
        <v>17</v>
      </c>
      <c r="B594" t="str">
        <f>"601163"</f>
        <v>601163</v>
      </c>
      <c r="C594" t="s">
        <v>1401</v>
      </c>
      <c r="D594" t="s">
        <v>767</v>
      </c>
      <c r="F594">
        <v>471680988</v>
      </c>
      <c r="G594">
        <v>1345645001</v>
      </c>
      <c r="H594">
        <v>1376728240</v>
      </c>
      <c r="I594">
        <v>593655108</v>
      </c>
      <c r="J594">
        <v>578392763</v>
      </c>
      <c r="K594">
        <v>350458717</v>
      </c>
      <c r="L594">
        <v>813879791</v>
      </c>
      <c r="M594">
        <v>1422465551</v>
      </c>
      <c r="N594">
        <v>1551337561</v>
      </c>
      <c r="P594">
        <v>224</v>
      </c>
      <c r="Q594" t="s">
        <v>1402</v>
      </c>
    </row>
    <row r="595" spans="1:17" x14ac:dyDescent="0.3">
      <c r="A595" t="s">
        <v>59</v>
      </c>
      <c r="B595" t="str">
        <f>"002869"</f>
        <v>002869</v>
      </c>
      <c r="C595" t="s">
        <v>1403</v>
      </c>
      <c r="D595" t="s">
        <v>595</v>
      </c>
      <c r="F595">
        <v>-36188644</v>
      </c>
      <c r="G595">
        <v>-83647556</v>
      </c>
      <c r="H595">
        <v>1372033946</v>
      </c>
      <c r="I595">
        <v>-28074145</v>
      </c>
      <c r="J595">
        <v>14274821</v>
      </c>
      <c r="K595">
        <v>19255598</v>
      </c>
      <c r="L595">
        <v>328985847</v>
      </c>
      <c r="M595">
        <v>88626293</v>
      </c>
      <c r="P595">
        <v>600</v>
      </c>
      <c r="Q595" t="s">
        <v>1404</v>
      </c>
    </row>
    <row r="596" spans="1:17" x14ac:dyDescent="0.3">
      <c r="A596" t="s">
        <v>17</v>
      </c>
      <c r="B596" t="str">
        <f>"600486"</f>
        <v>600486</v>
      </c>
      <c r="C596" t="s">
        <v>1405</v>
      </c>
      <c r="D596" t="s">
        <v>1356</v>
      </c>
      <c r="F596">
        <v>1454021877</v>
      </c>
      <c r="G596">
        <v>1377511002</v>
      </c>
      <c r="H596">
        <v>1370154497</v>
      </c>
      <c r="I596">
        <v>1320215450</v>
      </c>
      <c r="J596">
        <v>1138701690</v>
      </c>
      <c r="K596">
        <v>256909663</v>
      </c>
      <c r="L596">
        <v>245330030</v>
      </c>
      <c r="M596">
        <v>553547468</v>
      </c>
      <c r="N596">
        <v>712227078</v>
      </c>
      <c r="O596">
        <v>445179139</v>
      </c>
      <c r="P596">
        <v>1252</v>
      </c>
      <c r="Q596" t="s">
        <v>1406</v>
      </c>
    </row>
    <row r="597" spans="1:17" x14ac:dyDescent="0.3">
      <c r="A597" t="s">
        <v>17</v>
      </c>
      <c r="B597" t="str">
        <f>"603260"</f>
        <v>603260</v>
      </c>
      <c r="C597" t="s">
        <v>1407</v>
      </c>
      <c r="D597" t="s">
        <v>1408</v>
      </c>
      <c r="F597">
        <v>3708767934</v>
      </c>
      <c r="G597">
        <v>1254283348</v>
      </c>
      <c r="H597">
        <v>1368813723</v>
      </c>
      <c r="I597">
        <v>1247285057</v>
      </c>
      <c r="J597">
        <v>1928961148</v>
      </c>
      <c r="K597">
        <v>928905128</v>
      </c>
      <c r="L597">
        <v>952326586</v>
      </c>
      <c r="M597">
        <v>816985929</v>
      </c>
      <c r="P597">
        <v>700</v>
      </c>
      <c r="Q597" t="s">
        <v>1409</v>
      </c>
    </row>
    <row r="598" spans="1:17" x14ac:dyDescent="0.3">
      <c r="A598" t="s">
        <v>17</v>
      </c>
      <c r="B598" t="str">
        <f>"601827"</f>
        <v>601827</v>
      </c>
      <c r="C598" t="s">
        <v>1410</v>
      </c>
      <c r="D598" t="s">
        <v>894</v>
      </c>
      <c r="F598">
        <v>1847695375</v>
      </c>
      <c r="G598">
        <v>1080539189</v>
      </c>
      <c r="H598">
        <v>1368692237</v>
      </c>
      <c r="I598">
        <v>746436479</v>
      </c>
      <c r="J598">
        <v>546644904</v>
      </c>
      <c r="P598">
        <v>143</v>
      </c>
      <c r="Q598" t="s">
        <v>1411</v>
      </c>
    </row>
    <row r="599" spans="1:17" x14ac:dyDescent="0.3">
      <c r="A599" t="s">
        <v>59</v>
      </c>
      <c r="B599" t="str">
        <f>"300122"</f>
        <v>300122</v>
      </c>
      <c r="C599" t="s">
        <v>1412</v>
      </c>
      <c r="D599" t="s">
        <v>1413</v>
      </c>
      <c r="F599">
        <v>8507591817</v>
      </c>
      <c r="G599">
        <v>3496688940</v>
      </c>
      <c r="H599">
        <v>1366993831</v>
      </c>
      <c r="I599">
        <v>585590195</v>
      </c>
      <c r="J599">
        <v>203609677</v>
      </c>
      <c r="K599">
        <v>89954889</v>
      </c>
      <c r="L599">
        <v>223448284</v>
      </c>
      <c r="M599">
        <v>161388661</v>
      </c>
      <c r="N599">
        <v>221576181</v>
      </c>
      <c r="O599">
        <v>112891821</v>
      </c>
      <c r="P599">
        <v>3426</v>
      </c>
      <c r="Q599" t="s">
        <v>1414</v>
      </c>
    </row>
    <row r="600" spans="1:17" x14ac:dyDescent="0.3">
      <c r="A600" t="s">
        <v>59</v>
      </c>
      <c r="B600" t="str">
        <f>"002831"</f>
        <v>002831</v>
      </c>
      <c r="C600" t="s">
        <v>1415</v>
      </c>
      <c r="D600" t="s">
        <v>1416</v>
      </c>
      <c r="F600">
        <v>1167528507</v>
      </c>
      <c r="G600">
        <v>1003019058</v>
      </c>
      <c r="H600">
        <v>1365757790</v>
      </c>
      <c r="I600">
        <v>798886264</v>
      </c>
      <c r="J600">
        <v>583595425</v>
      </c>
      <c r="K600">
        <v>264838822</v>
      </c>
      <c r="L600">
        <v>423189651</v>
      </c>
      <c r="M600">
        <v>461541926</v>
      </c>
      <c r="N600">
        <v>267268022</v>
      </c>
      <c r="P600">
        <v>663</v>
      </c>
      <c r="Q600" t="s">
        <v>1417</v>
      </c>
    </row>
    <row r="601" spans="1:17" x14ac:dyDescent="0.3">
      <c r="A601" t="s">
        <v>17</v>
      </c>
      <c r="B601" t="str">
        <f>"601811"</f>
        <v>601811</v>
      </c>
      <c r="C601" t="s">
        <v>1418</v>
      </c>
      <c r="D601" t="s">
        <v>721</v>
      </c>
      <c r="F601">
        <v>2047329577</v>
      </c>
      <c r="G601">
        <v>1818805290</v>
      </c>
      <c r="H601">
        <v>1364410520</v>
      </c>
      <c r="I601">
        <v>993450272</v>
      </c>
      <c r="J601">
        <v>345621870</v>
      </c>
      <c r="K601">
        <v>683427278</v>
      </c>
      <c r="L601">
        <v>1016650228</v>
      </c>
      <c r="M601">
        <v>875983963</v>
      </c>
      <c r="N601">
        <v>268939212</v>
      </c>
      <c r="P601">
        <v>276</v>
      </c>
      <c r="Q601" t="s">
        <v>1419</v>
      </c>
    </row>
    <row r="602" spans="1:17" x14ac:dyDescent="0.3">
      <c r="A602" t="s">
        <v>59</v>
      </c>
      <c r="B602" t="str">
        <f>"002007"</f>
        <v>002007</v>
      </c>
      <c r="C602" t="s">
        <v>1420</v>
      </c>
      <c r="D602" t="s">
        <v>1421</v>
      </c>
      <c r="F602">
        <v>1432495973</v>
      </c>
      <c r="G602">
        <v>1325292979</v>
      </c>
      <c r="H602">
        <v>1362760281</v>
      </c>
      <c r="I602">
        <v>1292636143</v>
      </c>
      <c r="J602">
        <v>177417523</v>
      </c>
      <c r="K602">
        <v>329938358</v>
      </c>
      <c r="L602">
        <v>548622932</v>
      </c>
      <c r="M602">
        <v>497148699</v>
      </c>
      <c r="N602">
        <v>510700234</v>
      </c>
      <c r="O602">
        <v>494692263</v>
      </c>
      <c r="P602">
        <v>13194</v>
      </c>
      <c r="Q602" t="s">
        <v>1422</v>
      </c>
    </row>
    <row r="603" spans="1:17" x14ac:dyDescent="0.3">
      <c r="A603" t="s">
        <v>59</v>
      </c>
      <c r="B603" t="str">
        <f>"002085"</f>
        <v>002085</v>
      </c>
      <c r="C603" t="s">
        <v>1423</v>
      </c>
      <c r="D603" t="s">
        <v>767</v>
      </c>
      <c r="F603">
        <v>816945901</v>
      </c>
      <c r="G603">
        <v>1735780906</v>
      </c>
      <c r="H603">
        <v>1362402127</v>
      </c>
      <c r="I603">
        <v>1316448424</v>
      </c>
      <c r="J603">
        <v>969552924</v>
      </c>
      <c r="K603">
        <v>1343409112</v>
      </c>
      <c r="L603">
        <v>1220215690</v>
      </c>
      <c r="M603">
        <v>842477880</v>
      </c>
      <c r="N603">
        <v>547923401</v>
      </c>
      <c r="O603">
        <v>615830259</v>
      </c>
      <c r="P603">
        <v>1527</v>
      </c>
      <c r="Q603" t="s">
        <v>1424</v>
      </c>
    </row>
    <row r="604" spans="1:17" x14ac:dyDescent="0.3">
      <c r="A604" t="s">
        <v>59</v>
      </c>
      <c r="B604" t="str">
        <f>"300124"</f>
        <v>300124</v>
      </c>
      <c r="C604" t="s">
        <v>1425</v>
      </c>
      <c r="D604" t="s">
        <v>1426</v>
      </c>
      <c r="F604">
        <v>1766024033</v>
      </c>
      <c r="G604">
        <v>1467347717</v>
      </c>
      <c r="H604">
        <v>1361181323</v>
      </c>
      <c r="I604">
        <v>471289818</v>
      </c>
      <c r="J604">
        <v>491678218</v>
      </c>
      <c r="K604">
        <v>420348137</v>
      </c>
      <c r="L604">
        <v>801807469</v>
      </c>
      <c r="M604">
        <v>524225123</v>
      </c>
      <c r="N604">
        <v>452183778</v>
      </c>
      <c r="O604">
        <v>263325387</v>
      </c>
      <c r="P604">
        <v>2412</v>
      </c>
      <c r="Q604" t="s">
        <v>1427</v>
      </c>
    </row>
    <row r="605" spans="1:17" x14ac:dyDescent="0.3">
      <c r="A605" t="s">
        <v>59</v>
      </c>
      <c r="B605" t="str">
        <f>"002511"</f>
        <v>002511</v>
      </c>
      <c r="C605" t="s">
        <v>1428</v>
      </c>
      <c r="D605" t="s">
        <v>1429</v>
      </c>
      <c r="F605">
        <v>1319579607</v>
      </c>
      <c r="G605">
        <v>828200862</v>
      </c>
      <c r="H605">
        <v>1360374902</v>
      </c>
      <c r="I605">
        <v>437254844</v>
      </c>
      <c r="J605">
        <v>585437435</v>
      </c>
      <c r="K605">
        <v>928865635</v>
      </c>
      <c r="L605">
        <v>429180402</v>
      </c>
      <c r="M605">
        <v>262277900</v>
      </c>
      <c r="N605">
        <v>216366628</v>
      </c>
      <c r="O605">
        <v>294000348</v>
      </c>
      <c r="P605">
        <v>2513</v>
      </c>
      <c r="Q605" t="s">
        <v>1430</v>
      </c>
    </row>
    <row r="606" spans="1:17" x14ac:dyDescent="0.3">
      <c r="A606" t="s">
        <v>59</v>
      </c>
      <c r="B606" t="str">
        <f>"000739"</f>
        <v>000739</v>
      </c>
      <c r="C606" t="s">
        <v>1431</v>
      </c>
      <c r="D606" t="s">
        <v>984</v>
      </c>
      <c r="F606">
        <v>611748729</v>
      </c>
      <c r="G606">
        <v>1059526133</v>
      </c>
      <c r="H606">
        <v>1360066190</v>
      </c>
      <c r="I606">
        <v>832692274</v>
      </c>
      <c r="J606">
        <v>209799350</v>
      </c>
      <c r="K606">
        <v>180419815</v>
      </c>
      <c r="L606">
        <v>441161691</v>
      </c>
      <c r="M606">
        <v>786637638</v>
      </c>
      <c r="N606">
        <v>190445545</v>
      </c>
      <c r="O606">
        <v>335901419</v>
      </c>
      <c r="P606">
        <v>758</v>
      </c>
      <c r="Q606" t="s">
        <v>1432</v>
      </c>
    </row>
    <row r="607" spans="1:17" x14ac:dyDescent="0.3">
      <c r="A607" t="s">
        <v>59</v>
      </c>
      <c r="B607" t="str">
        <f>"002061"</f>
        <v>002061</v>
      </c>
      <c r="C607" t="s">
        <v>1433</v>
      </c>
      <c r="D607" t="s">
        <v>85</v>
      </c>
      <c r="F607">
        <v>374752661</v>
      </c>
      <c r="G607">
        <v>2163734884</v>
      </c>
      <c r="H607">
        <v>1358661655</v>
      </c>
      <c r="I607">
        <v>1334503940</v>
      </c>
      <c r="J607">
        <v>808751825</v>
      </c>
      <c r="K607">
        <v>692312687</v>
      </c>
      <c r="L607">
        <v>194124737</v>
      </c>
      <c r="M607">
        <v>163353292</v>
      </c>
      <c r="N607">
        <v>49582950</v>
      </c>
      <c r="O607">
        <v>32070920</v>
      </c>
      <c r="P607">
        <v>215</v>
      </c>
      <c r="Q607" t="s">
        <v>1434</v>
      </c>
    </row>
    <row r="608" spans="1:17" x14ac:dyDescent="0.3">
      <c r="A608" t="s">
        <v>59</v>
      </c>
      <c r="B608" t="str">
        <f>"002648"</f>
        <v>002648</v>
      </c>
      <c r="C608" t="s">
        <v>1435</v>
      </c>
      <c r="D608" t="s">
        <v>1252</v>
      </c>
      <c r="F608">
        <v>3668378874</v>
      </c>
      <c r="G608">
        <v>-519545148</v>
      </c>
      <c r="H608">
        <v>1352449078</v>
      </c>
      <c r="I608">
        <v>751969626</v>
      </c>
      <c r="J608">
        <v>566248000</v>
      </c>
      <c r="K608">
        <v>742126063</v>
      </c>
      <c r="L608">
        <v>1252733320</v>
      </c>
      <c r="M608">
        <v>-947146611</v>
      </c>
      <c r="N608">
        <v>123516481</v>
      </c>
      <c r="O608">
        <v>705369135</v>
      </c>
      <c r="P608">
        <v>526</v>
      </c>
      <c r="Q608" t="s">
        <v>1436</v>
      </c>
    </row>
    <row r="609" spans="1:17" x14ac:dyDescent="0.3">
      <c r="A609" t="s">
        <v>59</v>
      </c>
      <c r="B609" t="str">
        <f>"002358"</f>
        <v>002358</v>
      </c>
      <c r="C609" t="s">
        <v>1437</v>
      </c>
      <c r="D609" t="s">
        <v>560</v>
      </c>
      <c r="F609">
        <v>702504117</v>
      </c>
      <c r="G609">
        <v>-494667468</v>
      </c>
      <c r="H609">
        <v>1347677551</v>
      </c>
      <c r="I609">
        <v>-822284092</v>
      </c>
      <c r="J609">
        <v>-112283274</v>
      </c>
      <c r="K609">
        <v>341439532</v>
      </c>
      <c r="L609">
        <v>16972380</v>
      </c>
      <c r="M609">
        <v>-54881987</v>
      </c>
      <c r="N609">
        <v>28296117</v>
      </c>
      <c r="O609">
        <v>-81201802</v>
      </c>
      <c r="P609">
        <v>142</v>
      </c>
      <c r="Q609" t="s">
        <v>1438</v>
      </c>
    </row>
    <row r="610" spans="1:17" x14ac:dyDescent="0.3">
      <c r="A610" t="s">
        <v>59</v>
      </c>
      <c r="B610" t="str">
        <f>"002573"</f>
        <v>002573</v>
      </c>
      <c r="C610" t="s">
        <v>1439</v>
      </c>
      <c r="D610" t="s">
        <v>634</v>
      </c>
      <c r="F610">
        <v>289695570</v>
      </c>
      <c r="G610">
        <v>328015373</v>
      </c>
      <c r="H610">
        <v>1345733284</v>
      </c>
      <c r="I610">
        <v>1062137335</v>
      </c>
      <c r="J610">
        <v>-75824840</v>
      </c>
      <c r="K610">
        <v>84949094</v>
      </c>
      <c r="L610">
        <v>94229982</v>
      </c>
      <c r="M610">
        <v>203103398</v>
      </c>
      <c r="N610">
        <v>48797824</v>
      </c>
      <c r="O610">
        <v>242290516</v>
      </c>
      <c r="P610">
        <v>613</v>
      </c>
      <c r="Q610" t="s">
        <v>1440</v>
      </c>
    </row>
    <row r="611" spans="1:17" x14ac:dyDescent="0.3">
      <c r="A611" t="s">
        <v>17</v>
      </c>
      <c r="B611" t="str">
        <f>"600859"</f>
        <v>600859</v>
      </c>
      <c r="C611" t="s">
        <v>1441</v>
      </c>
      <c r="D611" t="s">
        <v>1361</v>
      </c>
      <c r="F611">
        <v>2772010556</v>
      </c>
      <c r="G611">
        <v>818293715</v>
      </c>
      <c r="H611">
        <v>1343537174</v>
      </c>
      <c r="I611">
        <v>1521967903</v>
      </c>
      <c r="J611">
        <v>2057656038</v>
      </c>
      <c r="K611">
        <v>980306962</v>
      </c>
      <c r="L611">
        <v>650435979</v>
      </c>
      <c r="M611">
        <v>173274634</v>
      </c>
      <c r="N611">
        <v>924992541</v>
      </c>
      <c r="O611">
        <v>1739383774</v>
      </c>
      <c r="P611">
        <v>553</v>
      </c>
      <c r="Q611" t="s">
        <v>1442</v>
      </c>
    </row>
    <row r="612" spans="1:17" x14ac:dyDescent="0.3">
      <c r="A612" t="s">
        <v>59</v>
      </c>
      <c r="B612" t="str">
        <f>"000009"</f>
        <v>000009</v>
      </c>
      <c r="C612" t="s">
        <v>1443</v>
      </c>
      <c r="D612" t="s">
        <v>1444</v>
      </c>
      <c r="F612">
        <v>-279272690</v>
      </c>
      <c r="G612">
        <v>655142170</v>
      </c>
      <c r="H612">
        <v>1337727570</v>
      </c>
      <c r="I612">
        <v>2722841990</v>
      </c>
      <c r="J612">
        <v>390907161</v>
      </c>
      <c r="K612">
        <v>-12161654</v>
      </c>
      <c r="L612">
        <v>12586392</v>
      </c>
      <c r="M612">
        <v>474634829</v>
      </c>
      <c r="N612">
        <v>80419461</v>
      </c>
      <c r="O612">
        <v>350725776</v>
      </c>
      <c r="P612">
        <v>468</v>
      </c>
      <c r="Q612" t="s">
        <v>1445</v>
      </c>
    </row>
    <row r="613" spans="1:17" x14ac:dyDescent="0.3">
      <c r="A613" t="s">
        <v>17</v>
      </c>
      <c r="B613" t="str">
        <f>"600567"</f>
        <v>600567</v>
      </c>
      <c r="C613" t="s">
        <v>1446</v>
      </c>
      <c r="D613" t="s">
        <v>241</v>
      </c>
      <c r="F613">
        <v>1969071512</v>
      </c>
      <c r="G613">
        <v>1170422972</v>
      </c>
      <c r="H613">
        <v>1334748720</v>
      </c>
      <c r="I613">
        <v>3247996230</v>
      </c>
      <c r="J613">
        <v>2779869839</v>
      </c>
      <c r="K613">
        <v>942925061</v>
      </c>
      <c r="L613">
        <v>1383386753</v>
      </c>
      <c r="M613">
        <v>1441628394</v>
      </c>
      <c r="N613">
        <v>860374917</v>
      </c>
      <c r="O613">
        <v>4948725</v>
      </c>
      <c r="P613">
        <v>593</v>
      </c>
      <c r="Q613" t="s">
        <v>1447</v>
      </c>
    </row>
    <row r="614" spans="1:17" x14ac:dyDescent="0.3">
      <c r="A614" t="s">
        <v>17</v>
      </c>
      <c r="B614" t="str">
        <f>"600323"</f>
        <v>600323</v>
      </c>
      <c r="C614" t="s">
        <v>1448</v>
      </c>
      <c r="D614" t="s">
        <v>894</v>
      </c>
      <c r="F614">
        <v>878287328</v>
      </c>
      <c r="G614">
        <v>1955774567</v>
      </c>
      <c r="H614">
        <v>1324356475</v>
      </c>
      <c r="I614">
        <v>1651855442</v>
      </c>
      <c r="J614">
        <v>1508920684</v>
      </c>
      <c r="K614">
        <v>1178532283</v>
      </c>
      <c r="L614">
        <v>1262658087</v>
      </c>
      <c r="M614">
        <v>829204496</v>
      </c>
      <c r="N614">
        <v>496558336</v>
      </c>
      <c r="O614">
        <v>497240327</v>
      </c>
      <c r="P614">
        <v>1149</v>
      </c>
      <c r="Q614" t="s">
        <v>1449</v>
      </c>
    </row>
    <row r="615" spans="1:17" x14ac:dyDescent="0.3">
      <c r="A615" t="s">
        <v>59</v>
      </c>
      <c r="B615" t="str">
        <f>"002926"</f>
        <v>002926</v>
      </c>
      <c r="C615" t="s">
        <v>1450</v>
      </c>
      <c r="D615" t="s">
        <v>75</v>
      </c>
      <c r="F615">
        <v>3839856459</v>
      </c>
      <c r="G615">
        <v>-4389909086</v>
      </c>
      <c r="H615">
        <v>1307567284</v>
      </c>
      <c r="I615">
        <v>-3012511307</v>
      </c>
      <c r="J615">
        <v>145413940</v>
      </c>
      <c r="K615">
        <v>-9095234507</v>
      </c>
      <c r="L615">
        <v>4976615668</v>
      </c>
      <c r="M615">
        <v>7199305470</v>
      </c>
      <c r="N615">
        <v>367268000</v>
      </c>
      <c r="O615">
        <v>-555988400</v>
      </c>
      <c r="P615">
        <v>921</v>
      </c>
      <c r="Q615" t="s">
        <v>1451</v>
      </c>
    </row>
    <row r="616" spans="1:17" x14ac:dyDescent="0.3">
      <c r="A616" t="s">
        <v>17</v>
      </c>
      <c r="B616" t="str">
        <f>"603369"</f>
        <v>603369</v>
      </c>
      <c r="C616" t="s">
        <v>1452</v>
      </c>
      <c r="D616" t="s">
        <v>67</v>
      </c>
      <c r="F616">
        <v>3024102912</v>
      </c>
      <c r="G616">
        <v>1118767791</v>
      </c>
      <c r="H616">
        <v>1307390440</v>
      </c>
      <c r="I616">
        <v>1121011779</v>
      </c>
      <c r="J616">
        <v>1001278837</v>
      </c>
      <c r="K616">
        <v>924566261</v>
      </c>
      <c r="L616">
        <v>702215456</v>
      </c>
      <c r="M616">
        <v>473260125</v>
      </c>
      <c r="N616">
        <v>495242278</v>
      </c>
      <c r="O616">
        <v>736988520</v>
      </c>
      <c r="P616">
        <v>35436</v>
      </c>
      <c r="Q616" t="s">
        <v>1453</v>
      </c>
    </row>
    <row r="617" spans="1:17" x14ac:dyDescent="0.3">
      <c r="A617" t="s">
        <v>17</v>
      </c>
      <c r="B617" t="str">
        <f>"600425"</f>
        <v>600425</v>
      </c>
      <c r="C617" t="s">
        <v>1454</v>
      </c>
      <c r="D617" t="s">
        <v>78</v>
      </c>
      <c r="F617">
        <v>645812333</v>
      </c>
      <c r="G617">
        <v>526610307</v>
      </c>
      <c r="H617">
        <v>1307022393</v>
      </c>
      <c r="I617">
        <v>791196990</v>
      </c>
      <c r="J617">
        <v>564207592</v>
      </c>
      <c r="K617">
        <v>709809459</v>
      </c>
      <c r="L617">
        <v>67039730</v>
      </c>
      <c r="M617">
        <v>506804808</v>
      </c>
      <c r="N617">
        <v>126576106</v>
      </c>
      <c r="O617">
        <v>302799568</v>
      </c>
      <c r="P617">
        <v>167</v>
      </c>
      <c r="Q617" t="s">
        <v>1455</v>
      </c>
    </row>
    <row r="618" spans="1:17" x14ac:dyDescent="0.3">
      <c r="A618" t="s">
        <v>17</v>
      </c>
      <c r="B618" t="str">
        <f>"601921"</f>
        <v>601921</v>
      </c>
      <c r="C618" t="s">
        <v>1456</v>
      </c>
      <c r="D618" t="s">
        <v>721</v>
      </c>
      <c r="F618">
        <v>1969053411</v>
      </c>
      <c r="G618">
        <v>2311778922</v>
      </c>
      <c r="H618">
        <v>1305577083</v>
      </c>
      <c r="I618">
        <v>485385692</v>
      </c>
      <c r="J618">
        <v>324893600</v>
      </c>
      <c r="P618">
        <v>28</v>
      </c>
      <c r="Q618" t="s">
        <v>1457</v>
      </c>
    </row>
    <row r="619" spans="1:17" x14ac:dyDescent="0.3">
      <c r="A619" t="s">
        <v>59</v>
      </c>
      <c r="B619" t="str">
        <f>"000860"</f>
        <v>000860</v>
      </c>
      <c r="C619" t="s">
        <v>1458</v>
      </c>
      <c r="D619" t="s">
        <v>67</v>
      </c>
      <c r="F619">
        <v>-348678881</v>
      </c>
      <c r="G619">
        <v>1545548332</v>
      </c>
      <c r="H619">
        <v>1304598844</v>
      </c>
      <c r="I619">
        <v>3175444722</v>
      </c>
      <c r="J619">
        <v>2470864850</v>
      </c>
      <c r="K619">
        <v>1008223348</v>
      </c>
      <c r="L619">
        <v>350369353</v>
      </c>
      <c r="M619">
        <v>293909655</v>
      </c>
      <c r="N619">
        <v>744163760</v>
      </c>
      <c r="O619">
        <v>-282505042</v>
      </c>
      <c r="P619">
        <v>1515</v>
      </c>
      <c r="Q619" t="s">
        <v>1459</v>
      </c>
    </row>
    <row r="620" spans="1:17" x14ac:dyDescent="0.3">
      <c r="A620" t="s">
        <v>59</v>
      </c>
      <c r="B620" t="str">
        <f>"002572"</f>
        <v>002572</v>
      </c>
      <c r="C620" t="s">
        <v>1460</v>
      </c>
      <c r="D620" t="s">
        <v>963</v>
      </c>
      <c r="F620">
        <v>1419106768</v>
      </c>
      <c r="G620">
        <v>1145048312</v>
      </c>
      <c r="H620">
        <v>1301235480</v>
      </c>
      <c r="I620">
        <v>1099798632</v>
      </c>
      <c r="J620">
        <v>1242681585</v>
      </c>
      <c r="K620">
        <v>1192585361</v>
      </c>
      <c r="L620">
        <v>829701287</v>
      </c>
      <c r="M620">
        <v>352256557</v>
      </c>
      <c r="N620">
        <v>352554393</v>
      </c>
      <c r="O620">
        <v>204218786</v>
      </c>
      <c r="P620">
        <v>9141</v>
      </c>
      <c r="Q620" t="s">
        <v>1461</v>
      </c>
    </row>
    <row r="621" spans="1:17" x14ac:dyDescent="0.3">
      <c r="A621" t="s">
        <v>59</v>
      </c>
      <c r="B621" t="str">
        <f>"300741"</f>
        <v>300741</v>
      </c>
      <c r="C621" t="s">
        <v>1462</v>
      </c>
      <c r="D621" t="s">
        <v>853</v>
      </c>
      <c r="F621">
        <v>1248836725</v>
      </c>
      <c r="G621">
        <v>1088595232</v>
      </c>
      <c r="H621">
        <v>1297541773</v>
      </c>
      <c r="I621">
        <v>1267574109</v>
      </c>
      <c r="J621">
        <v>1442153568</v>
      </c>
      <c r="K621">
        <v>1147218848</v>
      </c>
      <c r="L621">
        <v>1590020374</v>
      </c>
      <c r="P621">
        <v>458</v>
      </c>
      <c r="Q621" t="s">
        <v>1463</v>
      </c>
    </row>
    <row r="622" spans="1:17" x14ac:dyDescent="0.3">
      <c r="A622" t="s">
        <v>17</v>
      </c>
      <c r="B622" t="str">
        <f>"603444"</f>
        <v>603444</v>
      </c>
      <c r="C622" t="s">
        <v>1464</v>
      </c>
      <c r="D622" t="s">
        <v>689</v>
      </c>
      <c r="F622">
        <v>2418288431</v>
      </c>
      <c r="G622">
        <v>1533014623</v>
      </c>
      <c r="H622">
        <v>1297052995</v>
      </c>
      <c r="I622">
        <v>904606052</v>
      </c>
      <c r="J622">
        <v>808947485</v>
      </c>
      <c r="K622">
        <v>792367603</v>
      </c>
      <c r="L622">
        <v>186637556</v>
      </c>
      <c r="M622">
        <v>203785630</v>
      </c>
      <c r="N622">
        <v>184998383</v>
      </c>
      <c r="P622">
        <v>4237</v>
      </c>
      <c r="Q622" t="s">
        <v>1465</v>
      </c>
    </row>
    <row r="623" spans="1:17" x14ac:dyDescent="0.3">
      <c r="A623" t="s">
        <v>17</v>
      </c>
      <c r="B623" t="str">
        <f>"603589"</f>
        <v>603589</v>
      </c>
      <c r="C623" t="s">
        <v>1466</v>
      </c>
      <c r="D623" t="s">
        <v>67</v>
      </c>
      <c r="F623">
        <v>785553530</v>
      </c>
      <c r="G623">
        <v>498733010</v>
      </c>
      <c r="H623">
        <v>1297024389</v>
      </c>
      <c r="I623">
        <v>1119715714</v>
      </c>
      <c r="J623">
        <v>1568834570</v>
      </c>
      <c r="K623">
        <v>639672697</v>
      </c>
      <c r="L623">
        <v>536196916</v>
      </c>
      <c r="M623">
        <v>104913845</v>
      </c>
      <c r="N623">
        <v>277667299</v>
      </c>
      <c r="O623">
        <v>422900892</v>
      </c>
      <c r="P623">
        <v>6961</v>
      </c>
      <c r="Q623" t="s">
        <v>1467</v>
      </c>
    </row>
    <row r="624" spans="1:17" x14ac:dyDescent="0.3">
      <c r="A624" t="s">
        <v>17</v>
      </c>
      <c r="B624" t="str">
        <f>"600298"</f>
        <v>600298</v>
      </c>
      <c r="C624" t="s">
        <v>1468</v>
      </c>
      <c r="D624" t="s">
        <v>375</v>
      </c>
      <c r="F624">
        <v>1318897969</v>
      </c>
      <c r="G624">
        <v>1869215941</v>
      </c>
      <c r="H624">
        <v>1295981195</v>
      </c>
      <c r="I624">
        <v>1143861666</v>
      </c>
      <c r="J624">
        <v>1121848163</v>
      </c>
      <c r="K624">
        <v>780284776</v>
      </c>
      <c r="L624">
        <v>570536276</v>
      </c>
      <c r="M624">
        <v>699291850</v>
      </c>
      <c r="N624">
        <v>488180632</v>
      </c>
      <c r="O624">
        <v>312615661</v>
      </c>
      <c r="P624">
        <v>4513</v>
      </c>
      <c r="Q624" t="s">
        <v>1469</v>
      </c>
    </row>
    <row r="625" spans="1:17" x14ac:dyDescent="0.3">
      <c r="A625" t="s">
        <v>17</v>
      </c>
      <c r="B625" t="str">
        <f>"600744"</f>
        <v>600744</v>
      </c>
      <c r="C625" t="s">
        <v>1470</v>
      </c>
      <c r="D625" t="s">
        <v>98</v>
      </c>
      <c r="F625">
        <v>-893852305</v>
      </c>
      <c r="G625">
        <v>2376423604</v>
      </c>
      <c r="H625">
        <v>1295687519</v>
      </c>
      <c r="I625">
        <v>1747768521</v>
      </c>
      <c r="J625">
        <v>495961975</v>
      </c>
      <c r="K625">
        <v>1590839205</v>
      </c>
      <c r="L625">
        <v>3514538774</v>
      </c>
      <c r="M625">
        <v>1467445043</v>
      </c>
      <c r="N625">
        <v>1431047103</v>
      </c>
      <c r="O625">
        <v>1270054914</v>
      </c>
      <c r="P625">
        <v>182</v>
      </c>
      <c r="Q625" t="s">
        <v>1471</v>
      </c>
    </row>
    <row r="626" spans="1:17" x14ac:dyDescent="0.3">
      <c r="A626" t="s">
        <v>17</v>
      </c>
      <c r="B626" t="str">
        <f>"600320"</f>
        <v>600320</v>
      </c>
      <c r="C626" t="s">
        <v>1472</v>
      </c>
      <c r="D626" t="s">
        <v>741</v>
      </c>
      <c r="F626">
        <v>2119639518</v>
      </c>
      <c r="G626">
        <v>819389020</v>
      </c>
      <c r="H626">
        <v>1290213109</v>
      </c>
      <c r="I626">
        <v>553943979</v>
      </c>
      <c r="J626">
        <v>1332209274</v>
      </c>
      <c r="K626">
        <v>1658422636</v>
      </c>
      <c r="L626">
        <v>-1831961473</v>
      </c>
      <c r="M626">
        <v>-873383052</v>
      </c>
      <c r="N626">
        <v>939176336</v>
      </c>
      <c r="O626">
        <v>3065603998</v>
      </c>
      <c r="P626">
        <v>190</v>
      </c>
      <c r="Q626" t="s">
        <v>1473</v>
      </c>
    </row>
    <row r="627" spans="1:17" x14ac:dyDescent="0.3">
      <c r="A627" t="s">
        <v>59</v>
      </c>
      <c r="B627" t="str">
        <f>"000521"</f>
        <v>000521</v>
      </c>
      <c r="C627" t="s">
        <v>1474</v>
      </c>
      <c r="D627" t="s">
        <v>213</v>
      </c>
      <c r="F627">
        <v>160923258</v>
      </c>
      <c r="G627">
        <v>1403516222</v>
      </c>
      <c r="H627">
        <v>1285003985</v>
      </c>
      <c r="I627">
        <v>-220560615</v>
      </c>
      <c r="J627">
        <v>-551501995</v>
      </c>
      <c r="K627">
        <v>985390896</v>
      </c>
      <c r="L627">
        <v>211468056</v>
      </c>
      <c r="M627">
        <v>165462930</v>
      </c>
      <c r="N627">
        <v>538992154</v>
      </c>
      <c r="O627">
        <v>419564087</v>
      </c>
      <c r="P627">
        <v>181</v>
      </c>
      <c r="Q627" t="s">
        <v>1475</v>
      </c>
    </row>
    <row r="628" spans="1:17" x14ac:dyDescent="0.3">
      <c r="A628" t="s">
        <v>59</v>
      </c>
      <c r="B628" t="str">
        <f>"000559"</f>
        <v>000559</v>
      </c>
      <c r="C628" t="s">
        <v>1476</v>
      </c>
      <c r="D628" t="s">
        <v>156</v>
      </c>
      <c r="F628">
        <v>947052573</v>
      </c>
      <c r="G628">
        <v>1240722111</v>
      </c>
      <c r="H628">
        <v>1276455927</v>
      </c>
      <c r="I628">
        <v>122259356</v>
      </c>
      <c r="J628">
        <v>1190781024</v>
      </c>
      <c r="K628">
        <v>1248193166</v>
      </c>
      <c r="L628">
        <v>1217443578</v>
      </c>
      <c r="M628">
        <v>1358313611</v>
      </c>
      <c r="N628">
        <v>1339041184</v>
      </c>
      <c r="O628">
        <v>614761426</v>
      </c>
      <c r="P628">
        <v>414</v>
      </c>
      <c r="Q628" t="s">
        <v>1477</v>
      </c>
    </row>
    <row r="629" spans="1:17" x14ac:dyDescent="0.3">
      <c r="A629" t="s">
        <v>59</v>
      </c>
      <c r="B629" t="str">
        <f>"000903"</f>
        <v>000903</v>
      </c>
      <c r="C629" t="s">
        <v>1478</v>
      </c>
      <c r="D629" t="s">
        <v>156</v>
      </c>
      <c r="F629">
        <v>-440898402</v>
      </c>
      <c r="G629">
        <v>2255652631</v>
      </c>
      <c r="H629">
        <v>1275823425</v>
      </c>
      <c r="I629">
        <v>880033893</v>
      </c>
      <c r="J629">
        <v>-537501494</v>
      </c>
      <c r="K629">
        <v>140638722</v>
      </c>
      <c r="L629">
        <v>425014932</v>
      </c>
      <c r="M629">
        <v>-100642783</v>
      </c>
      <c r="N629">
        <v>358864084</v>
      </c>
      <c r="O629">
        <v>257075776</v>
      </c>
      <c r="P629">
        <v>155</v>
      </c>
      <c r="Q629" t="s">
        <v>1479</v>
      </c>
    </row>
    <row r="630" spans="1:17" x14ac:dyDescent="0.3">
      <c r="A630" t="s">
        <v>59</v>
      </c>
      <c r="B630" t="str">
        <f>"000652"</f>
        <v>000652</v>
      </c>
      <c r="C630" t="s">
        <v>1480</v>
      </c>
      <c r="D630" t="s">
        <v>672</v>
      </c>
      <c r="F630">
        <v>-921938607</v>
      </c>
      <c r="G630">
        <v>303938180</v>
      </c>
      <c r="H630">
        <v>1275327543</v>
      </c>
      <c r="I630">
        <v>1340761030</v>
      </c>
      <c r="J630">
        <v>781011823</v>
      </c>
      <c r="K630">
        <v>-1058806806</v>
      </c>
      <c r="L630">
        <v>-545953828</v>
      </c>
      <c r="M630">
        <v>-967658716</v>
      </c>
      <c r="N630">
        <v>224163488</v>
      </c>
      <c r="O630">
        <v>449804551</v>
      </c>
      <c r="P630">
        <v>196</v>
      </c>
      <c r="Q630" t="s">
        <v>1481</v>
      </c>
    </row>
    <row r="631" spans="1:17" x14ac:dyDescent="0.3">
      <c r="A631" t="s">
        <v>17</v>
      </c>
      <c r="B631" t="str">
        <f>"600742"</f>
        <v>600742</v>
      </c>
      <c r="C631" t="s">
        <v>1482</v>
      </c>
      <c r="D631" t="s">
        <v>289</v>
      </c>
      <c r="F631">
        <v>2275695477</v>
      </c>
      <c r="G631">
        <v>3152090123</v>
      </c>
      <c r="H631">
        <v>1273843551</v>
      </c>
      <c r="I631">
        <v>297760479</v>
      </c>
      <c r="J631">
        <v>416144614</v>
      </c>
      <c r="K631">
        <v>880946324</v>
      </c>
      <c r="L631">
        <v>409470360</v>
      </c>
      <c r="M631">
        <v>302629528</v>
      </c>
      <c r="N631">
        <v>235985482</v>
      </c>
      <c r="O631">
        <v>459537513</v>
      </c>
      <c r="P631">
        <v>417</v>
      </c>
      <c r="Q631" t="s">
        <v>1483</v>
      </c>
    </row>
    <row r="632" spans="1:17" x14ac:dyDescent="0.3">
      <c r="A632" t="s">
        <v>17</v>
      </c>
      <c r="B632" t="str">
        <f>"600312"</f>
        <v>600312</v>
      </c>
      <c r="C632" t="s">
        <v>1484</v>
      </c>
      <c r="D632" t="s">
        <v>560</v>
      </c>
      <c r="F632">
        <v>1197783891</v>
      </c>
      <c r="G632">
        <v>1335099964</v>
      </c>
      <c r="H632">
        <v>1273708631</v>
      </c>
      <c r="I632">
        <v>768342638</v>
      </c>
      <c r="J632">
        <v>-757300743</v>
      </c>
      <c r="K632">
        <v>1517711391</v>
      </c>
      <c r="L632">
        <v>317814264</v>
      </c>
      <c r="M632">
        <v>276011155</v>
      </c>
      <c r="N632">
        <v>-199765024</v>
      </c>
      <c r="O632">
        <v>470892575</v>
      </c>
      <c r="P632">
        <v>634</v>
      </c>
      <c r="Q632" t="s">
        <v>1485</v>
      </c>
    </row>
    <row r="633" spans="1:17" x14ac:dyDescent="0.3">
      <c r="A633" t="s">
        <v>17</v>
      </c>
      <c r="B633" t="str">
        <f>"600420"</f>
        <v>600420</v>
      </c>
      <c r="C633" t="s">
        <v>1486</v>
      </c>
      <c r="D633" t="s">
        <v>592</v>
      </c>
      <c r="F633">
        <v>1679662394</v>
      </c>
      <c r="G633">
        <v>1560179012</v>
      </c>
      <c r="H633">
        <v>1270137212</v>
      </c>
      <c r="I633">
        <v>1669140576</v>
      </c>
      <c r="J633">
        <v>2314541657</v>
      </c>
      <c r="K633">
        <v>838576838</v>
      </c>
      <c r="L633">
        <v>226646450</v>
      </c>
      <c r="M633">
        <v>258514766</v>
      </c>
      <c r="N633">
        <v>207496008</v>
      </c>
      <c r="O633">
        <v>193411432</v>
      </c>
      <c r="P633">
        <v>381</v>
      </c>
      <c r="Q633" t="s">
        <v>1487</v>
      </c>
    </row>
    <row r="634" spans="1:17" x14ac:dyDescent="0.3">
      <c r="A634" t="s">
        <v>59</v>
      </c>
      <c r="B634" t="str">
        <f>"002717"</f>
        <v>002717</v>
      </c>
      <c r="C634" t="s">
        <v>1488</v>
      </c>
      <c r="D634" t="s">
        <v>1489</v>
      </c>
      <c r="F634">
        <v>-247488606</v>
      </c>
      <c r="G634">
        <v>651604328</v>
      </c>
      <c r="H634">
        <v>1269509899</v>
      </c>
      <c r="I634">
        <v>115712180</v>
      </c>
      <c r="J634">
        <v>-521241520</v>
      </c>
      <c r="K634">
        <v>-74989669</v>
      </c>
      <c r="L634">
        <v>-137327609</v>
      </c>
      <c r="M634">
        <v>-191839796</v>
      </c>
      <c r="N634">
        <v>-31497158</v>
      </c>
      <c r="O634">
        <v>-121333256</v>
      </c>
      <c r="P634">
        <v>394</v>
      </c>
      <c r="Q634" t="s">
        <v>1490</v>
      </c>
    </row>
    <row r="635" spans="1:17" x14ac:dyDescent="0.3">
      <c r="A635" t="s">
        <v>17</v>
      </c>
      <c r="B635" t="str">
        <f>"600428"</f>
        <v>600428</v>
      </c>
      <c r="C635" t="s">
        <v>1491</v>
      </c>
      <c r="D635" t="s">
        <v>178</v>
      </c>
      <c r="F635">
        <v>1685628598</v>
      </c>
      <c r="G635">
        <v>1304615148</v>
      </c>
      <c r="H635">
        <v>1264621568</v>
      </c>
      <c r="I635">
        <v>895235843</v>
      </c>
      <c r="J635">
        <v>1425774289</v>
      </c>
      <c r="K635">
        <v>638959782</v>
      </c>
      <c r="L635">
        <v>1029170662</v>
      </c>
      <c r="M635">
        <v>779844209</v>
      </c>
      <c r="N635">
        <v>303561355</v>
      </c>
      <c r="O635">
        <v>631470519</v>
      </c>
      <c r="P635">
        <v>199</v>
      </c>
      <c r="Q635" t="s">
        <v>1492</v>
      </c>
    </row>
    <row r="636" spans="1:17" x14ac:dyDescent="0.3">
      <c r="A636" t="s">
        <v>59</v>
      </c>
      <c r="B636" t="str">
        <f>"002916"</f>
        <v>002916</v>
      </c>
      <c r="C636" t="s">
        <v>1493</v>
      </c>
      <c r="D636" t="s">
        <v>539</v>
      </c>
      <c r="F636">
        <v>2341812030</v>
      </c>
      <c r="G636">
        <v>1799999047</v>
      </c>
      <c r="H636">
        <v>1262866434</v>
      </c>
      <c r="I636">
        <v>879133565</v>
      </c>
      <c r="J636">
        <v>896004788</v>
      </c>
      <c r="K636">
        <v>802239078</v>
      </c>
      <c r="L636">
        <v>572821624</v>
      </c>
      <c r="M636">
        <v>469470217</v>
      </c>
      <c r="P636">
        <v>2552</v>
      </c>
      <c r="Q636" t="s">
        <v>1494</v>
      </c>
    </row>
    <row r="637" spans="1:17" x14ac:dyDescent="0.3">
      <c r="A637" t="s">
        <v>59</v>
      </c>
      <c r="B637" t="str">
        <f>"002067"</f>
        <v>002067</v>
      </c>
      <c r="C637" t="s">
        <v>1495</v>
      </c>
      <c r="D637" t="s">
        <v>241</v>
      </c>
      <c r="F637">
        <v>249165915</v>
      </c>
      <c r="G637">
        <v>617225360</v>
      </c>
      <c r="H637">
        <v>1261013682</v>
      </c>
      <c r="I637">
        <v>428509698</v>
      </c>
      <c r="J637">
        <v>-9966620</v>
      </c>
      <c r="K637">
        <v>555943166</v>
      </c>
      <c r="L637">
        <v>217654303</v>
      </c>
      <c r="M637">
        <v>460955560</v>
      </c>
      <c r="N637">
        <v>330246938</v>
      </c>
      <c r="O637">
        <v>91197392</v>
      </c>
      <c r="P637">
        <v>173</v>
      </c>
      <c r="Q637" t="s">
        <v>1496</v>
      </c>
    </row>
    <row r="638" spans="1:17" x14ac:dyDescent="0.3">
      <c r="A638" t="s">
        <v>59</v>
      </c>
      <c r="B638" t="str">
        <f>"002044"</f>
        <v>002044</v>
      </c>
      <c r="C638" t="s">
        <v>1497</v>
      </c>
      <c r="D638" t="s">
        <v>999</v>
      </c>
      <c r="F638">
        <v>2059829336</v>
      </c>
      <c r="G638">
        <v>973262236</v>
      </c>
      <c r="H638">
        <v>1259510140</v>
      </c>
      <c r="I638">
        <v>1538607554</v>
      </c>
      <c r="J638">
        <v>1444532052</v>
      </c>
      <c r="K638">
        <v>707081569</v>
      </c>
      <c r="L638">
        <v>329839402</v>
      </c>
      <c r="M638">
        <v>29845946</v>
      </c>
      <c r="N638">
        <v>26160341</v>
      </c>
      <c r="O638">
        <v>66693658</v>
      </c>
      <c r="P638">
        <v>1237</v>
      </c>
      <c r="Q638" t="s">
        <v>1498</v>
      </c>
    </row>
    <row r="639" spans="1:17" x14ac:dyDescent="0.3">
      <c r="A639" t="s">
        <v>17</v>
      </c>
      <c r="B639" t="str">
        <f>"600939"</f>
        <v>600939</v>
      </c>
      <c r="C639" t="s">
        <v>1499</v>
      </c>
      <c r="D639" t="s">
        <v>503</v>
      </c>
      <c r="F639">
        <v>-849163676</v>
      </c>
      <c r="G639">
        <v>2519106051</v>
      </c>
      <c r="H639">
        <v>1257606657</v>
      </c>
      <c r="I639">
        <v>150559434</v>
      </c>
      <c r="J639">
        <v>2847269428</v>
      </c>
      <c r="K639">
        <v>-571973522</v>
      </c>
      <c r="L639">
        <v>1356159867</v>
      </c>
      <c r="M639">
        <v>306894576</v>
      </c>
      <c r="N639">
        <v>-612973848</v>
      </c>
      <c r="P639">
        <v>125</v>
      </c>
      <c r="Q639" t="s">
        <v>1500</v>
      </c>
    </row>
    <row r="640" spans="1:17" x14ac:dyDescent="0.3">
      <c r="A640" t="s">
        <v>59</v>
      </c>
      <c r="B640" t="str">
        <f>"002127"</f>
        <v>002127</v>
      </c>
      <c r="C640" t="s">
        <v>1501</v>
      </c>
      <c r="D640" t="s">
        <v>1502</v>
      </c>
      <c r="F640">
        <v>380341157</v>
      </c>
      <c r="G640">
        <v>956424737</v>
      </c>
      <c r="H640">
        <v>1254911827</v>
      </c>
      <c r="I640">
        <v>551386933</v>
      </c>
      <c r="J640">
        <v>537793309</v>
      </c>
      <c r="K640">
        <v>457357673</v>
      </c>
      <c r="L640">
        <v>37080936</v>
      </c>
      <c r="M640">
        <v>-79312584</v>
      </c>
      <c r="N640">
        <v>608590488</v>
      </c>
      <c r="O640">
        <v>-75972757</v>
      </c>
      <c r="P640">
        <v>1745</v>
      </c>
      <c r="Q640" t="s">
        <v>1503</v>
      </c>
    </row>
    <row r="641" spans="1:17" x14ac:dyDescent="0.3">
      <c r="A641" t="s">
        <v>59</v>
      </c>
      <c r="B641" t="str">
        <f>"002242"</f>
        <v>002242</v>
      </c>
      <c r="C641" t="s">
        <v>1504</v>
      </c>
      <c r="D641" t="s">
        <v>1173</v>
      </c>
      <c r="F641">
        <v>-34788705</v>
      </c>
      <c r="G641">
        <v>2009298071</v>
      </c>
      <c r="H641">
        <v>1253024651</v>
      </c>
      <c r="I641">
        <v>408700191</v>
      </c>
      <c r="J641">
        <v>48903265</v>
      </c>
      <c r="K641">
        <v>1006736609</v>
      </c>
      <c r="L641">
        <v>861246226</v>
      </c>
      <c r="M641">
        <v>595413907</v>
      </c>
      <c r="N641">
        <v>245433702</v>
      </c>
      <c r="O641">
        <v>302406651</v>
      </c>
      <c r="P641">
        <v>54902</v>
      </c>
      <c r="Q641" t="s">
        <v>1505</v>
      </c>
    </row>
    <row r="642" spans="1:17" x14ac:dyDescent="0.3">
      <c r="A642" t="s">
        <v>59</v>
      </c>
      <c r="B642" t="str">
        <f>"300082"</f>
        <v>300082</v>
      </c>
      <c r="C642" t="s">
        <v>1506</v>
      </c>
      <c r="D642" t="s">
        <v>1507</v>
      </c>
      <c r="F642">
        <v>496827951</v>
      </c>
      <c r="G642">
        <v>622849758</v>
      </c>
      <c r="H642">
        <v>1248772590</v>
      </c>
      <c r="I642">
        <v>720208393</v>
      </c>
      <c r="J642">
        <v>139402111</v>
      </c>
      <c r="K642">
        <v>216324960</v>
      </c>
      <c r="L642">
        <v>1199567</v>
      </c>
      <c r="M642">
        <v>-475169206</v>
      </c>
      <c r="N642">
        <v>112046895</v>
      </c>
      <c r="O642">
        <v>160447230</v>
      </c>
      <c r="P642">
        <v>176</v>
      </c>
      <c r="Q642" t="s">
        <v>1508</v>
      </c>
    </row>
    <row r="643" spans="1:17" x14ac:dyDescent="0.3">
      <c r="A643" t="s">
        <v>17</v>
      </c>
      <c r="B643" t="str">
        <f>"600126"</f>
        <v>600126</v>
      </c>
      <c r="C643" t="s">
        <v>1509</v>
      </c>
      <c r="D643" t="s">
        <v>120</v>
      </c>
      <c r="F643">
        <v>2367004191</v>
      </c>
      <c r="G643">
        <v>2276295786</v>
      </c>
      <c r="H643">
        <v>1247600404</v>
      </c>
      <c r="I643">
        <v>2437596710</v>
      </c>
      <c r="J643">
        <v>1783058886</v>
      </c>
      <c r="K643">
        <v>3278971373</v>
      </c>
      <c r="L643">
        <v>977453525</v>
      </c>
      <c r="M643">
        <v>1090189583</v>
      </c>
      <c r="N643">
        <v>135185894</v>
      </c>
      <c r="O643">
        <v>296404964</v>
      </c>
      <c r="P643">
        <v>231</v>
      </c>
      <c r="Q643" t="s">
        <v>1510</v>
      </c>
    </row>
    <row r="644" spans="1:17" x14ac:dyDescent="0.3">
      <c r="A644" t="s">
        <v>59</v>
      </c>
      <c r="B644" t="str">
        <f>"300133"</f>
        <v>300133</v>
      </c>
      <c r="C644" t="s">
        <v>1511</v>
      </c>
      <c r="D644" t="s">
        <v>1059</v>
      </c>
      <c r="F644">
        <v>1408817195</v>
      </c>
      <c r="G644">
        <v>868845137</v>
      </c>
      <c r="H644">
        <v>1246156251</v>
      </c>
      <c r="I644">
        <v>301237541</v>
      </c>
      <c r="J644">
        <v>706321850</v>
      </c>
      <c r="K644">
        <v>-690501497</v>
      </c>
      <c r="L644">
        <v>-619307072</v>
      </c>
      <c r="M644">
        <v>204427793</v>
      </c>
      <c r="N644">
        <v>-59779972</v>
      </c>
      <c r="O644">
        <v>-33599326</v>
      </c>
      <c r="P644">
        <v>349</v>
      </c>
      <c r="Q644" t="s">
        <v>1512</v>
      </c>
    </row>
    <row r="645" spans="1:17" x14ac:dyDescent="0.3">
      <c r="A645" t="s">
        <v>17</v>
      </c>
      <c r="B645" t="str">
        <f>"601689"</f>
        <v>601689</v>
      </c>
      <c r="C645" t="s">
        <v>1513</v>
      </c>
      <c r="D645" t="s">
        <v>156</v>
      </c>
      <c r="F645">
        <v>1186819193</v>
      </c>
      <c r="G645">
        <v>1123685580</v>
      </c>
      <c r="H645">
        <v>1239421359</v>
      </c>
      <c r="I645">
        <v>605331546</v>
      </c>
      <c r="J645">
        <v>929012976</v>
      </c>
      <c r="K645">
        <v>276312818</v>
      </c>
      <c r="L645">
        <v>238097456</v>
      </c>
      <c r="M645">
        <v>458807960</v>
      </c>
      <c r="N645">
        <v>328219455</v>
      </c>
      <c r="O645">
        <v>294211497</v>
      </c>
      <c r="P645">
        <v>664</v>
      </c>
      <c r="Q645" t="s">
        <v>1514</v>
      </c>
    </row>
    <row r="646" spans="1:17" x14ac:dyDescent="0.3">
      <c r="A646" t="s">
        <v>59</v>
      </c>
      <c r="B646" t="str">
        <f>"002672"</f>
        <v>002672</v>
      </c>
      <c r="C646" t="s">
        <v>1515</v>
      </c>
      <c r="D646" t="s">
        <v>894</v>
      </c>
      <c r="F646">
        <v>390959322</v>
      </c>
      <c r="G646">
        <v>974142245</v>
      </c>
      <c r="H646">
        <v>1234997113</v>
      </c>
      <c r="I646">
        <v>897658615</v>
      </c>
      <c r="J646">
        <v>671396306</v>
      </c>
      <c r="K646">
        <v>689844200</v>
      </c>
      <c r="L646">
        <v>227783450</v>
      </c>
      <c r="M646">
        <v>165537405</v>
      </c>
      <c r="N646">
        <v>343986058</v>
      </c>
      <c r="O646">
        <v>311785850</v>
      </c>
      <c r="P646">
        <v>317</v>
      </c>
      <c r="Q646" t="s">
        <v>1516</v>
      </c>
    </row>
    <row r="647" spans="1:17" x14ac:dyDescent="0.3">
      <c r="A647" t="s">
        <v>17</v>
      </c>
      <c r="B647" t="str">
        <f>"600251"</f>
        <v>600251</v>
      </c>
      <c r="C647" t="s">
        <v>1517</v>
      </c>
      <c r="D647" t="s">
        <v>1518</v>
      </c>
      <c r="F647">
        <v>123607705</v>
      </c>
      <c r="G647">
        <v>-1596990512</v>
      </c>
      <c r="H647">
        <v>1229122024</v>
      </c>
      <c r="I647">
        <v>-181118078</v>
      </c>
      <c r="J647">
        <v>-872501500</v>
      </c>
      <c r="K647">
        <v>-192693551</v>
      </c>
      <c r="L647">
        <v>-140955120</v>
      </c>
      <c r="M647">
        <v>-501475266</v>
      </c>
      <c r="N647">
        <v>18181711</v>
      </c>
      <c r="O647">
        <v>149296449</v>
      </c>
      <c r="P647">
        <v>148</v>
      </c>
      <c r="Q647" t="s">
        <v>1519</v>
      </c>
    </row>
    <row r="648" spans="1:17" x14ac:dyDescent="0.3">
      <c r="A648" t="s">
        <v>17</v>
      </c>
      <c r="B648" t="str">
        <f>"600697"</f>
        <v>600697</v>
      </c>
      <c r="C648" t="s">
        <v>1520</v>
      </c>
      <c r="D648" t="s">
        <v>829</v>
      </c>
      <c r="F648">
        <v>1277736017</v>
      </c>
      <c r="G648">
        <v>1335633917</v>
      </c>
      <c r="H648">
        <v>1223782562</v>
      </c>
      <c r="I648">
        <v>1574960123</v>
      </c>
      <c r="J648">
        <v>1660651993</v>
      </c>
      <c r="K648">
        <v>1017143380</v>
      </c>
      <c r="L648">
        <v>364303787</v>
      </c>
      <c r="M648">
        <v>86761452</v>
      </c>
      <c r="N648">
        <v>516608571</v>
      </c>
      <c r="O648">
        <v>573356232</v>
      </c>
      <c r="P648">
        <v>275</v>
      </c>
      <c r="Q648" t="s">
        <v>1521</v>
      </c>
    </row>
    <row r="649" spans="1:17" x14ac:dyDescent="0.3">
      <c r="A649" t="s">
        <v>17</v>
      </c>
      <c r="B649" t="str">
        <f>"600901"</f>
        <v>600901</v>
      </c>
      <c r="C649" t="s">
        <v>1522</v>
      </c>
      <c r="D649" t="s">
        <v>187</v>
      </c>
      <c r="F649">
        <v>1027400674</v>
      </c>
      <c r="G649">
        <v>-1079668828</v>
      </c>
      <c r="H649">
        <v>1220900319</v>
      </c>
      <c r="I649">
        <v>-7491083832</v>
      </c>
      <c r="J649">
        <v>1133566692</v>
      </c>
      <c r="K649">
        <v>-1379966990</v>
      </c>
      <c r="L649">
        <v>633036686</v>
      </c>
      <c r="M649">
        <v>-1392486364</v>
      </c>
      <c r="P649">
        <v>475</v>
      </c>
      <c r="Q649" t="s">
        <v>1523</v>
      </c>
    </row>
    <row r="650" spans="1:17" x14ac:dyDescent="0.3">
      <c r="A650" t="s">
        <v>17</v>
      </c>
      <c r="B650" t="str">
        <f>"600458"</f>
        <v>600458</v>
      </c>
      <c r="C650" t="s">
        <v>1524</v>
      </c>
      <c r="D650" t="s">
        <v>1525</v>
      </c>
      <c r="F650">
        <v>256369314</v>
      </c>
      <c r="G650">
        <v>2418190186</v>
      </c>
      <c r="H650">
        <v>1220812068</v>
      </c>
      <c r="I650">
        <v>375428082</v>
      </c>
      <c r="J650">
        <v>-90562325</v>
      </c>
      <c r="K650">
        <v>659502804</v>
      </c>
      <c r="L650">
        <v>270814683</v>
      </c>
      <c r="M650">
        <v>294416790</v>
      </c>
      <c r="N650">
        <v>-170218909</v>
      </c>
      <c r="O650">
        <v>229956510</v>
      </c>
      <c r="P650">
        <v>244</v>
      </c>
      <c r="Q650" t="s">
        <v>1526</v>
      </c>
    </row>
    <row r="651" spans="1:17" x14ac:dyDescent="0.3">
      <c r="A651" t="s">
        <v>59</v>
      </c>
      <c r="B651" t="str">
        <f>"300033"</f>
        <v>300033</v>
      </c>
      <c r="C651" t="s">
        <v>1527</v>
      </c>
      <c r="D651" t="s">
        <v>1528</v>
      </c>
      <c r="F651">
        <v>2127812005</v>
      </c>
      <c r="G651">
        <v>2066010015</v>
      </c>
      <c r="H651">
        <v>1219079300</v>
      </c>
      <c r="I651">
        <v>528201876</v>
      </c>
      <c r="J651">
        <v>579266562</v>
      </c>
      <c r="K651">
        <v>848366843</v>
      </c>
      <c r="L651">
        <v>1614835113</v>
      </c>
      <c r="M651">
        <v>205415879</v>
      </c>
      <c r="N651">
        <v>82207297</v>
      </c>
      <c r="O651">
        <v>7965225</v>
      </c>
      <c r="P651">
        <v>2726</v>
      </c>
      <c r="Q651" t="s">
        <v>1529</v>
      </c>
    </row>
    <row r="652" spans="1:17" x14ac:dyDescent="0.3">
      <c r="A652" t="s">
        <v>17</v>
      </c>
      <c r="B652" t="str">
        <f>"600635"</f>
        <v>600635</v>
      </c>
      <c r="C652" t="s">
        <v>1530</v>
      </c>
      <c r="D652" t="s">
        <v>883</v>
      </c>
      <c r="F652">
        <v>674261904</v>
      </c>
      <c r="G652">
        <v>229066802</v>
      </c>
      <c r="H652">
        <v>1218417852</v>
      </c>
      <c r="I652">
        <v>280254371</v>
      </c>
      <c r="J652">
        <v>507040714</v>
      </c>
      <c r="K652">
        <v>594708127</v>
      </c>
      <c r="L652">
        <v>307071879</v>
      </c>
      <c r="M652">
        <v>683140563</v>
      </c>
      <c r="N652">
        <v>532379801</v>
      </c>
      <c r="O652">
        <v>380284294</v>
      </c>
      <c r="P652">
        <v>180</v>
      </c>
      <c r="Q652" t="s">
        <v>1531</v>
      </c>
    </row>
    <row r="653" spans="1:17" x14ac:dyDescent="0.3">
      <c r="A653" t="s">
        <v>59</v>
      </c>
      <c r="B653" t="str">
        <f>"200726"</f>
        <v>200726</v>
      </c>
      <c r="C653" t="s">
        <v>1532</v>
      </c>
      <c r="F653">
        <v>425701929.71399999</v>
      </c>
      <c r="G653">
        <v>703992958.27030003</v>
      </c>
      <c r="H653">
        <v>1214814679.256</v>
      </c>
      <c r="I653">
        <v>1628443983.3255</v>
      </c>
      <c r="J653">
        <v>1245849670.6106</v>
      </c>
      <c r="K653">
        <v>1463076206.6522</v>
      </c>
      <c r="L653">
        <v>1226640633.7548001</v>
      </c>
      <c r="M653">
        <v>1390564024.3896</v>
      </c>
      <c r="N653">
        <v>1863495700.6974001</v>
      </c>
      <c r="O653">
        <v>1456758460.1373999</v>
      </c>
      <c r="P653">
        <v>329</v>
      </c>
      <c r="Q653" t="s">
        <v>1533</v>
      </c>
    </row>
    <row r="654" spans="1:17" x14ac:dyDescent="0.3">
      <c r="A654" t="s">
        <v>17</v>
      </c>
      <c r="B654" t="str">
        <f>"601778"</f>
        <v>601778</v>
      </c>
      <c r="C654" t="s">
        <v>1534</v>
      </c>
      <c r="D654" t="s">
        <v>1119</v>
      </c>
      <c r="F654">
        <v>1364925300</v>
      </c>
      <c r="G654">
        <v>2703732784</v>
      </c>
      <c r="H654">
        <v>1212539248</v>
      </c>
      <c r="I654">
        <v>1833894719</v>
      </c>
      <c r="J654">
        <v>758445677</v>
      </c>
      <c r="K654">
        <v>669586861</v>
      </c>
      <c r="P654">
        <v>221</v>
      </c>
      <c r="Q654" t="s">
        <v>1535</v>
      </c>
    </row>
    <row r="655" spans="1:17" x14ac:dyDescent="0.3">
      <c r="A655" t="s">
        <v>17</v>
      </c>
      <c r="B655" t="str">
        <f>"600509"</f>
        <v>600509</v>
      </c>
      <c r="C655" t="s">
        <v>1536</v>
      </c>
      <c r="D655" t="s">
        <v>98</v>
      </c>
      <c r="F655">
        <v>826039008</v>
      </c>
      <c r="G655">
        <v>1230277934</v>
      </c>
      <c r="H655">
        <v>1211321763</v>
      </c>
      <c r="I655">
        <v>1548433900</v>
      </c>
      <c r="J655">
        <v>292291700</v>
      </c>
      <c r="K655">
        <v>606965817</v>
      </c>
      <c r="L655">
        <v>645937421</v>
      </c>
      <c r="M655">
        <v>646455062</v>
      </c>
      <c r="N655">
        <v>639343174</v>
      </c>
      <c r="O655">
        <v>13358158</v>
      </c>
      <c r="P655">
        <v>142</v>
      </c>
      <c r="Q655" t="s">
        <v>1537</v>
      </c>
    </row>
    <row r="656" spans="1:17" x14ac:dyDescent="0.3">
      <c r="A656" t="s">
        <v>17</v>
      </c>
      <c r="B656" t="str">
        <f>"605499"</f>
        <v>605499</v>
      </c>
      <c r="C656" t="s">
        <v>1538</v>
      </c>
      <c r="D656" t="s">
        <v>1209</v>
      </c>
      <c r="F656">
        <v>2076844038</v>
      </c>
      <c r="G656">
        <v>1340363153</v>
      </c>
      <c r="H656">
        <v>1210981435</v>
      </c>
      <c r="I656">
        <v>194939675</v>
      </c>
      <c r="J656">
        <v>189708100</v>
      </c>
      <c r="P656">
        <v>282</v>
      </c>
      <c r="Q656" t="s">
        <v>1539</v>
      </c>
    </row>
    <row r="657" spans="1:17" x14ac:dyDescent="0.3">
      <c r="A657" t="s">
        <v>59</v>
      </c>
      <c r="B657" t="str">
        <f>"002387"</f>
        <v>002387</v>
      </c>
      <c r="C657" t="s">
        <v>1540</v>
      </c>
      <c r="D657" t="s">
        <v>139</v>
      </c>
      <c r="F657">
        <v>1911365309</v>
      </c>
      <c r="G657">
        <v>755389459</v>
      </c>
      <c r="H657">
        <v>1209483003</v>
      </c>
      <c r="I657">
        <v>876171161</v>
      </c>
      <c r="J657">
        <v>361246936</v>
      </c>
      <c r="K657">
        <v>-48077080</v>
      </c>
      <c r="L657">
        <v>64168950</v>
      </c>
      <c r="M657">
        <v>-2342193</v>
      </c>
      <c r="N657">
        <v>112181660</v>
      </c>
      <c r="O657">
        <v>15092707</v>
      </c>
      <c r="P657">
        <v>274</v>
      </c>
      <c r="Q657" t="s">
        <v>1541</v>
      </c>
    </row>
    <row r="658" spans="1:17" x14ac:dyDescent="0.3">
      <c r="A658" t="s">
        <v>17</v>
      </c>
      <c r="B658" t="str">
        <f>"603355"</f>
        <v>603355</v>
      </c>
      <c r="C658" t="s">
        <v>1542</v>
      </c>
      <c r="D658" t="s">
        <v>1543</v>
      </c>
      <c r="F658">
        <v>477301965</v>
      </c>
      <c r="G658">
        <v>1016666598</v>
      </c>
      <c r="H658">
        <v>1207985678</v>
      </c>
      <c r="I658">
        <v>668728082</v>
      </c>
      <c r="J658">
        <v>214168011</v>
      </c>
      <c r="K658">
        <v>428887783</v>
      </c>
      <c r="L658">
        <v>495736938</v>
      </c>
      <c r="M658">
        <v>484186760</v>
      </c>
      <c r="N658">
        <v>325293526</v>
      </c>
      <c r="O658">
        <v>350227909</v>
      </c>
      <c r="P658">
        <v>557</v>
      </c>
      <c r="Q658" t="s">
        <v>1544</v>
      </c>
    </row>
    <row r="659" spans="1:17" x14ac:dyDescent="0.3">
      <c r="A659" t="s">
        <v>17</v>
      </c>
      <c r="B659" t="str">
        <f>"600284"</f>
        <v>600284</v>
      </c>
      <c r="C659" t="s">
        <v>1545</v>
      </c>
      <c r="D659" t="s">
        <v>85</v>
      </c>
      <c r="F659">
        <v>902351585</v>
      </c>
      <c r="G659">
        <v>-735630703</v>
      </c>
      <c r="H659">
        <v>1203086184</v>
      </c>
      <c r="I659">
        <v>-23144298</v>
      </c>
      <c r="J659">
        <v>353223215</v>
      </c>
      <c r="K659">
        <v>-124493618</v>
      </c>
      <c r="L659">
        <v>-229732386</v>
      </c>
      <c r="M659">
        <v>248208381</v>
      </c>
      <c r="N659">
        <v>-83059662</v>
      </c>
      <c r="O659">
        <v>13525658</v>
      </c>
      <c r="P659">
        <v>172</v>
      </c>
      <c r="Q659" t="s">
        <v>1546</v>
      </c>
    </row>
    <row r="660" spans="1:17" x14ac:dyDescent="0.3">
      <c r="A660" t="s">
        <v>17</v>
      </c>
      <c r="B660" t="str">
        <f>"600032"</f>
        <v>600032</v>
      </c>
      <c r="C660" t="s">
        <v>1547</v>
      </c>
      <c r="D660" t="s">
        <v>1119</v>
      </c>
      <c r="F660">
        <v>1159282902</v>
      </c>
      <c r="G660">
        <v>1215341429</v>
      </c>
      <c r="H660">
        <v>1202722157</v>
      </c>
      <c r="I660">
        <v>646017035</v>
      </c>
      <c r="J660">
        <v>527042900</v>
      </c>
      <c r="P660">
        <v>81</v>
      </c>
      <c r="Q660" t="s">
        <v>1548</v>
      </c>
    </row>
    <row r="661" spans="1:17" x14ac:dyDescent="0.3">
      <c r="A661" t="s">
        <v>17</v>
      </c>
      <c r="B661" t="str">
        <f>"600461"</f>
        <v>600461</v>
      </c>
      <c r="C661" t="s">
        <v>1549</v>
      </c>
      <c r="D661" t="s">
        <v>669</v>
      </c>
      <c r="F661">
        <v>1381161399</v>
      </c>
      <c r="G661">
        <v>1372145632</v>
      </c>
      <c r="H661">
        <v>1201537889</v>
      </c>
      <c r="I661">
        <v>1122157809</v>
      </c>
      <c r="J661">
        <v>774967733</v>
      </c>
      <c r="K661">
        <v>723310483</v>
      </c>
      <c r="L661">
        <v>503721949</v>
      </c>
      <c r="M661">
        <v>541713176</v>
      </c>
      <c r="N661">
        <v>447356326</v>
      </c>
      <c r="O661">
        <v>396648401</v>
      </c>
      <c r="P661">
        <v>366</v>
      </c>
      <c r="Q661" t="s">
        <v>1550</v>
      </c>
    </row>
    <row r="662" spans="1:17" x14ac:dyDescent="0.3">
      <c r="A662" t="s">
        <v>17</v>
      </c>
      <c r="B662" t="str">
        <f>"603393"</f>
        <v>603393</v>
      </c>
      <c r="C662" t="s">
        <v>1551</v>
      </c>
      <c r="D662" t="s">
        <v>883</v>
      </c>
      <c r="F662">
        <v>1461165788</v>
      </c>
      <c r="G662">
        <v>954065486</v>
      </c>
      <c r="H662">
        <v>1200219691</v>
      </c>
      <c r="I662">
        <v>684258507</v>
      </c>
      <c r="J662">
        <v>292010902</v>
      </c>
      <c r="K662">
        <v>262413828</v>
      </c>
      <c r="L662">
        <v>213642632</v>
      </c>
      <c r="M662">
        <v>273101189</v>
      </c>
      <c r="N662">
        <v>290320821</v>
      </c>
      <c r="P662">
        <v>498</v>
      </c>
      <c r="Q662" t="s">
        <v>1552</v>
      </c>
    </row>
    <row r="663" spans="1:17" x14ac:dyDescent="0.3">
      <c r="A663" t="s">
        <v>17</v>
      </c>
      <c r="B663" t="str">
        <f>"603071"</f>
        <v>603071</v>
      </c>
      <c r="C663" t="s">
        <v>1553</v>
      </c>
      <c r="D663" t="s">
        <v>1238</v>
      </c>
      <c r="F663">
        <v>1945087468</v>
      </c>
      <c r="G663">
        <v>403126436</v>
      </c>
      <c r="H663">
        <v>1196746534</v>
      </c>
      <c r="I663">
        <v>1153834791</v>
      </c>
      <c r="J663">
        <v>443568355</v>
      </c>
      <c r="P663">
        <v>19</v>
      </c>
      <c r="Q663" t="s">
        <v>1554</v>
      </c>
    </row>
    <row r="664" spans="1:17" x14ac:dyDescent="0.3">
      <c r="A664" t="s">
        <v>17</v>
      </c>
      <c r="B664" t="str">
        <f>"600580"</f>
        <v>600580</v>
      </c>
      <c r="C664" t="s">
        <v>1555</v>
      </c>
      <c r="D664" t="s">
        <v>1556</v>
      </c>
      <c r="F664">
        <v>1480317914</v>
      </c>
      <c r="G664">
        <v>1224397188</v>
      </c>
      <c r="H664">
        <v>1195861224</v>
      </c>
      <c r="I664">
        <v>974705931</v>
      </c>
      <c r="J664">
        <v>316734897</v>
      </c>
      <c r="K664">
        <v>94415722</v>
      </c>
      <c r="L664">
        <v>860275907</v>
      </c>
      <c r="M664">
        <v>642922208</v>
      </c>
      <c r="N664">
        <v>270487406</v>
      </c>
      <c r="O664">
        <v>274217157</v>
      </c>
      <c r="P664">
        <v>400</v>
      </c>
      <c r="Q664" t="s">
        <v>1557</v>
      </c>
    </row>
    <row r="665" spans="1:17" x14ac:dyDescent="0.3">
      <c r="A665" t="s">
        <v>59</v>
      </c>
      <c r="B665" t="str">
        <f>"002191"</f>
        <v>002191</v>
      </c>
      <c r="C665" t="s">
        <v>1558</v>
      </c>
      <c r="D665" t="s">
        <v>1416</v>
      </c>
      <c r="F665">
        <v>860758444</v>
      </c>
      <c r="G665">
        <v>1045444376</v>
      </c>
      <c r="H665">
        <v>1189888046</v>
      </c>
      <c r="I665">
        <v>852646916</v>
      </c>
      <c r="J665">
        <v>819829106</v>
      </c>
      <c r="K665">
        <v>918185878</v>
      </c>
      <c r="L665">
        <v>799618445</v>
      </c>
      <c r="M665">
        <v>717422231</v>
      </c>
      <c r="N665">
        <v>497999533</v>
      </c>
      <c r="O665">
        <v>677271651</v>
      </c>
      <c r="P665">
        <v>6347</v>
      </c>
      <c r="Q665" t="s">
        <v>1559</v>
      </c>
    </row>
    <row r="666" spans="1:17" x14ac:dyDescent="0.3">
      <c r="A666" t="s">
        <v>59</v>
      </c>
      <c r="B666" t="str">
        <f>"002668"</f>
        <v>002668</v>
      </c>
      <c r="C666" t="s">
        <v>1560</v>
      </c>
      <c r="D666" t="s">
        <v>213</v>
      </c>
      <c r="F666">
        <v>922000995</v>
      </c>
      <c r="G666">
        <v>2377691833</v>
      </c>
      <c r="H666">
        <v>1186286220</v>
      </c>
      <c r="I666">
        <v>-124702970</v>
      </c>
      <c r="J666">
        <v>-833370263</v>
      </c>
      <c r="K666">
        <v>652635622</v>
      </c>
      <c r="L666">
        <v>776015949</v>
      </c>
      <c r="M666">
        <v>465671849</v>
      </c>
      <c r="N666">
        <v>195652197</v>
      </c>
      <c r="O666">
        <v>-151957312</v>
      </c>
      <c r="P666">
        <v>204</v>
      </c>
      <c r="Q666" t="s">
        <v>1561</v>
      </c>
    </row>
    <row r="667" spans="1:17" x14ac:dyDescent="0.3">
      <c r="A667" t="s">
        <v>59</v>
      </c>
      <c r="B667" t="str">
        <f>"000885"</f>
        <v>000885</v>
      </c>
      <c r="C667" t="s">
        <v>1562</v>
      </c>
      <c r="D667" t="s">
        <v>406</v>
      </c>
      <c r="F667">
        <v>1272978215</v>
      </c>
      <c r="G667">
        <v>950929289</v>
      </c>
      <c r="H667">
        <v>1185869069</v>
      </c>
      <c r="I667">
        <v>1240031624</v>
      </c>
      <c r="J667">
        <v>1719405453</v>
      </c>
      <c r="K667">
        <v>437432699</v>
      </c>
      <c r="L667">
        <v>627293400</v>
      </c>
      <c r="M667">
        <v>870539890</v>
      </c>
      <c r="N667">
        <v>417175860</v>
      </c>
      <c r="O667">
        <v>716140986</v>
      </c>
      <c r="P667">
        <v>236</v>
      </c>
      <c r="Q667" t="s">
        <v>1563</v>
      </c>
    </row>
    <row r="668" spans="1:17" x14ac:dyDescent="0.3">
      <c r="A668" t="s">
        <v>59</v>
      </c>
      <c r="B668" t="str">
        <f>"000560"</f>
        <v>000560</v>
      </c>
      <c r="C668" t="s">
        <v>1564</v>
      </c>
      <c r="D668" t="s">
        <v>1274</v>
      </c>
      <c r="F668">
        <v>2131620293</v>
      </c>
      <c r="G668">
        <v>2243052983</v>
      </c>
      <c r="H668">
        <v>1184894943</v>
      </c>
      <c r="I668">
        <v>805086553</v>
      </c>
      <c r="J668">
        <v>550591</v>
      </c>
      <c r="K668">
        <v>132500456</v>
      </c>
      <c r="L668">
        <v>-25352437</v>
      </c>
      <c r="M668">
        <v>-29729852</v>
      </c>
      <c r="N668">
        <v>-29831512</v>
      </c>
      <c r="O668">
        <v>-217557276</v>
      </c>
      <c r="P668">
        <v>206</v>
      </c>
      <c r="Q668" t="s">
        <v>1565</v>
      </c>
    </row>
    <row r="669" spans="1:17" x14ac:dyDescent="0.3">
      <c r="A669" t="s">
        <v>59</v>
      </c>
      <c r="B669" t="str">
        <f>"002221"</f>
        <v>002221</v>
      </c>
      <c r="C669" t="s">
        <v>1566</v>
      </c>
      <c r="D669" t="s">
        <v>445</v>
      </c>
      <c r="F669">
        <v>1178181214</v>
      </c>
      <c r="G669">
        <v>885300496</v>
      </c>
      <c r="H669">
        <v>1177952567</v>
      </c>
      <c r="I669">
        <v>2402702139</v>
      </c>
      <c r="J669">
        <v>2140332131</v>
      </c>
      <c r="K669">
        <v>973509421</v>
      </c>
      <c r="L669">
        <v>469260268</v>
      </c>
      <c r="M669">
        <v>-359593505</v>
      </c>
      <c r="N669">
        <v>1015178900</v>
      </c>
      <c r="O669">
        <v>469941409</v>
      </c>
      <c r="P669">
        <v>390</v>
      </c>
      <c r="Q669" t="s">
        <v>1567</v>
      </c>
    </row>
    <row r="670" spans="1:17" x14ac:dyDescent="0.3">
      <c r="A670" t="s">
        <v>17</v>
      </c>
      <c r="B670" t="str">
        <f>"605090"</f>
        <v>605090</v>
      </c>
      <c r="C670" t="s">
        <v>1568</v>
      </c>
      <c r="D670" t="s">
        <v>883</v>
      </c>
      <c r="F670">
        <v>89508401</v>
      </c>
      <c r="G670">
        <v>824832479</v>
      </c>
      <c r="H670">
        <v>1175354935</v>
      </c>
      <c r="I670">
        <v>-31138499</v>
      </c>
      <c r="J670">
        <v>548199909</v>
      </c>
      <c r="P670">
        <v>51</v>
      </c>
      <c r="Q670" t="s">
        <v>1569</v>
      </c>
    </row>
    <row r="671" spans="1:17" x14ac:dyDescent="0.3">
      <c r="A671" t="s">
        <v>17</v>
      </c>
      <c r="B671" t="str">
        <f>"600064"</f>
        <v>600064</v>
      </c>
      <c r="C671" t="s">
        <v>1570</v>
      </c>
      <c r="D671" t="s">
        <v>61</v>
      </c>
      <c r="F671">
        <v>501491273</v>
      </c>
      <c r="G671">
        <v>-2177567888</v>
      </c>
      <c r="H671">
        <v>1175032434</v>
      </c>
      <c r="I671">
        <v>464626697</v>
      </c>
      <c r="J671">
        <v>184210463</v>
      </c>
      <c r="K671">
        <v>2107885101</v>
      </c>
      <c r="L671">
        <v>1719100282</v>
      </c>
      <c r="M671">
        <v>1268250105</v>
      </c>
      <c r="N671">
        <v>909801976</v>
      </c>
      <c r="O671">
        <v>377537989</v>
      </c>
      <c r="P671">
        <v>432</v>
      </c>
      <c r="Q671" t="s">
        <v>1571</v>
      </c>
    </row>
    <row r="672" spans="1:17" x14ac:dyDescent="0.3">
      <c r="A672" t="s">
        <v>59</v>
      </c>
      <c r="B672" t="str">
        <f>"002556"</f>
        <v>002556</v>
      </c>
      <c r="C672" t="s">
        <v>1572</v>
      </c>
      <c r="D672" t="s">
        <v>1573</v>
      </c>
      <c r="F672">
        <v>629058430</v>
      </c>
      <c r="G672">
        <v>500533511</v>
      </c>
      <c r="H672">
        <v>1174944359</v>
      </c>
      <c r="I672">
        <v>-836865708</v>
      </c>
      <c r="J672">
        <v>443533489</v>
      </c>
      <c r="K672">
        <v>-155269561</v>
      </c>
      <c r="L672">
        <v>630653616</v>
      </c>
      <c r="M672">
        <v>58836189</v>
      </c>
      <c r="N672">
        <v>686200545</v>
      </c>
      <c r="O672">
        <v>1041806369</v>
      </c>
      <c r="P672">
        <v>110</v>
      </c>
      <c r="Q672" t="s">
        <v>1574</v>
      </c>
    </row>
    <row r="673" spans="1:17" x14ac:dyDescent="0.3">
      <c r="A673" t="s">
        <v>59</v>
      </c>
      <c r="B673" t="str">
        <f>"200581"</f>
        <v>200581</v>
      </c>
      <c r="C673" t="s">
        <v>1575</v>
      </c>
      <c r="F673">
        <v>767566958.72039998</v>
      </c>
      <c r="G673">
        <v>927306304.64740002</v>
      </c>
      <c r="H673">
        <v>1172937454.2804999</v>
      </c>
      <c r="I673">
        <v>995483368.48950005</v>
      </c>
      <c r="J673">
        <v>1149429020.7802</v>
      </c>
      <c r="K673">
        <v>588621779.09679997</v>
      </c>
      <c r="L673">
        <v>647040035.64900005</v>
      </c>
      <c r="M673">
        <v>1112730528.612</v>
      </c>
      <c r="N673">
        <v>1030433126.2491</v>
      </c>
      <c r="O673">
        <v>1450903922.7228</v>
      </c>
      <c r="P673">
        <v>448</v>
      </c>
      <c r="Q673" t="s">
        <v>1576</v>
      </c>
    </row>
    <row r="674" spans="1:17" x14ac:dyDescent="0.3">
      <c r="A674" t="s">
        <v>59</v>
      </c>
      <c r="B674" t="str">
        <f>"002746"</f>
        <v>002746</v>
      </c>
      <c r="C674" t="s">
        <v>1577</v>
      </c>
      <c r="D674" t="s">
        <v>470</v>
      </c>
      <c r="F674">
        <v>-88039152</v>
      </c>
      <c r="G674">
        <v>552559638</v>
      </c>
      <c r="H674">
        <v>1171556326</v>
      </c>
      <c r="I674">
        <v>549427690</v>
      </c>
      <c r="J674">
        <v>240096723</v>
      </c>
      <c r="K674">
        <v>430115148</v>
      </c>
      <c r="L674">
        <v>154129711</v>
      </c>
      <c r="M674">
        <v>98112099</v>
      </c>
      <c r="N674">
        <v>102648450</v>
      </c>
      <c r="O674">
        <v>238357187</v>
      </c>
      <c r="P674">
        <v>457</v>
      </c>
      <c r="Q674" t="s">
        <v>1578</v>
      </c>
    </row>
    <row r="675" spans="1:17" x14ac:dyDescent="0.3">
      <c r="A675" t="s">
        <v>59</v>
      </c>
      <c r="B675" t="str">
        <f>"300418"</f>
        <v>300418</v>
      </c>
      <c r="C675" t="s">
        <v>1579</v>
      </c>
      <c r="D675" t="s">
        <v>689</v>
      </c>
      <c r="F675">
        <v>1173299078</v>
      </c>
      <c r="G675">
        <v>722592565</v>
      </c>
      <c r="H675">
        <v>1169786539</v>
      </c>
      <c r="I675">
        <v>1472965210</v>
      </c>
      <c r="J675">
        <v>1045795985</v>
      </c>
      <c r="K675">
        <v>357120977</v>
      </c>
      <c r="L675">
        <v>192153315</v>
      </c>
      <c r="M675">
        <v>396800219</v>
      </c>
      <c r="N675">
        <v>370420022</v>
      </c>
      <c r="O675">
        <v>122056947</v>
      </c>
      <c r="P675">
        <v>17528</v>
      </c>
      <c r="Q675" t="s">
        <v>1580</v>
      </c>
    </row>
    <row r="676" spans="1:17" x14ac:dyDescent="0.3">
      <c r="A676" t="s">
        <v>17</v>
      </c>
      <c r="B676" t="str">
        <f>"603997"</f>
        <v>603997</v>
      </c>
      <c r="C676" t="s">
        <v>1581</v>
      </c>
      <c r="D676" t="s">
        <v>289</v>
      </c>
      <c r="F676">
        <v>718910713</v>
      </c>
      <c r="G676">
        <v>809934921</v>
      </c>
      <c r="H676">
        <v>1169463786</v>
      </c>
      <c r="I676">
        <v>463031433</v>
      </c>
      <c r="J676">
        <v>257606806</v>
      </c>
      <c r="K676">
        <v>42906311</v>
      </c>
      <c r="L676">
        <v>153950554</v>
      </c>
      <c r="M676">
        <v>140606213</v>
      </c>
      <c r="N676">
        <v>125171699</v>
      </c>
      <c r="O676">
        <v>155573765</v>
      </c>
      <c r="P676">
        <v>248</v>
      </c>
      <c r="Q676" t="s">
        <v>1582</v>
      </c>
    </row>
    <row r="677" spans="1:17" x14ac:dyDescent="0.3">
      <c r="A677" t="s">
        <v>17</v>
      </c>
      <c r="B677" t="str">
        <f>"601975"</f>
        <v>601975</v>
      </c>
      <c r="C677" t="s">
        <v>1583</v>
      </c>
      <c r="D677" t="s">
        <v>178</v>
      </c>
      <c r="F677">
        <v>852793515</v>
      </c>
      <c r="G677">
        <v>1974184662</v>
      </c>
      <c r="H677">
        <v>1166398208</v>
      </c>
      <c r="I677">
        <v>894991729</v>
      </c>
      <c r="J677">
        <v>812557300</v>
      </c>
      <c r="K677">
        <v>1301130900</v>
      </c>
      <c r="L677">
        <v>1127510500</v>
      </c>
      <c r="N677">
        <v>843912001</v>
      </c>
      <c r="O677">
        <v>-184939788</v>
      </c>
      <c r="P677">
        <v>270</v>
      </c>
      <c r="Q677" t="s">
        <v>1584</v>
      </c>
    </row>
    <row r="678" spans="1:17" x14ac:dyDescent="0.3">
      <c r="A678" t="s">
        <v>59</v>
      </c>
      <c r="B678" t="str">
        <f>"000738"</f>
        <v>000738</v>
      </c>
      <c r="C678" t="s">
        <v>1585</v>
      </c>
      <c r="D678" t="s">
        <v>448</v>
      </c>
      <c r="F678">
        <v>894149253</v>
      </c>
      <c r="G678">
        <v>405310794</v>
      </c>
      <c r="H678">
        <v>1164397161</v>
      </c>
      <c r="I678">
        <v>-346009462</v>
      </c>
      <c r="J678">
        <v>997437905</v>
      </c>
      <c r="K678">
        <v>186784474</v>
      </c>
      <c r="L678">
        <v>634596537</v>
      </c>
      <c r="M678">
        <v>138144438</v>
      </c>
      <c r="N678">
        <v>133194120</v>
      </c>
      <c r="O678">
        <v>199000312</v>
      </c>
      <c r="P678">
        <v>324</v>
      </c>
      <c r="Q678" t="s">
        <v>1586</v>
      </c>
    </row>
    <row r="679" spans="1:17" x14ac:dyDescent="0.3">
      <c r="A679" t="s">
        <v>17</v>
      </c>
      <c r="B679" t="str">
        <f>"600452"</f>
        <v>600452</v>
      </c>
      <c r="C679" t="s">
        <v>1587</v>
      </c>
      <c r="D679" t="s">
        <v>682</v>
      </c>
      <c r="F679">
        <v>1403213677</v>
      </c>
      <c r="G679">
        <v>1122894439</v>
      </c>
      <c r="H679">
        <v>1162686084</v>
      </c>
      <c r="I679">
        <v>756890000</v>
      </c>
      <c r="J679">
        <v>697113114</v>
      </c>
      <c r="K679">
        <v>344188889</v>
      </c>
      <c r="L679">
        <v>169964361</v>
      </c>
      <c r="M679">
        <v>151495992</v>
      </c>
      <c r="N679">
        <v>98938654</v>
      </c>
      <c r="O679">
        <v>-10289272</v>
      </c>
      <c r="P679">
        <v>4515</v>
      </c>
      <c r="Q679" t="s">
        <v>1588</v>
      </c>
    </row>
    <row r="680" spans="1:17" x14ac:dyDescent="0.3">
      <c r="A680" t="s">
        <v>17</v>
      </c>
      <c r="B680" t="str">
        <f>"603087"</f>
        <v>603087</v>
      </c>
      <c r="C680" t="s">
        <v>1589</v>
      </c>
      <c r="D680" t="s">
        <v>1062</v>
      </c>
      <c r="F680">
        <v>1078176371</v>
      </c>
      <c r="G680">
        <v>1241342605</v>
      </c>
      <c r="H680">
        <v>1157606388</v>
      </c>
      <c r="I680">
        <v>418037501</v>
      </c>
      <c r="J680">
        <v>949598913</v>
      </c>
      <c r="K680">
        <v>686138475</v>
      </c>
      <c r="P680">
        <v>677</v>
      </c>
      <c r="Q680" t="s">
        <v>1590</v>
      </c>
    </row>
    <row r="681" spans="1:17" x14ac:dyDescent="0.3">
      <c r="A681" t="s">
        <v>17</v>
      </c>
      <c r="B681" t="str">
        <f>"600231"</f>
        <v>600231</v>
      </c>
      <c r="C681" t="s">
        <v>1591</v>
      </c>
      <c r="D681" t="s">
        <v>994</v>
      </c>
      <c r="F681">
        <v>645141171</v>
      </c>
      <c r="G681">
        <v>1694047189</v>
      </c>
      <c r="H681">
        <v>1156457004</v>
      </c>
      <c r="I681">
        <v>1731121060</v>
      </c>
      <c r="J681">
        <v>1302978640</v>
      </c>
      <c r="K681">
        <v>692405519</v>
      </c>
      <c r="L681">
        <v>1152723271</v>
      </c>
      <c r="M681">
        <v>1388170442</v>
      </c>
      <c r="N681">
        <v>901545930</v>
      </c>
      <c r="O681">
        <v>2399754189</v>
      </c>
      <c r="P681">
        <v>187</v>
      </c>
      <c r="Q681" t="s">
        <v>1592</v>
      </c>
    </row>
    <row r="682" spans="1:17" x14ac:dyDescent="0.3">
      <c r="A682" t="s">
        <v>17</v>
      </c>
      <c r="B682" t="str">
        <f>"600867"</f>
        <v>600867</v>
      </c>
      <c r="C682" t="s">
        <v>1593</v>
      </c>
      <c r="D682" t="s">
        <v>1062</v>
      </c>
      <c r="F682">
        <v>1134548060</v>
      </c>
      <c r="G682">
        <v>1192286108</v>
      </c>
      <c r="H682">
        <v>1152169736</v>
      </c>
      <c r="I682">
        <v>876935396</v>
      </c>
      <c r="J682">
        <v>961185869</v>
      </c>
      <c r="K682">
        <v>725763120</v>
      </c>
      <c r="L682">
        <v>294578587</v>
      </c>
      <c r="M682">
        <v>205890090</v>
      </c>
      <c r="N682">
        <v>221055352</v>
      </c>
      <c r="O682">
        <v>194319415</v>
      </c>
      <c r="P682">
        <v>2948</v>
      </c>
      <c r="Q682" t="s">
        <v>1594</v>
      </c>
    </row>
    <row r="683" spans="1:17" x14ac:dyDescent="0.3">
      <c r="A683" t="s">
        <v>17</v>
      </c>
      <c r="B683" t="str">
        <f>"600017"</f>
        <v>600017</v>
      </c>
      <c r="C683" t="s">
        <v>1595</v>
      </c>
      <c r="D683" t="s">
        <v>386</v>
      </c>
      <c r="F683">
        <v>2243623925</v>
      </c>
      <c r="G683">
        <v>1344945750</v>
      </c>
      <c r="H683">
        <v>1151777696</v>
      </c>
      <c r="I683">
        <v>1485007964</v>
      </c>
      <c r="J683">
        <v>1383655421</v>
      </c>
      <c r="K683">
        <v>993902057</v>
      </c>
      <c r="L683">
        <v>1142763281</v>
      </c>
      <c r="M683">
        <v>1121115805</v>
      </c>
      <c r="N683">
        <v>882419724</v>
      </c>
      <c r="O683">
        <v>981654784</v>
      </c>
      <c r="P683">
        <v>180</v>
      </c>
      <c r="Q683" t="s">
        <v>1596</v>
      </c>
    </row>
    <row r="684" spans="1:17" x14ac:dyDescent="0.3">
      <c r="A684" t="s">
        <v>59</v>
      </c>
      <c r="B684" t="str">
        <f>"002588"</f>
        <v>002588</v>
      </c>
      <c r="C684" t="s">
        <v>1597</v>
      </c>
      <c r="D684" t="s">
        <v>1317</v>
      </c>
      <c r="F684">
        <v>416573144</v>
      </c>
      <c r="G684">
        <v>1510122632</v>
      </c>
      <c r="H684">
        <v>1150359415</v>
      </c>
      <c r="I684">
        <v>-317984964</v>
      </c>
      <c r="J684">
        <v>246033073</v>
      </c>
      <c r="K684">
        <v>888090674</v>
      </c>
      <c r="L684">
        <v>158797062</v>
      </c>
      <c r="M684">
        <v>707269549</v>
      </c>
      <c r="N684">
        <v>423995365</v>
      </c>
      <c r="O684">
        <v>930319699</v>
      </c>
      <c r="P684">
        <v>164</v>
      </c>
      <c r="Q684" t="s">
        <v>1598</v>
      </c>
    </row>
    <row r="685" spans="1:17" x14ac:dyDescent="0.3">
      <c r="A685" t="s">
        <v>59</v>
      </c>
      <c r="B685" t="str">
        <f>"000975"</f>
        <v>000975</v>
      </c>
      <c r="C685" t="s">
        <v>1599</v>
      </c>
      <c r="D685" t="s">
        <v>530</v>
      </c>
      <c r="F685">
        <v>2042689645</v>
      </c>
      <c r="G685">
        <v>2426702358</v>
      </c>
      <c r="H685">
        <v>1146213017</v>
      </c>
      <c r="I685">
        <v>1150227454</v>
      </c>
      <c r="J685">
        <v>920424187</v>
      </c>
      <c r="K685">
        <v>338581097</v>
      </c>
      <c r="L685">
        <v>220622846</v>
      </c>
      <c r="M685">
        <v>186052064</v>
      </c>
      <c r="N685">
        <v>297616072</v>
      </c>
      <c r="O685">
        <v>483588812</v>
      </c>
      <c r="P685">
        <v>391</v>
      </c>
      <c r="Q685" t="s">
        <v>1600</v>
      </c>
    </row>
    <row r="686" spans="1:17" x14ac:dyDescent="0.3">
      <c r="A686" t="s">
        <v>17</v>
      </c>
      <c r="B686" t="str">
        <f>"600623"</f>
        <v>600623</v>
      </c>
      <c r="C686" t="s">
        <v>1601</v>
      </c>
      <c r="D686" t="s">
        <v>611</v>
      </c>
      <c r="F686">
        <v>5869294774</v>
      </c>
      <c r="G686">
        <v>1110731825</v>
      </c>
      <c r="H686">
        <v>1146190250</v>
      </c>
      <c r="I686">
        <v>2953431721</v>
      </c>
      <c r="J686">
        <v>3599656497</v>
      </c>
      <c r="K686">
        <v>3181028746</v>
      </c>
      <c r="L686">
        <v>3912662098</v>
      </c>
      <c r="M686">
        <v>-34379761</v>
      </c>
      <c r="N686">
        <v>675554183</v>
      </c>
      <c r="O686">
        <v>951214078</v>
      </c>
      <c r="P686">
        <v>241</v>
      </c>
      <c r="Q686" t="s">
        <v>1602</v>
      </c>
    </row>
    <row r="687" spans="1:17" x14ac:dyDescent="0.3">
      <c r="A687" t="s">
        <v>59</v>
      </c>
      <c r="B687" t="str">
        <f>"300454"</f>
        <v>300454</v>
      </c>
      <c r="C687" t="s">
        <v>1603</v>
      </c>
      <c r="D687" t="s">
        <v>789</v>
      </c>
      <c r="F687">
        <v>991440756</v>
      </c>
      <c r="G687">
        <v>1317874110</v>
      </c>
      <c r="H687">
        <v>1144970801</v>
      </c>
      <c r="I687">
        <v>943239025</v>
      </c>
      <c r="J687">
        <v>765428541</v>
      </c>
      <c r="K687">
        <v>487459963</v>
      </c>
      <c r="L687">
        <v>403462543</v>
      </c>
      <c r="P687">
        <v>799</v>
      </c>
      <c r="Q687" t="s">
        <v>1604</v>
      </c>
    </row>
    <row r="688" spans="1:17" x14ac:dyDescent="0.3">
      <c r="A688" t="s">
        <v>17</v>
      </c>
      <c r="B688" t="str">
        <f>"601801"</f>
        <v>601801</v>
      </c>
      <c r="C688" t="s">
        <v>1605</v>
      </c>
      <c r="D688" t="s">
        <v>914</v>
      </c>
      <c r="F688">
        <v>916219380</v>
      </c>
      <c r="G688">
        <v>714686995</v>
      </c>
      <c r="H688">
        <v>1142957435</v>
      </c>
      <c r="I688">
        <v>588878237</v>
      </c>
      <c r="J688">
        <v>141390322</v>
      </c>
      <c r="K688">
        <v>557012457</v>
      </c>
      <c r="L688">
        <v>393978801</v>
      </c>
      <c r="M688">
        <v>500444573</v>
      </c>
      <c r="N688">
        <v>314016718</v>
      </c>
      <c r="O688">
        <v>506345783</v>
      </c>
      <c r="P688">
        <v>267</v>
      </c>
      <c r="Q688" t="s">
        <v>1606</v>
      </c>
    </row>
    <row r="689" spans="1:17" x14ac:dyDescent="0.3">
      <c r="A689" t="s">
        <v>17</v>
      </c>
      <c r="B689" t="str">
        <f>"601789"</f>
        <v>601789</v>
      </c>
      <c r="C689" t="s">
        <v>1607</v>
      </c>
      <c r="D689" t="s">
        <v>503</v>
      </c>
      <c r="F689">
        <v>-907497258</v>
      </c>
      <c r="G689">
        <v>969604456</v>
      </c>
      <c r="H689">
        <v>1138961627</v>
      </c>
      <c r="I689">
        <v>1024953799</v>
      </c>
      <c r="J689">
        <v>484775465</v>
      </c>
      <c r="K689">
        <v>399599577</v>
      </c>
      <c r="L689">
        <v>158446289</v>
      </c>
      <c r="M689">
        <v>-601513689</v>
      </c>
      <c r="N689">
        <v>-148147088</v>
      </c>
      <c r="O689">
        <v>53432923</v>
      </c>
      <c r="P689">
        <v>147</v>
      </c>
      <c r="Q689" t="s">
        <v>1608</v>
      </c>
    </row>
    <row r="690" spans="1:17" x14ac:dyDescent="0.3">
      <c r="A690" t="s">
        <v>59</v>
      </c>
      <c r="B690" t="str">
        <f>"300014"</f>
        <v>300014</v>
      </c>
      <c r="C690" t="s">
        <v>1609</v>
      </c>
      <c r="D690" t="s">
        <v>232</v>
      </c>
      <c r="F690">
        <v>1862853925</v>
      </c>
      <c r="G690">
        <v>1547616814</v>
      </c>
      <c r="H690">
        <v>1138632496</v>
      </c>
      <c r="I690">
        <v>434494747</v>
      </c>
      <c r="J690">
        <v>80989719</v>
      </c>
      <c r="K690">
        <v>47232585</v>
      </c>
      <c r="L690">
        <v>57001584</v>
      </c>
      <c r="M690">
        <v>39129030</v>
      </c>
      <c r="N690">
        <v>226901596</v>
      </c>
      <c r="O690">
        <v>25523319</v>
      </c>
      <c r="P690">
        <v>2493</v>
      </c>
      <c r="Q690" t="s">
        <v>1610</v>
      </c>
    </row>
    <row r="691" spans="1:17" x14ac:dyDescent="0.3">
      <c r="A691" t="s">
        <v>17</v>
      </c>
      <c r="B691" t="str">
        <f>"601555"</f>
        <v>601555</v>
      </c>
      <c r="C691" t="s">
        <v>1611</v>
      </c>
      <c r="D691" t="s">
        <v>75</v>
      </c>
      <c r="F691">
        <v>9627918540</v>
      </c>
      <c r="G691">
        <v>-431156189</v>
      </c>
      <c r="H691">
        <v>1137377674</v>
      </c>
      <c r="I691">
        <v>7044696007</v>
      </c>
      <c r="J691">
        <v>-16717277526</v>
      </c>
      <c r="K691">
        <v>-6186597945</v>
      </c>
      <c r="L691">
        <v>-1806012546</v>
      </c>
      <c r="M691">
        <v>1006467334</v>
      </c>
      <c r="N691">
        <v>-3127645057</v>
      </c>
      <c r="O691">
        <v>-1666171837</v>
      </c>
      <c r="P691">
        <v>937</v>
      </c>
      <c r="Q691" t="s">
        <v>1612</v>
      </c>
    </row>
    <row r="692" spans="1:17" x14ac:dyDescent="0.3">
      <c r="A692" t="s">
        <v>17</v>
      </c>
      <c r="B692" t="str">
        <f>"600966"</f>
        <v>600966</v>
      </c>
      <c r="C692" t="s">
        <v>1613</v>
      </c>
      <c r="D692" t="s">
        <v>241</v>
      </c>
      <c r="F692">
        <v>3644720121</v>
      </c>
      <c r="G692">
        <v>3596150076</v>
      </c>
      <c r="H692">
        <v>1137292468</v>
      </c>
      <c r="I692">
        <v>1073128413</v>
      </c>
      <c r="J692">
        <v>1286276939</v>
      </c>
      <c r="K692">
        <v>887811594</v>
      </c>
      <c r="L692">
        <v>472187718</v>
      </c>
      <c r="M692">
        <v>334933101</v>
      </c>
      <c r="N692">
        <v>-799892844</v>
      </c>
      <c r="O692">
        <v>-43308918</v>
      </c>
      <c r="P692">
        <v>396</v>
      </c>
      <c r="Q692" t="s">
        <v>1614</v>
      </c>
    </row>
    <row r="693" spans="1:17" x14ac:dyDescent="0.3">
      <c r="A693" t="s">
        <v>17</v>
      </c>
      <c r="B693" t="str">
        <f>"600575"</f>
        <v>600575</v>
      </c>
      <c r="C693" t="s">
        <v>1615</v>
      </c>
      <c r="D693" t="s">
        <v>206</v>
      </c>
      <c r="F693">
        <v>1625261432</v>
      </c>
      <c r="G693">
        <v>1315621474</v>
      </c>
      <c r="H693">
        <v>1130381049</v>
      </c>
      <c r="I693">
        <v>1317218710</v>
      </c>
      <c r="J693">
        <v>1323096884</v>
      </c>
      <c r="K693">
        <v>1401553330</v>
      </c>
      <c r="L693">
        <v>216059744</v>
      </c>
      <c r="M693">
        <v>-544324473</v>
      </c>
      <c r="N693">
        <v>712761394</v>
      </c>
      <c r="O693">
        <v>-3120898593</v>
      </c>
      <c r="P693">
        <v>118</v>
      </c>
      <c r="Q693" t="s">
        <v>1616</v>
      </c>
    </row>
    <row r="694" spans="1:17" x14ac:dyDescent="0.3">
      <c r="A694" t="s">
        <v>59</v>
      </c>
      <c r="B694" t="str">
        <f>"002203"</f>
        <v>002203</v>
      </c>
      <c r="C694" t="s">
        <v>1617</v>
      </c>
      <c r="D694" t="s">
        <v>259</v>
      </c>
      <c r="F694">
        <v>-2580295523</v>
      </c>
      <c r="G694">
        <v>703055487</v>
      </c>
      <c r="H694">
        <v>1130293732</v>
      </c>
      <c r="I694">
        <v>2606546703</v>
      </c>
      <c r="J694">
        <v>-3113546847</v>
      </c>
      <c r="K694">
        <v>886716661</v>
      </c>
      <c r="L694">
        <v>609835</v>
      </c>
      <c r="M694">
        <v>1332599560</v>
      </c>
      <c r="N694">
        <v>216910725</v>
      </c>
      <c r="O694">
        <v>456242714</v>
      </c>
      <c r="P694">
        <v>239</v>
      </c>
      <c r="Q694" t="s">
        <v>1618</v>
      </c>
    </row>
    <row r="695" spans="1:17" x14ac:dyDescent="0.3">
      <c r="A695" t="s">
        <v>59</v>
      </c>
      <c r="B695" t="str">
        <f>"301236"</f>
        <v>301236</v>
      </c>
      <c r="C695" t="s">
        <v>1619</v>
      </c>
      <c r="F695">
        <v>647206842</v>
      </c>
      <c r="G695">
        <v>1422749383</v>
      </c>
      <c r="H695">
        <v>1126197426</v>
      </c>
      <c r="I695">
        <v>213263605</v>
      </c>
      <c r="J695">
        <v>-383397966</v>
      </c>
      <c r="P695">
        <v>4</v>
      </c>
      <c r="Q695" t="s">
        <v>1620</v>
      </c>
    </row>
    <row r="696" spans="1:17" x14ac:dyDescent="0.3">
      <c r="A696" t="s">
        <v>17</v>
      </c>
      <c r="B696" t="str">
        <f>"600075"</f>
        <v>600075</v>
      </c>
      <c r="C696" t="s">
        <v>1621</v>
      </c>
      <c r="D696" t="s">
        <v>317</v>
      </c>
      <c r="F696">
        <v>2591938376</v>
      </c>
      <c r="G696">
        <v>1112402967</v>
      </c>
      <c r="H696">
        <v>1123453119</v>
      </c>
      <c r="I696">
        <v>476799156</v>
      </c>
      <c r="J696">
        <v>1287214347</v>
      </c>
      <c r="K696">
        <v>772217025</v>
      </c>
      <c r="L696">
        <v>-78148171</v>
      </c>
      <c r="M696">
        <v>715891226</v>
      </c>
      <c r="N696">
        <v>403287091</v>
      </c>
      <c r="O696">
        <v>119456674</v>
      </c>
      <c r="P696">
        <v>194</v>
      </c>
      <c r="Q696" t="s">
        <v>1622</v>
      </c>
    </row>
    <row r="697" spans="1:17" x14ac:dyDescent="0.3">
      <c r="A697" t="s">
        <v>59</v>
      </c>
      <c r="B697" t="str">
        <f>"002087"</f>
        <v>002087</v>
      </c>
      <c r="C697" t="s">
        <v>1623</v>
      </c>
      <c r="D697" t="s">
        <v>1090</v>
      </c>
      <c r="F697">
        <v>363749259</v>
      </c>
      <c r="G697">
        <v>-125939881</v>
      </c>
      <c r="H697">
        <v>1114275727</v>
      </c>
      <c r="I697">
        <v>150508154</v>
      </c>
      <c r="J697">
        <v>106296987</v>
      </c>
      <c r="K697">
        <v>153725948</v>
      </c>
      <c r="L697">
        <v>156516488</v>
      </c>
      <c r="M697">
        <v>233670827</v>
      </c>
      <c r="N697">
        <v>248772539</v>
      </c>
      <c r="O697">
        <v>241438287</v>
      </c>
      <c r="P697">
        <v>208</v>
      </c>
      <c r="Q697" t="s">
        <v>1624</v>
      </c>
    </row>
    <row r="698" spans="1:17" x14ac:dyDescent="0.3">
      <c r="A698" t="s">
        <v>17</v>
      </c>
      <c r="B698" t="str">
        <f>"603515"</f>
        <v>603515</v>
      </c>
      <c r="C698" t="s">
        <v>1625</v>
      </c>
      <c r="D698" t="s">
        <v>1626</v>
      </c>
      <c r="F698">
        <v>689375557</v>
      </c>
      <c r="G698">
        <v>1030698405</v>
      </c>
      <c r="H698">
        <v>1113430089</v>
      </c>
      <c r="I698">
        <v>621051834</v>
      </c>
      <c r="J698">
        <v>1004383608</v>
      </c>
      <c r="K698">
        <v>1160046166</v>
      </c>
      <c r="L698">
        <v>414324327</v>
      </c>
      <c r="M698">
        <v>142357630</v>
      </c>
      <c r="N698">
        <v>512444808</v>
      </c>
      <c r="P698">
        <v>2557</v>
      </c>
      <c r="Q698" t="s">
        <v>1627</v>
      </c>
    </row>
    <row r="699" spans="1:17" x14ac:dyDescent="0.3">
      <c r="A699" t="s">
        <v>59</v>
      </c>
      <c r="B699" t="str">
        <f>"300773"</f>
        <v>300773</v>
      </c>
      <c r="C699" t="s">
        <v>1628</v>
      </c>
      <c r="D699" t="s">
        <v>1629</v>
      </c>
      <c r="F699">
        <v>1584020916</v>
      </c>
      <c r="G699">
        <v>1436441494</v>
      </c>
      <c r="H699">
        <v>1112955420</v>
      </c>
      <c r="I699">
        <v>621748014</v>
      </c>
      <c r="J699">
        <v>554398561</v>
      </c>
      <c r="K699">
        <v>224164121</v>
      </c>
      <c r="P699">
        <v>472</v>
      </c>
      <c r="Q699" t="s">
        <v>1630</v>
      </c>
    </row>
    <row r="700" spans="1:17" x14ac:dyDescent="0.3">
      <c r="A700" t="s">
        <v>17</v>
      </c>
      <c r="B700" t="str">
        <f>"603609"</f>
        <v>603609</v>
      </c>
      <c r="C700" t="s">
        <v>1631</v>
      </c>
      <c r="D700" t="s">
        <v>1128</v>
      </c>
      <c r="F700">
        <v>299160222</v>
      </c>
      <c r="G700">
        <v>765945453</v>
      </c>
      <c r="H700">
        <v>1111605967</v>
      </c>
      <c r="I700">
        <v>501404916</v>
      </c>
      <c r="J700">
        <v>611390371</v>
      </c>
      <c r="K700">
        <v>204935490</v>
      </c>
      <c r="L700">
        <v>465025294</v>
      </c>
      <c r="M700">
        <v>329674824</v>
      </c>
      <c r="N700">
        <v>139640297</v>
      </c>
      <c r="O700">
        <v>130781773</v>
      </c>
      <c r="P700">
        <v>507</v>
      </c>
      <c r="Q700" t="s">
        <v>1632</v>
      </c>
    </row>
    <row r="701" spans="1:17" x14ac:dyDescent="0.3">
      <c r="A701" t="s">
        <v>59</v>
      </c>
      <c r="B701" t="str">
        <f>"000829"</f>
        <v>000829</v>
      </c>
      <c r="C701" t="s">
        <v>1633</v>
      </c>
      <c r="D701" t="s">
        <v>1194</v>
      </c>
      <c r="F701">
        <v>-3379251855</v>
      </c>
      <c r="G701">
        <v>1468074480</v>
      </c>
      <c r="H701">
        <v>1110248715</v>
      </c>
      <c r="I701">
        <v>715986525</v>
      </c>
      <c r="J701">
        <v>1063648123</v>
      </c>
      <c r="K701">
        <v>-1097799162</v>
      </c>
      <c r="L701">
        <v>1339284443</v>
      </c>
      <c r="M701">
        <v>-782538703</v>
      </c>
      <c r="N701">
        <v>522873246</v>
      </c>
      <c r="O701">
        <v>-247384273</v>
      </c>
      <c r="P701">
        <v>187</v>
      </c>
      <c r="Q701" t="s">
        <v>1634</v>
      </c>
    </row>
    <row r="702" spans="1:17" x14ac:dyDescent="0.3">
      <c r="A702" t="s">
        <v>59</v>
      </c>
      <c r="B702" t="str">
        <f>"300080"</f>
        <v>300080</v>
      </c>
      <c r="C702" t="s">
        <v>1635</v>
      </c>
      <c r="D702" t="s">
        <v>1636</v>
      </c>
      <c r="F702">
        <v>-262768813</v>
      </c>
      <c r="G702">
        <v>249985561</v>
      </c>
      <c r="H702">
        <v>1107907966</v>
      </c>
      <c r="I702">
        <v>202713164</v>
      </c>
      <c r="J702">
        <v>-183707517</v>
      </c>
      <c r="K702">
        <v>21795034</v>
      </c>
      <c r="L702">
        <v>-312422020</v>
      </c>
      <c r="M702">
        <v>205119236</v>
      </c>
      <c r="N702">
        <v>-49812372</v>
      </c>
      <c r="O702">
        <v>-45263103</v>
      </c>
      <c r="P702">
        <v>111</v>
      </c>
      <c r="Q702" t="s">
        <v>1637</v>
      </c>
    </row>
    <row r="703" spans="1:17" x14ac:dyDescent="0.3">
      <c r="A703" t="s">
        <v>17</v>
      </c>
      <c r="B703" t="str">
        <f>"603766"</f>
        <v>603766</v>
      </c>
      <c r="C703" t="s">
        <v>1638</v>
      </c>
      <c r="D703" t="s">
        <v>1639</v>
      </c>
      <c r="F703">
        <v>1259785378</v>
      </c>
      <c r="G703">
        <v>1191289510</v>
      </c>
      <c r="H703">
        <v>1106289217</v>
      </c>
      <c r="I703">
        <v>1386887520</v>
      </c>
      <c r="J703">
        <v>1169219267</v>
      </c>
      <c r="K703">
        <v>1273632653</v>
      </c>
      <c r="L703">
        <v>1023575586</v>
      </c>
      <c r="M703">
        <v>733564383</v>
      </c>
      <c r="N703">
        <v>543808054</v>
      </c>
      <c r="O703">
        <v>484058699</v>
      </c>
      <c r="P703">
        <v>460</v>
      </c>
      <c r="Q703" t="s">
        <v>1640</v>
      </c>
    </row>
    <row r="704" spans="1:17" x14ac:dyDescent="0.3">
      <c r="A704" t="s">
        <v>59</v>
      </c>
      <c r="B704" t="str">
        <f>"002062"</f>
        <v>002062</v>
      </c>
      <c r="C704" t="s">
        <v>1641</v>
      </c>
      <c r="D704" t="s">
        <v>85</v>
      </c>
      <c r="F704">
        <v>412229139</v>
      </c>
      <c r="G704">
        <v>1117220631</v>
      </c>
      <c r="H704">
        <v>1104486523</v>
      </c>
      <c r="I704">
        <v>410218604</v>
      </c>
      <c r="J704">
        <v>1122233043</v>
      </c>
      <c r="K704">
        <v>1979566619</v>
      </c>
      <c r="L704">
        <v>1477327217</v>
      </c>
      <c r="M704">
        <v>-292625933</v>
      </c>
      <c r="N704">
        <v>34575077</v>
      </c>
      <c r="O704">
        <v>-325236678</v>
      </c>
      <c r="P704">
        <v>145</v>
      </c>
      <c r="Q704" t="s">
        <v>1642</v>
      </c>
    </row>
    <row r="705" spans="1:17" x14ac:dyDescent="0.3">
      <c r="A705" t="s">
        <v>59</v>
      </c>
      <c r="B705" t="str">
        <f>"000981"</f>
        <v>000981</v>
      </c>
      <c r="C705" t="s">
        <v>1643</v>
      </c>
      <c r="D705" t="s">
        <v>61</v>
      </c>
      <c r="F705">
        <v>-257848341</v>
      </c>
      <c r="G705">
        <v>514248988</v>
      </c>
      <c r="H705">
        <v>1098389060</v>
      </c>
      <c r="I705">
        <v>124204415</v>
      </c>
      <c r="J705">
        <v>1160233011</v>
      </c>
      <c r="K705">
        <v>396385193</v>
      </c>
      <c r="L705">
        <v>2630194214</v>
      </c>
      <c r="M705">
        <v>-539634349</v>
      </c>
      <c r="N705">
        <v>-30770359</v>
      </c>
      <c r="O705">
        <v>-476610742</v>
      </c>
      <c r="P705">
        <v>118</v>
      </c>
      <c r="Q705" t="s">
        <v>1644</v>
      </c>
    </row>
    <row r="706" spans="1:17" x14ac:dyDescent="0.3">
      <c r="A706" t="s">
        <v>17</v>
      </c>
      <c r="B706" t="str">
        <f>"601068"</f>
        <v>601068</v>
      </c>
      <c r="C706" t="s">
        <v>1645</v>
      </c>
      <c r="D706" t="s">
        <v>199</v>
      </c>
      <c r="F706">
        <v>734215040</v>
      </c>
      <c r="G706">
        <v>610735587</v>
      </c>
      <c r="H706">
        <v>1095976848</v>
      </c>
      <c r="I706">
        <v>570965784</v>
      </c>
      <c r="J706">
        <v>1640116686</v>
      </c>
      <c r="K706">
        <v>-1282740071</v>
      </c>
      <c r="L706">
        <v>-493023616</v>
      </c>
      <c r="P706">
        <v>109</v>
      </c>
      <c r="Q706" t="s">
        <v>1646</v>
      </c>
    </row>
    <row r="707" spans="1:17" x14ac:dyDescent="0.3">
      <c r="A707" t="s">
        <v>59</v>
      </c>
      <c r="B707" t="str">
        <f>"300197"</f>
        <v>300197</v>
      </c>
      <c r="C707" t="s">
        <v>1647</v>
      </c>
      <c r="D707" t="s">
        <v>1489</v>
      </c>
      <c r="F707">
        <v>-339478988</v>
      </c>
      <c r="G707">
        <v>-164233541</v>
      </c>
      <c r="H707">
        <v>1093054462</v>
      </c>
      <c r="I707">
        <v>394565217</v>
      </c>
      <c r="J707">
        <v>-854648346</v>
      </c>
      <c r="K707">
        <v>-627447852</v>
      </c>
      <c r="L707">
        <v>-56900225</v>
      </c>
      <c r="M707">
        <v>-241763512</v>
      </c>
      <c r="N707">
        <v>-301141350</v>
      </c>
      <c r="O707">
        <v>-244522202</v>
      </c>
      <c r="P707">
        <v>356</v>
      </c>
      <c r="Q707" t="s">
        <v>1648</v>
      </c>
    </row>
    <row r="708" spans="1:17" x14ac:dyDescent="0.3">
      <c r="A708" t="s">
        <v>59</v>
      </c>
      <c r="B708" t="str">
        <f>"300628"</f>
        <v>300628</v>
      </c>
      <c r="C708" t="s">
        <v>1649</v>
      </c>
      <c r="D708" t="s">
        <v>1650</v>
      </c>
      <c r="F708">
        <v>1107084694</v>
      </c>
      <c r="G708">
        <v>1127883817</v>
      </c>
      <c r="H708">
        <v>1092506408</v>
      </c>
      <c r="I708">
        <v>683545237</v>
      </c>
      <c r="J708">
        <v>515564328</v>
      </c>
      <c r="K708">
        <v>350237709</v>
      </c>
      <c r="L708">
        <v>230146910</v>
      </c>
      <c r="M708">
        <v>130302675</v>
      </c>
      <c r="P708">
        <v>2264</v>
      </c>
      <c r="Q708" t="s">
        <v>1651</v>
      </c>
    </row>
    <row r="709" spans="1:17" x14ac:dyDescent="0.3">
      <c r="A709" t="s">
        <v>59</v>
      </c>
      <c r="B709" t="str">
        <f>"000726"</f>
        <v>000726</v>
      </c>
      <c r="C709" t="s">
        <v>1652</v>
      </c>
      <c r="D709" t="s">
        <v>1090</v>
      </c>
      <c r="F709">
        <v>348137005</v>
      </c>
      <c r="G709">
        <v>593535923</v>
      </c>
      <c r="H709">
        <v>1086110576</v>
      </c>
      <c r="I709">
        <v>1430341663</v>
      </c>
      <c r="J709">
        <v>1038035053</v>
      </c>
      <c r="K709">
        <v>1310765281</v>
      </c>
      <c r="L709">
        <v>1027595404</v>
      </c>
      <c r="M709">
        <v>1112095349</v>
      </c>
      <c r="N709">
        <v>1453925022</v>
      </c>
      <c r="O709">
        <v>1170463169</v>
      </c>
      <c r="P709">
        <v>980</v>
      </c>
      <c r="Q709" t="s">
        <v>1653</v>
      </c>
    </row>
    <row r="710" spans="1:17" x14ac:dyDescent="0.3">
      <c r="A710" t="s">
        <v>17</v>
      </c>
      <c r="B710" t="str">
        <f>"600168"</f>
        <v>600168</v>
      </c>
      <c r="C710" t="s">
        <v>1654</v>
      </c>
      <c r="D710" t="s">
        <v>669</v>
      </c>
      <c r="F710">
        <v>198693965</v>
      </c>
      <c r="G710">
        <v>1124117635</v>
      </c>
      <c r="H710">
        <v>1084427076</v>
      </c>
      <c r="I710">
        <v>277306432</v>
      </c>
      <c r="J710">
        <v>152485827</v>
      </c>
      <c r="K710">
        <v>205718826</v>
      </c>
      <c r="L710">
        <v>280848213</v>
      </c>
      <c r="M710">
        <v>589595326</v>
      </c>
      <c r="N710">
        <v>535103554</v>
      </c>
      <c r="O710">
        <v>116896349</v>
      </c>
      <c r="P710">
        <v>168</v>
      </c>
      <c r="Q710" t="s">
        <v>1655</v>
      </c>
    </row>
    <row r="711" spans="1:17" x14ac:dyDescent="0.3">
      <c r="A711" t="s">
        <v>17</v>
      </c>
      <c r="B711" t="str">
        <f>"603899"</f>
        <v>603899</v>
      </c>
      <c r="C711" t="s">
        <v>1656</v>
      </c>
      <c r="D711" t="s">
        <v>1657</v>
      </c>
      <c r="F711">
        <v>1561196421</v>
      </c>
      <c r="G711">
        <v>1271697892</v>
      </c>
      <c r="H711">
        <v>1081941384</v>
      </c>
      <c r="I711">
        <v>827940566</v>
      </c>
      <c r="J711">
        <v>717497928</v>
      </c>
      <c r="K711">
        <v>681593722</v>
      </c>
      <c r="L711">
        <v>497265602</v>
      </c>
      <c r="M711">
        <v>342513938</v>
      </c>
      <c r="N711">
        <v>218969529</v>
      </c>
      <c r="O711">
        <v>275207431</v>
      </c>
      <c r="P711">
        <v>25827</v>
      </c>
      <c r="Q711" t="s">
        <v>1658</v>
      </c>
    </row>
    <row r="712" spans="1:17" x14ac:dyDescent="0.3">
      <c r="A712" t="s">
        <v>17</v>
      </c>
      <c r="B712" t="str">
        <f>"601799"</f>
        <v>601799</v>
      </c>
      <c r="C712" t="s">
        <v>1659</v>
      </c>
      <c r="D712" t="s">
        <v>575</v>
      </c>
      <c r="F712">
        <v>519575258</v>
      </c>
      <c r="G712">
        <v>1875437867</v>
      </c>
      <c r="H712">
        <v>1080001538</v>
      </c>
      <c r="I712">
        <v>682738302</v>
      </c>
      <c r="J712">
        <v>873555056</v>
      </c>
      <c r="K712">
        <v>339652244</v>
      </c>
      <c r="L712">
        <v>199627006</v>
      </c>
      <c r="M712">
        <v>385926434</v>
      </c>
      <c r="N712">
        <v>222123386</v>
      </c>
      <c r="O712">
        <v>28028127</v>
      </c>
      <c r="P712">
        <v>1014</v>
      </c>
      <c r="Q712" t="s">
        <v>1660</v>
      </c>
    </row>
    <row r="713" spans="1:17" x14ac:dyDescent="0.3">
      <c r="A713" t="s">
        <v>59</v>
      </c>
      <c r="B713" t="str">
        <f>"002583"</f>
        <v>002583</v>
      </c>
      <c r="C713" t="s">
        <v>1661</v>
      </c>
      <c r="D713" t="s">
        <v>352</v>
      </c>
      <c r="F713">
        <v>704038628</v>
      </c>
      <c r="G713">
        <v>687866455</v>
      </c>
      <c r="H713">
        <v>1078750948</v>
      </c>
      <c r="I713">
        <v>96832041</v>
      </c>
      <c r="J713">
        <v>-243261313</v>
      </c>
      <c r="K713">
        <v>-403875331</v>
      </c>
      <c r="L713">
        <v>59621015</v>
      </c>
      <c r="M713">
        <v>116038070</v>
      </c>
      <c r="N713">
        <v>76601818</v>
      </c>
      <c r="O713">
        <v>-37570883</v>
      </c>
      <c r="P713">
        <v>397</v>
      </c>
      <c r="Q713" t="s">
        <v>1662</v>
      </c>
    </row>
    <row r="714" spans="1:17" x14ac:dyDescent="0.3">
      <c r="A714" t="s">
        <v>17</v>
      </c>
      <c r="B714" t="str">
        <f>"600035"</f>
        <v>600035</v>
      </c>
      <c r="C714" t="s">
        <v>1663</v>
      </c>
      <c r="D714" t="s">
        <v>406</v>
      </c>
      <c r="F714">
        <v>1605442189</v>
      </c>
      <c r="G714">
        <v>1298192797</v>
      </c>
      <c r="H714">
        <v>1076548568</v>
      </c>
      <c r="I714">
        <v>602409238</v>
      </c>
      <c r="J714">
        <v>833854387</v>
      </c>
      <c r="K714">
        <v>871510845</v>
      </c>
      <c r="L714">
        <v>689281608</v>
      </c>
      <c r="M714">
        <v>707963920</v>
      </c>
      <c r="N714">
        <v>629800170</v>
      </c>
      <c r="O714">
        <v>661137265</v>
      </c>
      <c r="P714">
        <v>290</v>
      </c>
      <c r="Q714" t="s">
        <v>1664</v>
      </c>
    </row>
    <row r="715" spans="1:17" x14ac:dyDescent="0.3">
      <c r="A715" t="s">
        <v>17</v>
      </c>
      <c r="B715" t="str">
        <f>"600737"</f>
        <v>600737</v>
      </c>
      <c r="C715" t="s">
        <v>1665</v>
      </c>
      <c r="D715" t="s">
        <v>623</v>
      </c>
      <c r="F715">
        <v>59071738</v>
      </c>
      <c r="G715">
        <v>1010910139</v>
      </c>
      <c r="H715">
        <v>1072274636</v>
      </c>
      <c r="I715">
        <v>2425016630</v>
      </c>
      <c r="J715">
        <v>5355363210</v>
      </c>
      <c r="K715">
        <v>-1415467299</v>
      </c>
      <c r="L715">
        <v>714619442</v>
      </c>
      <c r="M715">
        <v>-2195222484</v>
      </c>
      <c r="N715">
        <v>839584228</v>
      </c>
      <c r="O715">
        <v>689888265</v>
      </c>
      <c r="P715">
        <v>515</v>
      </c>
      <c r="Q715" t="s">
        <v>1666</v>
      </c>
    </row>
    <row r="716" spans="1:17" x14ac:dyDescent="0.3">
      <c r="A716" t="s">
        <v>59</v>
      </c>
      <c r="B716" t="str">
        <f>"000878"</f>
        <v>000878</v>
      </c>
      <c r="C716" t="s">
        <v>1667</v>
      </c>
      <c r="D716" t="s">
        <v>259</v>
      </c>
      <c r="F716">
        <v>5066449890</v>
      </c>
      <c r="G716">
        <v>4883826933</v>
      </c>
      <c r="H716">
        <v>1071082934</v>
      </c>
      <c r="I716">
        <v>2222610361</v>
      </c>
      <c r="J716">
        <v>-1179509929</v>
      </c>
      <c r="K716">
        <v>2736761884</v>
      </c>
      <c r="L716">
        <v>1113142799</v>
      </c>
      <c r="M716">
        <v>4461053715</v>
      </c>
      <c r="N716">
        <v>4246891108</v>
      </c>
      <c r="O716">
        <v>2413955783</v>
      </c>
      <c r="P716">
        <v>418</v>
      </c>
      <c r="Q716" t="s">
        <v>1668</v>
      </c>
    </row>
    <row r="717" spans="1:17" x14ac:dyDescent="0.3">
      <c r="A717" t="s">
        <v>17</v>
      </c>
      <c r="B717" t="str">
        <f>"600570"</f>
        <v>600570</v>
      </c>
      <c r="C717" t="s">
        <v>1669</v>
      </c>
      <c r="D717" t="s">
        <v>1528</v>
      </c>
      <c r="F717">
        <v>956789306</v>
      </c>
      <c r="G717">
        <v>1397902270</v>
      </c>
      <c r="H717">
        <v>1070787954</v>
      </c>
      <c r="I717">
        <v>937082661</v>
      </c>
      <c r="J717">
        <v>804877031</v>
      </c>
      <c r="K717">
        <v>439910131</v>
      </c>
      <c r="L717">
        <v>991663413</v>
      </c>
      <c r="M717">
        <v>613534744</v>
      </c>
      <c r="N717">
        <v>397944298</v>
      </c>
      <c r="O717">
        <v>339069107</v>
      </c>
      <c r="P717">
        <v>2779</v>
      </c>
      <c r="Q717" t="s">
        <v>1670</v>
      </c>
    </row>
    <row r="718" spans="1:17" x14ac:dyDescent="0.3">
      <c r="A718" t="s">
        <v>17</v>
      </c>
      <c r="B718" t="str">
        <f>"600780"</f>
        <v>600780</v>
      </c>
      <c r="C718" t="s">
        <v>1671</v>
      </c>
      <c r="D718" t="s">
        <v>98</v>
      </c>
      <c r="F718">
        <v>910328740</v>
      </c>
      <c r="G718">
        <v>1030499318</v>
      </c>
      <c r="H718">
        <v>1069224350</v>
      </c>
      <c r="I718">
        <v>1126440611</v>
      </c>
      <c r="J718">
        <v>931793064</v>
      </c>
      <c r="K718">
        <v>1138926002</v>
      </c>
      <c r="L718">
        <v>1119915321</v>
      </c>
      <c r="M718">
        <v>1454190443</v>
      </c>
      <c r="N718">
        <v>1418245946</v>
      </c>
      <c r="O718">
        <v>1194831678</v>
      </c>
      <c r="P718">
        <v>108</v>
      </c>
      <c r="Q718" t="s">
        <v>1672</v>
      </c>
    </row>
    <row r="719" spans="1:17" x14ac:dyDescent="0.3">
      <c r="A719" t="s">
        <v>59</v>
      </c>
      <c r="B719" t="str">
        <f>"002585"</f>
        <v>002585</v>
      </c>
      <c r="C719" t="s">
        <v>1673</v>
      </c>
      <c r="D719" t="s">
        <v>1674</v>
      </c>
      <c r="F719">
        <v>1041361146</v>
      </c>
      <c r="G719">
        <v>1184206285</v>
      </c>
      <c r="H719">
        <v>1066072946</v>
      </c>
      <c r="I719">
        <v>173464127</v>
      </c>
      <c r="J719">
        <v>13017412</v>
      </c>
      <c r="K719">
        <v>124260815</v>
      </c>
      <c r="L719">
        <v>12931648</v>
      </c>
      <c r="M719">
        <v>46864702</v>
      </c>
      <c r="N719">
        <v>22946785</v>
      </c>
      <c r="O719">
        <v>80464488</v>
      </c>
      <c r="P719">
        <v>382</v>
      </c>
      <c r="Q719" t="s">
        <v>1675</v>
      </c>
    </row>
    <row r="720" spans="1:17" x14ac:dyDescent="0.3">
      <c r="A720" t="s">
        <v>59</v>
      </c>
      <c r="B720" t="str">
        <f>"002463"</f>
        <v>002463</v>
      </c>
      <c r="C720" t="s">
        <v>1676</v>
      </c>
      <c r="D720" t="s">
        <v>539</v>
      </c>
      <c r="F720">
        <v>1410432087</v>
      </c>
      <c r="G720">
        <v>1565370313</v>
      </c>
      <c r="H720">
        <v>1064181249</v>
      </c>
      <c r="I720">
        <v>752382482</v>
      </c>
      <c r="J720">
        <v>154481565</v>
      </c>
      <c r="K720">
        <v>310087332</v>
      </c>
      <c r="L720">
        <v>132423656</v>
      </c>
      <c r="M720">
        <v>57975154</v>
      </c>
      <c r="N720">
        <v>343463839</v>
      </c>
      <c r="O720">
        <v>471597908</v>
      </c>
      <c r="P720">
        <v>3004</v>
      </c>
      <c r="Q720" t="s">
        <v>1677</v>
      </c>
    </row>
    <row r="721" spans="1:17" x14ac:dyDescent="0.3">
      <c r="A721" t="s">
        <v>17</v>
      </c>
      <c r="B721" t="str">
        <f>"600872"</f>
        <v>600872</v>
      </c>
      <c r="C721" t="s">
        <v>1678</v>
      </c>
      <c r="D721" t="s">
        <v>375</v>
      </c>
      <c r="F721">
        <v>1212493364</v>
      </c>
      <c r="G721">
        <v>1000999170</v>
      </c>
      <c r="H721">
        <v>1058869198</v>
      </c>
      <c r="I721">
        <v>723569594</v>
      </c>
      <c r="J721">
        <v>650615660</v>
      </c>
      <c r="K721">
        <v>676669245</v>
      </c>
      <c r="L721">
        <v>393949066</v>
      </c>
      <c r="M721">
        <v>334963620</v>
      </c>
      <c r="N721">
        <v>135067181</v>
      </c>
      <c r="O721">
        <v>242084618</v>
      </c>
      <c r="P721">
        <v>2534</v>
      </c>
      <c r="Q721" t="s">
        <v>1679</v>
      </c>
    </row>
    <row r="722" spans="1:17" x14ac:dyDescent="0.3">
      <c r="A722" t="s">
        <v>17</v>
      </c>
      <c r="B722" t="str">
        <f>"600277"</f>
        <v>600277</v>
      </c>
      <c r="C722" t="s">
        <v>1680</v>
      </c>
      <c r="D722" t="s">
        <v>317</v>
      </c>
      <c r="F722">
        <v>2173232374</v>
      </c>
      <c r="G722">
        <v>1774595322</v>
      </c>
      <c r="H722">
        <v>1055492932</v>
      </c>
      <c r="I722">
        <v>3618790592</v>
      </c>
      <c r="J722">
        <v>1355387301</v>
      </c>
      <c r="K722">
        <v>377327498</v>
      </c>
      <c r="L722">
        <v>1101736346</v>
      </c>
      <c r="M722">
        <v>478267192</v>
      </c>
      <c r="N722">
        <v>82037151</v>
      </c>
      <c r="O722">
        <v>260695176</v>
      </c>
      <c r="P722">
        <v>187</v>
      </c>
      <c r="Q722" t="s">
        <v>1681</v>
      </c>
    </row>
    <row r="723" spans="1:17" x14ac:dyDescent="0.3">
      <c r="A723" t="s">
        <v>59</v>
      </c>
      <c r="B723" t="str">
        <f>"002928"</f>
        <v>002928</v>
      </c>
      <c r="C723" t="s">
        <v>1682</v>
      </c>
      <c r="D723" t="s">
        <v>93</v>
      </c>
      <c r="F723">
        <v>915326273</v>
      </c>
      <c r="G723">
        <v>1007667347</v>
      </c>
      <c r="H723">
        <v>1054200477</v>
      </c>
      <c r="I723">
        <v>521337391</v>
      </c>
      <c r="J723">
        <v>685345345</v>
      </c>
      <c r="K723">
        <v>758119836</v>
      </c>
      <c r="L723">
        <v>600816964</v>
      </c>
      <c r="P723">
        <v>333</v>
      </c>
      <c r="Q723" t="s">
        <v>1683</v>
      </c>
    </row>
    <row r="724" spans="1:17" x14ac:dyDescent="0.3">
      <c r="A724" t="s">
        <v>59</v>
      </c>
      <c r="B724" t="str">
        <f>"200011"</f>
        <v>200011</v>
      </c>
      <c r="C724" t="s">
        <v>1684</v>
      </c>
      <c r="F724">
        <v>-2217319147.4052</v>
      </c>
      <c r="G724">
        <v>457238919.23019999</v>
      </c>
      <c r="H724">
        <v>1051154629.571</v>
      </c>
      <c r="I724">
        <v>1279212825.5280001</v>
      </c>
      <c r="J724">
        <v>-415592967.15219998</v>
      </c>
      <c r="K724">
        <v>2513728368.4646001</v>
      </c>
      <c r="L724">
        <v>369769619.93099999</v>
      </c>
      <c r="M724">
        <v>-18289672.072799999</v>
      </c>
      <c r="N724">
        <v>141530863.76100001</v>
      </c>
      <c r="O724">
        <v>1002791889.5862</v>
      </c>
      <c r="P724">
        <v>176</v>
      </c>
      <c r="Q724" t="s">
        <v>1685</v>
      </c>
    </row>
    <row r="725" spans="1:17" x14ac:dyDescent="0.3">
      <c r="A725" t="s">
        <v>59</v>
      </c>
      <c r="B725" t="str">
        <f>"002250"</f>
        <v>002250</v>
      </c>
      <c r="C725" t="s">
        <v>1686</v>
      </c>
      <c r="D725" t="s">
        <v>1356</v>
      </c>
      <c r="F725">
        <v>737788383</v>
      </c>
      <c r="G725">
        <v>1379278349</v>
      </c>
      <c r="H725">
        <v>1050524583</v>
      </c>
      <c r="I725">
        <v>537120153</v>
      </c>
      <c r="J725">
        <v>588838243</v>
      </c>
      <c r="K725">
        <v>547797623</v>
      </c>
      <c r="L725">
        <v>644575114</v>
      </c>
      <c r="M725">
        <v>633714625</v>
      </c>
      <c r="N725">
        <v>465126188</v>
      </c>
      <c r="O725">
        <v>501702908</v>
      </c>
      <c r="P725">
        <v>348</v>
      </c>
      <c r="Q725" t="s">
        <v>1687</v>
      </c>
    </row>
    <row r="726" spans="1:17" x14ac:dyDescent="0.3">
      <c r="A726" t="s">
        <v>17</v>
      </c>
      <c r="B726" t="str">
        <f>"600399"</f>
        <v>600399</v>
      </c>
      <c r="C726" t="s">
        <v>1688</v>
      </c>
      <c r="D726" t="s">
        <v>330</v>
      </c>
      <c r="F726">
        <v>340168390</v>
      </c>
      <c r="G726">
        <v>619595383</v>
      </c>
      <c r="H726">
        <v>1050030147</v>
      </c>
      <c r="I726">
        <v>-124172658</v>
      </c>
      <c r="J726">
        <v>671135719</v>
      </c>
      <c r="K726">
        <v>-147617751</v>
      </c>
      <c r="L726">
        <v>123966873</v>
      </c>
      <c r="M726">
        <v>805724634</v>
      </c>
      <c r="N726">
        <v>172434845</v>
      </c>
      <c r="O726">
        <v>-63594801</v>
      </c>
      <c r="P726">
        <v>256</v>
      </c>
      <c r="Q726" t="s">
        <v>1689</v>
      </c>
    </row>
    <row r="727" spans="1:17" x14ac:dyDescent="0.3">
      <c r="A727" t="s">
        <v>59</v>
      </c>
      <c r="B727" t="str">
        <f>"000581"</f>
        <v>000581</v>
      </c>
      <c r="C727" t="s">
        <v>1690</v>
      </c>
      <c r="D727" t="s">
        <v>156</v>
      </c>
      <c r="F727">
        <v>627712593</v>
      </c>
      <c r="G727">
        <v>781811234</v>
      </c>
      <c r="H727">
        <v>1048670053</v>
      </c>
      <c r="I727">
        <v>874381527</v>
      </c>
      <c r="J727">
        <v>957697901</v>
      </c>
      <c r="K727">
        <v>527344364</v>
      </c>
      <c r="L727">
        <v>542045770</v>
      </c>
      <c r="M727">
        <v>889899655</v>
      </c>
      <c r="N727">
        <v>803958123</v>
      </c>
      <c r="O727">
        <v>1165759218</v>
      </c>
      <c r="P727">
        <v>1711</v>
      </c>
      <c r="Q727" t="s">
        <v>1691</v>
      </c>
    </row>
    <row r="728" spans="1:17" x14ac:dyDescent="0.3">
      <c r="A728" t="s">
        <v>17</v>
      </c>
      <c r="B728" t="str">
        <f>"600804"</f>
        <v>600804</v>
      </c>
      <c r="C728" t="s">
        <v>1692</v>
      </c>
      <c r="D728" t="s">
        <v>34</v>
      </c>
      <c r="F728">
        <v>-23196871</v>
      </c>
      <c r="G728">
        <v>-268933548</v>
      </c>
      <c r="H728">
        <v>1048635841</v>
      </c>
      <c r="I728">
        <v>2183351007</v>
      </c>
      <c r="J728">
        <v>3483404441</v>
      </c>
      <c r="K728">
        <v>4139121660</v>
      </c>
      <c r="L728">
        <v>4658092228</v>
      </c>
      <c r="M728">
        <v>3830568915</v>
      </c>
      <c r="N728">
        <v>3206799363</v>
      </c>
      <c r="O728">
        <v>1144555615</v>
      </c>
      <c r="P728">
        <v>460</v>
      </c>
      <c r="Q728" t="s">
        <v>1693</v>
      </c>
    </row>
    <row r="729" spans="1:17" x14ac:dyDescent="0.3">
      <c r="A729" t="s">
        <v>59</v>
      </c>
      <c r="B729" t="str">
        <f>"000861"</f>
        <v>000861</v>
      </c>
      <c r="C729" t="s">
        <v>1694</v>
      </c>
      <c r="D729" t="s">
        <v>548</v>
      </c>
      <c r="F729">
        <v>636534094</v>
      </c>
      <c r="G729">
        <v>944882473</v>
      </c>
      <c r="H729">
        <v>1047267312</v>
      </c>
      <c r="I729">
        <v>509689537</v>
      </c>
      <c r="J729">
        <v>422898201</v>
      </c>
      <c r="K729">
        <v>507117107</v>
      </c>
      <c r="L729">
        <v>363352766</v>
      </c>
      <c r="M729">
        <v>365209145</v>
      </c>
      <c r="N729">
        <v>131902155</v>
      </c>
      <c r="O729">
        <v>238123610</v>
      </c>
      <c r="P729">
        <v>184</v>
      </c>
      <c r="Q729" t="s">
        <v>1695</v>
      </c>
    </row>
    <row r="730" spans="1:17" x14ac:dyDescent="0.3">
      <c r="A730" t="s">
        <v>59</v>
      </c>
      <c r="B730" t="str">
        <f>"300459"</f>
        <v>300459</v>
      </c>
      <c r="C730" t="s">
        <v>1696</v>
      </c>
      <c r="D730" t="s">
        <v>689</v>
      </c>
      <c r="F730">
        <v>1134682072</v>
      </c>
      <c r="G730">
        <v>1075838684</v>
      </c>
      <c r="H730">
        <v>1041419182</v>
      </c>
      <c r="I730">
        <v>799741347</v>
      </c>
      <c r="J730">
        <v>217228434</v>
      </c>
      <c r="K730">
        <v>337516820</v>
      </c>
      <c r="L730">
        <v>128193409</v>
      </c>
      <c r="M730">
        <v>103131278</v>
      </c>
      <c r="N730">
        <v>62878724</v>
      </c>
      <c r="O730">
        <v>117394450</v>
      </c>
      <c r="P730">
        <v>287</v>
      </c>
      <c r="Q730" t="s">
        <v>1697</v>
      </c>
    </row>
    <row r="731" spans="1:17" x14ac:dyDescent="0.3">
      <c r="A731" t="s">
        <v>59</v>
      </c>
      <c r="B731" t="str">
        <f>"300409"</f>
        <v>300409</v>
      </c>
      <c r="C731" t="s">
        <v>1698</v>
      </c>
      <c r="D731" t="s">
        <v>1444</v>
      </c>
      <c r="F731">
        <v>445615132</v>
      </c>
      <c r="G731">
        <v>534005407</v>
      </c>
      <c r="H731">
        <v>1040753619</v>
      </c>
      <c r="I731">
        <v>592801900</v>
      </c>
      <c r="J731">
        <v>-63257269</v>
      </c>
      <c r="K731">
        <v>-36262044</v>
      </c>
      <c r="L731">
        <v>-71918921</v>
      </c>
      <c r="M731">
        <v>48027280</v>
      </c>
      <c r="N731">
        <v>-157650</v>
      </c>
      <c r="O731">
        <v>16324348</v>
      </c>
      <c r="P731">
        <v>240</v>
      </c>
      <c r="Q731" t="s">
        <v>1699</v>
      </c>
    </row>
    <row r="732" spans="1:17" x14ac:dyDescent="0.3">
      <c r="A732" t="s">
        <v>17</v>
      </c>
      <c r="B732" t="str">
        <f>"600141"</f>
        <v>600141</v>
      </c>
      <c r="C732" t="s">
        <v>1700</v>
      </c>
      <c r="D732" t="s">
        <v>533</v>
      </c>
      <c r="F732">
        <v>5336999674</v>
      </c>
      <c r="G732">
        <v>2405076481</v>
      </c>
      <c r="H732">
        <v>1035783820</v>
      </c>
      <c r="I732">
        <v>1898728467</v>
      </c>
      <c r="J732">
        <v>1902792854</v>
      </c>
      <c r="K732">
        <v>1145932853</v>
      </c>
      <c r="L732">
        <v>738986675</v>
      </c>
      <c r="M732">
        <v>664964861</v>
      </c>
      <c r="N732">
        <v>226804884</v>
      </c>
      <c r="O732">
        <v>410495182</v>
      </c>
      <c r="P732">
        <v>426</v>
      </c>
      <c r="Q732" t="s">
        <v>1701</v>
      </c>
    </row>
    <row r="733" spans="1:17" x14ac:dyDescent="0.3">
      <c r="A733" t="s">
        <v>59</v>
      </c>
      <c r="B733" t="str">
        <f>"000957"</f>
        <v>000957</v>
      </c>
      <c r="C733" t="s">
        <v>1702</v>
      </c>
      <c r="D733" t="s">
        <v>427</v>
      </c>
      <c r="F733">
        <v>910618977</v>
      </c>
      <c r="G733">
        <v>291210770</v>
      </c>
      <c r="H733">
        <v>1035126765</v>
      </c>
      <c r="I733">
        <v>-747113184</v>
      </c>
      <c r="J733">
        <v>-946815047</v>
      </c>
      <c r="K733">
        <v>-16540456</v>
      </c>
      <c r="L733">
        <v>-605013752</v>
      </c>
      <c r="M733">
        <v>235937166</v>
      </c>
      <c r="N733">
        <v>260569349</v>
      </c>
      <c r="O733">
        <v>139055456</v>
      </c>
      <c r="P733">
        <v>227</v>
      </c>
      <c r="Q733" t="s">
        <v>1703</v>
      </c>
    </row>
    <row r="734" spans="1:17" x14ac:dyDescent="0.3">
      <c r="A734" t="s">
        <v>17</v>
      </c>
      <c r="B734" t="str">
        <f>"601969"</f>
        <v>601969</v>
      </c>
      <c r="C734" t="s">
        <v>1704</v>
      </c>
      <c r="D734" t="s">
        <v>1705</v>
      </c>
      <c r="F734">
        <v>771119680</v>
      </c>
      <c r="G734">
        <v>296578490</v>
      </c>
      <c r="H734">
        <v>1034802280</v>
      </c>
      <c r="I734">
        <v>91735135</v>
      </c>
      <c r="J734">
        <v>253061337</v>
      </c>
      <c r="K734">
        <v>388138875</v>
      </c>
      <c r="L734">
        <v>-110995456</v>
      </c>
      <c r="M734">
        <v>482113863</v>
      </c>
      <c r="N734">
        <v>941515355</v>
      </c>
      <c r="O734">
        <v>1154328454</v>
      </c>
      <c r="P734">
        <v>154</v>
      </c>
      <c r="Q734" t="s">
        <v>1706</v>
      </c>
    </row>
    <row r="735" spans="1:17" x14ac:dyDescent="0.3">
      <c r="A735" t="s">
        <v>17</v>
      </c>
      <c r="B735" t="str">
        <f>"603883"</f>
        <v>603883</v>
      </c>
      <c r="C735" t="s">
        <v>1707</v>
      </c>
      <c r="D735" t="s">
        <v>1183</v>
      </c>
      <c r="F735">
        <v>2298296544</v>
      </c>
      <c r="G735">
        <v>1447477850</v>
      </c>
      <c r="H735">
        <v>1032537177</v>
      </c>
      <c r="I735">
        <v>913025557</v>
      </c>
      <c r="J735">
        <v>492131548</v>
      </c>
      <c r="K735">
        <v>313257834</v>
      </c>
      <c r="L735">
        <v>257149257</v>
      </c>
      <c r="M735">
        <v>247144683</v>
      </c>
      <c r="N735">
        <v>136517629</v>
      </c>
      <c r="O735">
        <v>148854663</v>
      </c>
      <c r="P735">
        <v>868</v>
      </c>
      <c r="Q735" t="s">
        <v>1708</v>
      </c>
    </row>
    <row r="736" spans="1:17" x14ac:dyDescent="0.3">
      <c r="A736" t="s">
        <v>17</v>
      </c>
      <c r="B736" t="str">
        <f>"603517"</f>
        <v>603517</v>
      </c>
      <c r="C736" t="s">
        <v>1709</v>
      </c>
      <c r="D736" t="s">
        <v>1710</v>
      </c>
      <c r="F736">
        <v>1085957521</v>
      </c>
      <c r="G736">
        <v>915699232</v>
      </c>
      <c r="H736">
        <v>1027810664</v>
      </c>
      <c r="I736">
        <v>484614129</v>
      </c>
      <c r="J736">
        <v>641304831</v>
      </c>
      <c r="K736">
        <v>493892190</v>
      </c>
      <c r="L736">
        <v>215342161</v>
      </c>
      <c r="M736">
        <v>426249147</v>
      </c>
      <c r="N736">
        <v>192039816</v>
      </c>
      <c r="P736">
        <v>2367</v>
      </c>
      <c r="Q736" t="s">
        <v>1711</v>
      </c>
    </row>
    <row r="737" spans="1:17" x14ac:dyDescent="0.3">
      <c r="A737" t="s">
        <v>59</v>
      </c>
      <c r="B737" t="str">
        <f>"000990"</f>
        <v>000990</v>
      </c>
      <c r="C737" t="s">
        <v>1712</v>
      </c>
      <c r="D737" t="s">
        <v>611</v>
      </c>
      <c r="F737">
        <v>1694386012</v>
      </c>
      <c r="G737">
        <v>1263880831</v>
      </c>
      <c r="H737">
        <v>1021365266</v>
      </c>
      <c r="I737">
        <v>1315804630</v>
      </c>
      <c r="J737">
        <v>1601772739</v>
      </c>
      <c r="K737">
        <v>-20689322</v>
      </c>
      <c r="L737">
        <v>-146216767</v>
      </c>
      <c r="M737">
        <v>-142259060</v>
      </c>
      <c r="N737">
        <v>193845468</v>
      </c>
      <c r="O737">
        <v>111526031</v>
      </c>
      <c r="P737">
        <v>194</v>
      </c>
      <c r="Q737" t="s">
        <v>1713</v>
      </c>
    </row>
    <row r="738" spans="1:17" x14ac:dyDescent="0.3">
      <c r="A738" t="s">
        <v>59</v>
      </c>
      <c r="B738" t="str">
        <f>"000048"</f>
        <v>000048</v>
      </c>
      <c r="C738" t="s">
        <v>1714</v>
      </c>
      <c r="D738" t="s">
        <v>61</v>
      </c>
      <c r="F738">
        <v>2640721395</v>
      </c>
      <c r="G738">
        <v>1806061155</v>
      </c>
      <c r="H738">
        <v>1013811299</v>
      </c>
      <c r="I738">
        <v>1078635007</v>
      </c>
      <c r="J738">
        <v>328717922</v>
      </c>
      <c r="K738">
        <v>-617796417</v>
      </c>
      <c r="L738">
        <v>310049930</v>
      </c>
      <c r="M738">
        <v>508303199</v>
      </c>
      <c r="N738">
        <v>-76003714</v>
      </c>
      <c r="O738">
        <v>-25169754</v>
      </c>
      <c r="P738">
        <v>588</v>
      </c>
      <c r="Q738" t="s">
        <v>1715</v>
      </c>
    </row>
    <row r="739" spans="1:17" x14ac:dyDescent="0.3">
      <c r="A739" t="s">
        <v>17</v>
      </c>
      <c r="B739" t="str">
        <f>"600375"</f>
        <v>600375</v>
      </c>
      <c r="C739" t="s">
        <v>1716</v>
      </c>
      <c r="D739" t="s">
        <v>235</v>
      </c>
      <c r="F739">
        <v>363184289</v>
      </c>
      <c r="G739">
        <v>-75992391</v>
      </c>
      <c r="H739">
        <v>1013730165</v>
      </c>
      <c r="I739">
        <v>-394375287</v>
      </c>
      <c r="J739">
        <v>46021963</v>
      </c>
      <c r="K739">
        <v>689192318</v>
      </c>
      <c r="L739">
        <v>517680767</v>
      </c>
      <c r="M739">
        <v>-240853368</v>
      </c>
      <c r="N739">
        <v>465858904</v>
      </c>
      <c r="O739">
        <v>765755333</v>
      </c>
      <c r="P739">
        <v>87</v>
      </c>
      <c r="Q739" t="s">
        <v>1717</v>
      </c>
    </row>
    <row r="740" spans="1:17" x14ac:dyDescent="0.3">
      <c r="A740" t="s">
        <v>17</v>
      </c>
      <c r="B740" t="str">
        <f>"600531"</f>
        <v>600531</v>
      </c>
      <c r="C740" t="s">
        <v>1718</v>
      </c>
      <c r="D740" t="s">
        <v>856</v>
      </c>
      <c r="F740">
        <v>-434750044</v>
      </c>
      <c r="G740">
        <v>454576798</v>
      </c>
      <c r="H740">
        <v>1008490043</v>
      </c>
      <c r="I740">
        <v>717449136</v>
      </c>
      <c r="J740">
        <v>119111060</v>
      </c>
      <c r="K740">
        <v>-1119590239</v>
      </c>
      <c r="L740">
        <v>1311367839</v>
      </c>
      <c r="M740">
        <v>87703786</v>
      </c>
      <c r="N740">
        <v>-1008039092</v>
      </c>
      <c r="O740">
        <v>152000131</v>
      </c>
      <c r="P740">
        <v>148</v>
      </c>
      <c r="Q740" t="s">
        <v>1719</v>
      </c>
    </row>
    <row r="741" spans="1:17" x14ac:dyDescent="0.3">
      <c r="A741" t="s">
        <v>59</v>
      </c>
      <c r="B741" t="str">
        <f>"000698"</f>
        <v>000698</v>
      </c>
      <c r="C741" t="s">
        <v>1720</v>
      </c>
      <c r="D741" t="s">
        <v>24</v>
      </c>
      <c r="F741">
        <v>1519229208</v>
      </c>
      <c r="G741">
        <v>-386274519</v>
      </c>
      <c r="H741">
        <v>1007803547</v>
      </c>
      <c r="I741">
        <v>64500854</v>
      </c>
      <c r="J741">
        <v>197397024</v>
      </c>
      <c r="K741">
        <v>721523686</v>
      </c>
      <c r="L741">
        <v>560922802</v>
      </c>
      <c r="M741">
        <v>77431963</v>
      </c>
      <c r="N741">
        <v>416123337</v>
      </c>
      <c r="O741">
        <v>-3626777</v>
      </c>
      <c r="P741">
        <v>166</v>
      </c>
      <c r="Q741" t="s">
        <v>1721</v>
      </c>
    </row>
    <row r="742" spans="1:17" x14ac:dyDescent="0.3">
      <c r="A742" t="s">
        <v>17</v>
      </c>
      <c r="B742" t="str">
        <f>"600713"</f>
        <v>600713</v>
      </c>
      <c r="C742" t="s">
        <v>1722</v>
      </c>
      <c r="D742" t="s">
        <v>396</v>
      </c>
      <c r="F742">
        <v>695330717</v>
      </c>
      <c r="G742">
        <v>-1152462957</v>
      </c>
      <c r="H742">
        <v>1003954576</v>
      </c>
      <c r="I742">
        <v>-366901541</v>
      </c>
      <c r="J742">
        <v>187697616</v>
      </c>
      <c r="K742">
        <v>-240877981</v>
      </c>
      <c r="L742">
        <v>-306084135</v>
      </c>
      <c r="M742">
        <v>-341013666</v>
      </c>
      <c r="N742">
        <v>-354268279</v>
      </c>
      <c r="O742">
        <v>168168397</v>
      </c>
      <c r="P742">
        <v>188</v>
      </c>
      <c r="Q742" t="s">
        <v>1723</v>
      </c>
    </row>
    <row r="743" spans="1:17" x14ac:dyDescent="0.3">
      <c r="A743" t="s">
        <v>17</v>
      </c>
      <c r="B743" t="str">
        <f>"600987"</f>
        <v>600987</v>
      </c>
      <c r="C743" t="s">
        <v>1724</v>
      </c>
      <c r="D743" t="s">
        <v>1725</v>
      </c>
      <c r="F743">
        <v>626618009</v>
      </c>
      <c r="G743">
        <v>1057906569</v>
      </c>
      <c r="H743">
        <v>1003308819</v>
      </c>
      <c r="I743">
        <v>994965223</v>
      </c>
      <c r="J743">
        <v>756167910</v>
      </c>
      <c r="K743">
        <v>868035576</v>
      </c>
      <c r="L743">
        <v>678463203</v>
      </c>
      <c r="M743">
        <v>706665097</v>
      </c>
      <c r="N743">
        <v>477712263</v>
      </c>
      <c r="O743">
        <v>410730581</v>
      </c>
      <c r="P743">
        <v>4846</v>
      </c>
      <c r="Q743" t="s">
        <v>1726</v>
      </c>
    </row>
    <row r="744" spans="1:17" x14ac:dyDescent="0.3">
      <c r="A744" t="s">
        <v>59</v>
      </c>
      <c r="B744" t="str">
        <f>"002635"</f>
        <v>002635</v>
      </c>
      <c r="C744" t="s">
        <v>1727</v>
      </c>
      <c r="D744" t="s">
        <v>349</v>
      </c>
      <c r="F744">
        <v>176855311</v>
      </c>
      <c r="G744">
        <v>594417534</v>
      </c>
      <c r="H744">
        <v>998455508</v>
      </c>
      <c r="I744">
        <v>520871462</v>
      </c>
      <c r="J744">
        <v>297785560</v>
      </c>
      <c r="K744">
        <v>567057136</v>
      </c>
      <c r="L744">
        <v>234717598</v>
      </c>
      <c r="M744">
        <v>197888683</v>
      </c>
      <c r="N744">
        <v>166947918</v>
      </c>
      <c r="O744">
        <v>135379459</v>
      </c>
      <c r="P744">
        <v>513</v>
      </c>
      <c r="Q744" t="s">
        <v>1728</v>
      </c>
    </row>
    <row r="745" spans="1:17" x14ac:dyDescent="0.3">
      <c r="A745" t="s">
        <v>17</v>
      </c>
      <c r="B745" t="str">
        <f>"600694"</f>
        <v>600694</v>
      </c>
      <c r="C745" t="s">
        <v>1729</v>
      </c>
      <c r="D745" t="s">
        <v>829</v>
      </c>
      <c r="F745">
        <v>726033539</v>
      </c>
      <c r="G745">
        <v>-96124648</v>
      </c>
      <c r="H745">
        <v>997860006</v>
      </c>
      <c r="I745">
        <v>164381446</v>
      </c>
      <c r="J745">
        <v>197864898</v>
      </c>
      <c r="K745">
        <v>2014348724</v>
      </c>
      <c r="L745">
        <v>1299740768</v>
      </c>
      <c r="M745">
        <v>1100762633</v>
      </c>
      <c r="N745">
        <v>1787295517</v>
      </c>
      <c r="O745">
        <v>2332821142</v>
      </c>
      <c r="P745">
        <v>543</v>
      </c>
      <c r="Q745" t="s">
        <v>1730</v>
      </c>
    </row>
    <row r="746" spans="1:17" x14ac:dyDescent="0.3">
      <c r="A746" t="s">
        <v>59</v>
      </c>
      <c r="B746" t="str">
        <f>"300131"</f>
        <v>300131</v>
      </c>
      <c r="C746" t="s">
        <v>1731</v>
      </c>
      <c r="D746" t="s">
        <v>349</v>
      </c>
      <c r="F746">
        <v>344627739</v>
      </c>
      <c r="G746">
        <v>136051429</v>
      </c>
      <c r="H746">
        <v>996888189</v>
      </c>
      <c r="I746">
        <v>-218119954</v>
      </c>
      <c r="J746">
        <v>-472886204</v>
      </c>
      <c r="K746">
        <v>26995512</v>
      </c>
      <c r="L746">
        <v>-159676589</v>
      </c>
      <c r="M746">
        <v>-91683037</v>
      </c>
      <c r="N746">
        <v>-149999758</v>
      </c>
      <c r="O746">
        <v>-14195314</v>
      </c>
      <c r="P746">
        <v>207</v>
      </c>
      <c r="Q746" t="s">
        <v>1732</v>
      </c>
    </row>
    <row r="747" spans="1:17" x14ac:dyDescent="0.3">
      <c r="A747" t="s">
        <v>17</v>
      </c>
      <c r="B747" t="str">
        <f>"600787"</f>
        <v>600787</v>
      </c>
      <c r="C747" t="s">
        <v>1733</v>
      </c>
      <c r="D747" t="s">
        <v>1734</v>
      </c>
      <c r="F747">
        <v>1802066694</v>
      </c>
      <c r="G747">
        <v>1166834936</v>
      </c>
      <c r="H747">
        <v>991544992</v>
      </c>
      <c r="I747">
        <v>924281696</v>
      </c>
      <c r="J747">
        <v>5045559410</v>
      </c>
      <c r="K747">
        <v>-3903133332</v>
      </c>
      <c r="L747">
        <v>-70424037</v>
      </c>
      <c r="M747">
        <v>1359740176</v>
      </c>
      <c r="N747">
        <v>-215049565</v>
      </c>
      <c r="O747">
        <v>733818950</v>
      </c>
      <c r="P747">
        <v>165</v>
      </c>
      <c r="Q747" t="s">
        <v>1735</v>
      </c>
    </row>
    <row r="748" spans="1:17" x14ac:dyDescent="0.3">
      <c r="A748" t="s">
        <v>17</v>
      </c>
      <c r="B748" t="str">
        <f>"601886"</f>
        <v>601886</v>
      </c>
      <c r="C748" t="s">
        <v>1736</v>
      </c>
      <c r="D748" t="s">
        <v>1150</v>
      </c>
      <c r="F748">
        <v>1102962031</v>
      </c>
      <c r="G748">
        <v>2160040158</v>
      </c>
      <c r="H748">
        <v>991005281</v>
      </c>
      <c r="I748">
        <v>1408596698</v>
      </c>
      <c r="J748">
        <v>1389304862</v>
      </c>
      <c r="K748">
        <v>1308366933</v>
      </c>
      <c r="L748">
        <v>997054726</v>
      </c>
      <c r="M748">
        <v>298274401</v>
      </c>
      <c r="N748">
        <v>-208663699</v>
      </c>
      <c r="O748">
        <v>-240429074</v>
      </c>
      <c r="P748">
        <v>177</v>
      </c>
      <c r="Q748" t="s">
        <v>1737</v>
      </c>
    </row>
    <row r="749" spans="1:17" x14ac:dyDescent="0.3">
      <c r="A749" t="s">
        <v>17</v>
      </c>
      <c r="B749" t="str">
        <f>"600536"</f>
        <v>600536</v>
      </c>
      <c r="C749" t="s">
        <v>1738</v>
      </c>
      <c r="D749" t="s">
        <v>1189</v>
      </c>
      <c r="F749">
        <v>789914243</v>
      </c>
      <c r="G749">
        <v>180761933</v>
      </c>
      <c r="H749">
        <v>988769136</v>
      </c>
      <c r="I749">
        <v>132149879</v>
      </c>
      <c r="J749">
        <v>61939614</v>
      </c>
      <c r="K749">
        <v>53278236</v>
      </c>
      <c r="L749">
        <v>422086550</v>
      </c>
      <c r="M749">
        <v>238781289</v>
      </c>
      <c r="N749">
        <v>-221510348</v>
      </c>
      <c r="O749">
        <v>-234242208</v>
      </c>
      <c r="P749">
        <v>621</v>
      </c>
      <c r="Q749" t="s">
        <v>1739</v>
      </c>
    </row>
    <row r="750" spans="1:17" x14ac:dyDescent="0.3">
      <c r="A750" t="s">
        <v>17</v>
      </c>
      <c r="B750" t="str">
        <f>"600210"</f>
        <v>600210</v>
      </c>
      <c r="C750" t="s">
        <v>1740</v>
      </c>
      <c r="D750" t="s">
        <v>1741</v>
      </c>
      <c r="F750">
        <v>1032726193</v>
      </c>
      <c r="G750">
        <v>1068746097</v>
      </c>
      <c r="H750">
        <v>988690621</v>
      </c>
      <c r="I750">
        <v>997989536</v>
      </c>
      <c r="J750">
        <v>1060837615</v>
      </c>
      <c r="K750">
        <v>1035583408</v>
      </c>
      <c r="L750">
        <v>965131425</v>
      </c>
      <c r="M750">
        <v>832436247</v>
      </c>
      <c r="N750">
        <v>1046913123</v>
      </c>
      <c r="O750">
        <v>1120445283</v>
      </c>
      <c r="P750">
        <v>192</v>
      </c>
      <c r="Q750" t="s">
        <v>1742</v>
      </c>
    </row>
    <row r="751" spans="1:17" x14ac:dyDescent="0.3">
      <c r="A751" t="s">
        <v>17</v>
      </c>
      <c r="B751" t="str">
        <f>"600449"</f>
        <v>600449</v>
      </c>
      <c r="C751" t="s">
        <v>1743</v>
      </c>
      <c r="D751" t="s">
        <v>78</v>
      </c>
      <c r="F751">
        <v>1330197253</v>
      </c>
      <c r="G751">
        <v>1089879941</v>
      </c>
      <c r="H751">
        <v>988006549</v>
      </c>
      <c r="I751">
        <v>532825811</v>
      </c>
      <c r="J751">
        <v>936873665</v>
      </c>
      <c r="K751">
        <v>598595229</v>
      </c>
      <c r="L751">
        <v>309442034</v>
      </c>
      <c r="M751">
        <v>493166372</v>
      </c>
      <c r="N751">
        <v>577656330</v>
      </c>
      <c r="O751">
        <v>118682530</v>
      </c>
      <c r="P751">
        <v>558</v>
      </c>
      <c r="Q751" t="s">
        <v>1744</v>
      </c>
    </row>
    <row r="752" spans="1:17" x14ac:dyDescent="0.3">
      <c r="A752" t="s">
        <v>59</v>
      </c>
      <c r="B752" t="str">
        <f>"002518"</f>
        <v>002518</v>
      </c>
      <c r="C752" t="s">
        <v>1745</v>
      </c>
      <c r="D752" t="s">
        <v>1746</v>
      </c>
      <c r="F752">
        <v>450439825</v>
      </c>
      <c r="G752">
        <v>374413059</v>
      </c>
      <c r="H752">
        <v>983751199</v>
      </c>
      <c r="I752">
        <v>-89694879</v>
      </c>
      <c r="J752">
        <v>399486635</v>
      </c>
      <c r="K752">
        <v>118421628</v>
      </c>
      <c r="L752">
        <v>236085056</v>
      </c>
      <c r="M752">
        <v>137331965</v>
      </c>
      <c r="N752">
        <v>111456555</v>
      </c>
      <c r="O752">
        <v>55094630</v>
      </c>
      <c r="P752">
        <v>401</v>
      </c>
      <c r="Q752" t="s">
        <v>1747</v>
      </c>
    </row>
    <row r="753" spans="1:17" x14ac:dyDescent="0.3">
      <c r="A753" t="s">
        <v>59</v>
      </c>
      <c r="B753" t="str">
        <f>"002727"</f>
        <v>002727</v>
      </c>
      <c r="C753" t="s">
        <v>1748</v>
      </c>
      <c r="D753" t="s">
        <v>1183</v>
      </c>
      <c r="F753">
        <v>1791674043</v>
      </c>
      <c r="G753">
        <v>1033358977</v>
      </c>
      <c r="H753">
        <v>982923960</v>
      </c>
      <c r="I753">
        <v>635771682</v>
      </c>
      <c r="J753">
        <v>391156159</v>
      </c>
      <c r="K753">
        <v>192632310</v>
      </c>
      <c r="L753">
        <v>185760456</v>
      </c>
      <c r="M753">
        <v>176218849</v>
      </c>
      <c r="N753">
        <v>228224996</v>
      </c>
      <c r="O753">
        <v>157665391</v>
      </c>
      <c r="P753">
        <v>1246</v>
      </c>
      <c r="Q753" t="s">
        <v>1749</v>
      </c>
    </row>
    <row r="754" spans="1:17" x14ac:dyDescent="0.3">
      <c r="A754" t="s">
        <v>59</v>
      </c>
      <c r="B754" t="str">
        <f>"002737"</f>
        <v>002737</v>
      </c>
      <c r="C754" t="s">
        <v>1750</v>
      </c>
      <c r="D754" t="s">
        <v>455</v>
      </c>
      <c r="F754">
        <v>865229464</v>
      </c>
      <c r="G754">
        <v>1169867012</v>
      </c>
      <c r="H754">
        <v>981327678</v>
      </c>
      <c r="I754">
        <v>866207292</v>
      </c>
      <c r="J754">
        <v>558770771</v>
      </c>
      <c r="K754">
        <v>341231458</v>
      </c>
      <c r="L754">
        <v>125840223</v>
      </c>
      <c r="M754">
        <v>403225248</v>
      </c>
      <c r="N754">
        <v>293341829</v>
      </c>
      <c r="O754">
        <v>327310490</v>
      </c>
      <c r="P754">
        <v>1117</v>
      </c>
      <c r="Q754" t="s">
        <v>1751</v>
      </c>
    </row>
    <row r="755" spans="1:17" x14ac:dyDescent="0.3">
      <c r="A755" t="s">
        <v>17</v>
      </c>
      <c r="B755" t="str">
        <f>"600063"</f>
        <v>600063</v>
      </c>
      <c r="C755" t="s">
        <v>1752</v>
      </c>
      <c r="D755" t="s">
        <v>1753</v>
      </c>
      <c r="F755">
        <v>1510344616</v>
      </c>
      <c r="G755">
        <v>1199578916</v>
      </c>
      <c r="H755">
        <v>980366954</v>
      </c>
      <c r="I755">
        <v>1357725471</v>
      </c>
      <c r="J755">
        <v>-497859004</v>
      </c>
      <c r="K755">
        <v>576088592</v>
      </c>
      <c r="L755">
        <v>846505605</v>
      </c>
      <c r="M755">
        <v>816427032</v>
      </c>
      <c r="N755">
        <v>351826762</v>
      </c>
      <c r="O755">
        <v>159042023</v>
      </c>
      <c r="P755">
        <v>224</v>
      </c>
      <c r="Q755" t="s">
        <v>1754</v>
      </c>
    </row>
    <row r="756" spans="1:17" x14ac:dyDescent="0.3">
      <c r="A756" t="s">
        <v>17</v>
      </c>
      <c r="B756" t="str">
        <f>"600409"</f>
        <v>600409</v>
      </c>
      <c r="C756" t="s">
        <v>1755</v>
      </c>
      <c r="D756" t="s">
        <v>1756</v>
      </c>
      <c r="F756">
        <v>1579934955</v>
      </c>
      <c r="G756">
        <v>2086139877</v>
      </c>
      <c r="H756">
        <v>979576704</v>
      </c>
      <c r="I756">
        <v>1804448508</v>
      </c>
      <c r="J756">
        <v>1473938247</v>
      </c>
      <c r="K756">
        <v>1343784835</v>
      </c>
      <c r="L756">
        <v>982731801</v>
      </c>
      <c r="M756">
        <v>709656054</v>
      </c>
      <c r="N756">
        <v>-428274175</v>
      </c>
      <c r="O756">
        <v>-1069542703</v>
      </c>
      <c r="P756">
        <v>733</v>
      </c>
      <c r="Q756" t="s">
        <v>1757</v>
      </c>
    </row>
    <row r="757" spans="1:17" x14ac:dyDescent="0.3">
      <c r="A757" t="s">
        <v>17</v>
      </c>
      <c r="B757" t="str">
        <f>"600338"</f>
        <v>600338</v>
      </c>
      <c r="C757" t="s">
        <v>1758</v>
      </c>
      <c r="D757" t="s">
        <v>856</v>
      </c>
      <c r="F757">
        <v>829183442</v>
      </c>
      <c r="G757">
        <v>366711465</v>
      </c>
      <c r="H757">
        <v>977180057</v>
      </c>
      <c r="I757">
        <v>658470171</v>
      </c>
      <c r="J757">
        <v>1087177329</v>
      </c>
      <c r="K757">
        <v>579226047</v>
      </c>
      <c r="L757">
        <v>196478744</v>
      </c>
      <c r="M757">
        <v>54240579</v>
      </c>
      <c r="N757">
        <v>2945814</v>
      </c>
      <c r="O757">
        <v>-18026566</v>
      </c>
      <c r="P757">
        <v>4533</v>
      </c>
      <c r="Q757" t="s">
        <v>1759</v>
      </c>
    </row>
    <row r="758" spans="1:17" x14ac:dyDescent="0.3">
      <c r="A758" t="s">
        <v>59</v>
      </c>
      <c r="B758" t="str">
        <f>"002133"</f>
        <v>002133</v>
      </c>
      <c r="C758" t="s">
        <v>1760</v>
      </c>
      <c r="D758" t="s">
        <v>61</v>
      </c>
      <c r="F758">
        <v>-554564589</v>
      </c>
      <c r="G758">
        <v>-940535249</v>
      </c>
      <c r="H758">
        <v>973113980</v>
      </c>
      <c r="I758">
        <v>-1109608722</v>
      </c>
      <c r="J758">
        <v>504472516</v>
      </c>
      <c r="K758">
        <v>1850635660</v>
      </c>
      <c r="L758">
        <v>1516960486</v>
      </c>
      <c r="M758">
        <v>422716742</v>
      </c>
      <c r="N758">
        <v>-909349898</v>
      </c>
      <c r="O758">
        <v>253275545</v>
      </c>
      <c r="P758">
        <v>132</v>
      </c>
      <c r="Q758" t="s">
        <v>1761</v>
      </c>
    </row>
    <row r="759" spans="1:17" x14ac:dyDescent="0.3">
      <c r="A759" t="s">
        <v>17</v>
      </c>
      <c r="B759" t="str">
        <f>"600073"</f>
        <v>600073</v>
      </c>
      <c r="C759" t="s">
        <v>1762</v>
      </c>
      <c r="D759" t="s">
        <v>514</v>
      </c>
      <c r="F759">
        <v>552942711</v>
      </c>
      <c r="G759">
        <v>2213229393</v>
      </c>
      <c r="H759">
        <v>973019166</v>
      </c>
      <c r="I759">
        <v>431825808</v>
      </c>
      <c r="J759">
        <v>551426095</v>
      </c>
      <c r="K759">
        <v>1160951457</v>
      </c>
      <c r="L759">
        <v>239508033</v>
      </c>
      <c r="M759">
        <v>158687249</v>
      </c>
      <c r="N759">
        <v>207004242</v>
      </c>
      <c r="O759">
        <v>39167674</v>
      </c>
      <c r="P759">
        <v>442</v>
      </c>
      <c r="Q759" t="s">
        <v>1763</v>
      </c>
    </row>
    <row r="760" spans="1:17" x14ac:dyDescent="0.3">
      <c r="A760" t="s">
        <v>17</v>
      </c>
      <c r="B760" t="str">
        <f>"601990"</f>
        <v>601990</v>
      </c>
      <c r="C760" t="s">
        <v>1764</v>
      </c>
      <c r="D760" t="s">
        <v>75</v>
      </c>
      <c r="F760">
        <v>-2633910782</v>
      </c>
      <c r="G760">
        <v>-4630318155</v>
      </c>
      <c r="H760">
        <v>972557930</v>
      </c>
      <c r="I760">
        <v>568614400</v>
      </c>
      <c r="J760">
        <v>-1056716133</v>
      </c>
      <c r="K760">
        <v>-3097455541</v>
      </c>
      <c r="L760">
        <v>314383590</v>
      </c>
      <c r="M760">
        <v>2394480100</v>
      </c>
      <c r="N760">
        <v>-761334800</v>
      </c>
      <c r="O760">
        <v>243898400</v>
      </c>
      <c r="P760">
        <v>722</v>
      </c>
      <c r="Q760" t="s">
        <v>1765</v>
      </c>
    </row>
    <row r="761" spans="1:17" x14ac:dyDescent="0.3">
      <c r="A761" t="s">
        <v>17</v>
      </c>
      <c r="B761" t="str">
        <f>"603986"</f>
        <v>603986</v>
      </c>
      <c r="C761" t="s">
        <v>1766</v>
      </c>
      <c r="D761" t="s">
        <v>817</v>
      </c>
      <c r="F761">
        <v>2262070087</v>
      </c>
      <c r="G761">
        <v>1059710125</v>
      </c>
      <c r="H761">
        <v>967347204</v>
      </c>
      <c r="I761">
        <v>619644516</v>
      </c>
      <c r="J761">
        <v>197704223</v>
      </c>
      <c r="K761">
        <v>83612692</v>
      </c>
      <c r="L761">
        <v>217185559</v>
      </c>
      <c r="M761">
        <v>95084429</v>
      </c>
      <c r="N761">
        <v>100428528</v>
      </c>
      <c r="P761">
        <v>2706</v>
      </c>
      <c r="Q761" t="s">
        <v>1767</v>
      </c>
    </row>
    <row r="762" spans="1:17" x14ac:dyDescent="0.3">
      <c r="A762" t="s">
        <v>17</v>
      </c>
      <c r="B762" t="str">
        <f>"601989"</f>
        <v>601989</v>
      </c>
      <c r="C762" t="s">
        <v>1768</v>
      </c>
      <c r="D762" t="s">
        <v>614</v>
      </c>
      <c r="F762">
        <v>-1797389433</v>
      </c>
      <c r="G762">
        <v>9268263809</v>
      </c>
      <c r="H762">
        <v>963597938</v>
      </c>
      <c r="I762">
        <v>668990099</v>
      </c>
      <c r="J762">
        <v>-1415766040</v>
      </c>
      <c r="K762">
        <v>-3123207327</v>
      </c>
      <c r="L762">
        <v>-611647168</v>
      </c>
      <c r="M762">
        <v>1889679841</v>
      </c>
      <c r="N762">
        <v>-1327947731</v>
      </c>
      <c r="O762">
        <v>-7166270836</v>
      </c>
      <c r="P762">
        <v>669</v>
      </c>
      <c r="Q762" t="s">
        <v>1769</v>
      </c>
    </row>
    <row r="763" spans="1:17" x14ac:dyDescent="0.3">
      <c r="A763" t="s">
        <v>59</v>
      </c>
      <c r="B763" t="str">
        <f>"000089"</f>
        <v>000089</v>
      </c>
      <c r="C763" t="s">
        <v>1770</v>
      </c>
      <c r="D763" t="s">
        <v>465</v>
      </c>
      <c r="F763">
        <v>990486513</v>
      </c>
      <c r="G763">
        <v>501300413</v>
      </c>
      <c r="H763">
        <v>963530678</v>
      </c>
      <c r="I763">
        <v>1054634660</v>
      </c>
      <c r="J763">
        <v>1083207946</v>
      </c>
      <c r="K763">
        <v>1140629124</v>
      </c>
      <c r="L763">
        <v>1182911165</v>
      </c>
      <c r="M763">
        <v>902946012</v>
      </c>
      <c r="N763">
        <v>927390384</v>
      </c>
      <c r="O763">
        <v>835744042</v>
      </c>
      <c r="P763">
        <v>665</v>
      </c>
      <c r="Q763" t="s">
        <v>1771</v>
      </c>
    </row>
    <row r="764" spans="1:17" x14ac:dyDescent="0.3">
      <c r="A764" t="s">
        <v>17</v>
      </c>
      <c r="B764" t="str">
        <f>"603939"</f>
        <v>603939</v>
      </c>
      <c r="C764" t="s">
        <v>1772</v>
      </c>
      <c r="D764" t="s">
        <v>1183</v>
      </c>
      <c r="F764">
        <v>2149969972</v>
      </c>
      <c r="G764">
        <v>1335655488</v>
      </c>
      <c r="H764">
        <v>963234235</v>
      </c>
      <c r="I764">
        <v>510711302</v>
      </c>
      <c r="J764">
        <v>317202120</v>
      </c>
      <c r="K764">
        <v>139937792</v>
      </c>
      <c r="L764">
        <v>181517411</v>
      </c>
      <c r="M764">
        <v>212345071</v>
      </c>
      <c r="N764">
        <v>156708014</v>
      </c>
      <c r="O764">
        <v>80726611</v>
      </c>
      <c r="P764">
        <v>1482</v>
      </c>
      <c r="Q764" t="s">
        <v>1773</v>
      </c>
    </row>
    <row r="765" spans="1:17" x14ac:dyDescent="0.3">
      <c r="A765" t="s">
        <v>17</v>
      </c>
      <c r="B765" t="str">
        <f>"601339"</f>
        <v>601339</v>
      </c>
      <c r="C765" t="s">
        <v>1774</v>
      </c>
      <c r="D765" t="s">
        <v>1090</v>
      </c>
      <c r="F765">
        <v>1453063619</v>
      </c>
      <c r="G765">
        <v>1215437188</v>
      </c>
      <c r="H765">
        <v>957403707</v>
      </c>
      <c r="I765">
        <v>-559618662</v>
      </c>
      <c r="J765">
        <v>370846530</v>
      </c>
      <c r="K765">
        <v>1387850147</v>
      </c>
      <c r="L765">
        <v>114071908</v>
      </c>
      <c r="M765">
        <v>-160147429</v>
      </c>
      <c r="N765">
        <v>586360312</v>
      </c>
      <c r="O765">
        <v>1258524339</v>
      </c>
      <c r="P765">
        <v>207</v>
      </c>
      <c r="Q765" t="s">
        <v>1775</v>
      </c>
    </row>
    <row r="766" spans="1:17" x14ac:dyDescent="0.3">
      <c r="A766" t="s">
        <v>17</v>
      </c>
      <c r="B766" t="str">
        <f>"600322"</f>
        <v>600322</v>
      </c>
      <c r="C766" t="s">
        <v>1776</v>
      </c>
      <c r="D766" t="s">
        <v>61</v>
      </c>
      <c r="F766">
        <v>2236516829</v>
      </c>
      <c r="G766">
        <v>3373686702</v>
      </c>
      <c r="H766">
        <v>949444540</v>
      </c>
      <c r="I766">
        <v>4001679102</v>
      </c>
      <c r="J766">
        <v>1984667328</v>
      </c>
      <c r="K766">
        <v>-2209532934</v>
      </c>
      <c r="L766">
        <v>-3605528373</v>
      </c>
      <c r="M766">
        <v>-3236371725</v>
      </c>
      <c r="N766">
        <v>-1500823919</v>
      </c>
      <c r="O766">
        <v>-88074561</v>
      </c>
      <c r="P766">
        <v>84</v>
      </c>
      <c r="Q766" t="s">
        <v>1777</v>
      </c>
    </row>
    <row r="767" spans="1:17" x14ac:dyDescent="0.3">
      <c r="A767" t="s">
        <v>59</v>
      </c>
      <c r="B767" t="str">
        <f>"002506"</f>
        <v>002506</v>
      </c>
      <c r="C767" t="s">
        <v>1778</v>
      </c>
      <c r="D767" t="s">
        <v>430</v>
      </c>
      <c r="F767">
        <v>396718637</v>
      </c>
      <c r="G767">
        <v>895075353</v>
      </c>
      <c r="H767">
        <v>949390829</v>
      </c>
      <c r="I767">
        <v>3379332202</v>
      </c>
      <c r="J767">
        <v>60252840</v>
      </c>
      <c r="K767">
        <v>-4366553017</v>
      </c>
      <c r="L767">
        <v>-1052065817</v>
      </c>
      <c r="M767">
        <v>-1110300070</v>
      </c>
      <c r="N767">
        <v>211639404</v>
      </c>
      <c r="O767">
        <v>-91022637</v>
      </c>
      <c r="P767">
        <v>315</v>
      </c>
      <c r="Q767" t="s">
        <v>1779</v>
      </c>
    </row>
    <row r="768" spans="1:17" x14ac:dyDescent="0.3">
      <c r="A768" t="s">
        <v>17</v>
      </c>
      <c r="B768" t="str">
        <f>"600933"</f>
        <v>600933</v>
      </c>
      <c r="C768" t="s">
        <v>1780</v>
      </c>
      <c r="D768" t="s">
        <v>156</v>
      </c>
      <c r="F768">
        <v>481393870</v>
      </c>
      <c r="G768">
        <v>740542284</v>
      </c>
      <c r="H768">
        <v>949250193</v>
      </c>
      <c r="I768">
        <v>468223939</v>
      </c>
      <c r="J768">
        <v>620535247</v>
      </c>
      <c r="K768">
        <v>551992914</v>
      </c>
      <c r="L768">
        <v>418730726</v>
      </c>
      <c r="M768">
        <v>350599715</v>
      </c>
      <c r="P768">
        <v>176</v>
      </c>
      <c r="Q768" t="s">
        <v>1781</v>
      </c>
    </row>
    <row r="769" spans="1:17" x14ac:dyDescent="0.3">
      <c r="A769" t="s">
        <v>17</v>
      </c>
      <c r="B769" t="str">
        <f>"600862"</f>
        <v>600862</v>
      </c>
      <c r="C769" t="s">
        <v>1782</v>
      </c>
      <c r="D769" t="s">
        <v>448</v>
      </c>
      <c r="F769">
        <v>381831526</v>
      </c>
      <c r="G769">
        <v>155680980</v>
      </c>
      <c r="H769">
        <v>946840577</v>
      </c>
      <c r="I769">
        <v>-688399154</v>
      </c>
      <c r="J769">
        <v>155276905</v>
      </c>
      <c r="K769">
        <v>829537328</v>
      </c>
      <c r="L769">
        <v>495698979</v>
      </c>
      <c r="M769">
        <v>15028162</v>
      </c>
      <c r="N769">
        <v>-149690280</v>
      </c>
      <c r="O769">
        <v>-240155770</v>
      </c>
      <c r="P769">
        <v>457</v>
      </c>
      <c r="Q769" t="s">
        <v>1783</v>
      </c>
    </row>
    <row r="770" spans="1:17" x14ac:dyDescent="0.3">
      <c r="A770" t="s">
        <v>17</v>
      </c>
      <c r="B770" t="str">
        <f>"603118"</f>
        <v>603118</v>
      </c>
      <c r="C770" t="s">
        <v>1784</v>
      </c>
      <c r="D770" t="s">
        <v>1650</v>
      </c>
      <c r="F770">
        <v>411162292</v>
      </c>
      <c r="G770">
        <v>332649121</v>
      </c>
      <c r="H770">
        <v>944468601</v>
      </c>
      <c r="I770">
        <v>515804146</v>
      </c>
      <c r="J770">
        <v>204212000</v>
      </c>
      <c r="K770">
        <v>894047765</v>
      </c>
      <c r="L770">
        <v>-104791975</v>
      </c>
      <c r="M770">
        <v>312359845</v>
      </c>
      <c r="N770">
        <v>137941378</v>
      </c>
      <c r="O770">
        <v>63154597</v>
      </c>
      <c r="P770">
        <v>243</v>
      </c>
      <c r="Q770" t="s">
        <v>1785</v>
      </c>
    </row>
    <row r="771" spans="1:17" x14ac:dyDescent="0.3">
      <c r="A771" t="s">
        <v>59</v>
      </c>
      <c r="B771" t="str">
        <f>"200553"</f>
        <v>200553</v>
      </c>
      <c r="C771" t="s">
        <v>1786</v>
      </c>
      <c r="F771">
        <v>5578260750</v>
      </c>
      <c r="G771">
        <v>2399498091.5</v>
      </c>
      <c r="H771">
        <v>943440209.5</v>
      </c>
      <c r="I771">
        <v>2279435251.5</v>
      </c>
      <c r="J771">
        <v>4750858477.8000002</v>
      </c>
      <c r="K771">
        <v>299549063.22899997</v>
      </c>
      <c r="L771">
        <v>329568696.26609999</v>
      </c>
      <c r="M771">
        <v>874246989.5424</v>
      </c>
      <c r="N771">
        <v>1024977526.6213</v>
      </c>
      <c r="O771">
        <v>290726642.95499998</v>
      </c>
      <c r="P771">
        <v>58</v>
      </c>
      <c r="Q771" t="s">
        <v>1787</v>
      </c>
    </row>
    <row r="772" spans="1:17" x14ac:dyDescent="0.3">
      <c r="A772" t="s">
        <v>59</v>
      </c>
      <c r="B772" t="str">
        <f>"000923"</f>
        <v>000923</v>
      </c>
      <c r="C772" t="s">
        <v>1788</v>
      </c>
      <c r="D772" t="s">
        <v>1705</v>
      </c>
      <c r="F772">
        <v>2877447939</v>
      </c>
      <c r="G772">
        <v>2412645307</v>
      </c>
      <c r="H772">
        <v>942105825</v>
      </c>
      <c r="I772">
        <v>610931646</v>
      </c>
      <c r="J772">
        <v>1248893430</v>
      </c>
      <c r="K772">
        <v>148451514</v>
      </c>
      <c r="L772">
        <v>-84170601</v>
      </c>
      <c r="M772">
        <v>-25925050</v>
      </c>
      <c r="N772">
        <v>-166331826</v>
      </c>
      <c r="O772">
        <v>5159695</v>
      </c>
      <c r="P772">
        <v>224</v>
      </c>
      <c r="Q772" t="s">
        <v>1789</v>
      </c>
    </row>
    <row r="773" spans="1:17" x14ac:dyDescent="0.3">
      <c r="A773" t="s">
        <v>59</v>
      </c>
      <c r="B773" t="str">
        <f>"003012"</f>
        <v>003012</v>
      </c>
      <c r="C773" t="s">
        <v>1790</v>
      </c>
      <c r="D773" t="s">
        <v>1791</v>
      </c>
      <c r="F773">
        <v>890715373</v>
      </c>
      <c r="G773">
        <v>1336333800</v>
      </c>
      <c r="H773">
        <v>940572034</v>
      </c>
      <c r="I773">
        <v>681528015</v>
      </c>
      <c r="J773">
        <v>1437671497</v>
      </c>
      <c r="K773">
        <v>1787365305</v>
      </c>
      <c r="P773">
        <v>120</v>
      </c>
      <c r="Q773" t="s">
        <v>1792</v>
      </c>
    </row>
    <row r="774" spans="1:17" x14ac:dyDescent="0.3">
      <c r="A774" t="s">
        <v>59</v>
      </c>
      <c r="B774" t="str">
        <f>"002217"</f>
        <v>002217</v>
      </c>
      <c r="C774" t="s">
        <v>1793</v>
      </c>
      <c r="D774" t="s">
        <v>139</v>
      </c>
      <c r="F774">
        <v>1383012669</v>
      </c>
      <c r="G774">
        <v>-455037356</v>
      </c>
      <c r="H774">
        <v>940283612</v>
      </c>
      <c r="I774">
        <v>-361377321</v>
      </c>
      <c r="J774">
        <v>508382921</v>
      </c>
      <c r="K774">
        <v>229888623</v>
      </c>
      <c r="L774">
        <v>200807407</v>
      </c>
      <c r="M774">
        <v>-170784687</v>
      </c>
      <c r="N774">
        <v>148964201</v>
      </c>
      <c r="O774">
        <v>149008752</v>
      </c>
      <c r="P774">
        <v>490</v>
      </c>
      <c r="Q774" t="s">
        <v>1794</v>
      </c>
    </row>
    <row r="775" spans="1:17" x14ac:dyDescent="0.3">
      <c r="A775" t="s">
        <v>59</v>
      </c>
      <c r="B775" t="str">
        <f>"000011"</f>
        <v>000011</v>
      </c>
      <c r="C775" t="s">
        <v>1795</v>
      </c>
      <c r="D775" t="s">
        <v>61</v>
      </c>
      <c r="F775">
        <v>-1813313009</v>
      </c>
      <c r="G775">
        <v>385497782</v>
      </c>
      <c r="H775">
        <v>939789566</v>
      </c>
      <c r="I775">
        <v>1123594928</v>
      </c>
      <c r="J775">
        <v>-346269761</v>
      </c>
      <c r="K775">
        <v>2252041183</v>
      </c>
      <c r="L775">
        <v>309767630</v>
      </c>
      <c r="M775">
        <v>-14627057</v>
      </c>
      <c r="N775">
        <v>110424330</v>
      </c>
      <c r="O775">
        <v>805714197</v>
      </c>
      <c r="P775">
        <v>479</v>
      </c>
      <c r="Q775" t="s">
        <v>1796</v>
      </c>
    </row>
    <row r="776" spans="1:17" x14ac:dyDescent="0.3">
      <c r="A776" t="s">
        <v>59</v>
      </c>
      <c r="B776" t="str">
        <f>"002539"</f>
        <v>002539</v>
      </c>
      <c r="C776" t="s">
        <v>1797</v>
      </c>
      <c r="D776" t="s">
        <v>1317</v>
      </c>
      <c r="F776">
        <v>980030681</v>
      </c>
      <c r="G776">
        <v>998415152</v>
      </c>
      <c r="H776">
        <v>938827504</v>
      </c>
      <c r="I776">
        <v>492916402</v>
      </c>
      <c r="J776">
        <v>1071034147</v>
      </c>
      <c r="K776">
        <v>637209143</v>
      </c>
      <c r="L776">
        <v>236914459</v>
      </c>
      <c r="M776">
        <v>251206536</v>
      </c>
      <c r="N776">
        <v>290527276</v>
      </c>
      <c r="O776">
        <v>-7070137</v>
      </c>
      <c r="P776">
        <v>240</v>
      </c>
      <c r="Q776" t="s">
        <v>1798</v>
      </c>
    </row>
    <row r="777" spans="1:17" x14ac:dyDescent="0.3">
      <c r="A777" t="s">
        <v>59</v>
      </c>
      <c r="B777" t="str">
        <f>"300759"</f>
        <v>300759</v>
      </c>
      <c r="C777" t="s">
        <v>1799</v>
      </c>
      <c r="D777" t="s">
        <v>751</v>
      </c>
      <c r="F777">
        <v>2058043830</v>
      </c>
      <c r="G777">
        <v>1648609957</v>
      </c>
      <c r="H777">
        <v>938586321</v>
      </c>
      <c r="I777">
        <v>737258352</v>
      </c>
      <c r="J777">
        <v>552215324</v>
      </c>
      <c r="K777">
        <v>235767734</v>
      </c>
      <c r="L777">
        <v>216939062</v>
      </c>
      <c r="P777">
        <v>1080</v>
      </c>
      <c r="Q777" t="s">
        <v>1800</v>
      </c>
    </row>
    <row r="778" spans="1:17" x14ac:dyDescent="0.3">
      <c r="A778" t="s">
        <v>59</v>
      </c>
      <c r="B778" t="str">
        <f>"002019"</f>
        <v>002019</v>
      </c>
      <c r="C778" t="s">
        <v>1801</v>
      </c>
      <c r="D778" t="s">
        <v>592</v>
      </c>
      <c r="F778">
        <v>301231403</v>
      </c>
      <c r="G778">
        <v>1108506411</v>
      </c>
      <c r="H778">
        <v>937240420</v>
      </c>
      <c r="I778">
        <v>1170900515</v>
      </c>
      <c r="J778">
        <v>1132728603</v>
      </c>
      <c r="K778">
        <v>855845835</v>
      </c>
      <c r="L778">
        <v>401960150</v>
      </c>
      <c r="M778">
        <v>139735192</v>
      </c>
      <c r="N778">
        <v>102048282</v>
      </c>
      <c r="O778">
        <v>29881968</v>
      </c>
      <c r="P778">
        <v>974</v>
      </c>
      <c r="Q778" t="s">
        <v>1802</v>
      </c>
    </row>
    <row r="779" spans="1:17" x14ac:dyDescent="0.3">
      <c r="A779" t="s">
        <v>59</v>
      </c>
      <c r="B779" t="str">
        <f>"002373"</f>
        <v>002373</v>
      </c>
      <c r="C779" t="s">
        <v>1803</v>
      </c>
      <c r="D779" t="s">
        <v>1189</v>
      </c>
      <c r="F779">
        <v>241525864</v>
      </c>
      <c r="G779">
        <v>1311667953</v>
      </c>
      <c r="H779">
        <v>937207168</v>
      </c>
      <c r="I779">
        <v>191481364</v>
      </c>
      <c r="J779">
        <v>201674274</v>
      </c>
      <c r="K779">
        <v>250382923</v>
      </c>
      <c r="L779">
        <v>159758085</v>
      </c>
      <c r="M779">
        <v>162958304</v>
      </c>
      <c r="N779">
        <v>-20369812</v>
      </c>
      <c r="O779">
        <v>-37675210</v>
      </c>
      <c r="P779">
        <v>713</v>
      </c>
      <c r="Q779" t="s">
        <v>1804</v>
      </c>
    </row>
    <row r="780" spans="1:17" x14ac:dyDescent="0.3">
      <c r="A780" t="s">
        <v>59</v>
      </c>
      <c r="B780" t="str">
        <f>"200869"</f>
        <v>200869</v>
      </c>
      <c r="C780" t="s">
        <v>1805</v>
      </c>
      <c r="F780">
        <v>1376117914.2024</v>
      </c>
      <c r="G780">
        <v>599154468.84529996</v>
      </c>
      <c r="H780">
        <v>937121829.84399998</v>
      </c>
      <c r="I780">
        <v>1111151802.3210001</v>
      </c>
      <c r="J780">
        <v>1168086281.0053999</v>
      </c>
      <c r="K780">
        <v>993319740.91400003</v>
      </c>
      <c r="L780">
        <v>1364454448.2879</v>
      </c>
      <c r="M780">
        <v>1338032153.3183999</v>
      </c>
      <c r="N780">
        <v>942144739.28190005</v>
      </c>
      <c r="O780">
        <v>1620520629.3612001</v>
      </c>
      <c r="P780">
        <v>348</v>
      </c>
      <c r="Q780" t="s">
        <v>1806</v>
      </c>
    </row>
    <row r="781" spans="1:17" x14ac:dyDescent="0.3">
      <c r="A781" t="s">
        <v>59</v>
      </c>
      <c r="B781" t="str">
        <f>"002344"</f>
        <v>002344</v>
      </c>
      <c r="C781" t="s">
        <v>1807</v>
      </c>
      <c r="D781" t="s">
        <v>548</v>
      </c>
      <c r="F781">
        <v>660198055</v>
      </c>
      <c r="G781">
        <v>547526826</v>
      </c>
      <c r="H781">
        <v>935960981</v>
      </c>
      <c r="I781">
        <v>408574311</v>
      </c>
      <c r="J781">
        <v>546056946</v>
      </c>
      <c r="K781">
        <v>513670857</v>
      </c>
      <c r="L781">
        <v>157548784</v>
      </c>
      <c r="M781">
        <v>685714715</v>
      </c>
      <c r="N781">
        <v>1353370759</v>
      </c>
      <c r="O781">
        <v>1348445101</v>
      </c>
      <c r="P781">
        <v>145</v>
      </c>
      <c r="Q781" t="s">
        <v>1808</v>
      </c>
    </row>
    <row r="782" spans="1:17" x14ac:dyDescent="0.3">
      <c r="A782" t="s">
        <v>17</v>
      </c>
      <c r="B782" t="str">
        <f>"600368"</f>
        <v>600368</v>
      </c>
      <c r="C782" t="s">
        <v>1809</v>
      </c>
      <c r="D782" t="s">
        <v>406</v>
      </c>
      <c r="F782">
        <v>1599001012</v>
      </c>
      <c r="G782">
        <v>776929937</v>
      </c>
      <c r="H782">
        <v>933389736</v>
      </c>
      <c r="I782">
        <v>1501079153</v>
      </c>
      <c r="J782">
        <v>1373814411</v>
      </c>
      <c r="K782">
        <v>1072755257</v>
      </c>
      <c r="L782">
        <v>966853605</v>
      </c>
      <c r="M782">
        <v>267422866</v>
      </c>
      <c r="N782">
        <v>-348458381</v>
      </c>
      <c r="O782">
        <v>-665349585</v>
      </c>
      <c r="P782">
        <v>302</v>
      </c>
      <c r="Q782" t="s">
        <v>1810</v>
      </c>
    </row>
    <row r="783" spans="1:17" x14ac:dyDescent="0.3">
      <c r="A783" t="s">
        <v>59</v>
      </c>
      <c r="B783" t="str">
        <f>"002102"</f>
        <v>002102</v>
      </c>
      <c r="C783" t="s">
        <v>1811</v>
      </c>
      <c r="D783" t="s">
        <v>984</v>
      </c>
      <c r="F783">
        <v>240213214</v>
      </c>
      <c r="G783">
        <v>1096361129</v>
      </c>
      <c r="H783">
        <v>932000667</v>
      </c>
      <c r="I783">
        <v>178990152</v>
      </c>
      <c r="J783">
        <v>332845072</v>
      </c>
      <c r="K783">
        <v>15709765</v>
      </c>
      <c r="L783">
        <v>67966922</v>
      </c>
      <c r="M783">
        <v>-167495962</v>
      </c>
      <c r="N783">
        <v>50053459</v>
      </c>
      <c r="O783">
        <v>15080499</v>
      </c>
      <c r="P783">
        <v>119</v>
      </c>
      <c r="Q783" t="s">
        <v>1812</v>
      </c>
    </row>
    <row r="784" spans="1:17" x14ac:dyDescent="0.3">
      <c r="A784" t="s">
        <v>17</v>
      </c>
      <c r="B784" t="str">
        <f>"900948"</f>
        <v>900948</v>
      </c>
      <c r="C784" t="s">
        <v>1813</v>
      </c>
      <c r="F784">
        <v>2784420814.7199001</v>
      </c>
      <c r="G784">
        <v>1030621540.0109</v>
      </c>
      <c r="H784">
        <v>930650833.57319999</v>
      </c>
      <c r="I784">
        <v>1415176887.4742</v>
      </c>
      <c r="J784">
        <v>1240300036.9152</v>
      </c>
      <c r="K784">
        <v>857179452.67200005</v>
      </c>
      <c r="L784">
        <v>282732466.63200003</v>
      </c>
      <c r="M784">
        <v>902659069.62399995</v>
      </c>
      <c r="N784">
        <v>940957585.39719999</v>
      </c>
      <c r="O784">
        <v>1338770683.743</v>
      </c>
      <c r="P784">
        <v>225</v>
      </c>
      <c r="Q784" t="s">
        <v>1814</v>
      </c>
    </row>
    <row r="785" spans="1:17" x14ac:dyDescent="0.3">
      <c r="A785" t="s">
        <v>59</v>
      </c>
      <c r="B785" t="str">
        <f>"002152"</f>
        <v>002152</v>
      </c>
      <c r="C785" t="s">
        <v>1815</v>
      </c>
      <c r="D785" t="s">
        <v>707</v>
      </c>
      <c r="F785">
        <v>1591026131</v>
      </c>
      <c r="G785">
        <v>1221543086</v>
      </c>
      <c r="H785">
        <v>928652454</v>
      </c>
      <c r="I785">
        <v>966933808</v>
      </c>
      <c r="J785">
        <v>672450133</v>
      </c>
      <c r="K785">
        <v>1111840828</v>
      </c>
      <c r="L785">
        <v>857574818</v>
      </c>
      <c r="M785">
        <v>1108639129</v>
      </c>
      <c r="N785">
        <v>715293502</v>
      </c>
      <c r="O785">
        <v>856899248</v>
      </c>
      <c r="P785">
        <v>16880</v>
      </c>
      <c r="Q785" t="s">
        <v>1816</v>
      </c>
    </row>
    <row r="786" spans="1:17" x14ac:dyDescent="0.3">
      <c r="A786" t="s">
        <v>59</v>
      </c>
      <c r="B786" t="str">
        <f>"000061"</f>
        <v>000061</v>
      </c>
      <c r="C786" t="s">
        <v>1817</v>
      </c>
      <c r="D786" t="s">
        <v>548</v>
      </c>
      <c r="F786">
        <v>1242612135</v>
      </c>
      <c r="G786">
        <v>699131783</v>
      </c>
      <c r="H786">
        <v>928067073</v>
      </c>
      <c r="I786">
        <v>1247423260</v>
      </c>
      <c r="J786">
        <v>771773024</v>
      </c>
      <c r="K786">
        <v>527937262</v>
      </c>
      <c r="L786">
        <v>1162634539</v>
      </c>
      <c r="M786">
        <v>722412135</v>
      </c>
      <c r="N786">
        <v>190203067</v>
      </c>
      <c r="O786">
        <v>284607483</v>
      </c>
      <c r="P786">
        <v>209</v>
      </c>
      <c r="Q786" t="s">
        <v>1818</v>
      </c>
    </row>
    <row r="787" spans="1:17" x14ac:dyDescent="0.3">
      <c r="A787" t="s">
        <v>17</v>
      </c>
      <c r="B787" t="str">
        <f>"600621"</f>
        <v>600621</v>
      </c>
      <c r="C787" t="s">
        <v>1819</v>
      </c>
      <c r="D787" t="s">
        <v>75</v>
      </c>
      <c r="F787">
        <v>-721028978</v>
      </c>
      <c r="G787">
        <v>515567188</v>
      </c>
      <c r="H787">
        <v>927957160</v>
      </c>
      <c r="I787">
        <v>-1432097935</v>
      </c>
      <c r="J787">
        <v>-1315741860</v>
      </c>
      <c r="K787">
        <v>-439961129</v>
      </c>
      <c r="L787">
        <v>-16390198</v>
      </c>
      <c r="M787">
        <v>-17037341</v>
      </c>
      <c r="N787">
        <v>445352359</v>
      </c>
      <c r="O787">
        <v>-83908546</v>
      </c>
      <c r="P787">
        <v>594</v>
      </c>
      <c r="Q787" t="s">
        <v>1820</v>
      </c>
    </row>
    <row r="788" spans="1:17" x14ac:dyDescent="0.3">
      <c r="A788" t="s">
        <v>17</v>
      </c>
      <c r="B788" t="str">
        <f>"600557"</f>
        <v>600557</v>
      </c>
      <c r="C788" t="s">
        <v>1821</v>
      </c>
      <c r="D788" t="s">
        <v>455</v>
      </c>
      <c r="F788">
        <v>908295889</v>
      </c>
      <c r="G788">
        <v>701103455</v>
      </c>
      <c r="H788">
        <v>925725535</v>
      </c>
      <c r="I788">
        <v>636392894</v>
      </c>
      <c r="J788">
        <v>382928708</v>
      </c>
      <c r="K788">
        <v>299017700</v>
      </c>
      <c r="L788">
        <v>514795721</v>
      </c>
      <c r="M788">
        <v>311543597</v>
      </c>
      <c r="N788">
        <v>388106244</v>
      </c>
      <c r="O788">
        <v>212108112</v>
      </c>
      <c r="P788">
        <v>427</v>
      </c>
      <c r="Q788" t="s">
        <v>1822</v>
      </c>
    </row>
    <row r="789" spans="1:17" x14ac:dyDescent="0.3">
      <c r="A789" t="s">
        <v>17</v>
      </c>
      <c r="B789" t="str">
        <f>"600572"</f>
        <v>600572</v>
      </c>
      <c r="C789" t="s">
        <v>1823</v>
      </c>
      <c r="D789" t="s">
        <v>455</v>
      </c>
      <c r="F789">
        <v>889935238</v>
      </c>
      <c r="G789">
        <v>1249699896</v>
      </c>
      <c r="H789">
        <v>925500539</v>
      </c>
      <c r="I789">
        <v>545776465</v>
      </c>
      <c r="J789">
        <v>712266959</v>
      </c>
      <c r="K789">
        <v>969706133</v>
      </c>
      <c r="L789">
        <v>831260038</v>
      </c>
      <c r="M789">
        <v>617434216</v>
      </c>
      <c r="N789">
        <v>235355285</v>
      </c>
      <c r="O789">
        <v>245758214</v>
      </c>
      <c r="P789">
        <v>467</v>
      </c>
      <c r="Q789" t="s">
        <v>1824</v>
      </c>
    </row>
    <row r="790" spans="1:17" x14ac:dyDescent="0.3">
      <c r="A790" t="s">
        <v>17</v>
      </c>
      <c r="B790" t="str">
        <f>"603198"</f>
        <v>603198</v>
      </c>
      <c r="C790" t="s">
        <v>1825</v>
      </c>
      <c r="D790" t="s">
        <v>67</v>
      </c>
      <c r="F790">
        <v>1517152438</v>
      </c>
      <c r="G790">
        <v>728759148</v>
      </c>
      <c r="H790">
        <v>924842327</v>
      </c>
      <c r="I790">
        <v>891788426</v>
      </c>
      <c r="J790">
        <v>680181520</v>
      </c>
      <c r="K790">
        <v>704334937</v>
      </c>
      <c r="L790">
        <v>399836454</v>
      </c>
      <c r="M790">
        <v>427574029</v>
      </c>
      <c r="N790">
        <v>298918659</v>
      </c>
      <c r="O790">
        <v>627982712</v>
      </c>
      <c r="P790">
        <v>5968</v>
      </c>
      <c r="Q790" t="s">
        <v>1826</v>
      </c>
    </row>
    <row r="791" spans="1:17" x14ac:dyDescent="0.3">
      <c r="A791" t="s">
        <v>17</v>
      </c>
      <c r="B791" t="str">
        <f>"601567"</f>
        <v>601567</v>
      </c>
      <c r="C791" t="s">
        <v>1827</v>
      </c>
      <c r="D791" t="s">
        <v>1828</v>
      </c>
      <c r="F791">
        <v>198943485</v>
      </c>
      <c r="G791">
        <v>1230542633</v>
      </c>
      <c r="H791">
        <v>924598119</v>
      </c>
      <c r="I791">
        <v>444964504</v>
      </c>
      <c r="J791">
        <v>933506117</v>
      </c>
      <c r="K791">
        <v>881845470</v>
      </c>
      <c r="L791">
        <v>540813896</v>
      </c>
      <c r="M791">
        <v>304391480</v>
      </c>
      <c r="N791">
        <v>269975263</v>
      </c>
      <c r="O791">
        <v>620861938</v>
      </c>
      <c r="P791">
        <v>325</v>
      </c>
      <c r="Q791" t="s">
        <v>1829</v>
      </c>
    </row>
    <row r="792" spans="1:17" x14ac:dyDescent="0.3">
      <c r="A792" t="s">
        <v>17</v>
      </c>
      <c r="B792" t="str">
        <f>"601118"</f>
        <v>601118</v>
      </c>
      <c r="C792" t="s">
        <v>1830</v>
      </c>
      <c r="D792" t="s">
        <v>1831</v>
      </c>
      <c r="F792">
        <v>266185971</v>
      </c>
      <c r="G792">
        <v>469541164</v>
      </c>
      <c r="H792">
        <v>924417275</v>
      </c>
      <c r="I792">
        <v>555387238</v>
      </c>
      <c r="J792">
        <v>-77039646</v>
      </c>
      <c r="K792">
        <v>536395255</v>
      </c>
      <c r="L792">
        <v>-237929665</v>
      </c>
      <c r="M792">
        <v>-17045431</v>
      </c>
      <c r="N792">
        <v>350092250</v>
      </c>
      <c r="O792">
        <v>-463220721</v>
      </c>
      <c r="P792">
        <v>199</v>
      </c>
      <c r="Q792" t="s">
        <v>1832</v>
      </c>
    </row>
    <row r="793" spans="1:17" x14ac:dyDescent="0.3">
      <c r="A793" t="s">
        <v>59</v>
      </c>
      <c r="B793" t="str">
        <f>"002918"</f>
        <v>002918</v>
      </c>
      <c r="C793" t="s">
        <v>1833</v>
      </c>
      <c r="D793" t="s">
        <v>1791</v>
      </c>
      <c r="F793">
        <v>-83968486</v>
      </c>
      <c r="G793">
        <v>575880502</v>
      </c>
      <c r="H793">
        <v>920886641</v>
      </c>
      <c r="I793">
        <v>275352301</v>
      </c>
      <c r="J793">
        <v>370217444</v>
      </c>
      <c r="K793">
        <v>228819238</v>
      </c>
      <c r="L793">
        <v>149302084</v>
      </c>
      <c r="M793">
        <v>102238602</v>
      </c>
      <c r="P793">
        <v>529</v>
      </c>
      <c r="Q793" t="s">
        <v>1834</v>
      </c>
    </row>
    <row r="794" spans="1:17" x14ac:dyDescent="0.3">
      <c r="A794" t="s">
        <v>59</v>
      </c>
      <c r="B794" t="str">
        <f>"002626"</f>
        <v>002626</v>
      </c>
      <c r="C794" t="s">
        <v>1835</v>
      </c>
      <c r="D794" t="s">
        <v>1301</v>
      </c>
      <c r="F794">
        <v>847331118</v>
      </c>
      <c r="G794">
        <v>967849313</v>
      </c>
      <c r="H794">
        <v>918380174</v>
      </c>
      <c r="I794">
        <v>886874815</v>
      </c>
      <c r="J794">
        <v>487204879</v>
      </c>
      <c r="K794">
        <v>374051844</v>
      </c>
      <c r="L794">
        <v>81558085</v>
      </c>
      <c r="M794">
        <v>161384095</v>
      </c>
      <c r="N794">
        <v>201956793</v>
      </c>
      <c r="O794">
        <v>121212870</v>
      </c>
      <c r="P794">
        <v>1113</v>
      </c>
      <c r="Q794" t="s">
        <v>1836</v>
      </c>
    </row>
    <row r="795" spans="1:17" x14ac:dyDescent="0.3">
      <c r="A795" t="s">
        <v>17</v>
      </c>
      <c r="B795" t="str">
        <f>"601369"</f>
        <v>601369</v>
      </c>
      <c r="C795" t="s">
        <v>1837</v>
      </c>
      <c r="D795" t="s">
        <v>1838</v>
      </c>
      <c r="F795">
        <v>1250472417</v>
      </c>
      <c r="G795">
        <v>1173903214</v>
      </c>
      <c r="H795">
        <v>915853074</v>
      </c>
      <c r="I795">
        <v>523080416</v>
      </c>
      <c r="J795">
        <v>115950658</v>
      </c>
      <c r="K795">
        <v>68728378</v>
      </c>
      <c r="L795">
        <v>-262999046</v>
      </c>
      <c r="M795">
        <v>496235896</v>
      </c>
      <c r="N795">
        <v>172825376</v>
      </c>
      <c r="O795">
        <v>204826851</v>
      </c>
      <c r="P795">
        <v>217</v>
      </c>
      <c r="Q795" t="s">
        <v>1839</v>
      </c>
    </row>
    <row r="796" spans="1:17" x14ac:dyDescent="0.3">
      <c r="A796" t="s">
        <v>17</v>
      </c>
      <c r="B796" t="str">
        <f>"603298"</f>
        <v>603298</v>
      </c>
      <c r="C796" t="s">
        <v>1840</v>
      </c>
      <c r="D796" t="s">
        <v>235</v>
      </c>
      <c r="F796">
        <v>15881243</v>
      </c>
      <c r="G796">
        <v>913508545</v>
      </c>
      <c r="H796">
        <v>914891129</v>
      </c>
      <c r="I796">
        <v>431733462</v>
      </c>
      <c r="J796">
        <v>518623439</v>
      </c>
      <c r="K796">
        <v>379708891</v>
      </c>
      <c r="L796">
        <v>606137481</v>
      </c>
      <c r="M796">
        <v>517920281</v>
      </c>
      <c r="N796">
        <v>366337600</v>
      </c>
      <c r="P796">
        <v>451</v>
      </c>
      <c r="Q796" t="s">
        <v>1841</v>
      </c>
    </row>
    <row r="797" spans="1:17" x14ac:dyDescent="0.3">
      <c r="A797" t="s">
        <v>59</v>
      </c>
      <c r="B797" t="str">
        <f>"300296"</f>
        <v>300296</v>
      </c>
      <c r="C797" t="s">
        <v>1842</v>
      </c>
      <c r="D797" t="s">
        <v>772</v>
      </c>
      <c r="F797">
        <v>463497782</v>
      </c>
      <c r="G797">
        <v>1110885918</v>
      </c>
      <c r="H797">
        <v>913223822</v>
      </c>
      <c r="I797">
        <v>820538685</v>
      </c>
      <c r="J797">
        <v>778915244</v>
      </c>
      <c r="K797">
        <v>13769475</v>
      </c>
      <c r="L797">
        <v>115706973</v>
      </c>
      <c r="M797">
        <v>84049398</v>
      </c>
      <c r="N797">
        <v>5975414</v>
      </c>
      <c r="O797">
        <v>-80274223</v>
      </c>
      <c r="P797">
        <v>1699</v>
      </c>
      <c r="Q797" t="s">
        <v>1843</v>
      </c>
    </row>
    <row r="798" spans="1:17" x14ac:dyDescent="0.3">
      <c r="A798" t="s">
        <v>59</v>
      </c>
      <c r="B798" t="str">
        <f>"000519"</f>
        <v>000519</v>
      </c>
      <c r="C798" t="s">
        <v>1844</v>
      </c>
      <c r="D798" t="s">
        <v>606</v>
      </c>
      <c r="F798">
        <v>1573377124</v>
      </c>
      <c r="G798">
        <v>1803322544</v>
      </c>
      <c r="H798">
        <v>912063391</v>
      </c>
      <c r="I798">
        <v>1498821874</v>
      </c>
      <c r="J798">
        <v>536985987</v>
      </c>
      <c r="K798">
        <v>157201675</v>
      </c>
      <c r="L798">
        <v>-141296930</v>
      </c>
      <c r="M798">
        <v>-198651892</v>
      </c>
      <c r="N798">
        <v>-124348547</v>
      </c>
      <c r="O798">
        <v>5160811</v>
      </c>
      <c r="P798">
        <v>336</v>
      </c>
      <c r="Q798" t="s">
        <v>1845</v>
      </c>
    </row>
    <row r="799" spans="1:17" x14ac:dyDescent="0.3">
      <c r="A799" t="s">
        <v>17</v>
      </c>
      <c r="B799" t="str">
        <f>"601686"</f>
        <v>601686</v>
      </c>
      <c r="C799" t="s">
        <v>1846</v>
      </c>
      <c r="D799" t="s">
        <v>712</v>
      </c>
      <c r="F799">
        <v>811250280</v>
      </c>
      <c r="G799">
        <v>317513916</v>
      </c>
      <c r="H799">
        <v>907970462</v>
      </c>
      <c r="I799">
        <v>786464534</v>
      </c>
      <c r="J799">
        <v>-628837969</v>
      </c>
      <c r="K799">
        <v>321527289</v>
      </c>
      <c r="P799">
        <v>57</v>
      </c>
      <c r="Q799" t="s">
        <v>1847</v>
      </c>
    </row>
    <row r="800" spans="1:17" x14ac:dyDescent="0.3">
      <c r="A800" t="s">
        <v>59</v>
      </c>
      <c r="B800" t="str">
        <f>"002597"</f>
        <v>002597</v>
      </c>
      <c r="C800" t="s">
        <v>1848</v>
      </c>
      <c r="D800" t="s">
        <v>853</v>
      </c>
      <c r="F800">
        <v>884916187</v>
      </c>
      <c r="G800">
        <v>994007248</v>
      </c>
      <c r="H800">
        <v>905749050</v>
      </c>
      <c r="I800">
        <v>963270513</v>
      </c>
      <c r="J800">
        <v>1103443415</v>
      </c>
      <c r="K800">
        <v>930578768</v>
      </c>
      <c r="L800">
        <v>517950184</v>
      </c>
      <c r="M800">
        <v>371518474</v>
      </c>
      <c r="N800">
        <v>212106023</v>
      </c>
      <c r="O800">
        <v>267848308</v>
      </c>
      <c r="P800">
        <v>1878</v>
      </c>
      <c r="Q800" t="s">
        <v>1849</v>
      </c>
    </row>
    <row r="801" spans="1:17" x14ac:dyDescent="0.3">
      <c r="A801" t="s">
        <v>59</v>
      </c>
      <c r="B801" t="str">
        <f>"002534"</f>
        <v>002534</v>
      </c>
      <c r="C801" t="s">
        <v>1850</v>
      </c>
      <c r="D801" t="s">
        <v>1851</v>
      </c>
      <c r="F801">
        <v>823823745</v>
      </c>
      <c r="G801">
        <v>852475236</v>
      </c>
      <c r="H801">
        <v>905182040</v>
      </c>
      <c r="I801">
        <v>514073354</v>
      </c>
      <c r="J801">
        <v>531582438</v>
      </c>
      <c r="K801">
        <v>674284112</v>
      </c>
      <c r="L801">
        <v>384658914</v>
      </c>
      <c r="M801">
        <v>416325600</v>
      </c>
      <c r="N801">
        <v>398410719</v>
      </c>
      <c r="O801">
        <v>-519938266</v>
      </c>
      <c r="P801">
        <v>191</v>
      </c>
      <c r="Q801" t="s">
        <v>1852</v>
      </c>
    </row>
    <row r="802" spans="1:17" x14ac:dyDescent="0.3">
      <c r="A802" t="s">
        <v>17</v>
      </c>
      <c r="B802" t="str">
        <f>"600261"</f>
        <v>600261</v>
      </c>
      <c r="C802" t="s">
        <v>1853</v>
      </c>
      <c r="D802" t="s">
        <v>1626</v>
      </c>
      <c r="F802">
        <v>164015865</v>
      </c>
      <c r="G802">
        <v>702774676</v>
      </c>
      <c r="H802">
        <v>904247635</v>
      </c>
      <c r="I802">
        <v>457249688</v>
      </c>
      <c r="J802">
        <v>237031146</v>
      </c>
      <c r="K802">
        <v>1032131806</v>
      </c>
      <c r="L802">
        <v>569981172</v>
      </c>
      <c r="M802">
        <v>601699422</v>
      </c>
      <c r="N802">
        <v>431835922</v>
      </c>
      <c r="O802">
        <v>187389450</v>
      </c>
      <c r="P802">
        <v>440</v>
      </c>
      <c r="Q802" t="s">
        <v>1854</v>
      </c>
    </row>
    <row r="803" spans="1:17" x14ac:dyDescent="0.3">
      <c r="A803" t="s">
        <v>59</v>
      </c>
      <c r="B803" t="str">
        <f>"000935"</f>
        <v>000935</v>
      </c>
      <c r="C803" t="s">
        <v>1855</v>
      </c>
      <c r="D803" t="s">
        <v>78</v>
      </c>
      <c r="F803">
        <v>441215658</v>
      </c>
      <c r="G803">
        <v>601019488</v>
      </c>
      <c r="H803">
        <v>898639491</v>
      </c>
      <c r="I803">
        <v>693782464</v>
      </c>
      <c r="J803">
        <v>620728652</v>
      </c>
      <c r="K803">
        <v>539009165</v>
      </c>
      <c r="L803">
        <v>311998003</v>
      </c>
      <c r="M803">
        <v>561127164</v>
      </c>
      <c r="N803">
        <v>357812583</v>
      </c>
      <c r="O803">
        <v>271383469</v>
      </c>
      <c r="P803">
        <v>230</v>
      </c>
      <c r="Q803" t="s">
        <v>1856</v>
      </c>
    </row>
    <row r="804" spans="1:17" x14ac:dyDescent="0.3">
      <c r="A804" t="s">
        <v>59</v>
      </c>
      <c r="B804" t="str">
        <f>"002372"</f>
        <v>002372</v>
      </c>
      <c r="C804" t="s">
        <v>1857</v>
      </c>
      <c r="D804" t="s">
        <v>1858</v>
      </c>
      <c r="F804">
        <v>1593587465</v>
      </c>
      <c r="G804">
        <v>1346245030</v>
      </c>
      <c r="H804">
        <v>894652929</v>
      </c>
      <c r="I804">
        <v>956797779</v>
      </c>
      <c r="J804">
        <v>941949959</v>
      </c>
      <c r="K804">
        <v>969252862</v>
      </c>
      <c r="L804">
        <v>497477287</v>
      </c>
      <c r="M804">
        <v>513259593</v>
      </c>
      <c r="N804">
        <v>419282645</v>
      </c>
      <c r="O804">
        <v>297940806</v>
      </c>
      <c r="P804">
        <v>10689</v>
      </c>
      <c r="Q804" t="s">
        <v>1859</v>
      </c>
    </row>
    <row r="805" spans="1:17" x14ac:dyDescent="0.3">
      <c r="A805" t="s">
        <v>17</v>
      </c>
      <c r="B805" t="str">
        <f>"600052"</f>
        <v>600052</v>
      </c>
      <c r="C805" t="s">
        <v>1860</v>
      </c>
      <c r="D805" t="s">
        <v>1059</v>
      </c>
      <c r="F805">
        <v>-183497406</v>
      </c>
      <c r="G805">
        <v>-21136019</v>
      </c>
      <c r="H805">
        <v>893248361</v>
      </c>
      <c r="I805">
        <v>162781447</v>
      </c>
      <c r="J805">
        <v>624169806</v>
      </c>
      <c r="K805">
        <v>1153292085</v>
      </c>
      <c r="L805">
        <v>247091876</v>
      </c>
      <c r="M805">
        <v>-520566032</v>
      </c>
      <c r="N805">
        <v>135660502</v>
      </c>
      <c r="O805">
        <v>12882760</v>
      </c>
      <c r="P805">
        <v>133</v>
      </c>
      <c r="Q805" t="s">
        <v>1861</v>
      </c>
    </row>
    <row r="806" spans="1:17" x14ac:dyDescent="0.3">
      <c r="A806" t="s">
        <v>59</v>
      </c>
      <c r="B806" t="str">
        <f>"002664"</f>
        <v>002664</v>
      </c>
      <c r="C806" t="s">
        <v>1862</v>
      </c>
      <c r="D806" t="s">
        <v>575</v>
      </c>
      <c r="F806">
        <v>-89855593</v>
      </c>
      <c r="G806">
        <v>171852460</v>
      </c>
      <c r="H806">
        <v>890771086</v>
      </c>
      <c r="I806">
        <v>401730530</v>
      </c>
      <c r="J806">
        <v>266794275</v>
      </c>
      <c r="K806">
        <v>307308852</v>
      </c>
      <c r="L806">
        <v>251859619</v>
      </c>
      <c r="M806">
        <v>165375728</v>
      </c>
      <c r="N806">
        <v>38513768</v>
      </c>
      <c r="O806">
        <v>26891961</v>
      </c>
      <c r="P806">
        <v>232</v>
      </c>
      <c r="Q806" t="s">
        <v>1863</v>
      </c>
    </row>
    <row r="807" spans="1:17" x14ac:dyDescent="0.3">
      <c r="A807" t="s">
        <v>17</v>
      </c>
      <c r="B807" t="str">
        <f>"600111"</f>
        <v>600111</v>
      </c>
      <c r="C807" t="s">
        <v>1864</v>
      </c>
      <c r="D807" t="s">
        <v>1865</v>
      </c>
      <c r="F807">
        <v>3793560640</v>
      </c>
      <c r="G807">
        <v>578252148</v>
      </c>
      <c r="H807">
        <v>887886739</v>
      </c>
      <c r="I807">
        <v>-699015644</v>
      </c>
      <c r="J807">
        <v>-1809214661</v>
      </c>
      <c r="K807">
        <v>100954958</v>
      </c>
      <c r="L807">
        <v>2708499173</v>
      </c>
      <c r="M807">
        <v>697351287</v>
      </c>
      <c r="N807">
        <v>1134616408</v>
      </c>
      <c r="O807">
        <v>-982894942</v>
      </c>
      <c r="P807">
        <v>1179</v>
      </c>
      <c r="Q807" t="s">
        <v>1866</v>
      </c>
    </row>
    <row r="808" spans="1:17" x14ac:dyDescent="0.3">
      <c r="A808" t="s">
        <v>17</v>
      </c>
      <c r="B808" t="str">
        <f>"603866"</f>
        <v>603866</v>
      </c>
      <c r="C808" t="s">
        <v>1867</v>
      </c>
      <c r="D808" t="s">
        <v>1868</v>
      </c>
      <c r="F808">
        <v>1013779180</v>
      </c>
      <c r="G808">
        <v>1101366062</v>
      </c>
      <c r="H808">
        <v>887834094</v>
      </c>
      <c r="I808">
        <v>803219894</v>
      </c>
      <c r="J808">
        <v>653147246</v>
      </c>
      <c r="K808">
        <v>519492405</v>
      </c>
      <c r="L808">
        <v>427435506</v>
      </c>
      <c r="M808">
        <v>319384201</v>
      </c>
      <c r="N808">
        <v>318803942</v>
      </c>
      <c r="O808">
        <v>249903759</v>
      </c>
      <c r="P808">
        <v>7676</v>
      </c>
      <c r="Q808" t="s">
        <v>1869</v>
      </c>
    </row>
    <row r="809" spans="1:17" x14ac:dyDescent="0.3">
      <c r="A809" t="s">
        <v>17</v>
      </c>
      <c r="B809" t="str">
        <f>"600845"</f>
        <v>600845</v>
      </c>
      <c r="C809" t="s">
        <v>1870</v>
      </c>
      <c r="D809" t="s">
        <v>1189</v>
      </c>
      <c r="F809">
        <v>1928110671</v>
      </c>
      <c r="G809">
        <v>1465821811</v>
      </c>
      <c r="H809">
        <v>887030463</v>
      </c>
      <c r="I809">
        <v>964585374</v>
      </c>
      <c r="J809">
        <v>774897458</v>
      </c>
      <c r="K809">
        <v>826612926</v>
      </c>
      <c r="L809">
        <v>273867383</v>
      </c>
      <c r="M809">
        <v>231172120</v>
      </c>
      <c r="N809">
        <v>197505061</v>
      </c>
      <c r="O809">
        <v>56350608</v>
      </c>
      <c r="P809">
        <v>1594</v>
      </c>
      <c r="Q809" t="s">
        <v>1871</v>
      </c>
    </row>
    <row r="810" spans="1:17" x14ac:dyDescent="0.3">
      <c r="A810" t="s">
        <v>17</v>
      </c>
      <c r="B810" t="str">
        <f>"688126"</f>
        <v>688126</v>
      </c>
      <c r="C810" t="s">
        <v>1872</v>
      </c>
      <c r="D810" t="s">
        <v>874</v>
      </c>
      <c r="F810">
        <v>307489585</v>
      </c>
      <c r="G810">
        <v>376546036</v>
      </c>
      <c r="H810">
        <v>886701909</v>
      </c>
      <c r="I810">
        <v>327061474</v>
      </c>
      <c r="J810">
        <v>123331128</v>
      </c>
      <c r="K810">
        <v>154420303</v>
      </c>
      <c r="P810">
        <v>329</v>
      </c>
      <c r="Q810" t="s">
        <v>1873</v>
      </c>
    </row>
    <row r="811" spans="1:17" x14ac:dyDescent="0.3">
      <c r="A811" t="s">
        <v>17</v>
      </c>
      <c r="B811" t="str">
        <f>"600884"</f>
        <v>600884</v>
      </c>
      <c r="C811" t="s">
        <v>1874</v>
      </c>
      <c r="D811" t="s">
        <v>1444</v>
      </c>
      <c r="F811">
        <v>-364495067</v>
      </c>
      <c r="G811">
        <v>329292015</v>
      </c>
      <c r="H811">
        <v>886437953</v>
      </c>
      <c r="I811">
        <v>540421485</v>
      </c>
      <c r="J811">
        <v>-381380587</v>
      </c>
      <c r="K811">
        <v>-577945859</v>
      </c>
      <c r="L811">
        <v>-257965117</v>
      </c>
      <c r="M811">
        <v>-403236827</v>
      </c>
      <c r="N811">
        <v>-126687539</v>
      </c>
      <c r="O811">
        <v>64569845</v>
      </c>
      <c r="P811">
        <v>758</v>
      </c>
      <c r="Q811" t="s">
        <v>1875</v>
      </c>
    </row>
    <row r="812" spans="1:17" x14ac:dyDescent="0.3">
      <c r="A812" t="s">
        <v>59</v>
      </c>
      <c r="B812" t="str">
        <f>"002390"</f>
        <v>002390</v>
      </c>
      <c r="C812" t="s">
        <v>1876</v>
      </c>
      <c r="D812" t="s">
        <v>455</v>
      </c>
      <c r="F812">
        <v>457971988</v>
      </c>
      <c r="G812">
        <v>742111912</v>
      </c>
      <c r="H812">
        <v>886327518</v>
      </c>
      <c r="I812">
        <v>-218563062</v>
      </c>
      <c r="J812">
        <v>201742949</v>
      </c>
      <c r="K812">
        <v>-198585062</v>
      </c>
      <c r="L812">
        <v>217402166</v>
      </c>
      <c r="M812">
        <v>-198596680</v>
      </c>
      <c r="N812">
        <v>-21338192</v>
      </c>
      <c r="O812">
        <v>-36464189</v>
      </c>
      <c r="P812">
        <v>272</v>
      </c>
      <c r="Q812" t="s">
        <v>1877</v>
      </c>
    </row>
    <row r="813" spans="1:17" x14ac:dyDescent="0.3">
      <c r="A813" t="s">
        <v>59</v>
      </c>
      <c r="B813" t="str">
        <f>"301078"</f>
        <v>301078</v>
      </c>
      <c r="C813" t="s">
        <v>1878</v>
      </c>
      <c r="D813" t="s">
        <v>1194</v>
      </c>
      <c r="F813">
        <v>598604182</v>
      </c>
      <c r="G813">
        <v>868110184</v>
      </c>
      <c r="H813">
        <v>885600872</v>
      </c>
      <c r="I813">
        <v>524143711</v>
      </c>
      <c r="J813">
        <v>622994499</v>
      </c>
      <c r="P813">
        <v>23</v>
      </c>
      <c r="Q813" t="s">
        <v>1879</v>
      </c>
    </row>
    <row r="814" spans="1:17" x14ac:dyDescent="0.3">
      <c r="A814" t="s">
        <v>17</v>
      </c>
      <c r="B814" t="str">
        <f>"600037"</f>
        <v>600037</v>
      </c>
      <c r="C814" t="s">
        <v>1880</v>
      </c>
      <c r="D814" t="s">
        <v>775</v>
      </c>
      <c r="F814">
        <v>839829080</v>
      </c>
      <c r="G814">
        <v>814424055</v>
      </c>
      <c r="H814">
        <v>885294524</v>
      </c>
      <c r="I814">
        <v>1018552299</v>
      </c>
      <c r="J814">
        <v>1063071776</v>
      </c>
      <c r="K814">
        <v>1184783305</v>
      </c>
      <c r="L814">
        <v>1320757597</v>
      </c>
      <c r="M814">
        <v>1197396450</v>
      </c>
      <c r="N814">
        <v>1031293157</v>
      </c>
      <c r="O814">
        <v>889252818</v>
      </c>
      <c r="P814">
        <v>309</v>
      </c>
      <c r="Q814" t="s">
        <v>1881</v>
      </c>
    </row>
    <row r="815" spans="1:17" x14ac:dyDescent="0.3">
      <c r="A815" t="s">
        <v>17</v>
      </c>
      <c r="B815" t="str">
        <f>"600874"</f>
        <v>600874</v>
      </c>
      <c r="C815" t="s">
        <v>1882</v>
      </c>
      <c r="D815" t="s">
        <v>669</v>
      </c>
      <c r="F815">
        <v>936808000</v>
      </c>
      <c r="G815">
        <v>532436000</v>
      </c>
      <c r="H815">
        <v>884933000</v>
      </c>
      <c r="I815">
        <v>734251000</v>
      </c>
      <c r="J815">
        <v>912052000</v>
      </c>
      <c r="K815">
        <v>403670000</v>
      </c>
      <c r="L815">
        <v>2310679000</v>
      </c>
      <c r="M815">
        <v>609369000</v>
      </c>
      <c r="N815">
        <v>571473000</v>
      </c>
      <c r="O815">
        <v>507791000</v>
      </c>
      <c r="P815">
        <v>201</v>
      </c>
      <c r="Q815" t="s">
        <v>1883</v>
      </c>
    </row>
    <row r="816" spans="1:17" x14ac:dyDescent="0.3">
      <c r="A816" t="s">
        <v>17</v>
      </c>
      <c r="B816" t="str">
        <f>"600739"</f>
        <v>600739</v>
      </c>
      <c r="C816" t="s">
        <v>1884</v>
      </c>
      <c r="D816" t="s">
        <v>1413</v>
      </c>
      <c r="F816">
        <v>313814318</v>
      </c>
      <c r="G816">
        <v>775209593</v>
      </c>
      <c r="H816">
        <v>879905076</v>
      </c>
      <c r="I816">
        <v>485979117</v>
      </c>
      <c r="J816">
        <v>96947533</v>
      </c>
      <c r="K816">
        <v>590011774</v>
      </c>
      <c r="L816">
        <v>250905285</v>
      </c>
      <c r="M816">
        <v>426131780</v>
      </c>
      <c r="N816">
        <v>332894848</v>
      </c>
      <c r="O816">
        <v>14758106</v>
      </c>
      <c r="P816">
        <v>338</v>
      </c>
      <c r="Q816" t="s">
        <v>1885</v>
      </c>
    </row>
    <row r="817" spans="1:17" x14ac:dyDescent="0.3">
      <c r="A817" t="s">
        <v>59</v>
      </c>
      <c r="B817" t="str">
        <f>"002101"</f>
        <v>002101</v>
      </c>
      <c r="C817" t="s">
        <v>1886</v>
      </c>
      <c r="D817" t="s">
        <v>1226</v>
      </c>
      <c r="F817">
        <v>697783899</v>
      </c>
      <c r="G817">
        <v>1154325988</v>
      </c>
      <c r="H817">
        <v>879161414</v>
      </c>
      <c r="I817">
        <v>566745213</v>
      </c>
      <c r="J817">
        <v>667134290</v>
      </c>
      <c r="K817">
        <v>313209106</v>
      </c>
      <c r="L817">
        <v>163216983</v>
      </c>
      <c r="M817">
        <v>168920918</v>
      </c>
      <c r="N817">
        <v>59657333</v>
      </c>
      <c r="O817">
        <v>128978343</v>
      </c>
      <c r="P817">
        <v>267</v>
      </c>
      <c r="Q817" t="s">
        <v>1887</v>
      </c>
    </row>
    <row r="818" spans="1:17" x14ac:dyDescent="0.3">
      <c r="A818" t="s">
        <v>59</v>
      </c>
      <c r="B818" t="str">
        <f>"002131"</f>
        <v>002131</v>
      </c>
      <c r="C818" t="s">
        <v>1888</v>
      </c>
      <c r="D818" t="s">
        <v>1889</v>
      </c>
      <c r="F818">
        <v>-499458724</v>
      </c>
      <c r="G818">
        <v>464181503</v>
      </c>
      <c r="H818">
        <v>877475696</v>
      </c>
      <c r="I818">
        <v>-166646469</v>
      </c>
      <c r="J818">
        <v>-340317767</v>
      </c>
      <c r="K818">
        <v>75802516</v>
      </c>
      <c r="L818">
        <v>329513943</v>
      </c>
      <c r="M818">
        <v>-109977222</v>
      </c>
      <c r="N818">
        <v>46525642</v>
      </c>
      <c r="O818">
        <v>52747071</v>
      </c>
      <c r="P818">
        <v>417</v>
      </c>
      <c r="Q818" t="s">
        <v>1890</v>
      </c>
    </row>
    <row r="819" spans="1:17" x14ac:dyDescent="0.3">
      <c r="A819" t="s">
        <v>17</v>
      </c>
      <c r="B819" t="str">
        <f>"600729"</f>
        <v>600729</v>
      </c>
      <c r="C819" t="s">
        <v>1891</v>
      </c>
      <c r="D819" t="s">
        <v>829</v>
      </c>
      <c r="F819">
        <v>1114152563</v>
      </c>
      <c r="G819">
        <v>1181738939</v>
      </c>
      <c r="H819">
        <v>875585745</v>
      </c>
      <c r="I819">
        <v>1002470995</v>
      </c>
      <c r="J819">
        <v>1287220366</v>
      </c>
      <c r="K819">
        <v>462260444</v>
      </c>
      <c r="L819">
        <v>422386381</v>
      </c>
      <c r="M819">
        <v>-116725543</v>
      </c>
      <c r="N819">
        <v>428469369</v>
      </c>
      <c r="O819">
        <v>1094150917</v>
      </c>
      <c r="P819">
        <v>540</v>
      </c>
      <c r="Q819" t="s">
        <v>1892</v>
      </c>
    </row>
    <row r="820" spans="1:17" x14ac:dyDescent="0.3">
      <c r="A820" t="s">
        <v>17</v>
      </c>
      <c r="B820" t="str">
        <f>"603228"</f>
        <v>603228</v>
      </c>
      <c r="C820" t="s">
        <v>1893</v>
      </c>
      <c r="D820" t="s">
        <v>539</v>
      </c>
      <c r="F820">
        <v>1140088345</v>
      </c>
      <c r="G820">
        <v>1526815234</v>
      </c>
      <c r="H820">
        <v>873593061</v>
      </c>
      <c r="I820">
        <v>803839605</v>
      </c>
      <c r="J820">
        <v>716256734</v>
      </c>
      <c r="K820">
        <v>541051722</v>
      </c>
      <c r="L820">
        <v>565345288</v>
      </c>
      <c r="M820">
        <v>359602499</v>
      </c>
      <c r="N820">
        <v>231488687</v>
      </c>
      <c r="P820">
        <v>1624</v>
      </c>
      <c r="Q820" t="s">
        <v>1894</v>
      </c>
    </row>
    <row r="821" spans="1:17" x14ac:dyDescent="0.3">
      <c r="A821" t="s">
        <v>59</v>
      </c>
      <c r="B821" t="str">
        <f>"002252"</f>
        <v>002252</v>
      </c>
      <c r="C821" t="s">
        <v>1895</v>
      </c>
      <c r="D821" t="s">
        <v>1421</v>
      </c>
      <c r="F821">
        <v>1294013219</v>
      </c>
      <c r="G821">
        <v>1168847146</v>
      </c>
      <c r="H821">
        <v>872694470</v>
      </c>
      <c r="I821">
        <v>262500812</v>
      </c>
      <c r="J821">
        <v>264949554</v>
      </c>
      <c r="K821">
        <v>638223427</v>
      </c>
      <c r="L821">
        <v>762420969</v>
      </c>
      <c r="M821">
        <v>465961165</v>
      </c>
      <c r="N821">
        <v>-90108072</v>
      </c>
      <c r="O821">
        <v>263464689</v>
      </c>
      <c r="P821">
        <v>602</v>
      </c>
      <c r="Q821" t="s">
        <v>1896</v>
      </c>
    </row>
    <row r="822" spans="1:17" x14ac:dyDescent="0.3">
      <c r="A822" t="s">
        <v>59</v>
      </c>
      <c r="B822" t="str">
        <f>"002276"</f>
        <v>002276</v>
      </c>
      <c r="C822" t="s">
        <v>1897</v>
      </c>
      <c r="D822" t="s">
        <v>1065</v>
      </c>
      <c r="F822">
        <v>908994064</v>
      </c>
      <c r="G822">
        <v>703747603</v>
      </c>
      <c r="H822">
        <v>872167674</v>
      </c>
      <c r="I822">
        <v>638571287</v>
      </c>
      <c r="J822">
        <v>-940404275</v>
      </c>
      <c r="K822">
        <v>280206931</v>
      </c>
      <c r="L822">
        <v>268464767</v>
      </c>
      <c r="M822">
        <v>247936207</v>
      </c>
      <c r="N822">
        <v>151378534</v>
      </c>
      <c r="O822">
        <v>-14835953</v>
      </c>
      <c r="P822">
        <v>255</v>
      </c>
      <c r="Q822" t="s">
        <v>1898</v>
      </c>
    </row>
    <row r="823" spans="1:17" x14ac:dyDescent="0.3">
      <c r="A823" t="s">
        <v>17</v>
      </c>
      <c r="B823" t="str">
        <f>"600596"</f>
        <v>600596</v>
      </c>
      <c r="C823" t="s">
        <v>1899</v>
      </c>
      <c r="D823" t="s">
        <v>1900</v>
      </c>
      <c r="F823">
        <v>2877523332</v>
      </c>
      <c r="G823">
        <v>1093313645</v>
      </c>
      <c r="H823">
        <v>871745951</v>
      </c>
      <c r="I823">
        <v>1025241059</v>
      </c>
      <c r="J823">
        <v>378577606</v>
      </c>
      <c r="K823">
        <v>620105697</v>
      </c>
      <c r="L823">
        <v>169545658</v>
      </c>
      <c r="M823">
        <v>378598986</v>
      </c>
      <c r="N823">
        <v>1095979394</v>
      </c>
      <c r="O823">
        <v>521445809</v>
      </c>
      <c r="P823">
        <v>481</v>
      </c>
      <c r="Q823" t="s">
        <v>1901</v>
      </c>
    </row>
    <row r="824" spans="1:17" x14ac:dyDescent="0.3">
      <c r="A824" t="s">
        <v>59</v>
      </c>
      <c r="B824" t="str">
        <f>"002541"</f>
        <v>002541</v>
      </c>
      <c r="C824" t="s">
        <v>1902</v>
      </c>
      <c r="D824" t="s">
        <v>1903</v>
      </c>
      <c r="F824">
        <v>-201980373</v>
      </c>
      <c r="G824">
        <v>159138993</v>
      </c>
      <c r="H824">
        <v>871127241</v>
      </c>
      <c r="I824">
        <v>1577876861</v>
      </c>
      <c r="J824">
        <v>190628801</v>
      </c>
      <c r="K824">
        <v>171440045</v>
      </c>
      <c r="L824">
        <v>-31710722</v>
      </c>
      <c r="M824">
        <v>41280515</v>
      </c>
      <c r="N824">
        <v>-157550010</v>
      </c>
      <c r="O824">
        <v>-17976642</v>
      </c>
      <c r="P824">
        <v>443</v>
      </c>
      <c r="Q824" t="s">
        <v>1904</v>
      </c>
    </row>
    <row r="825" spans="1:17" x14ac:dyDescent="0.3">
      <c r="A825" t="s">
        <v>59</v>
      </c>
      <c r="B825" t="str">
        <f>"002911"</f>
        <v>002911</v>
      </c>
      <c r="C825" t="s">
        <v>1905</v>
      </c>
      <c r="D825" t="s">
        <v>883</v>
      </c>
      <c r="F825">
        <v>390357872</v>
      </c>
      <c r="G825">
        <v>842625606</v>
      </c>
      <c r="H825">
        <v>870417643</v>
      </c>
      <c r="I825">
        <v>631436114</v>
      </c>
      <c r="J825">
        <v>588792267</v>
      </c>
      <c r="K825">
        <v>521869598</v>
      </c>
      <c r="L825">
        <v>704211186</v>
      </c>
      <c r="M825">
        <v>594093978</v>
      </c>
      <c r="P825">
        <v>183</v>
      </c>
      <c r="Q825" t="s">
        <v>1906</v>
      </c>
    </row>
    <row r="826" spans="1:17" x14ac:dyDescent="0.3">
      <c r="A826" t="s">
        <v>17</v>
      </c>
      <c r="B826" t="str">
        <f>"688008"</f>
        <v>688008</v>
      </c>
      <c r="C826" t="s">
        <v>1907</v>
      </c>
      <c r="D826" t="s">
        <v>817</v>
      </c>
      <c r="F826">
        <v>680414535</v>
      </c>
      <c r="G826">
        <v>1000111569</v>
      </c>
      <c r="H826">
        <v>868962637</v>
      </c>
      <c r="I826">
        <v>969147002</v>
      </c>
      <c r="J826">
        <v>226831376</v>
      </c>
      <c r="K826">
        <v>387084765</v>
      </c>
      <c r="P826">
        <v>522</v>
      </c>
      <c r="Q826" t="s">
        <v>1908</v>
      </c>
    </row>
    <row r="827" spans="1:17" x14ac:dyDescent="0.3">
      <c r="A827" t="s">
        <v>17</v>
      </c>
      <c r="B827" t="str">
        <f>"603877"</f>
        <v>603877</v>
      </c>
      <c r="C827" t="s">
        <v>1909</v>
      </c>
      <c r="D827" t="s">
        <v>646</v>
      </c>
      <c r="F827">
        <v>1299999357</v>
      </c>
      <c r="G827">
        <v>1154360342</v>
      </c>
      <c r="H827">
        <v>868440241</v>
      </c>
      <c r="I827">
        <v>852943125</v>
      </c>
      <c r="J827">
        <v>627230501</v>
      </c>
      <c r="K827">
        <v>630167808</v>
      </c>
      <c r="L827">
        <v>236981246</v>
      </c>
      <c r="M827">
        <v>529689096</v>
      </c>
      <c r="N827">
        <v>531792283</v>
      </c>
      <c r="P827">
        <v>364</v>
      </c>
      <c r="Q827" t="s">
        <v>1910</v>
      </c>
    </row>
    <row r="828" spans="1:17" x14ac:dyDescent="0.3">
      <c r="A828" t="s">
        <v>17</v>
      </c>
      <c r="B828" t="str">
        <f>"603568"</f>
        <v>603568</v>
      </c>
      <c r="C828" t="s">
        <v>1911</v>
      </c>
      <c r="D828" t="s">
        <v>894</v>
      </c>
      <c r="F828">
        <v>1193922963</v>
      </c>
      <c r="G828">
        <v>952473038</v>
      </c>
      <c r="H828">
        <v>867871626</v>
      </c>
      <c r="I828">
        <v>743930431</v>
      </c>
      <c r="J828">
        <v>664495062</v>
      </c>
      <c r="K828">
        <v>427969902</v>
      </c>
      <c r="L828">
        <v>457472125</v>
      </c>
      <c r="M828">
        <v>401061901</v>
      </c>
      <c r="N828">
        <v>386641478</v>
      </c>
      <c r="O828">
        <v>217869778</v>
      </c>
      <c r="P828">
        <v>16270</v>
      </c>
      <c r="Q828" t="s">
        <v>1912</v>
      </c>
    </row>
    <row r="829" spans="1:17" x14ac:dyDescent="0.3">
      <c r="A829" t="s">
        <v>17</v>
      </c>
      <c r="B829" t="str">
        <f>"600779"</f>
        <v>600779</v>
      </c>
      <c r="C829" t="s">
        <v>1913</v>
      </c>
      <c r="D829" t="s">
        <v>67</v>
      </c>
      <c r="F829">
        <v>1628912196</v>
      </c>
      <c r="G829">
        <v>845323777</v>
      </c>
      <c r="H829">
        <v>867736038</v>
      </c>
      <c r="I829">
        <v>431092605</v>
      </c>
      <c r="J829">
        <v>611431360</v>
      </c>
      <c r="K829">
        <v>381909848</v>
      </c>
      <c r="L829">
        <v>234037093</v>
      </c>
      <c r="M829">
        <v>-105887184</v>
      </c>
      <c r="N829">
        <v>-440726118</v>
      </c>
      <c r="O829">
        <v>62583789</v>
      </c>
      <c r="P829">
        <v>2794</v>
      </c>
      <c r="Q829" t="s">
        <v>1914</v>
      </c>
    </row>
    <row r="830" spans="1:17" x14ac:dyDescent="0.3">
      <c r="A830" t="s">
        <v>17</v>
      </c>
      <c r="B830" t="str">
        <f>"600618"</f>
        <v>600618</v>
      </c>
      <c r="C830" t="s">
        <v>1915</v>
      </c>
      <c r="D830" t="s">
        <v>317</v>
      </c>
      <c r="F830">
        <v>1377706272</v>
      </c>
      <c r="G830">
        <v>408743199</v>
      </c>
      <c r="H830">
        <v>867716933</v>
      </c>
      <c r="I830">
        <v>889698420</v>
      </c>
      <c r="J830">
        <v>1003805721</v>
      </c>
      <c r="K830">
        <v>488856761</v>
      </c>
      <c r="L830">
        <v>305852432</v>
      </c>
      <c r="M830">
        <v>-29060000</v>
      </c>
      <c r="N830">
        <v>580026390</v>
      </c>
      <c r="O830">
        <v>644308830</v>
      </c>
      <c r="P830">
        <v>253</v>
      </c>
      <c r="Q830" t="s">
        <v>1916</v>
      </c>
    </row>
    <row r="831" spans="1:17" x14ac:dyDescent="0.3">
      <c r="A831" t="s">
        <v>59</v>
      </c>
      <c r="B831" t="str">
        <f>"000977"</f>
        <v>000977</v>
      </c>
      <c r="C831" t="s">
        <v>1917</v>
      </c>
      <c r="D831" t="s">
        <v>707</v>
      </c>
      <c r="F831">
        <v>-8289573972</v>
      </c>
      <c r="G831">
        <v>2330314435</v>
      </c>
      <c r="H831">
        <v>865349168</v>
      </c>
      <c r="I831">
        <v>1330357047</v>
      </c>
      <c r="J831">
        <v>254847847</v>
      </c>
      <c r="K831">
        <v>71985528</v>
      </c>
      <c r="L831">
        <v>-143705110</v>
      </c>
      <c r="M831">
        <v>-441901057</v>
      </c>
      <c r="N831">
        <v>-824648088</v>
      </c>
      <c r="O831">
        <v>-233742091</v>
      </c>
      <c r="P831">
        <v>4425</v>
      </c>
      <c r="Q831" t="s">
        <v>1918</v>
      </c>
    </row>
    <row r="832" spans="1:17" x14ac:dyDescent="0.3">
      <c r="A832" t="s">
        <v>59</v>
      </c>
      <c r="B832" t="str">
        <f>"002327"</f>
        <v>002327</v>
      </c>
      <c r="C832" t="s">
        <v>1919</v>
      </c>
      <c r="D832" t="s">
        <v>1920</v>
      </c>
      <c r="F832">
        <v>774941886</v>
      </c>
      <c r="G832">
        <v>666095033</v>
      </c>
      <c r="H832">
        <v>863694770</v>
      </c>
      <c r="I832">
        <v>345326384</v>
      </c>
      <c r="J832">
        <v>365753190</v>
      </c>
      <c r="K832">
        <v>419806130</v>
      </c>
      <c r="L832">
        <v>290951555</v>
      </c>
      <c r="M832">
        <v>435767496</v>
      </c>
      <c r="N832">
        <v>217813466</v>
      </c>
      <c r="O832">
        <v>450064115</v>
      </c>
      <c r="P832">
        <v>1306</v>
      </c>
      <c r="Q832" t="s">
        <v>1921</v>
      </c>
    </row>
    <row r="833" spans="1:17" x14ac:dyDescent="0.3">
      <c r="A833" t="s">
        <v>59</v>
      </c>
      <c r="B833" t="str">
        <f>"000968"</f>
        <v>000968</v>
      </c>
      <c r="C833" t="s">
        <v>1922</v>
      </c>
      <c r="D833" t="s">
        <v>536</v>
      </c>
      <c r="F833">
        <v>600298306</v>
      </c>
      <c r="G833">
        <v>481693500</v>
      </c>
      <c r="H833">
        <v>862620584</v>
      </c>
      <c r="I833">
        <v>691682651</v>
      </c>
      <c r="J833">
        <v>705724241</v>
      </c>
      <c r="K833">
        <v>540319943</v>
      </c>
      <c r="L833">
        <v>-69087819</v>
      </c>
      <c r="M833">
        <v>-1567115758</v>
      </c>
      <c r="N833">
        <v>-311335321</v>
      </c>
      <c r="O833">
        <v>400473336</v>
      </c>
      <c r="P833">
        <v>244</v>
      </c>
      <c r="Q833" t="s">
        <v>1923</v>
      </c>
    </row>
    <row r="834" spans="1:17" x14ac:dyDescent="0.3">
      <c r="A834" t="s">
        <v>59</v>
      </c>
      <c r="B834" t="str">
        <f>"000751"</f>
        <v>000751</v>
      </c>
      <c r="C834" t="s">
        <v>1924</v>
      </c>
      <c r="D834" t="s">
        <v>856</v>
      </c>
      <c r="F834">
        <v>238628149</v>
      </c>
      <c r="G834">
        <v>83808518</v>
      </c>
      <c r="H834">
        <v>862054370</v>
      </c>
      <c r="I834">
        <v>-127451399</v>
      </c>
      <c r="J834">
        <v>54854301</v>
      </c>
      <c r="K834">
        <v>8096396</v>
      </c>
      <c r="L834">
        <v>9170190</v>
      </c>
      <c r="M834">
        <v>-163776058</v>
      </c>
      <c r="N834">
        <v>-293188510</v>
      </c>
      <c r="O834">
        <v>-834618310</v>
      </c>
      <c r="P834">
        <v>128</v>
      </c>
      <c r="Q834" t="s">
        <v>1925</v>
      </c>
    </row>
    <row r="835" spans="1:17" x14ac:dyDescent="0.3">
      <c r="A835" t="s">
        <v>17</v>
      </c>
      <c r="B835" t="str">
        <f>"601900"</f>
        <v>601900</v>
      </c>
      <c r="C835" t="s">
        <v>1926</v>
      </c>
      <c r="D835" t="s">
        <v>721</v>
      </c>
      <c r="F835">
        <v>1257472848</v>
      </c>
      <c r="G835">
        <v>780697124</v>
      </c>
      <c r="H835">
        <v>861730747</v>
      </c>
      <c r="I835">
        <v>473357349</v>
      </c>
      <c r="J835">
        <v>332390719</v>
      </c>
      <c r="K835">
        <v>542787896</v>
      </c>
      <c r="L835">
        <v>475575197</v>
      </c>
      <c r="M835">
        <v>518665841</v>
      </c>
      <c r="N835">
        <v>395806922</v>
      </c>
      <c r="O835">
        <v>286334970</v>
      </c>
      <c r="P835">
        <v>244</v>
      </c>
      <c r="Q835" t="s">
        <v>1927</v>
      </c>
    </row>
    <row r="836" spans="1:17" x14ac:dyDescent="0.3">
      <c r="A836" t="s">
        <v>17</v>
      </c>
      <c r="B836" t="str">
        <f>"601126"</f>
        <v>601126</v>
      </c>
      <c r="C836" t="s">
        <v>1928</v>
      </c>
      <c r="D836" t="s">
        <v>494</v>
      </c>
      <c r="F836">
        <v>668207660</v>
      </c>
      <c r="G836">
        <v>985428571</v>
      </c>
      <c r="H836">
        <v>860747324</v>
      </c>
      <c r="I836">
        <v>519192236</v>
      </c>
      <c r="J836">
        <v>411447456</v>
      </c>
      <c r="K836">
        <v>151271459</v>
      </c>
      <c r="L836">
        <v>71915186</v>
      </c>
      <c r="M836">
        <v>11211886</v>
      </c>
      <c r="N836">
        <v>-62040041</v>
      </c>
      <c r="O836">
        <v>11898863</v>
      </c>
      <c r="P836">
        <v>279</v>
      </c>
      <c r="Q836" t="s">
        <v>1929</v>
      </c>
    </row>
    <row r="837" spans="1:17" x14ac:dyDescent="0.3">
      <c r="A837" t="s">
        <v>59</v>
      </c>
      <c r="B837" t="str">
        <f>"002641"</f>
        <v>002641</v>
      </c>
      <c r="C837" t="s">
        <v>1930</v>
      </c>
      <c r="D837" t="s">
        <v>1858</v>
      </c>
      <c r="F837">
        <v>337972747</v>
      </c>
      <c r="G837">
        <v>1065734057</v>
      </c>
      <c r="H837">
        <v>859287046</v>
      </c>
      <c r="I837">
        <v>417036891</v>
      </c>
      <c r="J837">
        <v>206063527</v>
      </c>
      <c r="K837">
        <v>549375105</v>
      </c>
      <c r="L837">
        <v>503657994</v>
      </c>
      <c r="M837">
        <v>210452832</v>
      </c>
      <c r="N837">
        <v>204261994</v>
      </c>
      <c r="O837">
        <v>276449551</v>
      </c>
      <c r="P837">
        <v>360</v>
      </c>
      <c r="Q837" t="s">
        <v>1931</v>
      </c>
    </row>
    <row r="838" spans="1:17" x14ac:dyDescent="0.3">
      <c r="A838" t="s">
        <v>17</v>
      </c>
      <c r="B838" t="str">
        <f>"600850"</f>
        <v>600850</v>
      </c>
      <c r="C838" t="s">
        <v>1932</v>
      </c>
      <c r="D838" t="s">
        <v>1189</v>
      </c>
      <c r="F838">
        <v>987770540</v>
      </c>
      <c r="G838">
        <v>654747531</v>
      </c>
      <c r="H838">
        <v>858273446</v>
      </c>
      <c r="I838">
        <v>80426130</v>
      </c>
      <c r="J838">
        <v>779403697</v>
      </c>
      <c r="K838">
        <v>-17178887</v>
      </c>
      <c r="L838">
        <v>508455829</v>
      </c>
      <c r="M838">
        <v>278249190</v>
      </c>
      <c r="N838">
        <v>73590499</v>
      </c>
      <c r="O838">
        <v>-62819436</v>
      </c>
      <c r="P838">
        <v>322</v>
      </c>
      <c r="Q838" t="s">
        <v>1933</v>
      </c>
    </row>
    <row r="839" spans="1:17" x14ac:dyDescent="0.3">
      <c r="A839" t="s">
        <v>17</v>
      </c>
      <c r="B839" t="str">
        <f>"600761"</f>
        <v>600761</v>
      </c>
      <c r="C839" t="s">
        <v>1934</v>
      </c>
      <c r="D839" t="s">
        <v>235</v>
      </c>
      <c r="F839">
        <v>647517131</v>
      </c>
      <c r="G839">
        <v>922180518</v>
      </c>
      <c r="H839">
        <v>853672097</v>
      </c>
      <c r="I839">
        <v>635143665</v>
      </c>
      <c r="J839">
        <v>869612812</v>
      </c>
      <c r="K839">
        <v>783235654</v>
      </c>
      <c r="L839">
        <v>551199173</v>
      </c>
      <c r="M839">
        <v>661579122</v>
      </c>
      <c r="N839">
        <v>662519796</v>
      </c>
      <c r="O839">
        <v>365026257</v>
      </c>
      <c r="P839">
        <v>442</v>
      </c>
      <c r="Q839" t="s">
        <v>1935</v>
      </c>
    </row>
    <row r="840" spans="1:17" x14ac:dyDescent="0.3">
      <c r="A840" t="s">
        <v>59</v>
      </c>
      <c r="B840" t="str">
        <f>"000989"</f>
        <v>000989</v>
      </c>
      <c r="C840" t="s">
        <v>1936</v>
      </c>
      <c r="D840" t="s">
        <v>455</v>
      </c>
      <c r="F840">
        <v>365912082</v>
      </c>
      <c r="G840">
        <v>609555035</v>
      </c>
      <c r="H840">
        <v>851290911</v>
      </c>
      <c r="I840">
        <v>425861443</v>
      </c>
      <c r="J840">
        <v>151996084</v>
      </c>
      <c r="K840">
        <v>612378391</v>
      </c>
      <c r="L840">
        <v>339026373</v>
      </c>
      <c r="M840">
        <v>118592670</v>
      </c>
      <c r="N840">
        <v>28454245</v>
      </c>
      <c r="O840">
        <v>87775865</v>
      </c>
      <c r="P840">
        <v>370</v>
      </c>
      <c r="Q840" t="s">
        <v>1937</v>
      </c>
    </row>
    <row r="841" spans="1:17" x14ac:dyDescent="0.3">
      <c r="A841" t="s">
        <v>17</v>
      </c>
      <c r="B841" t="str">
        <f>"600757"</f>
        <v>600757</v>
      </c>
      <c r="C841" t="s">
        <v>1938</v>
      </c>
      <c r="D841" t="s">
        <v>721</v>
      </c>
      <c r="F841">
        <v>994028072</v>
      </c>
      <c r="G841">
        <v>613432152</v>
      </c>
      <c r="H841">
        <v>849102487</v>
      </c>
      <c r="I841">
        <v>478521525</v>
      </c>
      <c r="J841">
        <v>175987647</v>
      </c>
      <c r="K841">
        <v>668640582</v>
      </c>
      <c r="L841">
        <v>722348137</v>
      </c>
      <c r="M841">
        <v>683549924</v>
      </c>
      <c r="N841">
        <v>267012101</v>
      </c>
      <c r="O841">
        <v>265443714</v>
      </c>
      <c r="P841">
        <v>437</v>
      </c>
      <c r="Q841" t="s">
        <v>1939</v>
      </c>
    </row>
    <row r="842" spans="1:17" x14ac:dyDescent="0.3">
      <c r="A842" t="s">
        <v>59</v>
      </c>
      <c r="B842" t="str">
        <f>"002531"</f>
        <v>002531</v>
      </c>
      <c r="C842" t="s">
        <v>1940</v>
      </c>
      <c r="D842" t="s">
        <v>1525</v>
      </c>
      <c r="F842">
        <v>775972031</v>
      </c>
      <c r="G842">
        <v>237730152</v>
      </c>
      <c r="H842">
        <v>848535413</v>
      </c>
      <c r="I842">
        <v>619900620</v>
      </c>
      <c r="J842">
        <v>-129976378</v>
      </c>
      <c r="K842">
        <v>552088696</v>
      </c>
      <c r="L842">
        <v>339078205</v>
      </c>
      <c r="M842">
        <v>165603650</v>
      </c>
      <c r="N842">
        <v>95100495</v>
      </c>
      <c r="O842">
        <v>282827948</v>
      </c>
      <c r="P842">
        <v>599</v>
      </c>
      <c r="Q842" t="s">
        <v>1941</v>
      </c>
    </row>
    <row r="843" spans="1:17" x14ac:dyDescent="0.3">
      <c r="A843" t="s">
        <v>17</v>
      </c>
      <c r="B843" t="str">
        <f>"603218"</f>
        <v>603218</v>
      </c>
      <c r="C843" t="s">
        <v>1942</v>
      </c>
      <c r="D843" t="s">
        <v>1525</v>
      </c>
      <c r="F843">
        <v>640402345</v>
      </c>
      <c r="G843">
        <v>502056112</v>
      </c>
      <c r="H843">
        <v>847423880</v>
      </c>
      <c r="I843">
        <v>205729339</v>
      </c>
      <c r="J843">
        <v>190951693</v>
      </c>
      <c r="K843">
        <v>319282077</v>
      </c>
      <c r="L843">
        <v>299724620</v>
      </c>
      <c r="M843">
        <v>241342125</v>
      </c>
      <c r="N843">
        <v>-37313099</v>
      </c>
      <c r="P843">
        <v>566</v>
      </c>
      <c r="Q843" t="s">
        <v>1943</v>
      </c>
    </row>
    <row r="844" spans="1:17" x14ac:dyDescent="0.3">
      <c r="A844" t="s">
        <v>17</v>
      </c>
      <c r="B844" t="str">
        <f>"600378"</f>
        <v>600378</v>
      </c>
      <c r="C844" t="s">
        <v>1944</v>
      </c>
      <c r="D844" t="s">
        <v>1095</v>
      </c>
      <c r="F844">
        <v>1146403725</v>
      </c>
      <c r="G844">
        <v>395214072</v>
      </c>
      <c r="H844">
        <v>847358170</v>
      </c>
      <c r="I844">
        <v>536113616</v>
      </c>
      <c r="J844">
        <v>1054160</v>
      </c>
      <c r="K844">
        <v>37973126</v>
      </c>
      <c r="L844">
        <v>3123801</v>
      </c>
      <c r="M844">
        <v>91555399</v>
      </c>
      <c r="N844">
        <v>89485453</v>
      </c>
      <c r="O844">
        <v>199408412</v>
      </c>
      <c r="P844">
        <v>229</v>
      </c>
      <c r="Q844" t="s">
        <v>1945</v>
      </c>
    </row>
    <row r="845" spans="1:17" x14ac:dyDescent="0.3">
      <c r="A845" t="s">
        <v>59</v>
      </c>
      <c r="B845" t="str">
        <f>"000759"</f>
        <v>000759</v>
      </c>
      <c r="C845" t="s">
        <v>1946</v>
      </c>
      <c r="D845" t="s">
        <v>1147</v>
      </c>
      <c r="F845">
        <v>936710507</v>
      </c>
      <c r="G845">
        <v>868272374</v>
      </c>
      <c r="H845">
        <v>845288714</v>
      </c>
      <c r="I845">
        <v>591493423</v>
      </c>
      <c r="J845">
        <v>171625513</v>
      </c>
      <c r="K845">
        <v>693158762</v>
      </c>
      <c r="L845">
        <v>111236951</v>
      </c>
      <c r="M845">
        <v>347100226</v>
      </c>
      <c r="N845">
        <v>742855466</v>
      </c>
      <c r="O845">
        <v>1016947282</v>
      </c>
      <c r="P845">
        <v>153</v>
      </c>
      <c r="Q845" t="s">
        <v>1947</v>
      </c>
    </row>
    <row r="846" spans="1:17" x14ac:dyDescent="0.3">
      <c r="A846" t="s">
        <v>59</v>
      </c>
      <c r="B846" t="str">
        <f>"300527"</f>
        <v>300527</v>
      </c>
      <c r="C846" t="s">
        <v>1948</v>
      </c>
      <c r="D846" t="s">
        <v>606</v>
      </c>
      <c r="F846">
        <v>-515579606</v>
      </c>
      <c r="G846">
        <v>-69258410</v>
      </c>
      <c r="H846">
        <v>844360159</v>
      </c>
      <c r="I846">
        <v>-502764973</v>
      </c>
      <c r="J846">
        <v>71592548</v>
      </c>
      <c r="K846">
        <v>-161634283</v>
      </c>
      <c r="L846">
        <v>564719357</v>
      </c>
      <c r="M846">
        <v>428622695</v>
      </c>
      <c r="N846">
        <v>131024981</v>
      </c>
      <c r="P846">
        <v>144</v>
      </c>
      <c r="Q846" t="s">
        <v>1949</v>
      </c>
    </row>
    <row r="847" spans="1:17" x14ac:dyDescent="0.3">
      <c r="A847" t="s">
        <v>59</v>
      </c>
      <c r="B847" t="str">
        <f>"000553"</f>
        <v>000553</v>
      </c>
      <c r="C847" t="s">
        <v>1950</v>
      </c>
      <c r="D847" t="s">
        <v>1356</v>
      </c>
      <c r="F847">
        <v>4561875000</v>
      </c>
      <c r="G847">
        <v>2023015000</v>
      </c>
      <c r="H847">
        <v>843487000</v>
      </c>
      <c r="I847">
        <v>2002139000</v>
      </c>
      <c r="J847">
        <v>3958389000</v>
      </c>
      <c r="K847">
        <v>268365045</v>
      </c>
      <c r="L847">
        <v>276090053</v>
      </c>
      <c r="M847">
        <v>699173856</v>
      </c>
      <c r="N847">
        <v>799701589</v>
      </c>
      <c r="O847">
        <v>233590425</v>
      </c>
      <c r="P847">
        <v>227</v>
      </c>
      <c r="Q847" t="s">
        <v>1951</v>
      </c>
    </row>
    <row r="848" spans="1:17" x14ac:dyDescent="0.3">
      <c r="A848" t="s">
        <v>17</v>
      </c>
      <c r="B848" t="str">
        <f>"603658"</f>
        <v>603658</v>
      </c>
      <c r="C848" t="s">
        <v>1952</v>
      </c>
      <c r="D848" t="s">
        <v>1953</v>
      </c>
      <c r="F848">
        <v>1461234843</v>
      </c>
      <c r="G848">
        <v>994713154</v>
      </c>
      <c r="H848">
        <v>842886757</v>
      </c>
      <c r="I848">
        <v>653726344</v>
      </c>
      <c r="J848">
        <v>481731392</v>
      </c>
      <c r="K848">
        <v>415816349</v>
      </c>
      <c r="L848">
        <v>308630046</v>
      </c>
      <c r="M848">
        <v>256928030</v>
      </c>
      <c r="N848">
        <v>103223693</v>
      </c>
      <c r="P848">
        <v>2606</v>
      </c>
      <c r="Q848" t="s">
        <v>1954</v>
      </c>
    </row>
    <row r="849" spans="1:17" x14ac:dyDescent="0.3">
      <c r="A849" t="s">
        <v>17</v>
      </c>
      <c r="B849" t="str">
        <f>"601869"</f>
        <v>601869</v>
      </c>
      <c r="C849" t="s">
        <v>1955</v>
      </c>
      <c r="D849" t="s">
        <v>754</v>
      </c>
      <c r="F849">
        <v>526744742</v>
      </c>
      <c r="G849">
        <v>140866409</v>
      </c>
      <c r="H849">
        <v>842663893</v>
      </c>
      <c r="I849">
        <v>565350945</v>
      </c>
      <c r="J849">
        <v>1737869941</v>
      </c>
      <c r="K849">
        <v>1307218835</v>
      </c>
      <c r="L849">
        <v>553275342</v>
      </c>
      <c r="P849">
        <v>403</v>
      </c>
      <c r="Q849" t="s">
        <v>1956</v>
      </c>
    </row>
    <row r="850" spans="1:17" x14ac:dyDescent="0.3">
      <c r="A850" t="s">
        <v>17</v>
      </c>
      <c r="B850" t="str">
        <f>"600475"</f>
        <v>600475</v>
      </c>
      <c r="C850" t="s">
        <v>1957</v>
      </c>
      <c r="D850" t="s">
        <v>264</v>
      </c>
      <c r="F850">
        <v>950374465</v>
      </c>
      <c r="G850">
        <v>893400476</v>
      </c>
      <c r="H850">
        <v>842199471</v>
      </c>
      <c r="I850">
        <v>-334479068</v>
      </c>
      <c r="J850">
        <v>200754594</v>
      </c>
      <c r="K850">
        <v>107746397</v>
      </c>
      <c r="L850">
        <v>608191185</v>
      </c>
      <c r="M850">
        <v>99004985</v>
      </c>
      <c r="N850">
        <v>211223503</v>
      </c>
      <c r="O850">
        <v>96215007</v>
      </c>
      <c r="P850">
        <v>169</v>
      </c>
      <c r="Q850" t="s">
        <v>1958</v>
      </c>
    </row>
    <row r="851" spans="1:17" x14ac:dyDescent="0.3">
      <c r="A851" t="s">
        <v>17</v>
      </c>
      <c r="B851" t="str">
        <f>"601388"</f>
        <v>601388</v>
      </c>
      <c r="C851" t="s">
        <v>1959</v>
      </c>
      <c r="D851" t="s">
        <v>238</v>
      </c>
      <c r="F851">
        <v>459095465</v>
      </c>
      <c r="G851">
        <v>480899407</v>
      </c>
      <c r="H851">
        <v>840700606</v>
      </c>
      <c r="I851">
        <v>274207004</v>
      </c>
      <c r="J851">
        <v>-11523678</v>
      </c>
      <c r="K851">
        <v>48962954</v>
      </c>
      <c r="L851">
        <v>294686759</v>
      </c>
      <c r="M851">
        <v>209581657</v>
      </c>
      <c r="N851">
        <v>-85406991</v>
      </c>
      <c r="O851">
        <v>135355737</v>
      </c>
      <c r="P851">
        <v>206</v>
      </c>
      <c r="Q851" t="s">
        <v>1960</v>
      </c>
    </row>
    <row r="852" spans="1:17" x14ac:dyDescent="0.3">
      <c r="A852" t="s">
        <v>59</v>
      </c>
      <c r="B852" t="str">
        <f>"002662"</f>
        <v>002662</v>
      </c>
      <c r="C852" t="s">
        <v>1961</v>
      </c>
      <c r="D852" t="s">
        <v>289</v>
      </c>
      <c r="F852">
        <v>497484892</v>
      </c>
      <c r="G852">
        <v>802309399</v>
      </c>
      <c r="H852">
        <v>838685456</v>
      </c>
      <c r="I852">
        <v>-752205902</v>
      </c>
      <c r="J852">
        <v>532506397</v>
      </c>
      <c r="K852">
        <v>781197737</v>
      </c>
      <c r="L852">
        <v>550619679</v>
      </c>
      <c r="M852">
        <v>250181615</v>
      </c>
      <c r="N852">
        <v>264312507</v>
      </c>
      <c r="O852">
        <v>415609329</v>
      </c>
      <c r="P852">
        <v>140</v>
      </c>
      <c r="Q852" t="s">
        <v>1962</v>
      </c>
    </row>
    <row r="853" spans="1:17" x14ac:dyDescent="0.3">
      <c r="A853" t="s">
        <v>59</v>
      </c>
      <c r="B853" t="str">
        <f>"000869"</f>
        <v>000869</v>
      </c>
      <c r="C853" t="s">
        <v>1963</v>
      </c>
      <c r="D853" t="s">
        <v>1964</v>
      </c>
      <c r="F853">
        <v>1125382658</v>
      </c>
      <c r="G853">
        <v>505146673</v>
      </c>
      <c r="H853">
        <v>837838024</v>
      </c>
      <c r="I853">
        <v>975978746</v>
      </c>
      <c r="J853">
        <v>973243027</v>
      </c>
      <c r="K853">
        <v>889911970</v>
      </c>
      <c r="L853">
        <v>1143046367</v>
      </c>
      <c r="M853">
        <v>1070083296</v>
      </c>
      <c r="N853">
        <v>735074307</v>
      </c>
      <c r="O853">
        <v>1302041322</v>
      </c>
      <c r="P853">
        <v>833</v>
      </c>
      <c r="Q853" t="s">
        <v>1965</v>
      </c>
    </row>
    <row r="854" spans="1:17" x14ac:dyDescent="0.3">
      <c r="A854" t="s">
        <v>17</v>
      </c>
      <c r="B854" t="str">
        <f>"600601"</f>
        <v>600601</v>
      </c>
      <c r="C854" t="s">
        <v>1966</v>
      </c>
      <c r="D854" t="s">
        <v>539</v>
      </c>
      <c r="F854">
        <v>-15579616</v>
      </c>
      <c r="G854">
        <v>649935434</v>
      </c>
      <c r="H854">
        <v>834488837</v>
      </c>
      <c r="I854">
        <v>640695334</v>
      </c>
      <c r="J854">
        <v>-90542388</v>
      </c>
      <c r="K854">
        <v>515311142</v>
      </c>
      <c r="L854">
        <v>614229060</v>
      </c>
      <c r="M854">
        <v>825869113</v>
      </c>
      <c r="N854">
        <v>731898720</v>
      </c>
      <c r="O854">
        <v>-144317424</v>
      </c>
      <c r="P854">
        <v>228</v>
      </c>
      <c r="Q854" t="s">
        <v>1967</v>
      </c>
    </row>
    <row r="855" spans="1:17" x14ac:dyDescent="0.3">
      <c r="A855" t="s">
        <v>59</v>
      </c>
      <c r="B855" t="str">
        <f>"000685"</f>
        <v>000685</v>
      </c>
      <c r="C855" t="s">
        <v>1968</v>
      </c>
      <c r="D855" t="s">
        <v>669</v>
      </c>
      <c r="F855">
        <v>518822836</v>
      </c>
      <c r="G855">
        <v>586445067</v>
      </c>
      <c r="H855">
        <v>832259021</v>
      </c>
      <c r="I855">
        <v>574822982</v>
      </c>
      <c r="J855">
        <v>563995887</v>
      </c>
      <c r="K855">
        <v>431832677</v>
      </c>
      <c r="L855">
        <v>321709297</v>
      </c>
      <c r="M855">
        <v>379967288</v>
      </c>
      <c r="N855">
        <v>313152599</v>
      </c>
      <c r="O855">
        <v>271806233</v>
      </c>
      <c r="P855">
        <v>511</v>
      </c>
      <c r="Q855" t="s">
        <v>1969</v>
      </c>
    </row>
    <row r="856" spans="1:17" x14ac:dyDescent="0.3">
      <c r="A856" t="s">
        <v>17</v>
      </c>
      <c r="B856" t="str">
        <f>"600123"</f>
        <v>600123</v>
      </c>
      <c r="C856" t="s">
        <v>1970</v>
      </c>
      <c r="D856" t="s">
        <v>294</v>
      </c>
      <c r="F856">
        <v>3286873717</v>
      </c>
      <c r="G856">
        <v>684391788</v>
      </c>
      <c r="H856">
        <v>832159020</v>
      </c>
      <c r="I856">
        <v>2193961558</v>
      </c>
      <c r="J856">
        <v>1339992370</v>
      </c>
      <c r="K856">
        <v>74741358</v>
      </c>
      <c r="L856">
        <v>-2242672</v>
      </c>
      <c r="M856">
        <v>81420955</v>
      </c>
      <c r="N856">
        <v>-388816542</v>
      </c>
      <c r="O856">
        <v>1021498413</v>
      </c>
      <c r="P856">
        <v>623</v>
      </c>
      <c r="Q856" t="s">
        <v>1971</v>
      </c>
    </row>
    <row r="857" spans="1:17" x14ac:dyDescent="0.3">
      <c r="A857" t="s">
        <v>59</v>
      </c>
      <c r="B857" t="str">
        <f>"300832"</f>
        <v>300832</v>
      </c>
      <c r="C857" t="s">
        <v>1972</v>
      </c>
      <c r="D857" t="s">
        <v>1953</v>
      </c>
      <c r="F857">
        <v>773218330</v>
      </c>
      <c r="G857">
        <v>976654657</v>
      </c>
      <c r="H857">
        <v>831726556</v>
      </c>
      <c r="I857">
        <v>701966604</v>
      </c>
      <c r="J857">
        <v>524728893</v>
      </c>
      <c r="P857">
        <v>513</v>
      </c>
      <c r="Q857" t="s">
        <v>1973</v>
      </c>
    </row>
    <row r="858" spans="1:17" x14ac:dyDescent="0.3">
      <c r="A858" t="s">
        <v>59</v>
      </c>
      <c r="B858" t="str">
        <f>"002028"</f>
        <v>002028</v>
      </c>
      <c r="C858" t="s">
        <v>1974</v>
      </c>
      <c r="D858" t="s">
        <v>560</v>
      </c>
      <c r="F858">
        <v>383411105</v>
      </c>
      <c r="G858">
        <v>817566779</v>
      </c>
      <c r="H858">
        <v>831389944</v>
      </c>
      <c r="I858">
        <v>174319434</v>
      </c>
      <c r="J858">
        <v>485504395</v>
      </c>
      <c r="K858">
        <v>169945726</v>
      </c>
      <c r="L858">
        <v>534961768</v>
      </c>
      <c r="M858">
        <v>-16153209</v>
      </c>
      <c r="N858">
        <v>326026941</v>
      </c>
      <c r="O858">
        <v>137127850</v>
      </c>
      <c r="P858">
        <v>603</v>
      </c>
      <c r="Q858" t="s">
        <v>1975</v>
      </c>
    </row>
    <row r="859" spans="1:17" x14ac:dyDescent="0.3">
      <c r="A859" t="s">
        <v>59</v>
      </c>
      <c r="B859" t="str">
        <f>"002155"</f>
        <v>002155</v>
      </c>
      <c r="C859" t="s">
        <v>1976</v>
      </c>
      <c r="D859" t="s">
        <v>530</v>
      </c>
      <c r="F859">
        <v>613862172</v>
      </c>
      <c r="G859">
        <v>975516299</v>
      </c>
      <c r="H859">
        <v>830766907</v>
      </c>
      <c r="I859">
        <v>779119058</v>
      </c>
      <c r="J859">
        <v>478691654</v>
      </c>
      <c r="K859">
        <v>460408968</v>
      </c>
      <c r="L859">
        <v>603222787</v>
      </c>
      <c r="M859">
        <v>535726922</v>
      </c>
      <c r="N859">
        <v>632219012</v>
      </c>
      <c r="O859">
        <v>309418283</v>
      </c>
      <c r="P859">
        <v>219</v>
      </c>
      <c r="Q859" t="s">
        <v>1977</v>
      </c>
    </row>
    <row r="860" spans="1:17" x14ac:dyDescent="0.3">
      <c r="A860" t="s">
        <v>59</v>
      </c>
      <c r="B860" t="str">
        <f>"002610"</f>
        <v>002610</v>
      </c>
      <c r="C860" t="s">
        <v>1978</v>
      </c>
      <c r="D860" t="s">
        <v>1340</v>
      </c>
      <c r="F860">
        <v>536077430</v>
      </c>
      <c r="G860">
        <v>584290787</v>
      </c>
      <c r="H860">
        <v>825310242</v>
      </c>
      <c r="I860">
        <v>868538493</v>
      </c>
      <c r="J860">
        <v>871339866</v>
      </c>
      <c r="K860">
        <v>39021299</v>
      </c>
      <c r="L860">
        <v>386119358</v>
      </c>
      <c r="M860">
        <v>-80056876</v>
      </c>
      <c r="N860">
        <v>-176918411</v>
      </c>
      <c r="O860">
        <v>147162056</v>
      </c>
      <c r="P860">
        <v>301</v>
      </c>
      <c r="Q860" t="s">
        <v>1979</v>
      </c>
    </row>
    <row r="861" spans="1:17" x14ac:dyDescent="0.3">
      <c r="A861" t="s">
        <v>59</v>
      </c>
      <c r="B861" t="str">
        <f>"300115"</f>
        <v>300115</v>
      </c>
      <c r="C861" t="s">
        <v>1980</v>
      </c>
      <c r="D861" t="s">
        <v>349</v>
      </c>
      <c r="F861">
        <v>-431398231</v>
      </c>
      <c r="G861">
        <v>862291240</v>
      </c>
      <c r="H861">
        <v>823203491</v>
      </c>
      <c r="I861">
        <v>771954040</v>
      </c>
      <c r="J861">
        <v>277639808</v>
      </c>
      <c r="K861">
        <v>1089203479</v>
      </c>
      <c r="L861">
        <v>879562545</v>
      </c>
      <c r="M861">
        <v>30283713</v>
      </c>
      <c r="N861">
        <v>303367263</v>
      </c>
      <c r="O861">
        <v>147944158</v>
      </c>
      <c r="P861">
        <v>870</v>
      </c>
      <c r="Q861" t="s">
        <v>1981</v>
      </c>
    </row>
    <row r="862" spans="1:17" x14ac:dyDescent="0.3">
      <c r="A862" t="s">
        <v>59</v>
      </c>
      <c r="B862" t="str">
        <f>"002179"</f>
        <v>002179</v>
      </c>
      <c r="C862" t="s">
        <v>1982</v>
      </c>
      <c r="D862" t="s">
        <v>1983</v>
      </c>
      <c r="F862">
        <v>2061859204</v>
      </c>
      <c r="G862">
        <v>1266944658</v>
      </c>
      <c r="H862">
        <v>821750684</v>
      </c>
      <c r="I862">
        <v>22640299</v>
      </c>
      <c r="J862">
        <v>480091351</v>
      </c>
      <c r="K862">
        <v>231000144</v>
      </c>
      <c r="L862">
        <v>623653873</v>
      </c>
      <c r="M862">
        <v>153483783</v>
      </c>
      <c r="N862">
        <v>204106565</v>
      </c>
      <c r="O862">
        <v>82187441</v>
      </c>
      <c r="P862">
        <v>1738</v>
      </c>
      <c r="Q862" t="s">
        <v>1984</v>
      </c>
    </row>
    <row r="863" spans="1:17" x14ac:dyDescent="0.3">
      <c r="A863" t="s">
        <v>59</v>
      </c>
      <c r="B863" t="str">
        <f>"002683"</f>
        <v>002683</v>
      </c>
      <c r="C863" t="s">
        <v>1985</v>
      </c>
      <c r="D863" t="s">
        <v>1986</v>
      </c>
      <c r="F863">
        <v>1280882579</v>
      </c>
      <c r="G863">
        <v>1008427527</v>
      </c>
      <c r="H863">
        <v>820184431</v>
      </c>
      <c r="I863">
        <v>662032946</v>
      </c>
      <c r="J863">
        <v>396960956</v>
      </c>
      <c r="K863">
        <v>-104056319</v>
      </c>
      <c r="L863">
        <v>-220214787</v>
      </c>
      <c r="M863">
        <v>83037693</v>
      </c>
      <c r="N863">
        <v>-3341987</v>
      </c>
      <c r="O863">
        <v>-27738343</v>
      </c>
      <c r="P863">
        <v>270</v>
      </c>
      <c r="Q863" t="s">
        <v>1987</v>
      </c>
    </row>
    <row r="864" spans="1:17" x14ac:dyDescent="0.3">
      <c r="A864" t="s">
        <v>59</v>
      </c>
      <c r="B864" t="str">
        <f>"300043"</f>
        <v>300043</v>
      </c>
      <c r="C864" t="s">
        <v>1988</v>
      </c>
      <c r="D864" t="s">
        <v>689</v>
      </c>
      <c r="F864">
        <v>100008316</v>
      </c>
      <c r="G864">
        <v>651538789</v>
      </c>
      <c r="H864">
        <v>819919314</v>
      </c>
      <c r="I864">
        <v>625402922</v>
      </c>
      <c r="J864">
        <v>281018673</v>
      </c>
      <c r="K864">
        <v>192935472</v>
      </c>
      <c r="L864">
        <v>99477606</v>
      </c>
      <c r="M864">
        <v>328814253</v>
      </c>
      <c r="N864">
        <v>58529757</v>
      </c>
      <c r="O864">
        <v>121846934</v>
      </c>
      <c r="P864">
        <v>183</v>
      </c>
      <c r="Q864" t="s">
        <v>1989</v>
      </c>
    </row>
    <row r="865" spans="1:17" x14ac:dyDescent="0.3">
      <c r="A865" t="s">
        <v>17</v>
      </c>
      <c r="B865" t="str">
        <f>"600798"</f>
        <v>600798</v>
      </c>
      <c r="C865" t="s">
        <v>1990</v>
      </c>
      <c r="D865" t="s">
        <v>178</v>
      </c>
      <c r="F865">
        <v>892648529</v>
      </c>
      <c r="G865">
        <v>533247011</v>
      </c>
      <c r="H865">
        <v>819334116</v>
      </c>
      <c r="I865">
        <v>856227246</v>
      </c>
      <c r="J865">
        <v>674832477</v>
      </c>
      <c r="K865">
        <v>487050114</v>
      </c>
      <c r="L865">
        <v>472531909</v>
      </c>
      <c r="M865">
        <v>492377162</v>
      </c>
      <c r="N865">
        <v>485809558</v>
      </c>
      <c r="O865">
        <v>307757934</v>
      </c>
      <c r="P865">
        <v>142</v>
      </c>
      <c r="Q865" t="s">
        <v>1991</v>
      </c>
    </row>
    <row r="866" spans="1:17" x14ac:dyDescent="0.3">
      <c r="A866" t="s">
        <v>59</v>
      </c>
      <c r="B866" t="str">
        <f>"002543"</f>
        <v>002543</v>
      </c>
      <c r="C866" t="s">
        <v>1992</v>
      </c>
      <c r="D866" t="s">
        <v>1993</v>
      </c>
      <c r="F866">
        <v>410167108</v>
      </c>
      <c r="G866">
        <v>1206674188</v>
      </c>
      <c r="H866">
        <v>814872674</v>
      </c>
      <c r="I866">
        <v>102169198</v>
      </c>
      <c r="J866">
        <v>873145065</v>
      </c>
      <c r="K866">
        <v>883985855</v>
      </c>
      <c r="L866">
        <v>678662717</v>
      </c>
      <c r="M866">
        <v>207249098</v>
      </c>
      <c r="N866">
        <v>318695021</v>
      </c>
      <c r="O866">
        <v>159531972</v>
      </c>
      <c r="P866">
        <v>434</v>
      </c>
      <c r="Q866" t="s">
        <v>1994</v>
      </c>
    </row>
    <row r="867" spans="1:17" x14ac:dyDescent="0.3">
      <c r="A867" t="s">
        <v>17</v>
      </c>
      <c r="B867" t="str">
        <f>"600598"</f>
        <v>600598</v>
      </c>
      <c r="C867" t="s">
        <v>1995</v>
      </c>
      <c r="D867" t="s">
        <v>1996</v>
      </c>
      <c r="F867">
        <v>1226074666</v>
      </c>
      <c r="G867">
        <v>1189327787</v>
      </c>
      <c r="H867">
        <v>814168317</v>
      </c>
      <c r="I867">
        <v>1313871914</v>
      </c>
      <c r="J867">
        <v>843116641</v>
      </c>
      <c r="K867">
        <v>1606707905</v>
      </c>
      <c r="L867">
        <v>775783029</v>
      </c>
      <c r="M867">
        <v>1910070353</v>
      </c>
      <c r="N867">
        <v>1821115388</v>
      </c>
      <c r="O867">
        <v>1516225638</v>
      </c>
      <c r="P867">
        <v>1086</v>
      </c>
      <c r="Q867" t="s">
        <v>1997</v>
      </c>
    </row>
    <row r="868" spans="1:17" x14ac:dyDescent="0.3">
      <c r="A868" t="s">
        <v>59</v>
      </c>
      <c r="B868" t="str">
        <f>"002818"</f>
        <v>002818</v>
      </c>
      <c r="C868" t="s">
        <v>1998</v>
      </c>
      <c r="D868" t="s">
        <v>548</v>
      </c>
      <c r="F868">
        <v>827302929</v>
      </c>
      <c r="G868">
        <v>202307035</v>
      </c>
      <c r="H868">
        <v>813646954</v>
      </c>
      <c r="I868">
        <v>901572231</v>
      </c>
      <c r="J868">
        <v>979868529</v>
      </c>
      <c r="K868">
        <v>838650519</v>
      </c>
      <c r="L868">
        <v>714445220</v>
      </c>
      <c r="M868">
        <v>668533490</v>
      </c>
      <c r="N868">
        <v>617100559</v>
      </c>
      <c r="P868">
        <v>868</v>
      </c>
      <c r="Q868" t="s">
        <v>1999</v>
      </c>
    </row>
    <row r="869" spans="1:17" x14ac:dyDescent="0.3">
      <c r="A869" t="s">
        <v>17</v>
      </c>
      <c r="B869" t="str">
        <f>"600759"</f>
        <v>600759</v>
      </c>
      <c r="C869" t="s">
        <v>2000</v>
      </c>
      <c r="D869" t="s">
        <v>536</v>
      </c>
      <c r="F869">
        <v>615914605</v>
      </c>
      <c r="G869">
        <v>552295931</v>
      </c>
      <c r="H869">
        <v>813078990</v>
      </c>
      <c r="I869">
        <v>1357405314</v>
      </c>
      <c r="J869">
        <v>477898522</v>
      </c>
      <c r="K869">
        <v>247240804</v>
      </c>
      <c r="L869">
        <v>88894921</v>
      </c>
      <c r="M869">
        <v>111307500</v>
      </c>
      <c r="N869">
        <v>483291667</v>
      </c>
      <c r="O869">
        <v>-479281840</v>
      </c>
      <c r="P869">
        <v>125</v>
      </c>
      <c r="Q869" t="s">
        <v>2001</v>
      </c>
    </row>
    <row r="870" spans="1:17" x14ac:dyDescent="0.3">
      <c r="A870" t="s">
        <v>17</v>
      </c>
      <c r="B870" t="str">
        <f>"603300"</f>
        <v>603300</v>
      </c>
      <c r="C870" t="s">
        <v>2002</v>
      </c>
      <c r="D870" t="s">
        <v>187</v>
      </c>
      <c r="F870">
        <v>1104964169</v>
      </c>
      <c r="G870">
        <v>537673672</v>
      </c>
      <c r="H870">
        <v>812861859</v>
      </c>
      <c r="I870">
        <v>378855740</v>
      </c>
      <c r="J870">
        <v>-1125292279</v>
      </c>
      <c r="K870">
        <v>-1817244809</v>
      </c>
      <c r="L870">
        <v>73383908</v>
      </c>
      <c r="M870">
        <v>118732054</v>
      </c>
      <c r="N870">
        <v>134941302</v>
      </c>
      <c r="O870">
        <v>52226146</v>
      </c>
      <c r="P870">
        <v>123</v>
      </c>
      <c r="Q870" t="s">
        <v>2003</v>
      </c>
    </row>
    <row r="871" spans="1:17" x14ac:dyDescent="0.3">
      <c r="A871" t="s">
        <v>59</v>
      </c>
      <c r="B871" t="str">
        <f>"002773"</f>
        <v>002773</v>
      </c>
      <c r="C871" t="s">
        <v>2004</v>
      </c>
      <c r="D871" t="s">
        <v>592</v>
      </c>
      <c r="F871">
        <v>494114176</v>
      </c>
      <c r="G871">
        <v>273315485</v>
      </c>
      <c r="H871">
        <v>812145678</v>
      </c>
      <c r="I871">
        <v>350884405</v>
      </c>
      <c r="J871">
        <v>766862498</v>
      </c>
      <c r="K871">
        <v>846345108</v>
      </c>
      <c r="L871">
        <v>481971712</v>
      </c>
      <c r="M871">
        <v>291375788</v>
      </c>
      <c r="N871">
        <v>333314773</v>
      </c>
      <c r="O871">
        <v>281838852</v>
      </c>
      <c r="P871">
        <v>5281</v>
      </c>
      <c r="Q871" t="s">
        <v>2005</v>
      </c>
    </row>
    <row r="872" spans="1:17" x14ac:dyDescent="0.3">
      <c r="A872" t="s">
        <v>17</v>
      </c>
      <c r="B872" t="str">
        <f>"601311"</f>
        <v>601311</v>
      </c>
      <c r="C872" t="s">
        <v>2006</v>
      </c>
      <c r="D872" t="s">
        <v>1107</v>
      </c>
      <c r="F872">
        <v>765223090</v>
      </c>
      <c r="G872">
        <v>998223489</v>
      </c>
      <c r="H872">
        <v>811360001</v>
      </c>
      <c r="I872">
        <v>538658758</v>
      </c>
      <c r="J872">
        <v>-75973598</v>
      </c>
      <c r="K872">
        <v>-23044532</v>
      </c>
      <c r="L872">
        <v>776110331</v>
      </c>
      <c r="M872">
        <v>260917716</v>
      </c>
      <c r="N872">
        <v>578215937</v>
      </c>
      <c r="O872">
        <v>291557363</v>
      </c>
      <c r="P872">
        <v>339</v>
      </c>
      <c r="Q872" t="s">
        <v>2007</v>
      </c>
    </row>
    <row r="873" spans="1:17" x14ac:dyDescent="0.3">
      <c r="A873" t="s">
        <v>17</v>
      </c>
      <c r="B873" t="str">
        <f>"603013"</f>
        <v>603013</v>
      </c>
      <c r="C873" t="s">
        <v>2008</v>
      </c>
      <c r="D873" t="s">
        <v>156</v>
      </c>
      <c r="F873">
        <v>680422737</v>
      </c>
      <c r="G873">
        <v>1635921152</v>
      </c>
      <c r="H873">
        <v>810730700</v>
      </c>
      <c r="I873">
        <v>482628858</v>
      </c>
      <c r="J873">
        <v>685148675</v>
      </c>
      <c r="K873">
        <v>542141889</v>
      </c>
      <c r="L873">
        <v>554767299</v>
      </c>
      <c r="P873">
        <v>236</v>
      </c>
      <c r="Q873" t="s">
        <v>2009</v>
      </c>
    </row>
    <row r="874" spans="1:17" x14ac:dyDescent="0.3">
      <c r="A874" t="s">
        <v>59</v>
      </c>
      <c r="B874" t="str">
        <f>"002444"</f>
        <v>002444</v>
      </c>
      <c r="C874" t="s">
        <v>2010</v>
      </c>
      <c r="D874" t="s">
        <v>1838</v>
      </c>
      <c r="F874">
        <v>18632170</v>
      </c>
      <c r="G874">
        <v>771150625</v>
      </c>
      <c r="H874">
        <v>809887124</v>
      </c>
      <c r="I874">
        <v>792573465</v>
      </c>
      <c r="J874">
        <v>449589758</v>
      </c>
      <c r="K874">
        <v>607669056</v>
      </c>
      <c r="L874">
        <v>503063581</v>
      </c>
      <c r="M874">
        <v>484284949</v>
      </c>
      <c r="N874">
        <v>333156026</v>
      </c>
      <c r="O874">
        <v>450786398</v>
      </c>
      <c r="P874">
        <v>656</v>
      </c>
      <c r="Q874" t="s">
        <v>2011</v>
      </c>
    </row>
    <row r="875" spans="1:17" x14ac:dyDescent="0.3">
      <c r="A875" t="s">
        <v>17</v>
      </c>
      <c r="B875" t="str">
        <f>"600569"</f>
        <v>600569</v>
      </c>
      <c r="C875" t="s">
        <v>2012</v>
      </c>
      <c r="D875" t="s">
        <v>120</v>
      </c>
      <c r="F875">
        <v>4242562262</v>
      </c>
      <c r="G875">
        <v>1713832750</v>
      </c>
      <c r="H875">
        <v>808477737</v>
      </c>
      <c r="I875">
        <v>4649611463</v>
      </c>
      <c r="J875">
        <v>3808937472</v>
      </c>
      <c r="K875">
        <v>1406673410</v>
      </c>
      <c r="L875">
        <v>1503727649</v>
      </c>
      <c r="M875">
        <v>4911475521</v>
      </c>
      <c r="N875">
        <v>3344431148</v>
      </c>
      <c r="O875">
        <v>1607135210</v>
      </c>
      <c r="P875">
        <v>329</v>
      </c>
      <c r="Q875" t="s">
        <v>2013</v>
      </c>
    </row>
    <row r="876" spans="1:17" x14ac:dyDescent="0.3">
      <c r="A876" t="s">
        <v>59</v>
      </c>
      <c r="B876" t="str">
        <f>"300388"</f>
        <v>300388</v>
      </c>
      <c r="C876" t="s">
        <v>2014</v>
      </c>
      <c r="D876" t="s">
        <v>669</v>
      </c>
      <c r="F876">
        <v>927999161</v>
      </c>
      <c r="G876">
        <v>868297799</v>
      </c>
      <c r="H876">
        <v>806826447</v>
      </c>
      <c r="I876">
        <v>-61039225</v>
      </c>
      <c r="J876">
        <v>-418158738</v>
      </c>
      <c r="K876">
        <v>-521104401</v>
      </c>
      <c r="L876">
        <v>-316624955</v>
      </c>
      <c r="M876">
        <v>33141734</v>
      </c>
      <c r="N876">
        <v>-91647781</v>
      </c>
      <c r="O876">
        <v>-42916063</v>
      </c>
      <c r="P876">
        <v>225</v>
      </c>
      <c r="Q876" t="s">
        <v>2015</v>
      </c>
    </row>
    <row r="877" spans="1:17" x14ac:dyDescent="0.3">
      <c r="A877" t="s">
        <v>17</v>
      </c>
      <c r="B877" t="str">
        <f>"603501"</f>
        <v>603501</v>
      </c>
      <c r="C877" t="s">
        <v>2016</v>
      </c>
      <c r="D877" t="s">
        <v>817</v>
      </c>
      <c r="F877">
        <v>2192411060</v>
      </c>
      <c r="G877">
        <v>3344594068</v>
      </c>
      <c r="H877">
        <v>805335235</v>
      </c>
      <c r="I877">
        <v>5401858</v>
      </c>
      <c r="J877">
        <v>-271954276</v>
      </c>
      <c r="K877">
        <v>70116453</v>
      </c>
      <c r="L877">
        <v>-46791551</v>
      </c>
      <c r="M877">
        <v>19916590</v>
      </c>
      <c r="P877">
        <v>2200</v>
      </c>
      <c r="Q877" t="s">
        <v>2017</v>
      </c>
    </row>
    <row r="878" spans="1:17" x14ac:dyDescent="0.3">
      <c r="A878" t="s">
        <v>59</v>
      </c>
      <c r="B878" t="str">
        <f>"000719"</f>
        <v>000719</v>
      </c>
      <c r="C878" t="s">
        <v>2018</v>
      </c>
      <c r="D878" t="s">
        <v>914</v>
      </c>
      <c r="F878">
        <v>1585417219</v>
      </c>
      <c r="G878">
        <v>1659318872</v>
      </c>
      <c r="H878">
        <v>805307016</v>
      </c>
      <c r="I878">
        <v>717699178</v>
      </c>
      <c r="J878">
        <v>837811393</v>
      </c>
      <c r="K878">
        <v>702377715</v>
      </c>
      <c r="L878">
        <v>905707518</v>
      </c>
      <c r="M878">
        <v>1185640193</v>
      </c>
      <c r="N878">
        <v>147267871</v>
      </c>
      <c r="O878">
        <v>316462482</v>
      </c>
      <c r="P878">
        <v>695</v>
      </c>
      <c r="Q878" t="s">
        <v>2019</v>
      </c>
    </row>
    <row r="879" spans="1:17" x14ac:dyDescent="0.3">
      <c r="A879" t="s">
        <v>17</v>
      </c>
      <c r="B879" t="str">
        <f>"688182"</f>
        <v>688182</v>
      </c>
      <c r="C879" t="s">
        <v>2020</v>
      </c>
      <c r="D879" t="s">
        <v>352</v>
      </c>
      <c r="F879">
        <v>71433186</v>
      </c>
      <c r="G879">
        <v>458520344</v>
      </c>
      <c r="H879">
        <v>804829648</v>
      </c>
      <c r="I879">
        <v>16101296</v>
      </c>
      <c r="J879">
        <v>25424138</v>
      </c>
      <c r="P879">
        <v>17</v>
      </c>
      <c r="Q879" t="s">
        <v>2021</v>
      </c>
    </row>
    <row r="880" spans="1:17" x14ac:dyDescent="0.3">
      <c r="A880" t="s">
        <v>59</v>
      </c>
      <c r="B880" t="str">
        <f>"002204"</f>
        <v>002204</v>
      </c>
      <c r="C880" t="s">
        <v>2022</v>
      </c>
      <c r="D880" t="s">
        <v>741</v>
      </c>
      <c r="F880">
        <v>1466082071</v>
      </c>
      <c r="G880">
        <v>823879506</v>
      </c>
      <c r="H880">
        <v>802241470</v>
      </c>
      <c r="I880">
        <v>32047040</v>
      </c>
      <c r="J880">
        <v>113349614</v>
      </c>
      <c r="K880">
        <v>-170439588</v>
      </c>
      <c r="L880">
        <v>38203648</v>
      </c>
      <c r="M880">
        <v>-332942944</v>
      </c>
      <c r="N880">
        <v>1158577651</v>
      </c>
      <c r="O880">
        <v>1037116854</v>
      </c>
      <c r="P880">
        <v>137</v>
      </c>
      <c r="Q880" t="s">
        <v>2023</v>
      </c>
    </row>
    <row r="881" spans="1:17" x14ac:dyDescent="0.3">
      <c r="A881" t="s">
        <v>59</v>
      </c>
      <c r="B881" t="str">
        <f>"002867"</f>
        <v>002867</v>
      </c>
      <c r="C881" t="s">
        <v>2024</v>
      </c>
      <c r="D881" t="s">
        <v>2025</v>
      </c>
      <c r="F881">
        <v>196519699</v>
      </c>
      <c r="G881">
        <v>1361431320</v>
      </c>
      <c r="H881">
        <v>797785172</v>
      </c>
      <c r="I881">
        <v>366578711</v>
      </c>
      <c r="J881">
        <v>354858191</v>
      </c>
      <c r="K881">
        <v>418048213</v>
      </c>
      <c r="L881">
        <v>473977252</v>
      </c>
      <c r="M881">
        <v>125528082</v>
      </c>
      <c r="P881">
        <v>1635</v>
      </c>
      <c r="Q881" t="s">
        <v>2026</v>
      </c>
    </row>
    <row r="882" spans="1:17" x14ac:dyDescent="0.3">
      <c r="A882" t="s">
        <v>59</v>
      </c>
      <c r="B882" t="str">
        <f>"300012"</f>
        <v>300012</v>
      </c>
      <c r="C882" t="s">
        <v>2027</v>
      </c>
      <c r="D882" t="s">
        <v>2028</v>
      </c>
      <c r="F882">
        <v>1072612742</v>
      </c>
      <c r="G882">
        <v>930952967</v>
      </c>
      <c r="H882">
        <v>795163412</v>
      </c>
      <c r="I882">
        <v>683845234</v>
      </c>
      <c r="J882">
        <v>349311674</v>
      </c>
      <c r="K882">
        <v>363085941</v>
      </c>
      <c r="L882">
        <v>277370887</v>
      </c>
      <c r="M882">
        <v>251789795</v>
      </c>
      <c r="N882">
        <v>237520786</v>
      </c>
      <c r="O882">
        <v>158479437</v>
      </c>
      <c r="P882">
        <v>1300</v>
      </c>
      <c r="Q882" t="s">
        <v>2029</v>
      </c>
    </row>
    <row r="883" spans="1:17" x14ac:dyDescent="0.3">
      <c r="A883" t="s">
        <v>17</v>
      </c>
      <c r="B883" t="str">
        <f>"601949"</f>
        <v>601949</v>
      </c>
      <c r="C883" t="s">
        <v>2030</v>
      </c>
      <c r="D883" t="s">
        <v>914</v>
      </c>
      <c r="F883">
        <v>1061977040</v>
      </c>
      <c r="G883">
        <v>967951750</v>
      </c>
      <c r="H883">
        <v>793508814</v>
      </c>
      <c r="I883">
        <v>632784976</v>
      </c>
      <c r="J883">
        <v>341461639</v>
      </c>
      <c r="K883">
        <v>431916078</v>
      </c>
      <c r="L883">
        <v>333855542</v>
      </c>
      <c r="M883">
        <v>947310513</v>
      </c>
      <c r="P883">
        <v>160</v>
      </c>
      <c r="Q883" t="s">
        <v>2031</v>
      </c>
    </row>
    <row r="884" spans="1:17" x14ac:dyDescent="0.3">
      <c r="A884" t="s">
        <v>59</v>
      </c>
      <c r="B884" t="str">
        <f>"000636"</f>
        <v>000636</v>
      </c>
      <c r="C884" t="s">
        <v>2032</v>
      </c>
      <c r="D884" t="s">
        <v>1180</v>
      </c>
      <c r="F884">
        <v>634702038</v>
      </c>
      <c r="G884">
        <v>665592448</v>
      </c>
      <c r="H884">
        <v>792632693</v>
      </c>
      <c r="I884">
        <v>1461760938</v>
      </c>
      <c r="J884">
        <v>405859597</v>
      </c>
      <c r="K884">
        <v>217089816</v>
      </c>
      <c r="L884">
        <v>16580181</v>
      </c>
      <c r="M884">
        <v>81144708</v>
      </c>
      <c r="N884">
        <v>98226567</v>
      </c>
      <c r="O884">
        <v>116994334</v>
      </c>
      <c r="P884">
        <v>896</v>
      </c>
      <c r="Q884" t="s">
        <v>2033</v>
      </c>
    </row>
    <row r="885" spans="1:17" x14ac:dyDescent="0.3">
      <c r="A885" t="s">
        <v>17</v>
      </c>
      <c r="B885" t="str">
        <f>"603328"</f>
        <v>603328</v>
      </c>
      <c r="C885" t="s">
        <v>2034</v>
      </c>
      <c r="D885" t="s">
        <v>539</v>
      </c>
      <c r="F885">
        <v>292953985</v>
      </c>
      <c r="G885">
        <v>509860793</v>
      </c>
      <c r="H885">
        <v>789281735</v>
      </c>
      <c r="I885">
        <v>664859637</v>
      </c>
      <c r="J885">
        <v>683323197</v>
      </c>
      <c r="K885">
        <v>568841496</v>
      </c>
      <c r="L885">
        <v>566938086</v>
      </c>
      <c r="M885">
        <v>284836034</v>
      </c>
      <c r="N885">
        <v>535524124</v>
      </c>
      <c r="O885">
        <v>510530966</v>
      </c>
      <c r="P885">
        <v>590</v>
      </c>
      <c r="Q885" t="s">
        <v>2035</v>
      </c>
    </row>
    <row r="886" spans="1:17" x14ac:dyDescent="0.3">
      <c r="A886" t="s">
        <v>59</v>
      </c>
      <c r="B886" t="str">
        <f>"300219"</f>
        <v>300219</v>
      </c>
      <c r="C886" t="s">
        <v>2036</v>
      </c>
      <c r="D886" t="s">
        <v>772</v>
      </c>
      <c r="F886">
        <v>429837352</v>
      </c>
      <c r="G886">
        <v>312522127</v>
      </c>
      <c r="H886">
        <v>787647511</v>
      </c>
      <c r="I886">
        <v>649504406</v>
      </c>
      <c r="J886">
        <v>112840019</v>
      </c>
      <c r="K886">
        <v>234549193</v>
      </c>
      <c r="L886">
        <v>235748209</v>
      </c>
      <c r="M886">
        <v>208303435</v>
      </c>
      <c r="N886">
        <v>108459513</v>
      </c>
      <c r="O886">
        <v>85892372</v>
      </c>
      <c r="P886">
        <v>135</v>
      </c>
      <c r="Q886" t="s">
        <v>2037</v>
      </c>
    </row>
    <row r="887" spans="1:17" x14ac:dyDescent="0.3">
      <c r="A887" t="s">
        <v>59</v>
      </c>
      <c r="B887" t="str">
        <f>"001696"</f>
        <v>001696</v>
      </c>
      <c r="C887" t="s">
        <v>2038</v>
      </c>
      <c r="D887" t="s">
        <v>1838</v>
      </c>
      <c r="F887">
        <v>631192841</v>
      </c>
      <c r="G887">
        <v>655185160</v>
      </c>
      <c r="H887">
        <v>787579252</v>
      </c>
      <c r="I887">
        <v>426804168</v>
      </c>
      <c r="J887">
        <v>-234960472</v>
      </c>
      <c r="K887">
        <v>76639149</v>
      </c>
      <c r="L887">
        <v>819588442</v>
      </c>
      <c r="M887">
        <v>274387645</v>
      </c>
      <c r="N887">
        <v>-98313416</v>
      </c>
      <c r="O887">
        <v>355313392</v>
      </c>
      <c r="P887">
        <v>274</v>
      </c>
      <c r="Q887" t="s">
        <v>2039</v>
      </c>
    </row>
    <row r="888" spans="1:17" x14ac:dyDescent="0.3">
      <c r="A888" t="s">
        <v>59</v>
      </c>
      <c r="B888" t="str">
        <f>"002815"</f>
        <v>002815</v>
      </c>
      <c r="C888" t="s">
        <v>2040</v>
      </c>
      <c r="D888" t="s">
        <v>539</v>
      </c>
      <c r="F888">
        <v>1223432418</v>
      </c>
      <c r="G888">
        <v>526466568</v>
      </c>
      <c r="H888">
        <v>787453829</v>
      </c>
      <c r="I888">
        <v>937752311</v>
      </c>
      <c r="J888">
        <v>717718817</v>
      </c>
      <c r="K888">
        <v>453593262</v>
      </c>
      <c r="L888">
        <v>454630607</v>
      </c>
      <c r="M888">
        <v>404812255</v>
      </c>
      <c r="N888">
        <v>268243876</v>
      </c>
      <c r="P888">
        <v>919</v>
      </c>
      <c r="Q888" t="s">
        <v>2041</v>
      </c>
    </row>
    <row r="889" spans="1:17" x14ac:dyDescent="0.3">
      <c r="A889" t="s">
        <v>17</v>
      </c>
      <c r="B889" t="str">
        <f>"603588"</f>
        <v>603588</v>
      </c>
      <c r="C889" t="s">
        <v>2042</v>
      </c>
      <c r="D889" t="s">
        <v>894</v>
      </c>
      <c r="F889">
        <v>606918265</v>
      </c>
      <c r="G889">
        <v>1088819042</v>
      </c>
      <c r="H889">
        <v>786678021</v>
      </c>
      <c r="I889">
        <v>322095409</v>
      </c>
      <c r="J889">
        <v>101559695</v>
      </c>
      <c r="K889">
        <v>-111058741</v>
      </c>
      <c r="L889">
        <v>-13000686</v>
      </c>
      <c r="M889">
        <v>-231425990</v>
      </c>
      <c r="N889">
        <v>-272179831</v>
      </c>
      <c r="O889">
        <v>-33758107</v>
      </c>
      <c r="P889">
        <v>580</v>
      </c>
      <c r="Q889" t="s">
        <v>2043</v>
      </c>
    </row>
    <row r="890" spans="1:17" x14ac:dyDescent="0.3">
      <c r="A890" t="s">
        <v>59</v>
      </c>
      <c r="B890" t="str">
        <f>"301090"</f>
        <v>301090</v>
      </c>
      <c r="C890" t="s">
        <v>2044</v>
      </c>
      <c r="D890" t="s">
        <v>144</v>
      </c>
      <c r="F890">
        <v>652494503</v>
      </c>
      <c r="G890">
        <v>1089881348</v>
      </c>
      <c r="H890">
        <v>785141089</v>
      </c>
      <c r="I890">
        <v>337160371</v>
      </c>
      <c r="J890">
        <v>545843259</v>
      </c>
      <c r="P890">
        <v>18</v>
      </c>
      <c r="Q890" t="s">
        <v>2045</v>
      </c>
    </row>
    <row r="891" spans="1:17" x14ac:dyDescent="0.3">
      <c r="A891" t="s">
        <v>59</v>
      </c>
      <c r="B891" t="str">
        <f>"002434"</f>
        <v>002434</v>
      </c>
      <c r="C891" t="s">
        <v>2046</v>
      </c>
      <c r="D891" t="s">
        <v>156</v>
      </c>
      <c r="F891">
        <v>144228646</v>
      </c>
      <c r="G891">
        <v>883573771</v>
      </c>
      <c r="H891">
        <v>784753026</v>
      </c>
      <c r="I891">
        <v>550626221</v>
      </c>
      <c r="J891">
        <v>237270459</v>
      </c>
      <c r="K891">
        <v>221642420</v>
      </c>
      <c r="L891">
        <v>354272204</v>
      </c>
      <c r="M891">
        <v>208691945</v>
      </c>
      <c r="N891">
        <v>111686578</v>
      </c>
      <c r="O891">
        <v>234018158</v>
      </c>
      <c r="P891">
        <v>238</v>
      </c>
      <c r="Q891" t="s">
        <v>2047</v>
      </c>
    </row>
    <row r="892" spans="1:17" x14ac:dyDescent="0.3">
      <c r="A892" t="s">
        <v>17</v>
      </c>
      <c r="B892" t="str">
        <f>"600765"</f>
        <v>600765</v>
      </c>
      <c r="C892" t="s">
        <v>2048</v>
      </c>
      <c r="D892" t="s">
        <v>448</v>
      </c>
      <c r="F892">
        <v>1517593550</v>
      </c>
      <c r="G892">
        <v>658436314</v>
      </c>
      <c r="H892">
        <v>783441157</v>
      </c>
      <c r="I892">
        <v>384840659</v>
      </c>
      <c r="J892">
        <v>909869108</v>
      </c>
      <c r="K892">
        <v>175002263</v>
      </c>
      <c r="L892">
        <v>639940424</v>
      </c>
      <c r="M892">
        <v>144291499</v>
      </c>
      <c r="N892">
        <v>208092621</v>
      </c>
      <c r="O892">
        <v>-125782342</v>
      </c>
      <c r="P892">
        <v>355</v>
      </c>
      <c r="Q892" t="s">
        <v>2049</v>
      </c>
    </row>
    <row r="893" spans="1:17" x14ac:dyDescent="0.3">
      <c r="A893" t="s">
        <v>59</v>
      </c>
      <c r="B893" t="str">
        <f>"002382"</f>
        <v>002382</v>
      </c>
      <c r="C893" t="s">
        <v>2050</v>
      </c>
      <c r="D893" t="s">
        <v>1036</v>
      </c>
      <c r="F893">
        <v>2245545736</v>
      </c>
      <c r="G893">
        <v>3671535996</v>
      </c>
      <c r="H893">
        <v>782789097</v>
      </c>
      <c r="I893">
        <v>649366181</v>
      </c>
      <c r="J893">
        <v>227567254</v>
      </c>
      <c r="K893">
        <v>163926594</v>
      </c>
      <c r="L893">
        <v>261299378</v>
      </c>
      <c r="M893">
        <v>150958834</v>
      </c>
      <c r="N893">
        <v>133891561</v>
      </c>
      <c r="O893">
        <v>153821697</v>
      </c>
      <c r="P893">
        <v>849</v>
      </c>
      <c r="Q893" t="s">
        <v>2051</v>
      </c>
    </row>
    <row r="894" spans="1:17" x14ac:dyDescent="0.3">
      <c r="A894" t="s">
        <v>59</v>
      </c>
      <c r="B894" t="str">
        <f>"000404"</f>
        <v>000404</v>
      </c>
      <c r="C894" t="s">
        <v>2052</v>
      </c>
      <c r="D894" t="s">
        <v>1087</v>
      </c>
      <c r="F894">
        <v>1598427014</v>
      </c>
      <c r="G894">
        <v>559987600</v>
      </c>
      <c r="H894">
        <v>782449501</v>
      </c>
      <c r="I894">
        <v>172345439</v>
      </c>
      <c r="J894">
        <v>-162226448</v>
      </c>
      <c r="K894">
        <v>195461872</v>
      </c>
      <c r="L894">
        <v>725544549</v>
      </c>
      <c r="M894">
        <v>810536037</v>
      </c>
      <c r="N894">
        <v>9548544</v>
      </c>
      <c r="O894">
        <v>279497235</v>
      </c>
      <c r="P894">
        <v>113</v>
      </c>
      <c r="Q894" t="s">
        <v>2053</v>
      </c>
    </row>
    <row r="895" spans="1:17" x14ac:dyDescent="0.3">
      <c r="A895" t="s">
        <v>17</v>
      </c>
      <c r="B895" t="str">
        <f>"603825"</f>
        <v>603825</v>
      </c>
      <c r="C895" t="s">
        <v>2054</v>
      </c>
      <c r="D895" t="s">
        <v>1889</v>
      </c>
      <c r="F895">
        <v>360297408</v>
      </c>
      <c r="G895">
        <v>-405904962</v>
      </c>
      <c r="H895">
        <v>779522748</v>
      </c>
      <c r="I895">
        <v>-450623738</v>
      </c>
      <c r="J895">
        <v>-280255459</v>
      </c>
      <c r="K895">
        <v>-175275691</v>
      </c>
      <c r="L895">
        <v>-237808797</v>
      </c>
      <c r="M895">
        <v>102571396</v>
      </c>
      <c r="P895">
        <v>158</v>
      </c>
      <c r="Q895" t="s">
        <v>2055</v>
      </c>
    </row>
    <row r="896" spans="1:17" x14ac:dyDescent="0.3">
      <c r="A896" t="s">
        <v>59</v>
      </c>
      <c r="B896" t="str">
        <f>"002115"</f>
        <v>002115</v>
      </c>
      <c r="C896" t="s">
        <v>2056</v>
      </c>
      <c r="D896" t="s">
        <v>2057</v>
      </c>
      <c r="F896">
        <v>4997438</v>
      </c>
      <c r="G896">
        <v>663346526</v>
      </c>
      <c r="H896">
        <v>779433443</v>
      </c>
      <c r="I896">
        <v>-39840640</v>
      </c>
      <c r="J896">
        <v>20443907</v>
      </c>
      <c r="K896">
        <v>134067278</v>
      </c>
      <c r="L896">
        <v>243082847</v>
      </c>
      <c r="M896">
        <v>87585806</v>
      </c>
      <c r="N896">
        <v>85054371</v>
      </c>
      <c r="O896">
        <v>53050768</v>
      </c>
      <c r="P896">
        <v>239</v>
      </c>
      <c r="Q896" t="s">
        <v>2058</v>
      </c>
    </row>
    <row r="897" spans="1:17" x14ac:dyDescent="0.3">
      <c r="A897" t="s">
        <v>59</v>
      </c>
      <c r="B897" t="str">
        <f>"002035"</f>
        <v>002035</v>
      </c>
      <c r="C897" t="s">
        <v>2059</v>
      </c>
      <c r="D897" t="s">
        <v>1294</v>
      </c>
      <c r="F897">
        <v>465735980</v>
      </c>
      <c r="G897">
        <v>-102534476</v>
      </c>
      <c r="H897">
        <v>778835023</v>
      </c>
      <c r="I897">
        <v>629242405</v>
      </c>
      <c r="J897">
        <v>368534467</v>
      </c>
      <c r="K897">
        <v>818413635</v>
      </c>
      <c r="L897">
        <v>270281746</v>
      </c>
      <c r="M897">
        <v>305556558</v>
      </c>
      <c r="N897">
        <v>268805308</v>
      </c>
      <c r="O897">
        <v>197323376</v>
      </c>
      <c r="P897">
        <v>1344</v>
      </c>
      <c r="Q897" t="s">
        <v>2060</v>
      </c>
    </row>
    <row r="898" spans="1:17" x14ac:dyDescent="0.3">
      <c r="A898" t="s">
        <v>59</v>
      </c>
      <c r="B898" t="str">
        <f>"300316"</f>
        <v>300316</v>
      </c>
      <c r="C898" t="s">
        <v>2061</v>
      </c>
      <c r="D898" t="s">
        <v>2062</v>
      </c>
      <c r="F898">
        <v>1736930185</v>
      </c>
      <c r="G898">
        <v>954340869</v>
      </c>
      <c r="H898">
        <v>778798470</v>
      </c>
      <c r="I898">
        <v>165622308</v>
      </c>
      <c r="J898">
        <v>-160997656</v>
      </c>
      <c r="K898">
        <v>-66135193</v>
      </c>
      <c r="L898">
        <v>-94020737</v>
      </c>
      <c r="M898">
        <v>133766322</v>
      </c>
      <c r="N898">
        <v>104626965</v>
      </c>
      <c r="O898">
        <v>-28721097</v>
      </c>
      <c r="P898">
        <v>1072</v>
      </c>
      <c r="Q898" t="s">
        <v>2063</v>
      </c>
    </row>
    <row r="899" spans="1:17" x14ac:dyDescent="0.3">
      <c r="A899" t="s">
        <v>17</v>
      </c>
      <c r="B899" t="str">
        <f>"600391"</f>
        <v>600391</v>
      </c>
      <c r="C899" t="s">
        <v>2064</v>
      </c>
      <c r="D899" t="s">
        <v>448</v>
      </c>
      <c r="F899">
        <v>-550621287</v>
      </c>
      <c r="G899">
        <v>790503396</v>
      </c>
      <c r="H899">
        <v>777488346</v>
      </c>
      <c r="I899">
        <v>74782486</v>
      </c>
      <c r="J899">
        <v>150508807</v>
      </c>
      <c r="K899">
        <v>-110249869</v>
      </c>
      <c r="L899">
        <v>-22106727</v>
      </c>
      <c r="M899">
        <v>27608342</v>
      </c>
      <c r="N899">
        <v>42550305</v>
      </c>
      <c r="O899">
        <v>-74618241</v>
      </c>
      <c r="P899">
        <v>233</v>
      </c>
      <c r="Q899" t="s">
        <v>2065</v>
      </c>
    </row>
    <row r="900" spans="1:17" x14ac:dyDescent="0.3">
      <c r="A900" t="s">
        <v>17</v>
      </c>
      <c r="B900" t="str">
        <f>"603053"</f>
        <v>603053</v>
      </c>
      <c r="C900" t="s">
        <v>2066</v>
      </c>
      <c r="D900" t="s">
        <v>883</v>
      </c>
      <c r="F900">
        <v>649121016</v>
      </c>
      <c r="G900">
        <v>482796670</v>
      </c>
      <c r="H900">
        <v>774508435</v>
      </c>
      <c r="I900">
        <v>677142731</v>
      </c>
      <c r="J900">
        <v>882594678</v>
      </c>
      <c r="K900">
        <v>556489361</v>
      </c>
      <c r="P900">
        <v>118</v>
      </c>
      <c r="Q900" t="s">
        <v>2067</v>
      </c>
    </row>
    <row r="901" spans="1:17" x14ac:dyDescent="0.3">
      <c r="A901" t="s">
        <v>59</v>
      </c>
      <c r="B901" t="str">
        <f>"002745"</f>
        <v>002745</v>
      </c>
      <c r="C901" t="s">
        <v>2068</v>
      </c>
      <c r="D901" t="s">
        <v>772</v>
      </c>
      <c r="F901">
        <v>4009513201</v>
      </c>
      <c r="G901">
        <v>1466148101</v>
      </c>
      <c r="H901">
        <v>773268251</v>
      </c>
      <c r="I901">
        <v>295113953</v>
      </c>
      <c r="J901">
        <v>1088398621</v>
      </c>
      <c r="K901">
        <v>508405343</v>
      </c>
      <c r="L901">
        <v>440589316</v>
      </c>
      <c r="M901">
        <v>815132966</v>
      </c>
      <c r="N901">
        <v>855089652</v>
      </c>
      <c r="O901">
        <v>510493440</v>
      </c>
      <c r="P901">
        <v>324</v>
      </c>
      <c r="Q901" t="s">
        <v>2069</v>
      </c>
    </row>
    <row r="902" spans="1:17" x14ac:dyDescent="0.3">
      <c r="A902" t="s">
        <v>59</v>
      </c>
      <c r="B902" t="str">
        <f>"000928"</f>
        <v>000928</v>
      </c>
      <c r="C902" t="s">
        <v>2070</v>
      </c>
      <c r="D902" t="s">
        <v>2071</v>
      </c>
      <c r="F902">
        <v>603618020</v>
      </c>
      <c r="G902">
        <v>1530803978</v>
      </c>
      <c r="H902">
        <v>772507073</v>
      </c>
      <c r="I902">
        <v>1231081347</v>
      </c>
      <c r="J902">
        <v>803113689</v>
      </c>
      <c r="K902">
        <v>-1398750766</v>
      </c>
      <c r="L902">
        <v>484284089</v>
      </c>
      <c r="M902">
        <v>538703871</v>
      </c>
      <c r="N902">
        <v>-125990732</v>
      </c>
      <c r="O902">
        <v>58138279</v>
      </c>
      <c r="P902">
        <v>271</v>
      </c>
      <c r="Q902" t="s">
        <v>2072</v>
      </c>
    </row>
    <row r="903" spans="1:17" x14ac:dyDescent="0.3">
      <c r="A903" t="s">
        <v>59</v>
      </c>
      <c r="B903" t="str">
        <f>"000544"</f>
        <v>000544</v>
      </c>
      <c r="C903" t="s">
        <v>2073</v>
      </c>
      <c r="D903" t="s">
        <v>669</v>
      </c>
      <c r="F903">
        <v>-2685330500</v>
      </c>
      <c r="G903">
        <v>608247075</v>
      </c>
      <c r="H903">
        <v>770517452</v>
      </c>
      <c r="I903">
        <v>281040481</v>
      </c>
      <c r="J903">
        <v>354781411</v>
      </c>
      <c r="K903">
        <v>237942875</v>
      </c>
      <c r="L903">
        <v>438942270</v>
      </c>
      <c r="M903">
        <v>167216478</v>
      </c>
      <c r="N903">
        <v>83876564</v>
      </c>
      <c r="O903">
        <v>78563947</v>
      </c>
      <c r="P903">
        <v>247</v>
      </c>
      <c r="Q903" t="s">
        <v>2074</v>
      </c>
    </row>
    <row r="904" spans="1:17" x14ac:dyDescent="0.3">
      <c r="A904" t="s">
        <v>17</v>
      </c>
      <c r="B904" t="str">
        <f>"600038"</f>
        <v>600038</v>
      </c>
      <c r="C904" t="s">
        <v>2075</v>
      </c>
      <c r="D904" t="s">
        <v>448</v>
      </c>
      <c r="F904">
        <v>1449729092</v>
      </c>
      <c r="G904">
        <v>-684791967</v>
      </c>
      <c r="H904">
        <v>770050244</v>
      </c>
      <c r="I904">
        <v>954662237</v>
      </c>
      <c r="J904">
        <v>613590822</v>
      </c>
      <c r="K904">
        <v>-298419811</v>
      </c>
      <c r="L904">
        <v>602498602</v>
      </c>
      <c r="M904">
        <v>-256421854</v>
      </c>
      <c r="N904">
        <v>231033234</v>
      </c>
      <c r="O904">
        <v>457174728</v>
      </c>
      <c r="P904">
        <v>447</v>
      </c>
      <c r="Q904" t="s">
        <v>2076</v>
      </c>
    </row>
    <row r="905" spans="1:17" x14ac:dyDescent="0.3">
      <c r="A905" t="s">
        <v>17</v>
      </c>
      <c r="B905" t="str">
        <f>"600633"</f>
        <v>600633</v>
      </c>
      <c r="C905" t="s">
        <v>2077</v>
      </c>
      <c r="D905" t="s">
        <v>689</v>
      </c>
      <c r="F905">
        <v>1024382209</v>
      </c>
      <c r="G905">
        <v>1034654851</v>
      </c>
      <c r="H905">
        <v>769218070</v>
      </c>
      <c r="I905">
        <v>449474543</v>
      </c>
      <c r="J905">
        <v>196714885</v>
      </c>
      <c r="K905">
        <v>382181555</v>
      </c>
      <c r="L905">
        <v>447361166</v>
      </c>
      <c r="M905">
        <v>588656699</v>
      </c>
      <c r="N905">
        <v>798378579</v>
      </c>
      <c r="O905">
        <v>340212921</v>
      </c>
      <c r="P905">
        <v>325</v>
      </c>
      <c r="Q905" t="s">
        <v>2078</v>
      </c>
    </row>
    <row r="906" spans="1:17" x14ac:dyDescent="0.3">
      <c r="A906" t="s">
        <v>59</v>
      </c>
      <c r="B906" t="str">
        <f>"000155"</f>
        <v>000155</v>
      </c>
      <c r="C906" t="s">
        <v>2079</v>
      </c>
      <c r="D906" t="s">
        <v>391</v>
      </c>
      <c r="F906">
        <v>1394447471</v>
      </c>
      <c r="G906">
        <v>415298830</v>
      </c>
      <c r="H906">
        <v>768956909</v>
      </c>
      <c r="I906">
        <v>645655344</v>
      </c>
      <c r="J906">
        <v>-45237106</v>
      </c>
      <c r="K906">
        <v>-1178266845</v>
      </c>
      <c r="L906">
        <v>-155937118</v>
      </c>
      <c r="M906">
        <v>-59645203</v>
      </c>
      <c r="N906">
        <v>-117738207</v>
      </c>
      <c r="O906">
        <v>375539823</v>
      </c>
      <c r="P906">
        <v>309</v>
      </c>
      <c r="Q906" t="s">
        <v>2080</v>
      </c>
    </row>
    <row r="907" spans="1:17" x14ac:dyDescent="0.3">
      <c r="A907" t="s">
        <v>59</v>
      </c>
      <c r="B907" t="str">
        <f>"002335"</f>
        <v>002335</v>
      </c>
      <c r="C907" t="s">
        <v>2081</v>
      </c>
      <c r="D907" t="s">
        <v>1746</v>
      </c>
      <c r="F907">
        <v>817614808</v>
      </c>
      <c r="G907">
        <v>572292335</v>
      </c>
      <c r="H907">
        <v>768202141</v>
      </c>
      <c r="I907">
        <v>328082212</v>
      </c>
      <c r="J907">
        <v>167567234</v>
      </c>
      <c r="K907">
        <v>287768018</v>
      </c>
      <c r="L907">
        <v>199543289</v>
      </c>
      <c r="M907">
        <v>52650813</v>
      </c>
      <c r="N907">
        <v>53229378</v>
      </c>
      <c r="O907">
        <v>157393752</v>
      </c>
      <c r="P907">
        <v>431</v>
      </c>
      <c r="Q907" t="s">
        <v>2082</v>
      </c>
    </row>
    <row r="908" spans="1:17" x14ac:dyDescent="0.3">
      <c r="A908" t="s">
        <v>59</v>
      </c>
      <c r="B908" t="str">
        <f>"000099"</f>
        <v>000099</v>
      </c>
      <c r="C908" t="s">
        <v>2083</v>
      </c>
      <c r="D908" t="s">
        <v>93</v>
      </c>
      <c r="F908">
        <v>728952462</v>
      </c>
      <c r="G908">
        <v>470222619</v>
      </c>
      <c r="H908">
        <v>765760163</v>
      </c>
      <c r="I908">
        <v>233607881</v>
      </c>
      <c r="J908">
        <v>-74466979</v>
      </c>
      <c r="K908">
        <v>290574717</v>
      </c>
      <c r="L908">
        <v>328141775</v>
      </c>
      <c r="M908">
        <v>265920065</v>
      </c>
      <c r="N908">
        <v>303655526</v>
      </c>
      <c r="O908">
        <v>204777055</v>
      </c>
      <c r="P908">
        <v>166</v>
      </c>
      <c r="Q908" t="s">
        <v>2084</v>
      </c>
    </row>
    <row r="909" spans="1:17" x14ac:dyDescent="0.3">
      <c r="A909" t="s">
        <v>59</v>
      </c>
      <c r="B909" t="str">
        <f>"002408"</f>
        <v>002408</v>
      </c>
      <c r="C909" t="s">
        <v>2085</v>
      </c>
      <c r="D909" t="s">
        <v>445</v>
      </c>
      <c r="F909">
        <v>2040444028</v>
      </c>
      <c r="G909">
        <v>1387410359</v>
      </c>
      <c r="H909">
        <v>764837717</v>
      </c>
      <c r="I909">
        <v>904053663</v>
      </c>
      <c r="J909">
        <v>292486426</v>
      </c>
      <c r="K909">
        <v>637253828</v>
      </c>
      <c r="L909">
        <v>1781422</v>
      </c>
      <c r="M909">
        <v>-87104683</v>
      </c>
      <c r="N909">
        <v>-77273453</v>
      </c>
      <c r="O909">
        <v>-943104477</v>
      </c>
      <c r="P909">
        <v>317</v>
      </c>
      <c r="Q909" t="s">
        <v>2086</v>
      </c>
    </row>
    <row r="910" spans="1:17" x14ac:dyDescent="0.3">
      <c r="A910" t="s">
        <v>59</v>
      </c>
      <c r="B910" t="str">
        <f>"002653"</f>
        <v>002653</v>
      </c>
      <c r="C910" t="s">
        <v>2087</v>
      </c>
      <c r="D910" t="s">
        <v>592</v>
      </c>
      <c r="F910">
        <v>35801460</v>
      </c>
      <c r="G910">
        <v>206207636</v>
      </c>
      <c r="H910">
        <v>764259512</v>
      </c>
      <c r="I910">
        <v>472607295</v>
      </c>
      <c r="J910">
        <v>391810910</v>
      </c>
      <c r="K910">
        <v>426111876</v>
      </c>
      <c r="L910">
        <v>443027933</v>
      </c>
      <c r="M910">
        <v>502568129</v>
      </c>
      <c r="N910">
        <v>568414763</v>
      </c>
      <c r="O910">
        <v>464751585</v>
      </c>
      <c r="P910">
        <v>549</v>
      </c>
      <c r="Q910" t="s">
        <v>2088</v>
      </c>
    </row>
    <row r="911" spans="1:17" x14ac:dyDescent="0.3">
      <c r="A911" t="s">
        <v>59</v>
      </c>
      <c r="B911" t="str">
        <f>"000758"</f>
        <v>000758</v>
      </c>
      <c r="C911" t="s">
        <v>2089</v>
      </c>
      <c r="D911" t="s">
        <v>856</v>
      </c>
      <c r="F911">
        <v>2571134547</v>
      </c>
      <c r="G911">
        <v>-320759048</v>
      </c>
      <c r="H911">
        <v>763712405</v>
      </c>
      <c r="I911">
        <v>2742843023</v>
      </c>
      <c r="J911">
        <v>1612418583</v>
      </c>
      <c r="K911">
        <v>-2286328105</v>
      </c>
      <c r="L911">
        <v>1429645023</v>
      </c>
      <c r="M911">
        <v>565720948</v>
      </c>
      <c r="N911">
        <v>160764696</v>
      </c>
      <c r="O911">
        <v>-1138047815</v>
      </c>
      <c r="P911">
        <v>177</v>
      </c>
      <c r="Q911" t="s">
        <v>2090</v>
      </c>
    </row>
    <row r="912" spans="1:17" x14ac:dyDescent="0.3">
      <c r="A912" t="s">
        <v>59</v>
      </c>
      <c r="B912" t="str">
        <f>"002812"</f>
        <v>002812</v>
      </c>
      <c r="C912" t="s">
        <v>2091</v>
      </c>
      <c r="D912" t="s">
        <v>1444</v>
      </c>
      <c r="F912">
        <v>1418645378</v>
      </c>
      <c r="G912">
        <v>1055180013</v>
      </c>
      <c r="H912">
        <v>763297008</v>
      </c>
      <c r="I912">
        <v>171020950</v>
      </c>
      <c r="J912">
        <v>171900348</v>
      </c>
      <c r="K912">
        <v>111033103</v>
      </c>
      <c r="L912">
        <v>186842231</v>
      </c>
      <c r="M912">
        <v>149435731</v>
      </c>
      <c r="N912">
        <v>146125098</v>
      </c>
      <c r="P912">
        <v>1583</v>
      </c>
      <c r="Q912" t="s">
        <v>2092</v>
      </c>
    </row>
    <row r="913" spans="1:17" x14ac:dyDescent="0.3">
      <c r="A913" t="s">
        <v>59</v>
      </c>
      <c r="B913" t="str">
        <f>"002396"</f>
        <v>002396</v>
      </c>
      <c r="C913" t="s">
        <v>2093</v>
      </c>
      <c r="D913" t="s">
        <v>352</v>
      </c>
      <c r="F913">
        <v>449886058</v>
      </c>
      <c r="G913">
        <v>740063570</v>
      </c>
      <c r="H913">
        <v>763057151</v>
      </c>
      <c r="I913">
        <v>594339592</v>
      </c>
      <c r="J913">
        <v>277255509</v>
      </c>
      <c r="K913">
        <v>543504944</v>
      </c>
      <c r="L913">
        <v>923717120</v>
      </c>
      <c r="M913">
        <v>198557702</v>
      </c>
      <c r="N913">
        <v>458076796</v>
      </c>
      <c r="O913">
        <v>418746943</v>
      </c>
      <c r="P913">
        <v>3694</v>
      </c>
      <c r="Q913" t="s">
        <v>2094</v>
      </c>
    </row>
    <row r="914" spans="1:17" x14ac:dyDescent="0.3">
      <c r="A914" t="s">
        <v>59</v>
      </c>
      <c r="B914" t="str">
        <f>"002293"</f>
        <v>002293</v>
      </c>
      <c r="C914" t="s">
        <v>2095</v>
      </c>
      <c r="D914" t="s">
        <v>1920</v>
      </c>
      <c r="F914">
        <v>727932233</v>
      </c>
      <c r="G914">
        <v>851219742</v>
      </c>
      <c r="H914">
        <v>761423820</v>
      </c>
      <c r="I914">
        <v>106316040</v>
      </c>
      <c r="J914">
        <v>398329907</v>
      </c>
      <c r="K914">
        <v>505346105</v>
      </c>
      <c r="L914">
        <v>339503977</v>
      </c>
      <c r="M914">
        <v>508017310</v>
      </c>
      <c r="N914">
        <v>413669739</v>
      </c>
      <c r="O914">
        <v>246398895</v>
      </c>
      <c r="P914">
        <v>4959</v>
      </c>
      <c r="Q914" t="s">
        <v>2096</v>
      </c>
    </row>
    <row r="915" spans="1:17" x14ac:dyDescent="0.3">
      <c r="A915" t="s">
        <v>17</v>
      </c>
      <c r="B915" t="str">
        <f>"600617"</f>
        <v>600617</v>
      </c>
      <c r="C915" t="s">
        <v>2097</v>
      </c>
      <c r="D915" t="s">
        <v>883</v>
      </c>
      <c r="F915">
        <v>2595438768</v>
      </c>
      <c r="G915">
        <v>509092595</v>
      </c>
      <c r="H915">
        <v>761197125</v>
      </c>
      <c r="I915">
        <v>792508671</v>
      </c>
      <c r="J915">
        <v>1122459891</v>
      </c>
      <c r="K915">
        <v>255386003</v>
      </c>
      <c r="L915">
        <v>882629878</v>
      </c>
      <c r="M915">
        <v>35568296</v>
      </c>
      <c r="N915">
        <v>713839041</v>
      </c>
      <c r="O915">
        <v>-7719804</v>
      </c>
      <c r="P915">
        <v>104</v>
      </c>
      <c r="Q915" t="s">
        <v>2098</v>
      </c>
    </row>
    <row r="916" spans="1:17" x14ac:dyDescent="0.3">
      <c r="A916" t="s">
        <v>17</v>
      </c>
      <c r="B916" t="str">
        <f>"600955"</f>
        <v>600955</v>
      </c>
      <c r="C916" t="s">
        <v>2099</v>
      </c>
      <c r="D916" t="s">
        <v>1507</v>
      </c>
      <c r="F916">
        <v>2675353774</v>
      </c>
      <c r="G916">
        <v>1274498425</v>
      </c>
      <c r="H916">
        <v>758722048</v>
      </c>
      <c r="I916">
        <v>753667651</v>
      </c>
      <c r="J916">
        <v>370103218</v>
      </c>
      <c r="P916">
        <v>46</v>
      </c>
      <c r="Q916" t="s">
        <v>2100</v>
      </c>
    </row>
    <row r="917" spans="1:17" x14ac:dyDescent="0.3">
      <c r="A917" t="s">
        <v>59</v>
      </c>
      <c r="B917" t="str">
        <f>"002461"</f>
        <v>002461</v>
      </c>
      <c r="C917" t="s">
        <v>2101</v>
      </c>
      <c r="D917" t="s">
        <v>566</v>
      </c>
      <c r="F917">
        <v>604975609</v>
      </c>
      <c r="G917">
        <v>688681059</v>
      </c>
      <c r="H917">
        <v>758022919</v>
      </c>
      <c r="I917">
        <v>430004010</v>
      </c>
      <c r="J917">
        <v>494707526</v>
      </c>
      <c r="K917">
        <v>1022317020</v>
      </c>
      <c r="L917">
        <v>722091769</v>
      </c>
      <c r="M917">
        <v>1167236126</v>
      </c>
      <c r="N917">
        <v>1219670016</v>
      </c>
      <c r="O917">
        <v>500219334</v>
      </c>
      <c r="P917">
        <v>461</v>
      </c>
      <c r="Q917" t="s">
        <v>2102</v>
      </c>
    </row>
    <row r="918" spans="1:17" x14ac:dyDescent="0.3">
      <c r="A918" t="s">
        <v>59</v>
      </c>
      <c r="B918" t="str">
        <f>"300180"</f>
        <v>300180</v>
      </c>
      <c r="C918" t="s">
        <v>2103</v>
      </c>
      <c r="D918" t="s">
        <v>2104</v>
      </c>
      <c r="F918">
        <v>461308375</v>
      </c>
      <c r="G918">
        <v>627501423</v>
      </c>
      <c r="H918">
        <v>757759239</v>
      </c>
      <c r="I918">
        <v>108670811</v>
      </c>
      <c r="J918">
        <v>178259277</v>
      </c>
      <c r="K918">
        <v>-176574929</v>
      </c>
      <c r="L918">
        <v>107400112</v>
      </c>
      <c r="M918">
        <v>121831346</v>
      </c>
      <c r="N918">
        <v>58392579</v>
      </c>
      <c r="O918">
        <v>127385732</v>
      </c>
      <c r="P918">
        <v>141</v>
      </c>
      <c r="Q918" t="s">
        <v>2105</v>
      </c>
    </row>
    <row r="919" spans="1:17" x14ac:dyDescent="0.3">
      <c r="A919" t="s">
        <v>17</v>
      </c>
      <c r="B919" t="str">
        <f>"603596"</f>
        <v>603596</v>
      </c>
      <c r="C919" t="s">
        <v>2106</v>
      </c>
      <c r="D919" t="s">
        <v>156</v>
      </c>
      <c r="F919">
        <v>433114949</v>
      </c>
      <c r="G919">
        <v>584464435</v>
      </c>
      <c r="H919">
        <v>757679984</v>
      </c>
      <c r="I919">
        <v>368984773</v>
      </c>
      <c r="J919">
        <v>61056370</v>
      </c>
      <c r="K919">
        <v>148197713</v>
      </c>
      <c r="L919">
        <v>97549564</v>
      </c>
      <c r="P919">
        <v>369</v>
      </c>
      <c r="Q919" t="s">
        <v>2107</v>
      </c>
    </row>
    <row r="920" spans="1:17" x14ac:dyDescent="0.3">
      <c r="A920" t="s">
        <v>59</v>
      </c>
      <c r="B920" t="str">
        <f>"000531"</f>
        <v>000531</v>
      </c>
      <c r="C920" t="s">
        <v>2108</v>
      </c>
      <c r="D920" t="s">
        <v>98</v>
      </c>
      <c r="F920">
        <v>-392902112</v>
      </c>
      <c r="G920">
        <v>812857636</v>
      </c>
      <c r="H920">
        <v>757405603</v>
      </c>
      <c r="I920">
        <v>422937001</v>
      </c>
      <c r="J920">
        <v>501044253</v>
      </c>
      <c r="K920">
        <v>844544300</v>
      </c>
      <c r="L920">
        <v>258945876</v>
      </c>
      <c r="M920">
        <v>495286653</v>
      </c>
      <c r="N920">
        <v>1398997979</v>
      </c>
      <c r="O920">
        <v>1687347292</v>
      </c>
      <c r="P920">
        <v>277</v>
      </c>
      <c r="Q920" t="s">
        <v>2109</v>
      </c>
    </row>
    <row r="921" spans="1:17" x14ac:dyDescent="0.3">
      <c r="A921" t="s">
        <v>59</v>
      </c>
      <c r="B921" t="str">
        <f>"002643"</f>
        <v>002643</v>
      </c>
      <c r="C921" t="s">
        <v>2110</v>
      </c>
      <c r="D921" t="s">
        <v>2111</v>
      </c>
      <c r="F921">
        <v>1044731324</v>
      </c>
      <c r="G921">
        <v>558657091</v>
      </c>
      <c r="H921">
        <v>757162295</v>
      </c>
      <c r="I921">
        <v>430702048</v>
      </c>
      <c r="J921">
        <v>612280415</v>
      </c>
      <c r="K921">
        <v>152654463</v>
      </c>
      <c r="L921">
        <v>366599551</v>
      </c>
      <c r="M921">
        <v>143375664</v>
      </c>
      <c r="N921">
        <v>198143305</v>
      </c>
      <c r="O921">
        <v>66414784</v>
      </c>
      <c r="P921">
        <v>387</v>
      </c>
      <c r="Q921" t="s">
        <v>2112</v>
      </c>
    </row>
    <row r="922" spans="1:17" x14ac:dyDescent="0.3">
      <c r="A922" t="s">
        <v>17</v>
      </c>
      <c r="B922" t="str">
        <f>"688169"</f>
        <v>688169</v>
      </c>
      <c r="C922" t="s">
        <v>2113</v>
      </c>
      <c r="D922" t="s">
        <v>1543</v>
      </c>
      <c r="F922">
        <v>1518872092</v>
      </c>
      <c r="G922">
        <v>1518214521</v>
      </c>
      <c r="H922">
        <v>755474164</v>
      </c>
      <c r="I922">
        <v>424837592</v>
      </c>
      <c r="J922">
        <v>43713609</v>
      </c>
      <c r="K922">
        <v>-50629447</v>
      </c>
      <c r="P922">
        <v>758</v>
      </c>
      <c r="Q922" t="s">
        <v>2114</v>
      </c>
    </row>
    <row r="923" spans="1:17" x14ac:dyDescent="0.3">
      <c r="A923" t="s">
        <v>59</v>
      </c>
      <c r="B923" t="str">
        <f>"300699"</f>
        <v>300699</v>
      </c>
      <c r="C923" t="s">
        <v>2115</v>
      </c>
      <c r="D923" t="s">
        <v>448</v>
      </c>
      <c r="F923">
        <v>1196174235</v>
      </c>
      <c r="G923">
        <v>955677746</v>
      </c>
      <c r="H923">
        <v>753155052</v>
      </c>
      <c r="I923">
        <v>236908325</v>
      </c>
      <c r="J923">
        <v>418195369</v>
      </c>
      <c r="K923">
        <v>20684431</v>
      </c>
      <c r="L923">
        <v>203200556</v>
      </c>
      <c r="M923">
        <v>441501297</v>
      </c>
      <c r="P923">
        <v>914</v>
      </c>
      <c r="Q923" t="s">
        <v>2116</v>
      </c>
    </row>
    <row r="924" spans="1:17" x14ac:dyDescent="0.3">
      <c r="A924" t="s">
        <v>17</v>
      </c>
      <c r="B924" t="str">
        <f>"600315"</f>
        <v>600315</v>
      </c>
      <c r="C924" t="s">
        <v>2117</v>
      </c>
      <c r="D924" t="s">
        <v>2118</v>
      </c>
      <c r="F924">
        <v>993099758</v>
      </c>
      <c r="G924">
        <v>643434435</v>
      </c>
      <c r="H924">
        <v>748756914</v>
      </c>
      <c r="I924">
        <v>894674628</v>
      </c>
      <c r="J924">
        <v>861766419</v>
      </c>
      <c r="K924">
        <v>53997559</v>
      </c>
      <c r="L924">
        <v>502584608</v>
      </c>
      <c r="M924">
        <v>1129569112</v>
      </c>
      <c r="N924">
        <v>1028774337</v>
      </c>
      <c r="O924">
        <v>832913798</v>
      </c>
      <c r="P924">
        <v>1243</v>
      </c>
      <c r="Q924" t="s">
        <v>2119</v>
      </c>
    </row>
    <row r="925" spans="1:17" x14ac:dyDescent="0.3">
      <c r="A925" t="s">
        <v>59</v>
      </c>
      <c r="B925" t="str">
        <f>"301035"</f>
        <v>301035</v>
      </c>
      <c r="C925" t="s">
        <v>2120</v>
      </c>
      <c r="D925" t="s">
        <v>1356</v>
      </c>
      <c r="F925">
        <v>791071610</v>
      </c>
      <c r="G925">
        <v>511874914</v>
      </c>
      <c r="H925">
        <v>746615722</v>
      </c>
      <c r="I925">
        <v>438236060</v>
      </c>
      <c r="J925">
        <v>318754459</v>
      </c>
      <c r="K925">
        <v>503958540</v>
      </c>
      <c r="P925">
        <v>40</v>
      </c>
      <c r="Q925" t="s">
        <v>2121</v>
      </c>
    </row>
    <row r="926" spans="1:17" x14ac:dyDescent="0.3">
      <c r="A926" t="s">
        <v>17</v>
      </c>
      <c r="B926" t="str">
        <f>"603668"</f>
        <v>603668</v>
      </c>
      <c r="C926" t="s">
        <v>2122</v>
      </c>
      <c r="D926" t="s">
        <v>695</v>
      </c>
      <c r="F926">
        <v>229058067</v>
      </c>
      <c r="G926">
        <v>406755316</v>
      </c>
      <c r="H926">
        <v>745597965</v>
      </c>
      <c r="I926">
        <v>244011173</v>
      </c>
      <c r="J926">
        <v>90865315</v>
      </c>
      <c r="K926">
        <v>32299033</v>
      </c>
      <c r="L926">
        <v>142784090</v>
      </c>
      <c r="M926">
        <v>102838730</v>
      </c>
      <c r="N926">
        <v>2352735</v>
      </c>
      <c r="P926">
        <v>126</v>
      </c>
      <c r="Q926" t="s">
        <v>2123</v>
      </c>
    </row>
    <row r="927" spans="1:17" x14ac:dyDescent="0.3">
      <c r="A927" t="s">
        <v>59</v>
      </c>
      <c r="B927" t="str">
        <f>"002047"</f>
        <v>002047</v>
      </c>
      <c r="C927" t="s">
        <v>2124</v>
      </c>
      <c r="D927" t="s">
        <v>1150</v>
      </c>
      <c r="F927">
        <v>165093689</v>
      </c>
      <c r="G927">
        <v>796014183</v>
      </c>
      <c r="H927">
        <v>745372365</v>
      </c>
      <c r="I927">
        <v>-799352430</v>
      </c>
      <c r="J927">
        <v>-396716558</v>
      </c>
      <c r="K927">
        <v>-569343508</v>
      </c>
      <c r="L927">
        <v>344370943</v>
      </c>
      <c r="M927">
        <v>-738645007</v>
      </c>
      <c r="N927">
        <v>-448596095</v>
      </c>
      <c r="O927">
        <v>-27983557</v>
      </c>
      <c r="P927">
        <v>103</v>
      </c>
      <c r="Q927" t="s">
        <v>2125</v>
      </c>
    </row>
    <row r="928" spans="1:17" x14ac:dyDescent="0.3">
      <c r="A928" t="s">
        <v>59</v>
      </c>
      <c r="B928" t="str">
        <f>"300207"</f>
        <v>300207</v>
      </c>
      <c r="C928" t="s">
        <v>2126</v>
      </c>
      <c r="D928" t="s">
        <v>232</v>
      </c>
      <c r="F928">
        <v>1634168208</v>
      </c>
      <c r="G928">
        <v>244087426</v>
      </c>
      <c r="H928">
        <v>743845187</v>
      </c>
      <c r="I928">
        <v>1101281730</v>
      </c>
      <c r="J928">
        <v>-150473741</v>
      </c>
      <c r="K928">
        <v>1048197068</v>
      </c>
      <c r="L928">
        <v>635954221</v>
      </c>
      <c r="M928">
        <v>734685052</v>
      </c>
      <c r="N928">
        <v>-164089853</v>
      </c>
      <c r="O928">
        <v>-125737669</v>
      </c>
      <c r="P928">
        <v>1012</v>
      </c>
      <c r="Q928" t="s">
        <v>2127</v>
      </c>
    </row>
    <row r="929" spans="1:17" x14ac:dyDescent="0.3">
      <c r="A929" t="s">
        <v>59</v>
      </c>
      <c r="B929" t="str">
        <f>"000969"</f>
        <v>000969</v>
      </c>
      <c r="C929" t="s">
        <v>2128</v>
      </c>
      <c r="D929" t="s">
        <v>2129</v>
      </c>
      <c r="F929">
        <v>622139710</v>
      </c>
      <c r="G929">
        <v>651252385</v>
      </c>
      <c r="H929">
        <v>743384904</v>
      </c>
      <c r="I929">
        <v>339295444</v>
      </c>
      <c r="J929">
        <v>81717447</v>
      </c>
      <c r="K929">
        <v>404340937</v>
      </c>
      <c r="L929">
        <v>379944688</v>
      </c>
      <c r="M929">
        <v>129044941</v>
      </c>
      <c r="N929">
        <v>494732338</v>
      </c>
      <c r="O929">
        <v>584510362</v>
      </c>
      <c r="P929">
        <v>224</v>
      </c>
      <c r="Q929" t="s">
        <v>2130</v>
      </c>
    </row>
    <row r="930" spans="1:17" x14ac:dyDescent="0.3">
      <c r="A930" t="s">
        <v>59</v>
      </c>
      <c r="B930" t="str">
        <f>"002056"</f>
        <v>002056</v>
      </c>
      <c r="C930" t="s">
        <v>2131</v>
      </c>
      <c r="D930" t="s">
        <v>2132</v>
      </c>
      <c r="F930">
        <v>1285454217</v>
      </c>
      <c r="G930">
        <v>1197392501</v>
      </c>
      <c r="H930">
        <v>742945833</v>
      </c>
      <c r="I930">
        <v>688758116</v>
      </c>
      <c r="J930">
        <v>832398829</v>
      </c>
      <c r="K930">
        <v>938834575</v>
      </c>
      <c r="L930">
        <v>805035838</v>
      </c>
      <c r="M930">
        <v>692513560</v>
      </c>
      <c r="N930">
        <v>604271741</v>
      </c>
      <c r="O930">
        <v>332762470</v>
      </c>
      <c r="P930">
        <v>783</v>
      </c>
      <c r="Q930" t="s">
        <v>2133</v>
      </c>
    </row>
    <row r="931" spans="1:17" x14ac:dyDescent="0.3">
      <c r="A931" t="s">
        <v>59</v>
      </c>
      <c r="B931" t="str">
        <f>"000601"</f>
        <v>000601</v>
      </c>
      <c r="C931" t="s">
        <v>2134</v>
      </c>
      <c r="D931" t="s">
        <v>105</v>
      </c>
      <c r="F931">
        <v>332029803</v>
      </c>
      <c r="G931">
        <v>491643912</v>
      </c>
      <c r="H931">
        <v>742518575</v>
      </c>
      <c r="I931">
        <v>672574603</v>
      </c>
      <c r="J931">
        <v>665241062</v>
      </c>
      <c r="K931">
        <v>1149456491</v>
      </c>
      <c r="L931">
        <v>834033592</v>
      </c>
      <c r="M931">
        <v>759682089</v>
      </c>
      <c r="N931">
        <v>824931230</v>
      </c>
      <c r="O931">
        <v>644423820</v>
      </c>
      <c r="P931">
        <v>215</v>
      </c>
      <c r="Q931" t="s">
        <v>2135</v>
      </c>
    </row>
    <row r="932" spans="1:17" x14ac:dyDescent="0.3">
      <c r="A932" t="s">
        <v>17</v>
      </c>
      <c r="B932" t="str">
        <f>"600125"</f>
        <v>600125</v>
      </c>
      <c r="C932" t="s">
        <v>2136</v>
      </c>
      <c r="D932" t="s">
        <v>206</v>
      </c>
      <c r="F932">
        <v>638605246</v>
      </c>
      <c r="G932">
        <v>371660739</v>
      </c>
      <c r="H932">
        <v>741767390</v>
      </c>
      <c r="I932">
        <v>847022092</v>
      </c>
      <c r="J932">
        <v>361116081</v>
      </c>
      <c r="K932">
        <v>468477816</v>
      </c>
      <c r="L932">
        <v>422724157</v>
      </c>
      <c r="M932">
        <v>579063765</v>
      </c>
      <c r="N932">
        <v>108191472</v>
      </c>
      <c r="O932">
        <v>334855607</v>
      </c>
      <c r="P932">
        <v>203</v>
      </c>
      <c r="Q932" t="s">
        <v>2137</v>
      </c>
    </row>
    <row r="933" spans="1:17" x14ac:dyDescent="0.3">
      <c r="A933" t="s">
        <v>17</v>
      </c>
      <c r="B933" t="str">
        <f>"600595"</f>
        <v>600595</v>
      </c>
      <c r="C933" t="s">
        <v>2138</v>
      </c>
      <c r="D933" t="s">
        <v>238</v>
      </c>
      <c r="F933">
        <v>1330754770</v>
      </c>
      <c r="G933">
        <v>541490155</v>
      </c>
      <c r="H933">
        <v>738774805</v>
      </c>
      <c r="I933">
        <v>856736798</v>
      </c>
      <c r="J933">
        <v>506200629</v>
      </c>
      <c r="K933">
        <v>769153630</v>
      </c>
      <c r="L933">
        <v>867780952</v>
      </c>
      <c r="M933">
        <v>1441453588</v>
      </c>
      <c r="N933">
        <v>578036544</v>
      </c>
      <c r="O933">
        <v>595759866</v>
      </c>
      <c r="P933">
        <v>68</v>
      </c>
      <c r="Q933" t="s">
        <v>2139</v>
      </c>
    </row>
    <row r="934" spans="1:17" x14ac:dyDescent="0.3">
      <c r="A934" t="s">
        <v>17</v>
      </c>
      <c r="B934" t="str">
        <f>"601609"</f>
        <v>601609</v>
      </c>
      <c r="C934" t="s">
        <v>2140</v>
      </c>
      <c r="D934" t="s">
        <v>259</v>
      </c>
      <c r="F934">
        <v>-1379336883</v>
      </c>
      <c r="G934">
        <v>206898071</v>
      </c>
      <c r="H934">
        <v>737970419</v>
      </c>
      <c r="I934">
        <v>1029235445</v>
      </c>
      <c r="J934">
        <v>-597031836</v>
      </c>
      <c r="P934">
        <v>106</v>
      </c>
      <c r="Q934" t="s">
        <v>2141</v>
      </c>
    </row>
    <row r="935" spans="1:17" x14ac:dyDescent="0.3">
      <c r="A935" t="s">
        <v>59</v>
      </c>
      <c r="B935" t="str">
        <f>"300476"</f>
        <v>300476</v>
      </c>
      <c r="C935" t="s">
        <v>2142</v>
      </c>
      <c r="D935" t="s">
        <v>539</v>
      </c>
      <c r="F935">
        <v>792544305</v>
      </c>
      <c r="G935">
        <v>963874638</v>
      </c>
      <c r="H935">
        <v>737911066</v>
      </c>
      <c r="I935">
        <v>496734547</v>
      </c>
      <c r="J935">
        <v>357806284</v>
      </c>
      <c r="K935">
        <v>213140529</v>
      </c>
      <c r="L935">
        <v>18810662</v>
      </c>
      <c r="M935">
        <v>203849757</v>
      </c>
      <c r="N935">
        <v>180890210</v>
      </c>
      <c r="O935">
        <v>177679500</v>
      </c>
      <c r="P935">
        <v>633</v>
      </c>
      <c r="Q935" t="s">
        <v>2143</v>
      </c>
    </row>
    <row r="936" spans="1:17" x14ac:dyDescent="0.3">
      <c r="A936" t="s">
        <v>59</v>
      </c>
      <c r="B936" t="str">
        <f>"002097"</f>
        <v>002097</v>
      </c>
      <c r="C936" t="s">
        <v>2144</v>
      </c>
      <c r="D936" t="s">
        <v>235</v>
      </c>
      <c r="F936">
        <v>33149269</v>
      </c>
      <c r="G936">
        <v>1804027315</v>
      </c>
      <c r="H936">
        <v>737419084</v>
      </c>
      <c r="I936">
        <v>652925699</v>
      </c>
      <c r="J936">
        <v>394504647</v>
      </c>
      <c r="K936">
        <v>196198992</v>
      </c>
      <c r="L936">
        <v>152237593</v>
      </c>
      <c r="M936">
        <v>180903268</v>
      </c>
      <c r="N936">
        <v>198449223</v>
      </c>
      <c r="O936">
        <v>54582207</v>
      </c>
      <c r="P936">
        <v>217</v>
      </c>
      <c r="Q936" t="s">
        <v>2145</v>
      </c>
    </row>
    <row r="937" spans="1:17" x14ac:dyDescent="0.3">
      <c r="A937" t="s">
        <v>59</v>
      </c>
      <c r="B937" t="str">
        <f>"002340"</f>
        <v>002340</v>
      </c>
      <c r="C937" t="s">
        <v>2146</v>
      </c>
      <c r="D937" t="s">
        <v>1444</v>
      </c>
      <c r="F937">
        <v>741723794</v>
      </c>
      <c r="G937">
        <v>854056053</v>
      </c>
      <c r="H937">
        <v>737120462</v>
      </c>
      <c r="I937">
        <v>985097269</v>
      </c>
      <c r="J937">
        <v>233321720</v>
      </c>
      <c r="K937">
        <v>115933251</v>
      </c>
      <c r="L937">
        <v>-298747126</v>
      </c>
      <c r="M937">
        <v>22635770</v>
      </c>
      <c r="N937">
        <v>22894498</v>
      </c>
      <c r="O937">
        <v>-250631873</v>
      </c>
      <c r="P937">
        <v>1302</v>
      </c>
      <c r="Q937" t="s">
        <v>2147</v>
      </c>
    </row>
    <row r="938" spans="1:17" x14ac:dyDescent="0.3">
      <c r="A938" t="s">
        <v>17</v>
      </c>
      <c r="B938" t="str">
        <f>"600372"</f>
        <v>600372</v>
      </c>
      <c r="C938" t="s">
        <v>2148</v>
      </c>
      <c r="D938" t="s">
        <v>448</v>
      </c>
      <c r="F938">
        <v>1549833364</v>
      </c>
      <c r="G938">
        <v>809572496</v>
      </c>
      <c r="H938">
        <v>735640968</v>
      </c>
      <c r="I938">
        <v>34904109</v>
      </c>
      <c r="J938">
        <v>-101142545</v>
      </c>
      <c r="K938">
        <v>-104565681</v>
      </c>
      <c r="L938">
        <v>519759395</v>
      </c>
      <c r="M938">
        <v>91146116</v>
      </c>
      <c r="N938">
        <v>305050664</v>
      </c>
      <c r="O938">
        <v>-111574347</v>
      </c>
      <c r="P938">
        <v>433</v>
      </c>
      <c r="Q938" t="s">
        <v>2149</v>
      </c>
    </row>
    <row r="939" spans="1:17" x14ac:dyDescent="0.3">
      <c r="A939" t="s">
        <v>17</v>
      </c>
      <c r="B939" t="str">
        <f>"601279"</f>
        <v>601279</v>
      </c>
      <c r="C939" t="s">
        <v>2150</v>
      </c>
      <c r="D939" t="s">
        <v>1226</v>
      </c>
      <c r="F939">
        <v>233244873</v>
      </c>
      <c r="G939">
        <v>1044535328</v>
      </c>
      <c r="H939">
        <v>733218861</v>
      </c>
      <c r="I939">
        <v>310519142</v>
      </c>
      <c r="J939">
        <v>404403181</v>
      </c>
      <c r="K939">
        <v>270923397</v>
      </c>
      <c r="P939">
        <v>43</v>
      </c>
      <c r="Q939" t="s">
        <v>2151</v>
      </c>
    </row>
    <row r="940" spans="1:17" x14ac:dyDescent="0.3">
      <c r="A940" t="s">
        <v>17</v>
      </c>
      <c r="B940" t="str">
        <f>"600812"</f>
        <v>600812</v>
      </c>
      <c r="C940" t="s">
        <v>2152</v>
      </c>
      <c r="D940" t="s">
        <v>592</v>
      </c>
      <c r="F940">
        <v>1050241994</v>
      </c>
      <c r="G940">
        <v>752146764</v>
      </c>
      <c r="H940">
        <v>732966511</v>
      </c>
      <c r="I940">
        <v>774325701</v>
      </c>
      <c r="J940">
        <v>287250353</v>
      </c>
      <c r="K940">
        <v>-446526268</v>
      </c>
      <c r="L940">
        <v>122495045</v>
      </c>
      <c r="M940">
        <v>90562753</v>
      </c>
      <c r="N940">
        <v>-135026044</v>
      </c>
      <c r="O940">
        <v>-63917347</v>
      </c>
      <c r="P940">
        <v>226</v>
      </c>
      <c r="Q940" t="s">
        <v>2153</v>
      </c>
    </row>
    <row r="941" spans="1:17" x14ac:dyDescent="0.3">
      <c r="A941" t="s">
        <v>17</v>
      </c>
      <c r="B941" t="str">
        <f>"600897"</f>
        <v>600897</v>
      </c>
      <c r="C941" t="s">
        <v>2154</v>
      </c>
      <c r="D941" t="s">
        <v>465</v>
      </c>
      <c r="F941">
        <v>449861375</v>
      </c>
      <c r="G941">
        <v>473182633</v>
      </c>
      <c r="H941">
        <v>732836621</v>
      </c>
      <c r="I941">
        <v>857528351</v>
      </c>
      <c r="J941">
        <v>568976421</v>
      </c>
      <c r="K941">
        <v>689436439</v>
      </c>
      <c r="L941">
        <v>606548737</v>
      </c>
      <c r="M941">
        <v>635260499</v>
      </c>
      <c r="N941">
        <v>563475557</v>
      </c>
      <c r="O941">
        <v>472653474</v>
      </c>
      <c r="P941">
        <v>479</v>
      </c>
      <c r="Q941" t="s">
        <v>2155</v>
      </c>
    </row>
    <row r="942" spans="1:17" x14ac:dyDescent="0.3">
      <c r="A942" t="s">
        <v>59</v>
      </c>
      <c r="B942" t="str">
        <f>"002212"</f>
        <v>002212</v>
      </c>
      <c r="C942" t="s">
        <v>2156</v>
      </c>
      <c r="D942" t="s">
        <v>789</v>
      </c>
      <c r="F942">
        <v>169731732</v>
      </c>
      <c r="G942">
        <v>203570690</v>
      </c>
      <c r="H942">
        <v>732524975</v>
      </c>
      <c r="I942">
        <v>496474029</v>
      </c>
      <c r="J942">
        <v>129063210</v>
      </c>
      <c r="K942">
        <v>-49128799</v>
      </c>
      <c r="L942">
        <v>188363795</v>
      </c>
      <c r="M942">
        <v>-28384983</v>
      </c>
      <c r="N942">
        <v>208190648</v>
      </c>
      <c r="O942">
        <v>21887298</v>
      </c>
      <c r="P942">
        <v>249</v>
      </c>
      <c r="Q942" t="s">
        <v>2157</v>
      </c>
    </row>
    <row r="943" spans="1:17" x14ac:dyDescent="0.3">
      <c r="A943" t="s">
        <v>59</v>
      </c>
      <c r="B943" t="str">
        <f>"300079"</f>
        <v>300079</v>
      </c>
      <c r="C943" t="s">
        <v>2158</v>
      </c>
      <c r="D943" t="s">
        <v>1189</v>
      </c>
      <c r="F943">
        <v>146884714</v>
      </c>
      <c r="G943">
        <v>234522238</v>
      </c>
      <c r="H943">
        <v>732235140</v>
      </c>
      <c r="I943">
        <v>-142197249</v>
      </c>
      <c r="J943">
        <v>342221843</v>
      </c>
      <c r="K943">
        <v>224962912</v>
      </c>
      <c r="L943">
        <v>131813149</v>
      </c>
      <c r="M943">
        <v>252613752</v>
      </c>
      <c r="N943">
        <v>70036859</v>
      </c>
      <c r="O943">
        <v>157116013</v>
      </c>
      <c r="P943">
        <v>261</v>
      </c>
      <c r="Q943" t="s">
        <v>2159</v>
      </c>
    </row>
    <row r="944" spans="1:17" x14ac:dyDescent="0.3">
      <c r="A944" t="s">
        <v>17</v>
      </c>
      <c r="B944" t="str">
        <f>"601515"</f>
        <v>601515</v>
      </c>
      <c r="C944" t="s">
        <v>2160</v>
      </c>
      <c r="D944" t="s">
        <v>1416</v>
      </c>
      <c r="F944">
        <v>691049428</v>
      </c>
      <c r="G944">
        <v>1246004101</v>
      </c>
      <c r="H944">
        <v>731839803</v>
      </c>
      <c r="I944">
        <v>661028813</v>
      </c>
      <c r="J944">
        <v>1191539050</v>
      </c>
      <c r="K944">
        <v>533282185</v>
      </c>
      <c r="L944">
        <v>517724252</v>
      </c>
      <c r="M944">
        <v>566501852</v>
      </c>
      <c r="N944">
        <v>433091685</v>
      </c>
      <c r="O944">
        <v>687612639</v>
      </c>
      <c r="P944">
        <v>28151</v>
      </c>
      <c r="Q944" t="s">
        <v>2161</v>
      </c>
    </row>
    <row r="945" spans="1:17" x14ac:dyDescent="0.3">
      <c r="A945" t="s">
        <v>59</v>
      </c>
      <c r="B945" t="str">
        <f>"000881"</f>
        <v>000881</v>
      </c>
      <c r="C945" t="s">
        <v>2162</v>
      </c>
      <c r="D945" t="s">
        <v>1252</v>
      </c>
      <c r="F945">
        <v>475720067</v>
      </c>
      <c r="G945">
        <v>547361014</v>
      </c>
      <c r="H945">
        <v>728864340</v>
      </c>
      <c r="I945">
        <v>140962772</v>
      </c>
      <c r="J945">
        <v>225074306</v>
      </c>
      <c r="K945">
        <v>66847432</v>
      </c>
      <c r="L945">
        <v>340111235</v>
      </c>
      <c r="M945">
        <v>-477092367</v>
      </c>
      <c r="N945">
        <v>435411697</v>
      </c>
      <c r="O945">
        <v>824569083</v>
      </c>
      <c r="P945">
        <v>169</v>
      </c>
      <c r="Q945" t="s">
        <v>2163</v>
      </c>
    </row>
    <row r="946" spans="1:17" x14ac:dyDescent="0.3">
      <c r="A946" t="s">
        <v>59</v>
      </c>
      <c r="B946" t="str">
        <f>"000612"</f>
        <v>000612</v>
      </c>
      <c r="C946" t="s">
        <v>2164</v>
      </c>
      <c r="D946" t="s">
        <v>238</v>
      </c>
      <c r="F946">
        <v>95993127</v>
      </c>
      <c r="G946">
        <v>828427756</v>
      </c>
      <c r="H946">
        <v>727165738</v>
      </c>
      <c r="I946">
        <v>838830750</v>
      </c>
      <c r="J946">
        <v>148922728</v>
      </c>
      <c r="K946">
        <v>229946233</v>
      </c>
      <c r="L946">
        <v>-43434743</v>
      </c>
      <c r="M946">
        <v>1643778183</v>
      </c>
      <c r="N946">
        <v>-32567489</v>
      </c>
      <c r="O946">
        <v>325165568</v>
      </c>
      <c r="P946">
        <v>199</v>
      </c>
      <c r="Q946" t="s">
        <v>2165</v>
      </c>
    </row>
    <row r="947" spans="1:17" x14ac:dyDescent="0.3">
      <c r="A947" t="s">
        <v>17</v>
      </c>
      <c r="B947" t="str">
        <f>"600961"</f>
        <v>600961</v>
      </c>
      <c r="C947" t="s">
        <v>2166</v>
      </c>
      <c r="D947" t="s">
        <v>856</v>
      </c>
      <c r="F947">
        <v>613785754</v>
      </c>
      <c r="G947">
        <v>348556181</v>
      </c>
      <c r="H947">
        <v>726814796</v>
      </c>
      <c r="I947">
        <v>682082698</v>
      </c>
      <c r="J947">
        <v>335114362</v>
      </c>
      <c r="K947">
        <v>302234130</v>
      </c>
      <c r="L947">
        <v>348889684</v>
      </c>
      <c r="M947">
        <v>539142981</v>
      </c>
      <c r="N947">
        <v>564103297</v>
      </c>
      <c r="O947">
        <v>395120192</v>
      </c>
      <c r="P947">
        <v>127</v>
      </c>
      <c r="Q947" t="s">
        <v>2167</v>
      </c>
    </row>
    <row r="948" spans="1:17" x14ac:dyDescent="0.3">
      <c r="A948" t="s">
        <v>17</v>
      </c>
      <c r="B948" t="str">
        <f>"603587"</f>
        <v>603587</v>
      </c>
      <c r="C948" t="s">
        <v>2168</v>
      </c>
      <c r="D948" t="s">
        <v>646</v>
      </c>
      <c r="F948">
        <v>873850726</v>
      </c>
      <c r="G948">
        <v>723825951</v>
      </c>
      <c r="H948">
        <v>725141149</v>
      </c>
      <c r="I948">
        <v>584652144</v>
      </c>
      <c r="J948">
        <v>561343709</v>
      </c>
      <c r="K948">
        <v>482702069</v>
      </c>
      <c r="L948">
        <v>541742718</v>
      </c>
      <c r="M948">
        <v>555399795</v>
      </c>
      <c r="P948">
        <v>1011</v>
      </c>
      <c r="Q948" t="s">
        <v>2169</v>
      </c>
    </row>
    <row r="949" spans="1:17" x14ac:dyDescent="0.3">
      <c r="A949" t="s">
        <v>17</v>
      </c>
      <c r="B949" t="str">
        <f>"601010"</f>
        <v>601010</v>
      </c>
      <c r="C949" t="s">
        <v>2170</v>
      </c>
      <c r="D949" t="s">
        <v>829</v>
      </c>
      <c r="F949">
        <v>411308472</v>
      </c>
      <c r="G949">
        <v>554834912</v>
      </c>
      <c r="H949">
        <v>724920552</v>
      </c>
      <c r="I949">
        <v>523280642</v>
      </c>
      <c r="J949">
        <v>657144389</v>
      </c>
      <c r="K949">
        <v>776203035</v>
      </c>
      <c r="L949">
        <v>-462290</v>
      </c>
      <c r="M949">
        <v>251226116</v>
      </c>
      <c r="N949">
        <v>294795935</v>
      </c>
      <c r="O949">
        <v>443552228</v>
      </c>
      <c r="P949">
        <v>94</v>
      </c>
      <c r="Q949" t="s">
        <v>2171</v>
      </c>
    </row>
    <row r="950" spans="1:17" x14ac:dyDescent="0.3">
      <c r="A950" t="s">
        <v>59</v>
      </c>
      <c r="B950" t="str">
        <f>"002206"</f>
        <v>002206</v>
      </c>
      <c r="C950" t="s">
        <v>2172</v>
      </c>
      <c r="D950" t="s">
        <v>1116</v>
      </c>
      <c r="F950">
        <v>182634845</v>
      </c>
      <c r="G950">
        <v>381604147</v>
      </c>
      <c r="H950">
        <v>724641941</v>
      </c>
      <c r="I950">
        <v>525451330</v>
      </c>
      <c r="J950">
        <v>455885650</v>
      </c>
      <c r="K950">
        <v>504017222</v>
      </c>
      <c r="L950">
        <v>359268110</v>
      </c>
      <c r="M950">
        <v>347358386</v>
      </c>
      <c r="N950">
        <v>113276576</v>
      </c>
      <c r="O950">
        <v>99293434</v>
      </c>
      <c r="P950">
        <v>369</v>
      </c>
      <c r="Q950" t="s">
        <v>2173</v>
      </c>
    </row>
    <row r="951" spans="1:17" x14ac:dyDescent="0.3">
      <c r="A951" t="s">
        <v>17</v>
      </c>
      <c r="B951" t="str">
        <f>"688739"</f>
        <v>688739</v>
      </c>
      <c r="C951" t="s">
        <v>2174</v>
      </c>
      <c r="D951" t="s">
        <v>1413</v>
      </c>
      <c r="F951">
        <v>506376172</v>
      </c>
      <c r="G951">
        <v>859553172</v>
      </c>
      <c r="H951">
        <v>723913270</v>
      </c>
      <c r="I951">
        <v>635274704</v>
      </c>
      <c r="J951">
        <v>643562504</v>
      </c>
      <c r="P951">
        <v>36</v>
      </c>
      <c r="Q951" t="s">
        <v>2175</v>
      </c>
    </row>
    <row r="952" spans="1:17" x14ac:dyDescent="0.3">
      <c r="A952" t="s">
        <v>17</v>
      </c>
      <c r="B952" t="str">
        <f>"601858"</f>
        <v>601858</v>
      </c>
      <c r="C952" t="s">
        <v>2176</v>
      </c>
      <c r="D952" t="s">
        <v>914</v>
      </c>
      <c r="F952">
        <v>473181849</v>
      </c>
      <c r="G952">
        <v>469227838</v>
      </c>
      <c r="H952">
        <v>723771156</v>
      </c>
      <c r="I952">
        <v>485405306</v>
      </c>
      <c r="J952">
        <v>266449697</v>
      </c>
      <c r="K952">
        <v>363618375</v>
      </c>
      <c r="L952">
        <v>353579338</v>
      </c>
      <c r="M952">
        <v>251984949</v>
      </c>
      <c r="N952">
        <v>277335702</v>
      </c>
      <c r="P952">
        <v>178</v>
      </c>
      <c r="Q952" t="s">
        <v>2177</v>
      </c>
    </row>
    <row r="953" spans="1:17" x14ac:dyDescent="0.3">
      <c r="A953" t="s">
        <v>17</v>
      </c>
      <c r="B953" t="str">
        <f>"600807"</f>
        <v>600807</v>
      </c>
      <c r="C953" t="s">
        <v>2178</v>
      </c>
      <c r="D953" t="s">
        <v>61</v>
      </c>
      <c r="F953">
        <v>-557578700</v>
      </c>
      <c r="G953">
        <v>920198673</v>
      </c>
      <c r="H953">
        <v>722457112</v>
      </c>
      <c r="I953">
        <v>1649893329</v>
      </c>
      <c r="J953">
        <v>-1886715999</v>
      </c>
      <c r="K953">
        <v>-1365090302</v>
      </c>
      <c r="L953">
        <v>-141077317</v>
      </c>
      <c r="M953">
        <v>-6555264</v>
      </c>
      <c r="N953">
        <v>-186155012</v>
      </c>
      <c r="O953">
        <v>-252247079</v>
      </c>
      <c r="P953">
        <v>111</v>
      </c>
      <c r="Q953" t="s">
        <v>2179</v>
      </c>
    </row>
    <row r="954" spans="1:17" x14ac:dyDescent="0.3">
      <c r="A954" t="s">
        <v>17</v>
      </c>
      <c r="B954" t="str">
        <f>"600093"</f>
        <v>600093</v>
      </c>
      <c r="C954" t="s">
        <v>2180</v>
      </c>
      <c r="D954" t="s">
        <v>2181</v>
      </c>
      <c r="F954">
        <v>-19213898</v>
      </c>
      <c r="G954">
        <v>-583747932</v>
      </c>
      <c r="H954">
        <v>721489071</v>
      </c>
      <c r="I954">
        <v>746438292</v>
      </c>
      <c r="J954">
        <v>-1448588976</v>
      </c>
      <c r="K954">
        <v>-3142835902</v>
      </c>
      <c r="L954">
        <v>-2398237900</v>
      </c>
      <c r="M954">
        <v>93724761</v>
      </c>
      <c r="N954">
        <v>33435983</v>
      </c>
      <c r="O954">
        <v>69025382</v>
      </c>
      <c r="P954">
        <v>222</v>
      </c>
      <c r="Q954" t="s">
        <v>2182</v>
      </c>
    </row>
    <row r="955" spans="1:17" x14ac:dyDescent="0.3">
      <c r="A955" t="s">
        <v>17</v>
      </c>
      <c r="B955" t="str">
        <f>"603169"</f>
        <v>603169</v>
      </c>
      <c r="C955" t="s">
        <v>2183</v>
      </c>
      <c r="D955" t="s">
        <v>741</v>
      </c>
      <c r="F955">
        <v>131944670</v>
      </c>
      <c r="G955">
        <v>666300874</v>
      </c>
      <c r="H955">
        <v>721357528</v>
      </c>
      <c r="I955">
        <v>-416930511</v>
      </c>
      <c r="J955">
        <v>-1241098626</v>
      </c>
      <c r="K955">
        <v>-471402354</v>
      </c>
      <c r="L955">
        <v>-261347937</v>
      </c>
      <c r="M955">
        <v>123117179</v>
      </c>
      <c r="N955">
        <v>-119573010</v>
      </c>
      <c r="O955">
        <v>17362553</v>
      </c>
      <c r="P955">
        <v>81</v>
      </c>
      <c r="Q955" t="s">
        <v>2184</v>
      </c>
    </row>
    <row r="956" spans="1:17" x14ac:dyDescent="0.3">
      <c r="A956" t="s">
        <v>17</v>
      </c>
      <c r="B956" t="str">
        <f>"603711"</f>
        <v>603711</v>
      </c>
      <c r="C956" t="s">
        <v>2185</v>
      </c>
      <c r="D956" t="s">
        <v>1209</v>
      </c>
      <c r="F956">
        <v>86737318</v>
      </c>
      <c r="G956">
        <v>335407516</v>
      </c>
      <c r="H956">
        <v>719951333</v>
      </c>
      <c r="I956">
        <v>613216607</v>
      </c>
      <c r="J956">
        <v>105474785</v>
      </c>
      <c r="K956">
        <v>365580451</v>
      </c>
      <c r="L956">
        <v>111908221</v>
      </c>
      <c r="M956">
        <v>193319962</v>
      </c>
      <c r="P956">
        <v>392</v>
      </c>
      <c r="Q956" t="s">
        <v>2186</v>
      </c>
    </row>
    <row r="957" spans="1:17" x14ac:dyDescent="0.3">
      <c r="A957" t="s">
        <v>59</v>
      </c>
      <c r="B957" t="str">
        <f>"001213"</f>
        <v>001213</v>
      </c>
      <c r="C957" t="s">
        <v>2187</v>
      </c>
      <c r="D957" t="s">
        <v>206</v>
      </c>
      <c r="F957">
        <v>729977034</v>
      </c>
      <c r="G957">
        <v>1671099131</v>
      </c>
      <c r="H957">
        <v>717921012</v>
      </c>
      <c r="I957">
        <v>68676313</v>
      </c>
      <c r="J957">
        <v>419020300</v>
      </c>
      <c r="P957">
        <v>27</v>
      </c>
      <c r="Q957" t="s">
        <v>2188</v>
      </c>
    </row>
    <row r="958" spans="1:17" x14ac:dyDescent="0.3">
      <c r="A958" t="s">
        <v>17</v>
      </c>
      <c r="B958" t="str">
        <f>"600482"</f>
        <v>600482</v>
      </c>
      <c r="C958" t="s">
        <v>2189</v>
      </c>
      <c r="D958" t="s">
        <v>614</v>
      </c>
      <c r="F958">
        <v>4252222683</v>
      </c>
      <c r="G958">
        <v>152565922</v>
      </c>
      <c r="H958">
        <v>715980780</v>
      </c>
      <c r="I958">
        <v>-1177789013</v>
      </c>
      <c r="J958">
        <v>-437351754</v>
      </c>
      <c r="K958">
        <v>1142569552</v>
      </c>
      <c r="L958">
        <v>767232988</v>
      </c>
      <c r="M958">
        <v>328709278</v>
      </c>
      <c r="N958">
        <v>85151909</v>
      </c>
      <c r="O958">
        <v>307936060</v>
      </c>
      <c r="P958">
        <v>339</v>
      </c>
      <c r="Q958" t="s">
        <v>2190</v>
      </c>
    </row>
    <row r="959" spans="1:17" x14ac:dyDescent="0.3">
      <c r="A959" t="s">
        <v>59</v>
      </c>
      <c r="B959" t="str">
        <f>"002226"</f>
        <v>002226</v>
      </c>
      <c r="C959" t="s">
        <v>2191</v>
      </c>
      <c r="D959" t="s">
        <v>1986</v>
      </c>
      <c r="F959">
        <v>645291820</v>
      </c>
      <c r="G959">
        <v>877654377</v>
      </c>
      <c r="H959">
        <v>714834875</v>
      </c>
      <c r="I959">
        <v>753401050</v>
      </c>
      <c r="J959">
        <v>298608720</v>
      </c>
      <c r="K959">
        <v>195326661</v>
      </c>
      <c r="L959">
        <v>233429536</v>
      </c>
      <c r="M959">
        <v>374865571</v>
      </c>
      <c r="N959">
        <v>177452201</v>
      </c>
      <c r="O959">
        <v>326500180</v>
      </c>
      <c r="P959">
        <v>172</v>
      </c>
      <c r="Q959" t="s">
        <v>2192</v>
      </c>
    </row>
    <row r="960" spans="1:17" x14ac:dyDescent="0.3">
      <c r="A960" t="s">
        <v>59</v>
      </c>
      <c r="B960" t="str">
        <f>"002681"</f>
        <v>002681</v>
      </c>
      <c r="C960" t="s">
        <v>2193</v>
      </c>
      <c r="D960" t="s">
        <v>349</v>
      </c>
      <c r="F960">
        <v>85448000</v>
      </c>
      <c r="G960">
        <v>478701182</v>
      </c>
      <c r="H960">
        <v>713393021</v>
      </c>
      <c r="I960">
        <v>586753290</v>
      </c>
      <c r="J960">
        <v>350349575</v>
      </c>
      <c r="K960">
        <v>358890498</v>
      </c>
      <c r="L960">
        <v>232652171</v>
      </c>
      <c r="M960">
        <v>156318862</v>
      </c>
      <c r="N960">
        <v>176744597</v>
      </c>
      <c r="O960">
        <v>106972941</v>
      </c>
      <c r="P960">
        <v>216</v>
      </c>
      <c r="Q960" t="s">
        <v>2194</v>
      </c>
    </row>
    <row r="961" spans="1:17" x14ac:dyDescent="0.3">
      <c r="A961" t="s">
        <v>17</v>
      </c>
      <c r="B961" t="str">
        <f>"603980"</f>
        <v>603980</v>
      </c>
      <c r="C961" t="s">
        <v>2195</v>
      </c>
      <c r="D961" t="s">
        <v>372</v>
      </c>
      <c r="F961">
        <v>-65739923</v>
      </c>
      <c r="G961">
        <v>122454772</v>
      </c>
      <c r="H961">
        <v>713078796</v>
      </c>
      <c r="I961">
        <v>406137520</v>
      </c>
      <c r="J961">
        <v>240302744</v>
      </c>
      <c r="K961">
        <v>532866693</v>
      </c>
      <c r="L961">
        <v>657890872</v>
      </c>
      <c r="M961">
        <v>787518889</v>
      </c>
      <c r="P961">
        <v>195</v>
      </c>
      <c r="Q961" t="s">
        <v>2196</v>
      </c>
    </row>
    <row r="962" spans="1:17" x14ac:dyDescent="0.3">
      <c r="A962" t="s">
        <v>59</v>
      </c>
      <c r="B962" t="str">
        <f>"002034"</f>
        <v>002034</v>
      </c>
      <c r="C962" t="s">
        <v>2197</v>
      </c>
      <c r="D962" t="s">
        <v>894</v>
      </c>
      <c r="F962">
        <v>1304512814</v>
      </c>
      <c r="G962">
        <v>961715328</v>
      </c>
      <c r="H962">
        <v>712637150</v>
      </c>
      <c r="I962">
        <v>619303420</v>
      </c>
      <c r="J962">
        <v>438471731</v>
      </c>
      <c r="K962">
        <v>29719600</v>
      </c>
      <c r="L962">
        <v>51461504</v>
      </c>
      <c r="M962">
        <v>154689728</v>
      </c>
      <c r="N962">
        <v>67535513</v>
      </c>
      <c r="O962">
        <v>161776180</v>
      </c>
      <c r="P962">
        <v>244</v>
      </c>
      <c r="Q962" t="s">
        <v>2198</v>
      </c>
    </row>
    <row r="963" spans="1:17" x14ac:dyDescent="0.3">
      <c r="A963" t="s">
        <v>59</v>
      </c>
      <c r="B963" t="str">
        <f>"301116"</f>
        <v>301116</v>
      </c>
      <c r="C963" t="s">
        <v>2199</v>
      </c>
      <c r="D963" t="s">
        <v>470</v>
      </c>
      <c r="F963">
        <v>127684552</v>
      </c>
      <c r="G963">
        <v>299268482</v>
      </c>
      <c r="H963">
        <v>711258054</v>
      </c>
      <c r="I963">
        <v>238799057</v>
      </c>
      <c r="J963">
        <v>100191197</v>
      </c>
      <c r="K963">
        <v>347885229</v>
      </c>
      <c r="P963">
        <v>11</v>
      </c>
      <c r="Q963" t="s">
        <v>2200</v>
      </c>
    </row>
    <row r="964" spans="1:17" x14ac:dyDescent="0.3">
      <c r="A964" t="s">
        <v>59</v>
      </c>
      <c r="B964" t="str">
        <f>"002605"</f>
        <v>002605</v>
      </c>
      <c r="C964" t="s">
        <v>2201</v>
      </c>
      <c r="D964" t="s">
        <v>689</v>
      </c>
      <c r="F964">
        <v>540712769</v>
      </c>
      <c r="G964">
        <v>525784620</v>
      </c>
      <c r="H964">
        <v>707984769</v>
      </c>
      <c r="I964">
        <v>243501645</v>
      </c>
      <c r="J964">
        <v>64617569</v>
      </c>
      <c r="K964">
        <v>151026366</v>
      </c>
      <c r="L964">
        <v>195802490</v>
      </c>
      <c r="M964">
        <v>74249756</v>
      </c>
      <c r="N964">
        <v>170292581</v>
      </c>
      <c r="O964">
        <v>130126562</v>
      </c>
      <c r="P964">
        <v>432</v>
      </c>
      <c r="Q964" t="s">
        <v>2202</v>
      </c>
    </row>
    <row r="965" spans="1:17" x14ac:dyDescent="0.3">
      <c r="A965" t="s">
        <v>17</v>
      </c>
      <c r="B965" t="str">
        <f>"600758"</f>
        <v>600758</v>
      </c>
      <c r="C965" t="s">
        <v>2203</v>
      </c>
      <c r="D965" t="s">
        <v>294</v>
      </c>
      <c r="F965">
        <v>1872163826</v>
      </c>
      <c r="G965">
        <v>787395559</v>
      </c>
      <c r="H965">
        <v>707599223</v>
      </c>
      <c r="I965">
        <v>904265626</v>
      </c>
      <c r="J965">
        <v>1434575091</v>
      </c>
      <c r="K965">
        <v>625370496</v>
      </c>
      <c r="L965">
        <v>1864068768</v>
      </c>
      <c r="M965">
        <v>59854070</v>
      </c>
      <c r="N965">
        <v>79067664</v>
      </c>
      <c r="O965">
        <v>98472544</v>
      </c>
      <c r="P965">
        <v>126</v>
      </c>
      <c r="Q965" t="s">
        <v>2204</v>
      </c>
    </row>
    <row r="966" spans="1:17" x14ac:dyDescent="0.3">
      <c r="A966" t="s">
        <v>17</v>
      </c>
      <c r="B966" t="str">
        <f>"600132"</f>
        <v>600132</v>
      </c>
      <c r="C966" t="s">
        <v>2205</v>
      </c>
      <c r="D966" t="s">
        <v>566</v>
      </c>
      <c r="F966">
        <v>3564787113</v>
      </c>
      <c r="G966">
        <v>3689730876</v>
      </c>
      <c r="H966">
        <v>705779861</v>
      </c>
      <c r="I966">
        <v>744379875</v>
      </c>
      <c r="J966">
        <v>820031927</v>
      </c>
      <c r="K966">
        <v>569431362</v>
      </c>
      <c r="L966">
        <v>448312451</v>
      </c>
      <c r="M966">
        <v>414174660</v>
      </c>
      <c r="N966">
        <v>557899830</v>
      </c>
      <c r="O966">
        <v>166327552</v>
      </c>
      <c r="P966">
        <v>2098</v>
      </c>
      <c r="Q966" t="s">
        <v>2206</v>
      </c>
    </row>
    <row r="967" spans="1:17" x14ac:dyDescent="0.3">
      <c r="A967" t="s">
        <v>17</v>
      </c>
      <c r="B967" t="str">
        <f>"600326"</f>
        <v>600326</v>
      </c>
      <c r="C967" t="s">
        <v>2207</v>
      </c>
      <c r="D967" t="s">
        <v>78</v>
      </c>
      <c r="F967">
        <v>-16472134</v>
      </c>
      <c r="G967">
        <v>595752768</v>
      </c>
      <c r="H967">
        <v>705753930</v>
      </c>
      <c r="I967">
        <v>685839667</v>
      </c>
      <c r="J967">
        <v>544914924</v>
      </c>
      <c r="K967">
        <v>472255072</v>
      </c>
      <c r="L967">
        <v>203258458</v>
      </c>
      <c r="M967">
        <v>156259434</v>
      </c>
      <c r="N967">
        <v>198355153</v>
      </c>
      <c r="O967">
        <v>16737172</v>
      </c>
      <c r="P967">
        <v>275</v>
      </c>
      <c r="Q967" t="s">
        <v>2208</v>
      </c>
    </row>
    <row r="968" spans="1:17" x14ac:dyDescent="0.3">
      <c r="A968" t="s">
        <v>59</v>
      </c>
      <c r="B968" t="str">
        <f>"000615"</f>
        <v>000615</v>
      </c>
      <c r="C968" t="s">
        <v>2209</v>
      </c>
      <c r="D968" t="s">
        <v>2210</v>
      </c>
      <c r="F968">
        <v>-114257637</v>
      </c>
      <c r="G968">
        <v>-382582582</v>
      </c>
      <c r="H968">
        <v>704840861</v>
      </c>
      <c r="I968">
        <v>1092441333</v>
      </c>
      <c r="J968">
        <v>-662249077</v>
      </c>
      <c r="K968">
        <v>825265612</v>
      </c>
      <c r="L968">
        <v>1812986150</v>
      </c>
      <c r="M968">
        <v>139681604</v>
      </c>
      <c r="N968">
        <v>-59698229</v>
      </c>
      <c r="O968">
        <v>108515900</v>
      </c>
      <c r="P968">
        <v>188</v>
      </c>
      <c r="Q968" t="s">
        <v>2211</v>
      </c>
    </row>
    <row r="969" spans="1:17" x14ac:dyDescent="0.3">
      <c r="A969" t="s">
        <v>17</v>
      </c>
      <c r="B969" t="str">
        <f>"600184"</f>
        <v>600184</v>
      </c>
      <c r="C969" t="s">
        <v>2212</v>
      </c>
      <c r="D969" t="s">
        <v>606</v>
      </c>
      <c r="F969">
        <v>-192978798</v>
      </c>
      <c r="G969">
        <v>958166871</v>
      </c>
      <c r="H969">
        <v>704797715</v>
      </c>
      <c r="I969">
        <v>87912423</v>
      </c>
      <c r="J969">
        <v>-6158043</v>
      </c>
      <c r="K969">
        <v>-534459578</v>
      </c>
      <c r="L969">
        <v>237195030</v>
      </c>
      <c r="M969">
        <v>406802925</v>
      </c>
      <c r="N969">
        <v>-1305383</v>
      </c>
      <c r="O969">
        <v>442974118</v>
      </c>
      <c r="P969">
        <v>143</v>
      </c>
      <c r="Q969" t="s">
        <v>2213</v>
      </c>
    </row>
    <row r="970" spans="1:17" x14ac:dyDescent="0.3">
      <c r="A970" t="s">
        <v>17</v>
      </c>
      <c r="B970" t="str">
        <f>"600816"</f>
        <v>600816</v>
      </c>
      <c r="C970" t="s">
        <v>2214</v>
      </c>
      <c r="D970" t="s">
        <v>2215</v>
      </c>
      <c r="F970">
        <v>148114278</v>
      </c>
      <c r="G970">
        <v>477283512</v>
      </c>
      <c r="H970">
        <v>703308790</v>
      </c>
      <c r="I970">
        <v>-2534048351</v>
      </c>
      <c r="J970">
        <v>1730039924</v>
      </c>
      <c r="K970">
        <v>2993793909</v>
      </c>
      <c r="L970">
        <v>1806478189</v>
      </c>
      <c r="M970">
        <v>174732212</v>
      </c>
      <c r="N970">
        <v>384260226</v>
      </c>
      <c r="O970">
        <v>152209208</v>
      </c>
      <c r="P970">
        <v>6688</v>
      </c>
      <c r="Q970" t="s">
        <v>2216</v>
      </c>
    </row>
    <row r="971" spans="1:17" x14ac:dyDescent="0.3">
      <c r="A971" t="s">
        <v>59</v>
      </c>
      <c r="B971" t="str">
        <f>"002630"</f>
        <v>002630</v>
      </c>
      <c r="C971" t="s">
        <v>2217</v>
      </c>
      <c r="D971" t="s">
        <v>1851</v>
      </c>
      <c r="F971">
        <v>-186962292</v>
      </c>
      <c r="G971">
        <v>37509576</v>
      </c>
      <c r="H971">
        <v>702195094</v>
      </c>
      <c r="I971">
        <v>74889603</v>
      </c>
      <c r="J971">
        <v>40397309</v>
      </c>
      <c r="K971">
        <v>-475159206</v>
      </c>
      <c r="L971">
        <v>-105831538</v>
      </c>
      <c r="M971">
        <v>-540927974</v>
      </c>
      <c r="N971">
        <v>-1351825</v>
      </c>
      <c r="O971">
        <v>-126366291</v>
      </c>
      <c r="P971">
        <v>109</v>
      </c>
      <c r="Q971" t="s">
        <v>2218</v>
      </c>
    </row>
    <row r="972" spans="1:17" x14ac:dyDescent="0.3">
      <c r="A972" t="s">
        <v>17</v>
      </c>
      <c r="B972" t="str">
        <f>"600619"</f>
        <v>600619</v>
      </c>
      <c r="C972" t="s">
        <v>2219</v>
      </c>
      <c r="D972" t="s">
        <v>1087</v>
      </c>
      <c r="F972">
        <v>415942326</v>
      </c>
      <c r="G972">
        <v>345187967</v>
      </c>
      <c r="H972">
        <v>701353367</v>
      </c>
      <c r="I972">
        <v>1305389968</v>
      </c>
      <c r="J972">
        <v>770191679</v>
      </c>
      <c r="K972">
        <v>869854220</v>
      </c>
      <c r="L972">
        <v>507031784</v>
      </c>
      <c r="M972">
        <v>463092893</v>
      </c>
      <c r="N972">
        <v>418553768</v>
      </c>
      <c r="O972">
        <v>411703667</v>
      </c>
      <c r="P972">
        <v>121</v>
      </c>
      <c r="Q972" t="s">
        <v>2220</v>
      </c>
    </row>
    <row r="973" spans="1:17" x14ac:dyDescent="0.3">
      <c r="A973" t="s">
        <v>17</v>
      </c>
      <c r="B973" t="str">
        <f>"603818"</f>
        <v>603818</v>
      </c>
      <c r="C973" t="s">
        <v>2221</v>
      </c>
      <c r="D973" t="s">
        <v>972</v>
      </c>
      <c r="F973">
        <v>441139642</v>
      </c>
      <c r="G973">
        <v>618753041</v>
      </c>
      <c r="H973">
        <v>700731675</v>
      </c>
      <c r="I973">
        <v>312331428</v>
      </c>
      <c r="J973">
        <v>253916759</v>
      </c>
      <c r="K973">
        <v>294019536</v>
      </c>
      <c r="L973">
        <v>184162055</v>
      </c>
      <c r="M973">
        <v>123802866</v>
      </c>
      <c r="N973">
        <v>184704590</v>
      </c>
      <c r="O973">
        <v>119768468</v>
      </c>
      <c r="P973">
        <v>202</v>
      </c>
      <c r="Q973" t="s">
        <v>2222</v>
      </c>
    </row>
    <row r="974" spans="1:17" x14ac:dyDescent="0.3">
      <c r="A974" t="s">
        <v>59</v>
      </c>
      <c r="B974" t="str">
        <f>"300058"</f>
        <v>300058</v>
      </c>
      <c r="C974" t="s">
        <v>2223</v>
      </c>
      <c r="D974" t="s">
        <v>1889</v>
      </c>
      <c r="F974">
        <v>750338932</v>
      </c>
      <c r="G974">
        <v>1310481379</v>
      </c>
      <c r="H974">
        <v>699357894</v>
      </c>
      <c r="I974">
        <v>1892760346</v>
      </c>
      <c r="J974">
        <v>-123910586</v>
      </c>
      <c r="K974">
        <v>-90111168</v>
      </c>
      <c r="L974">
        <v>489074610</v>
      </c>
      <c r="M974">
        <v>205359618</v>
      </c>
      <c r="N974">
        <v>149754957</v>
      </c>
      <c r="O974">
        <v>194060260</v>
      </c>
      <c r="P974">
        <v>457</v>
      </c>
      <c r="Q974" t="s">
        <v>2224</v>
      </c>
    </row>
    <row r="975" spans="1:17" x14ac:dyDescent="0.3">
      <c r="A975" t="s">
        <v>59</v>
      </c>
      <c r="B975" t="str">
        <f>"002925"</f>
        <v>002925</v>
      </c>
      <c r="C975" t="s">
        <v>2225</v>
      </c>
      <c r="D975" t="s">
        <v>349</v>
      </c>
      <c r="F975">
        <v>1016729565</v>
      </c>
      <c r="G975">
        <v>699216660</v>
      </c>
      <c r="H975">
        <v>698917508</v>
      </c>
      <c r="I975">
        <v>735537280</v>
      </c>
      <c r="J975">
        <v>942557375</v>
      </c>
      <c r="K975">
        <v>357022921</v>
      </c>
      <c r="L975">
        <v>176648732</v>
      </c>
      <c r="M975">
        <v>107650106</v>
      </c>
      <c r="P975">
        <v>1061</v>
      </c>
      <c r="Q975" t="s">
        <v>2226</v>
      </c>
    </row>
    <row r="976" spans="1:17" x14ac:dyDescent="0.3">
      <c r="A976" t="s">
        <v>17</v>
      </c>
      <c r="B976" t="str">
        <f>"600267"</f>
        <v>600267</v>
      </c>
      <c r="C976" t="s">
        <v>2227</v>
      </c>
      <c r="D976" t="s">
        <v>984</v>
      </c>
      <c r="F976">
        <v>1736524243</v>
      </c>
      <c r="G976">
        <v>1589608757</v>
      </c>
      <c r="H976">
        <v>698388371</v>
      </c>
      <c r="I976">
        <v>1446308104</v>
      </c>
      <c r="J976">
        <v>1240708247</v>
      </c>
      <c r="K976">
        <v>775899338</v>
      </c>
      <c r="L976">
        <v>736168524</v>
      </c>
      <c r="M976">
        <v>571038091</v>
      </c>
      <c r="N976">
        <v>527249353</v>
      </c>
      <c r="O976">
        <v>375746180</v>
      </c>
      <c r="P976">
        <v>532</v>
      </c>
      <c r="Q976" t="s">
        <v>2228</v>
      </c>
    </row>
    <row r="977" spans="1:17" x14ac:dyDescent="0.3">
      <c r="A977" t="s">
        <v>59</v>
      </c>
      <c r="B977" t="str">
        <f>"002043"</f>
        <v>002043</v>
      </c>
      <c r="C977" t="s">
        <v>2229</v>
      </c>
      <c r="D977" t="s">
        <v>1041</v>
      </c>
      <c r="F977">
        <v>860285523</v>
      </c>
      <c r="G977">
        <v>812654249</v>
      </c>
      <c r="H977">
        <v>697414157</v>
      </c>
      <c r="I977">
        <v>301194558</v>
      </c>
      <c r="J977">
        <v>435507912</v>
      </c>
      <c r="K977">
        <v>388470828</v>
      </c>
      <c r="L977">
        <v>185297088</v>
      </c>
      <c r="M977">
        <v>101190962</v>
      </c>
      <c r="N977">
        <v>93789077</v>
      </c>
      <c r="O977">
        <v>107263763</v>
      </c>
      <c r="P977">
        <v>665</v>
      </c>
      <c r="Q977" t="s">
        <v>2230</v>
      </c>
    </row>
    <row r="978" spans="1:17" x14ac:dyDescent="0.3">
      <c r="A978" t="s">
        <v>59</v>
      </c>
      <c r="B978" t="str">
        <f>"002675"</f>
        <v>002675</v>
      </c>
      <c r="C978" t="s">
        <v>2231</v>
      </c>
      <c r="D978" t="s">
        <v>592</v>
      </c>
      <c r="F978">
        <v>943581206</v>
      </c>
      <c r="G978">
        <v>572576713</v>
      </c>
      <c r="H978">
        <v>696375864</v>
      </c>
      <c r="I978">
        <v>493063072</v>
      </c>
      <c r="J978">
        <v>208935413</v>
      </c>
      <c r="K978">
        <v>196281214</v>
      </c>
      <c r="L978">
        <v>66687654</v>
      </c>
      <c r="M978">
        <v>52001640</v>
      </c>
      <c r="N978">
        <v>-20602529</v>
      </c>
      <c r="O978">
        <v>44535234</v>
      </c>
      <c r="P978">
        <v>365</v>
      </c>
      <c r="Q978" t="s">
        <v>2232</v>
      </c>
    </row>
    <row r="979" spans="1:17" x14ac:dyDescent="0.3">
      <c r="A979" t="s">
        <v>17</v>
      </c>
      <c r="B979" t="str">
        <f>"603338"</f>
        <v>603338</v>
      </c>
      <c r="C979" t="s">
        <v>2233</v>
      </c>
      <c r="D979" t="s">
        <v>235</v>
      </c>
      <c r="F979">
        <v>373661725</v>
      </c>
      <c r="G979">
        <v>891764853</v>
      </c>
      <c r="H979">
        <v>696158346</v>
      </c>
      <c r="I979">
        <v>415714136</v>
      </c>
      <c r="J979">
        <v>348706422</v>
      </c>
      <c r="K979">
        <v>142342727</v>
      </c>
      <c r="L979">
        <v>112359422</v>
      </c>
      <c r="M979">
        <v>86308816</v>
      </c>
      <c r="N979">
        <v>73193721</v>
      </c>
      <c r="O979">
        <v>63032845</v>
      </c>
      <c r="P979">
        <v>12811</v>
      </c>
      <c r="Q979" t="s">
        <v>2234</v>
      </c>
    </row>
    <row r="980" spans="1:17" x14ac:dyDescent="0.3">
      <c r="A980" t="s">
        <v>17</v>
      </c>
      <c r="B980" t="str">
        <f>"603599"</f>
        <v>603599</v>
      </c>
      <c r="C980" t="s">
        <v>2235</v>
      </c>
      <c r="D980" t="s">
        <v>1356</v>
      </c>
      <c r="F980">
        <v>1410612292</v>
      </c>
      <c r="G980">
        <v>691671491</v>
      </c>
      <c r="H980">
        <v>695053444</v>
      </c>
      <c r="I980">
        <v>300196069</v>
      </c>
      <c r="J980">
        <v>950503282</v>
      </c>
      <c r="K980">
        <v>170935788</v>
      </c>
      <c r="L980">
        <v>76764673</v>
      </c>
      <c r="M980">
        <v>113420973</v>
      </c>
      <c r="N980">
        <v>116153563</v>
      </c>
      <c r="O980">
        <v>151383131</v>
      </c>
      <c r="P980">
        <v>304</v>
      </c>
      <c r="Q980" t="s">
        <v>2236</v>
      </c>
    </row>
    <row r="981" spans="1:17" x14ac:dyDescent="0.3">
      <c r="A981" t="s">
        <v>59</v>
      </c>
      <c r="B981" t="str">
        <f>"000062"</f>
        <v>000062</v>
      </c>
      <c r="C981" t="s">
        <v>2237</v>
      </c>
      <c r="D981" t="s">
        <v>595</v>
      </c>
      <c r="F981">
        <v>-931589531</v>
      </c>
      <c r="G981">
        <v>-480618232</v>
      </c>
      <c r="H981">
        <v>694563669</v>
      </c>
      <c r="I981">
        <v>-26007759</v>
      </c>
      <c r="J981">
        <v>430615408</v>
      </c>
      <c r="K981">
        <v>-369334001</v>
      </c>
      <c r="L981">
        <v>161625398</v>
      </c>
      <c r="M981">
        <v>248087379</v>
      </c>
      <c r="N981">
        <v>1046268460</v>
      </c>
      <c r="O981">
        <v>131863569</v>
      </c>
      <c r="P981">
        <v>300</v>
      </c>
      <c r="Q981" t="s">
        <v>2238</v>
      </c>
    </row>
    <row r="982" spans="1:17" x14ac:dyDescent="0.3">
      <c r="A982" t="s">
        <v>59</v>
      </c>
      <c r="B982" t="str">
        <f>"000650"</f>
        <v>000650</v>
      </c>
      <c r="C982" t="s">
        <v>2239</v>
      </c>
      <c r="D982" t="s">
        <v>455</v>
      </c>
      <c r="F982">
        <v>777717531</v>
      </c>
      <c r="G982">
        <v>871131642</v>
      </c>
      <c r="H982">
        <v>693970680</v>
      </c>
      <c r="I982">
        <v>569454435</v>
      </c>
      <c r="J982">
        <v>497855601</v>
      </c>
      <c r="K982">
        <v>522083291</v>
      </c>
      <c r="L982">
        <v>434765148</v>
      </c>
      <c r="M982">
        <v>365274345</v>
      </c>
      <c r="N982">
        <v>213355359</v>
      </c>
      <c r="O982">
        <v>183966860</v>
      </c>
      <c r="P982">
        <v>888</v>
      </c>
      <c r="Q982" t="s">
        <v>2240</v>
      </c>
    </row>
    <row r="983" spans="1:17" x14ac:dyDescent="0.3">
      <c r="A983" t="s">
        <v>17</v>
      </c>
      <c r="B983" t="str">
        <f>"600858"</f>
        <v>600858</v>
      </c>
      <c r="C983" t="s">
        <v>2241</v>
      </c>
      <c r="D983" t="s">
        <v>829</v>
      </c>
      <c r="F983">
        <v>762131393</v>
      </c>
      <c r="G983">
        <v>692715018</v>
      </c>
      <c r="H983">
        <v>693926322</v>
      </c>
      <c r="I983">
        <v>308782982</v>
      </c>
      <c r="J983">
        <v>1401405833</v>
      </c>
      <c r="K983">
        <v>132573308</v>
      </c>
      <c r="L983">
        <v>207426962</v>
      </c>
      <c r="M983">
        <v>1503204355</v>
      </c>
      <c r="N983">
        <v>954780897</v>
      </c>
      <c r="O983">
        <v>668278832</v>
      </c>
      <c r="P983">
        <v>91</v>
      </c>
      <c r="Q983" t="s">
        <v>2242</v>
      </c>
    </row>
    <row r="984" spans="1:17" x14ac:dyDescent="0.3">
      <c r="A984" t="s">
        <v>17</v>
      </c>
      <c r="B984" t="str">
        <f>"600268"</f>
        <v>600268</v>
      </c>
      <c r="C984" t="s">
        <v>2243</v>
      </c>
      <c r="D984" t="s">
        <v>494</v>
      </c>
      <c r="F984">
        <v>749906580</v>
      </c>
      <c r="G984">
        <v>725291435</v>
      </c>
      <c r="H984">
        <v>690003879</v>
      </c>
      <c r="I984">
        <v>563709347</v>
      </c>
      <c r="J984">
        <v>12218357</v>
      </c>
      <c r="K984">
        <v>465938716</v>
      </c>
      <c r="L984">
        <v>498243019</v>
      </c>
      <c r="M984">
        <v>356693913</v>
      </c>
      <c r="N984">
        <v>206723431</v>
      </c>
      <c r="O984">
        <v>10754636</v>
      </c>
      <c r="P984">
        <v>245</v>
      </c>
      <c r="Q984" t="s">
        <v>2244</v>
      </c>
    </row>
    <row r="985" spans="1:17" x14ac:dyDescent="0.3">
      <c r="A985" t="s">
        <v>17</v>
      </c>
      <c r="B985" t="str">
        <f>"600711"</f>
        <v>600711</v>
      </c>
      <c r="C985" t="s">
        <v>2245</v>
      </c>
      <c r="D985" t="s">
        <v>848</v>
      </c>
      <c r="F985">
        <v>1734502665</v>
      </c>
      <c r="G985">
        <v>1051537027</v>
      </c>
      <c r="H985">
        <v>689703387</v>
      </c>
      <c r="I985">
        <v>859448841</v>
      </c>
      <c r="J985">
        <v>996555259</v>
      </c>
      <c r="K985">
        <v>137155222</v>
      </c>
      <c r="L985">
        <v>-842893840</v>
      </c>
      <c r="M985">
        <v>-466427908</v>
      </c>
      <c r="N985">
        <v>258048027</v>
      </c>
      <c r="O985">
        <v>46676541</v>
      </c>
      <c r="P985">
        <v>377</v>
      </c>
      <c r="Q985" t="s">
        <v>2246</v>
      </c>
    </row>
    <row r="986" spans="1:17" x14ac:dyDescent="0.3">
      <c r="A986" t="s">
        <v>59</v>
      </c>
      <c r="B986" t="str">
        <f>"002682"</f>
        <v>002682</v>
      </c>
      <c r="C986" t="s">
        <v>2247</v>
      </c>
      <c r="D986" t="s">
        <v>1388</v>
      </c>
      <c r="F986">
        <v>850968666</v>
      </c>
      <c r="G986">
        <v>82205086</v>
      </c>
      <c r="H986">
        <v>688682052</v>
      </c>
      <c r="I986">
        <v>-927387243</v>
      </c>
      <c r="J986">
        <v>-26653873</v>
      </c>
      <c r="K986">
        <v>-106192330</v>
      </c>
      <c r="L986">
        <v>86029468</v>
      </c>
      <c r="M986">
        <v>225725423</v>
      </c>
      <c r="N986">
        <v>33616622</v>
      </c>
      <c r="O986">
        <v>197982570</v>
      </c>
      <c r="P986">
        <v>80</v>
      </c>
      <c r="Q986" t="s">
        <v>2248</v>
      </c>
    </row>
    <row r="987" spans="1:17" x14ac:dyDescent="0.3">
      <c r="A987" t="s">
        <v>59</v>
      </c>
      <c r="B987" t="str">
        <f>"002126"</f>
        <v>002126</v>
      </c>
      <c r="C987" t="s">
        <v>2249</v>
      </c>
      <c r="D987" t="s">
        <v>156</v>
      </c>
      <c r="F987">
        <v>374643215</v>
      </c>
      <c r="G987">
        <v>456173578</v>
      </c>
      <c r="H987">
        <v>688584828</v>
      </c>
      <c r="I987">
        <v>304839058</v>
      </c>
      <c r="J987">
        <v>277730471</v>
      </c>
      <c r="K987">
        <v>475322000</v>
      </c>
      <c r="L987">
        <v>225169982</v>
      </c>
      <c r="M987">
        <v>181260110</v>
      </c>
      <c r="N987">
        <v>151614198</v>
      </c>
      <c r="O987">
        <v>173471823</v>
      </c>
      <c r="P987">
        <v>450</v>
      </c>
      <c r="Q987" t="s">
        <v>2250</v>
      </c>
    </row>
    <row r="988" spans="1:17" x14ac:dyDescent="0.3">
      <c r="A988" t="s">
        <v>59</v>
      </c>
      <c r="B988" t="str">
        <f>"002490"</f>
        <v>002490</v>
      </c>
      <c r="C988" t="s">
        <v>2251</v>
      </c>
      <c r="D988" t="s">
        <v>741</v>
      </c>
      <c r="F988">
        <v>35792357</v>
      </c>
      <c r="G988">
        <v>206901178</v>
      </c>
      <c r="H988">
        <v>688353418</v>
      </c>
      <c r="I988">
        <v>369589596</v>
      </c>
      <c r="J988">
        <v>32500954</v>
      </c>
      <c r="K988">
        <v>104417133</v>
      </c>
      <c r="L988">
        <v>20632788</v>
      </c>
      <c r="M988">
        <v>400589007</v>
      </c>
      <c r="N988">
        <v>-155479887</v>
      </c>
      <c r="O988">
        <v>445930901</v>
      </c>
      <c r="P988">
        <v>82</v>
      </c>
      <c r="Q988" t="s">
        <v>2252</v>
      </c>
    </row>
    <row r="989" spans="1:17" x14ac:dyDescent="0.3">
      <c r="A989" t="s">
        <v>59</v>
      </c>
      <c r="B989" t="str">
        <f>"300284"</f>
        <v>300284</v>
      </c>
      <c r="C989" t="s">
        <v>2253</v>
      </c>
      <c r="D989" t="s">
        <v>2254</v>
      </c>
      <c r="F989">
        <v>87443601</v>
      </c>
      <c r="G989">
        <v>784613945</v>
      </c>
      <c r="H989">
        <v>684610892</v>
      </c>
      <c r="I989">
        <v>60709509</v>
      </c>
      <c r="J989">
        <v>321383717</v>
      </c>
      <c r="K989">
        <v>76961533</v>
      </c>
      <c r="L989">
        <v>11800936</v>
      </c>
      <c r="M989">
        <v>253293982</v>
      </c>
      <c r="N989">
        <v>284871983</v>
      </c>
      <c r="O989">
        <v>90095889</v>
      </c>
      <c r="P989">
        <v>274</v>
      </c>
      <c r="Q989" t="s">
        <v>2255</v>
      </c>
    </row>
    <row r="990" spans="1:17" x14ac:dyDescent="0.3">
      <c r="A990" t="s">
        <v>17</v>
      </c>
      <c r="B990" t="str">
        <f>"600190"</f>
        <v>600190</v>
      </c>
      <c r="C990" t="s">
        <v>2256</v>
      </c>
      <c r="D990" t="s">
        <v>386</v>
      </c>
      <c r="F990">
        <v>1531733898</v>
      </c>
      <c r="G990">
        <v>769957619</v>
      </c>
      <c r="H990">
        <v>682201728</v>
      </c>
      <c r="I990">
        <v>536342646</v>
      </c>
      <c r="J990">
        <v>1152773101</v>
      </c>
      <c r="K990">
        <v>741986488</v>
      </c>
      <c r="L990">
        <v>545417260</v>
      </c>
      <c r="M990">
        <v>315624631</v>
      </c>
      <c r="N990">
        <v>537123858</v>
      </c>
      <c r="O990">
        <v>483620675</v>
      </c>
      <c r="P990">
        <v>90</v>
      </c>
      <c r="Q990" t="s">
        <v>2257</v>
      </c>
    </row>
    <row r="991" spans="1:17" x14ac:dyDescent="0.3">
      <c r="A991" t="s">
        <v>59</v>
      </c>
      <c r="B991" t="str">
        <f>"002449"</f>
        <v>002449</v>
      </c>
      <c r="C991" t="s">
        <v>2258</v>
      </c>
      <c r="D991" t="s">
        <v>772</v>
      </c>
      <c r="F991">
        <v>659244620</v>
      </c>
      <c r="G991">
        <v>443869570</v>
      </c>
      <c r="H991">
        <v>682122841</v>
      </c>
      <c r="I991">
        <v>551850570</v>
      </c>
      <c r="J991">
        <v>637899109</v>
      </c>
      <c r="K991">
        <v>578087997</v>
      </c>
      <c r="L991">
        <v>54683184</v>
      </c>
      <c r="M991">
        <v>73840083</v>
      </c>
      <c r="N991">
        <v>164585391</v>
      </c>
      <c r="O991">
        <v>153335149</v>
      </c>
      <c r="P991">
        <v>392</v>
      </c>
      <c r="Q991" t="s">
        <v>2259</v>
      </c>
    </row>
    <row r="992" spans="1:17" x14ac:dyDescent="0.3">
      <c r="A992" t="s">
        <v>17</v>
      </c>
      <c r="B992" t="str">
        <f>"600586"</f>
        <v>600586</v>
      </c>
      <c r="C992" t="s">
        <v>2260</v>
      </c>
      <c r="D992" t="s">
        <v>901</v>
      </c>
      <c r="F992">
        <v>1611706291</v>
      </c>
      <c r="G992">
        <v>754021657</v>
      </c>
      <c r="H992">
        <v>681031420</v>
      </c>
      <c r="I992">
        <v>617675715</v>
      </c>
      <c r="J992">
        <v>470415373</v>
      </c>
      <c r="K992">
        <v>501930419</v>
      </c>
      <c r="L992">
        <v>387042302</v>
      </c>
      <c r="M992">
        <v>318963412</v>
      </c>
      <c r="N992">
        <v>402940998</v>
      </c>
      <c r="O992">
        <v>209027266</v>
      </c>
      <c r="P992">
        <v>245</v>
      </c>
      <c r="Q992" t="s">
        <v>2261</v>
      </c>
    </row>
    <row r="993" spans="1:17" x14ac:dyDescent="0.3">
      <c r="A993" t="s">
        <v>17</v>
      </c>
      <c r="B993" t="str">
        <f>"601137"</f>
        <v>601137</v>
      </c>
      <c r="C993" t="s">
        <v>2262</v>
      </c>
      <c r="D993" t="s">
        <v>2129</v>
      </c>
      <c r="F993">
        <v>126001244</v>
      </c>
      <c r="G993">
        <v>314239427</v>
      </c>
      <c r="H993">
        <v>680883647</v>
      </c>
      <c r="I993">
        <v>694098748</v>
      </c>
      <c r="J993">
        <v>395216367</v>
      </c>
      <c r="K993">
        <v>313947243</v>
      </c>
      <c r="L993">
        <v>253268769</v>
      </c>
      <c r="M993">
        <v>63052362</v>
      </c>
      <c r="N993">
        <v>-259959312</v>
      </c>
      <c r="O993">
        <v>115684340</v>
      </c>
      <c r="P993">
        <v>283</v>
      </c>
      <c r="Q993" t="s">
        <v>2263</v>
      </c>
    </row>
    <row r="994" spans="1:17" x14ac:dyDescent="0.3">
      <c r="A994" t="s">
        <v>59</v>
      </c>
      <c r="B994" t="str">
        <f>"300483"</f>
        <v>300483</v>
      </c>
      <c r="C994" t="s">
        <v>2264</v>
      </c>
      <c r="D994" t="s">
        <v>883</v>
      </c>
      <c r="F994">
        <v>838455795</v>
      </c>
      <c r="G994">
        <v>628053979</v>
      </c>
      <c r="H994">
        <v>677772026</v>
      </c>
      <c r="I994">
        <v>6448786</v>
      </c>
      <c r="J994">
        <v>81053506</v>
      </c>
      <c r="K994">
        <v>18858251</v>
      </c>
      <c r="L994">
        <v>10156805</v>
      </c>
      <c r="M994">
        <v>21225304</v>
      </c>
      <c r="N994">
        <v>3699635</v>
      </c>
      <c r="O994">
        <v>22369885</v>
      </c>
      <c r="P994">
        <v>140</v>
      </c>
      <c r="Q994" t="s">
        <v>2265</v>
      </c>
    </row>
    <row r="995" spans="1:17" x14ac:dyDescent="0.3">
      <c r="A995" t="s">
        <v>59</v>
      </c>
      <c r="B995" t="str">
        <f>"301109"</f>
        <v>301109</v>
      </c>
      <c r="C995" t="s">
        <v>2266</v>
      </c>
      <c r="F995">
        <v>798321738</v>
      </c>
      <c r="G995">
        <v>752956878</v>
      </c>
      <c r="H995">
        <v>677696628</v>
      </c>
      <c r="I995">
        <v>571538611</v>
      </c>
      <c r="J995">
        <v>344060816</v>
      </c>
      <c r="P995">
        <v>3</v>
      </c>
      <c r="Q995" t="s">
        <v>2267</v>
      </c>
    </row>
    <row r="996" spans="1:17" x14ac:dyDescent="0.3">
      <c r="A996" t="s">
        <v>59</v>
      </c>
      <c r="B996" t="str">
        <f>"300136"</f>
        <v>300136</v>
      </c>
      <c r="C996" t="s">
        <v>2268</v>
      </c>
      <c r="D996" t="s">
        <v>349</v>
      </c>
      <c r="F996">
        <v>1321906881</v>
      </c>
      <c r="G996">
        <v>1497570505</v>
      </c>
      <c r="H996">
        <v>677452046</v>
      </c>
      <c r="I996">
        <v>609114116</v>
      </c>
      <c r="J996">
        <v>736911341</v>
      </c>
      <c r="K996">
        <v>151132012</v>
      </c>
      <c r="L996">
        <v>212158851</v>
      </c>
      <c r="M996">
        <v>11991703</v>
      </c>
      <c r="N996">
        <v>-31017661</v>
      </c>
      <c r="O996">
        <v>-68594797</v>
      </c>
      <c r="P996">
        <v>2618</v>
      </c>
      <c r="Q996" t="s">
        <v>2269</v>
      </c>
    </row>
    <row r="997" spans="1:17" x14ac:dyDescent="0.3">
      <c r="A997" t="s">
        <v>59</v>
      </c>
      <c r="B997" t="str">
        <f>"300132"</f>
        <v>300132</v>
      </c>
      <c r="C997" t="s">
        <v>2270</v>
      </c>
      <c r="D997" t="s">
        <v>2271</v>
      </c>
      <c r="F997">
        <v>44195785</v>
      </c>
      <c r="G997">
        <v>805835598</v>
      </c>
      <c r="H997">
        <v>676232559</v>
      </c>
      <c r="I997">
        <v>45427620</v>
      </c>
      <c r="J997">
        <v>-4741482</v>
      </c>
      <c r="K997">
        <v>74670683</v>
      </c>
      <c r="L997">
        <v>99594746</v>
      </c>
      <c r="M997">
        <v>70477102</v>
      </c>
      <c r="N997">
        <v>45019124</v>
      </c>
      <c r="O997">
        <v>-54338111</v>
      </c>
      <c r="P997">
        <v>399</v>
      </c>
      <c r="Q997" t="s">
        <v>2272</v>
      </c>
    </row>
    <row r="998" spans="1:17" x14ac:dyDescent="0.3">
      <c r="A998" t="s">
        <v>59</v>
      </c>
      <c r="B998" t="str">
        <f>"000848"</f>
        <v>000848</v>
      </c>
      <c r="C998" t="s">
        <v>2273</v>
      </c>
      <c r="D998" t="s">
        <v>1209</v>
      </c>
      <c r="F998">
        <v>688132513</v>
      </c>
      <c r="G998">
        <v>378550365</v>
      </c>
      <c r="H998">
        <v>675423689</v>
      </c>
      <c r="I998">
        <v>522954226</v>
      </c>
      <c r="J998">
        <v>148785504</v>
      </c>
      <c r="K998">
        <v>831482031</v>
      </c>
      <c r="L998">
        <v>795629027</v>
      </c>
      <c r="M998">
        <v>329821329</v>
      </c>
      <c r="N998">
        <v>313657745</v>
      </c>
      <c r="O998">
        <v>327239955</v>
      </c>
      <c r="P998">
        <v>41203</v>
      </c>
      <c r="Q998" t="s">
        <v>2274</v>
      </c>
    </row>
    <row r="999" spans="1:17" x14ac:dyDescent="0.3">
      <c r="A999" t="s">
        <v>59</v>
      </c>
      <c r="B999" t="str">
        <f>"200029"</f>
        <v>200029</v>
      </c>
      <c r="C999" t="s">
        <v>2275</v>
      </c>
      <c r="F999">
        <v>-1474638237.6624</v>
      </c>
      <c r="G999">
        <v>338233035.8193</v>
      </c>
      <c r="H999">
        <v>675135240.41250002</v>
      </c>
      <c r="I999">
        <v>1209732991.7309999</v>
      </c>
      <c r="J999">
        <v>-21364928.228</v>
      </c>
      <c r="K999">
        <v>587892858.0812</v>
      </c>
      <c r="L999">
        <v>1309661097.1935</v>
      </c>
      <c r="M999">
        <v>402831443.57520002</v>
      </c>
      <c r="N999">
        <v>249872135.5011</v>
      </c>
      <c r="O999">
        <v>34114261.972000003</v>
      </c>
      <c r="P999">
        <v>18</v>
      </c>
      <c r="Q999" t="s">
        <v>2276</v>
      </c>
    </row>
    <row r="1000" spans="1:17" x14ac:dyDescent="0.3">
      <c r="A1000" t="s">
        <v>59</v>
      </c>
      <c r="B1000" t="str">
        <f>"000823"</f>
        <v>000823</v>
      </c>
      <c r="C1000" t="s">
        <v>2277</v>
      </c>
      <c r="D1000" t="s">
        <v>539</v>
      </c>
      <c r="F1000">
        <v>601428574</v>
      </c>
      <c r="G1000">
        <v>409867058</v>
      </c>
      <c r="H1000">
        <v>672852481</v>
      </c>
      <c r="I1000">
        <v>458506165</v>
      </c>
      <c r="J1000">
        <v>316563877</v>
      </c>
      <c r="K1000">
        <v>500294310</v>
      </c>
      <c r="L1000">
        <v>350635262</v>
      </c>
      <c r="M1000">
        <v>195022833</v>
      </c>
      <c r="N1000">
        <v>377475762</v>
      </c>
      <c r="O1000">
        <v>304371457</v>
      </c>
      <c r="P1000">
        <v>354</v>
      </c>
      <c r="Q1000" t="s">
        <v>2278</v>
      </c>
    </row>
    <row r="1001" spans="1:17" x14ac:dyDescent="0.3">
      <c r="A1001" t="s">
        <v>17</v>
      </c>
      <c r="B1001" t="str">
        <f>"603708"</f>
        <v>603708</v>
      </c>
      <c r="C1001" t="s">
        <v>2279</v>
      </c>
      <c r="D1001" t="s">
        <v>1147</v>
      </c>
      <c r="F1001">
        <v>1421954939</v>
      </c>
      <c r="G1001">
        <v>727388230</v>
      </c>
      <c r="H1001">
        <v>672812710</v>
      </c>
      <c r="I1001">
        <v>613494317</v>
      </c>
      <c r="J1001">
        <v>781034485</v>
      </c>
      <c r="K1001">
        <v>760476268</v>
      </c>
      <c r="L1001">
        <v>424518924</v>
      </c>
      <c r="M1001">
        <v>451206843</v>
      </c>
      <c r="N1001">
        <v>410562493</v>
      </c>
      <c r="P1001">
        <v>702</v>
      </c>
      <c r="Q1001" t="s">
        <v>2280</v>
      </c>
    </row>
    <row r="1002" spans="1:17" x14ac:dyDescent="0.3">
      <c r="A1002" t="s">
        <v>17</v>
      </c>
      <c r="B1002" t="str">
        <f>"600984"</f>
        <v>600984</v>
      </c>
      <c r="C1002" t="s">
        <v>2281</v>
      </c>
      <c r="D1002" t="s">
        <v>235</v>
      </c>
      <c r="F1002">
        <v>23996850</v>
      </c>
      <c r="G1002">
        <v>153342353</v>
      </c>
      <c r="H1002">
        <v>672794000</v>
      </c>
      <c r="I1002">
        <v>310618172</v>
      </c>
      <c r="J1002">
        <v>44912726</v>
      </c>
      <c r="K1002">
        <v>-44601895</v>
      </c>
      <c r="L1002">
        <v>-32407584</v>
      </c>
      <c r="M1002">
        <v>-76662779</v>
      </c>
      <c r="N1002">
        <v>-140361053</v>
      </c>
      <c r="O1002">
        <v>-79070115</v>
      </c>
      <c r="P1002">
        <v>279</v>
      </c>
      <c r="Q1002" t="s">
        <v>2282</v>
      </c>
    </row>
    <row r="1003" spans="1:17" x14ac:dyDescent="0.3">
      <c r="A1003" t="s">
        <v>59</v>
      </c>
      <c r="B1003" t="str">
        <f>"000939"</f>
        <v>000939</v>
      </c>
      <c r="C1003" t="s">
        <v>2283</v>
      </c>
      <c r="H1003">
        <v>672709024</v>
      </c>
      <c r="I1003">
        <v>-329394155</v>
      </c>
      <c r="J1003">
        <v>439982657</v>
      </c>
      <c r="K1003">
        <v>299131237</v>
      </c>
      <c r="L1003">
        <v>541756607</v>
      </c>
      <c r="M1003">
        <v>134068489</v>
      </c>
      <c r="N1003">
        <v>712258607</v>
      </c>
      <c r="O1003">
        <v>-375410020</v>
      </c>
      <c r="P1003">
        <v>61</v>
      </c>
      <c r="Q1003" t="s">
        <v>2284</v>
      </c>
    </row>
    <row r="1004" spans="1:17" x14ac:dyDescent="0.3">
      <c r="A1004" t="s">
        <v>17</v>
      </c>
      <c r="B1004" t="str">
        <f>"601678"</f>
        <v>601678</v>
      </c>
      <c r="C1004" t="s">
        <v>2285</v>
      </c>
      <c r="D1004" t="s">
        <v>317</v>
      </c>
      <c r="F1004">
        <v>2329486634</v>
      </c>
      <c r="G1004">
        <v>1030047359</v>
      </c>
      <c r="H1004">
        <v>672249951</v>
      </c>
      <c r="I1004">
        <v>1078100484</v>
      </c>
      <c r="J1004">
        <v>1257711118</v>
      </c>
      <c r="K1004">
        <v>862313984</v>
      </c>
      <c r="L1004">
        <v>742634978</v>
      </c>
      <c r="M1004">
        <v>1034941757</v>
      </c>
      <c r="N1004">
        <v>160401538</v>
      </c>
      <c r="O1004">
        <v>800933393</v>
      </c>
      <c r="P1004">
        <v>353</v>
      </c>
      <c r="Q1004" t="s">
        <v>2286</v>
      </c>
    </row>
    <row r="1005" spans="1:17" x14ac:dyDescent="0.3">
      <c r="A1005" t="s">
        <v>17</v>
      </c>
      <c r="B1005" t="str">
        <f>"603606"</f>
        <v>603606</v>
      </c>
      <c r="C1005" t="s">
        <v>2287</v>
      </c>
      <c r="D1005" t="s">
        <v>1065</v>
      </c>
      <c r="F1005">
        <v>586145198</v>
      </c>
      <c r="G1005">
        <v>693984411</v>
      </c>
      <c r="H1005">
        <v>672022556</v>
      </c>
      <c r="I1005">
        <v>496335355</v>
      </c>
      <c r="J1005">
        <v>-682017513</v>
      </c>
      <c r="K1005">
        <v>159536766</v>
      </c>
      <c r="L1005">
        <v>125808381</v>
      </c>
      <c r="M1005">
        <v>204598696</v>
      </c>
      <c r="N1005">
        <v>-33460977</v>
      </c>
      <c r="O1005">
        <v>167742008</v>
      </c>
      <c r="P1005">
        <v>1568</v>
      </c>
      <c r="Q1005" t="s">
        <v>2288</v>
      </c>
    </row>
    <row r="1006" spans="1:17" x14ac:dyDescent="0.3">
      <c r="A1006" t="s">
        <v>59</v>
      </c>
      <c r="B1006" t="str">
        <f>"002245"</f>
        <v>002245</v>
      </c>
      <c r="C1006" t="s">
        <v>2289</v>
      </c>
      <c r="D1006" t="s">
        <v>232</v>
      </c>
      <c r="F1006">
        <v>534500657</v>
      </c>
      <c r="G1006">
        <v>327468754</v>
      </c>
      <c r="H1006">
        <v>670849045</v>
      </c>
      <c r="I1006">
        <v>303846569</v>
      </c>
      <c r="J1006">
        <v>86439961</v>
      </c>
      <c r="K1006">
        <v>148498584</v>
      </c>
      <c r="L1006">
        <v>359345508</v>
      </c>
      <c r="M1006">
        <v>181574515</v>
      </c>
      <c r="N1006">
        <v>112224488</v>
      </c>
      <c r="O1006">
        <v>394235456</v>
      </c>
      <c r="P1006">
        <v>377</v>
      </c>
      <c r="Q1006" t="s">
        <v>2290</v>
      </c>
    </row>
    <row r="1007" spans="1:17" x14ac:dyDescent="0.3">
      <c r="A1007" t="s">
        <v>17</v>
      </c>
      <c r="B1007" t="str">
        <f>"603299"</f>
        <v>603299</v>
      </c>
      <c r="C1007" t="s">
        <v>2291</v>
      </c>
      <c r="D1007" t="s">
        <v>1241</v>
      </c>
      <c r="F1007">
        <v>623703033</v>
      </c>
      <c r="G1007">
        <v>860343670</v>
      </c>
      <c r="H1007">
        <v>670830967</v>
      </c>
      <c r="I1007">
        <v>497242818</v>
      </c>
      <c r="J1007">
        <v>573621156</v>
      </c>
      <c r="K1007">
        <v>589169042</v>
      </c>
      <c r="L1007">
        <v>499818233</v>
      </c>
      <c r="M1007">
        <v>421456974</v>
      </c>
      <c r="N1007">
        <v>493204573</v>
      </c>
      <c r="O1007">
        <v>601937427</v>
      </c>
      <c r="P1007">
        <v>139</v>
      </c>
      <c r="Q1007" t="s">
        <v>2292</v>
      </c>
    </row>
    <row r="1008" spans="1:17" x14ac:dyDescent="0.3">
      <c r="A1008" t="s">
        <v>17</v>
      </c>
      <c r="B1008" t="str">
        <f>"601368"</f>
        <v>601368</v>
      </c>
      <c r="C1008" t="s">
        <v>2293</v>
      </c>
      <c r="D1008" t="s">
        <v>669</v>
      </c>
      <c r="F1008">
        <v>716594860</v>
      </c>
      <c r="G1008">
        <v>732956265</v>
      </c>
      <c r="H1008">
        <v>669834146</v>
      </c>
      <c r="I1008">
        <v>1158430252</v>
      </c>
      <c r="J1008">
        <v>594529583</v>
      </c>
      <c r="K1008">
        <v>609105410</v>
      </c>
      <c r="L1008">
        <v>567960939</v>
      </c>
      <c r="M1008">
        <v>515555349</v>
      </c>
      <c r="N1008">
        <v>416277202</v>
      </c>
      <c r="O1008">
        <v>424218695</v>
      </c>
      <c r="P1008">
        <v>109</v>
      </c>
      <c r="Q1008" t="s">
        <v>2294</v>
      </c>
    </row>
    <row r="1009" spans="1:17" x14ac:dyDescent="0.3">
      <c r="A1009" t="s">
        <v>59</v>
      </c>
      <c r="B1009" t="str">
        <f>"002460"</f>
        <v>002460</v>
      </c>
      <c r="C1009" t="s">
        <v>2295</v>
      </c>
      <c r="D1009" t="s">
        <v>911</v>
      </c>
      <c r="F1009">
        <v>2620393304</v>
      </c>
      <c r="G1009">
        <v>746368363</v>
      </c>
      <c r="H1009">
        <v>669286083</v>
      </c>
      <c r="I1009">
        <v>685231948</v>
      </c>
      <c r="J1009">
        <v>503866065</v>
      </c>
      <c r="K1009">
        <v>658474255</v>
      </c>
      <c r="L1009">
        <v>365966797</v>
      </c>
      <c r="M1009">
        <v>11107441</v>
      </c>
      <c r="N1009">
        <v>63556446</v>
      </c>
      <c r="O1009">
        <v>-11676312</v>
      </c>
      <c r="P1009">
        <v>2486</v>
      </c>
      <c r="Q1009" t="s">
        <v>2296</v>
      </c>
    </row>
    <row r="1010" spans="1:17" x14ac:dyDescent="0.3">
      <c r="A1010" t="s">
        <v>59</v>
      </c>
      <c r="B1010" t="str">
        <f>"002478"</f>
        <v>002478</v>
      </c>
      <c r="C1010" t="s">
        <v>2297</v>
      </c>
      <c r="D1010" t="s">
        <v>330</v>
      </c>
      <c r="F1010">
        <v>-482757773</v>
      </c>
      <c r="G1010">
        <v>671468657</v>
      </c>
      <c r="H1010">
        <v>669182118</v>
      </c>
      <c r="I1010">
        <v>686332973</v>
      </c>
      <c r="J1010">
        <v>574119193</v>
      </c>
      <c r="K1010">
        <v>150679417</v>
      </c>
      <c r="L1010">
        <v>376906829</v>
      </c>
      <c r="M1010">
        <v>918346815</v>
      </c>
      <c r="N1010">
        <v>219425263</v>
      </c>
      <c r="O1010">
        <v>162435410</v>
      </c>
      <c r="P1010">
        <v>208</v>
      </c>
      <c r="Q1010" t="s">
        <v>2298</v>
      </c>
    </row>
    <row r="1011" spans="1:17" x14ac:dyDescent="0.3">
      <c r="A1011" t="s">
        <v>17</v>
      </c>
      <c r="B1011" t="str">
        <f>"600903"</f>
        <v>600903</v>
      </c>
      <c r="C1011" t="s">
        <v>2299</v>
      </c>
      <c r="D1011" t="s">
        <v>883</v>
      </c>
      <c r="F1011">
        <v>319645837</v>
      </c>
      <c r="G1011">
        <v>315427708</v>
      </c>
      <c r="H1011">
        <v>668243770</v>
      </c>
      <c r="I1011">
        <v>399782841</v>
      </c>
      <c r="J1011">
        <v>463191878</v>
      </c>
      <c r="K1011">
        <v>348319273</v>
      </c>
      <c r="L1011">
        <v>-30607280</v>
      </c>
      <c r="M1011">
        <v>35365977</v>
      </c>
      <c r="P1011">
        <v>186</v>
      </c>
      <c r="Q1011" t="s">
        <v>2300</v>
      </c>
    </row>
    <row r="1012" spans="1:17" x14ac:dyDescent="0.3">
      <c r="A1012" t="s">
        <v>17</v>
      </c>
      <c r="B1012" t="str">
        <f>"600702"</f>
        <v>600702</v>
      </c>
      <c r="C1012" t="s">
        <v>2301</v>
      </c>
      <c r="D1012" t="s">
        <v>67</v>
      </c>
      <c r="F1012">
        <v>2228678795</v>
      </c>
      <c r="G1012">
        <v>997180937</v>
      </c>
      <c r="H1012">
        <v>667600835</v>
      </c>
      <c r="I1012">
        <v>443180874</v>
      </c>
      <c r="J1012">
        <v>425585550</v>
      </c>
      <c r="K1012">
        <v>230288979</v>
      </c>
      <c r="L1012">
        <v>120813642</v>
      </c>
      <c r="M1012">
        <v>-147974626</v>
      </c>
      <c r="N1012">
        <v>104121113</v>
      </c>
      <c r="O1012">
        <v>401046938</v>
      </c>
      <c r="P1012">
        <v>1462</v>
      </c>
      <c r="Q1012" t="s">
        <v>2302</v>
      </c>
    </row>
    <row r="1013" spans="1:17" x14ac:dyDescent="0.3">
      <c r="A1013" t="s">
        <v>59</v>
      </c>
      <c r="B1013" t="str">
        <f>"002038"</f>
        <v>002038</v>
      </c>
      <c r="C1013" t="s">
        <v>2303</v>
      </c>
      <c r="D1013" t="s">
        <v>1062</v>
      </c>
      <c r="F1013">
        <v>464629521</v>
      </c>
      <c r="G1013">
        <v>415837437</v>
      </c>
      <c r="H1013">
        <v>665826612</v>
      </c>
      <c r="I1013">
        <v>485173511</v>
      </c>
      <c r="J1013">
        <v>380724354</v>
      </c>
      <c r="K1013">
        <v>396861457</v>
      </c>
      <c r="L1013">
        <v>504870455</v>
      </c>
      <c r="M1013">
        <v>465004184</v>
      </c>
      <c r="N1013">
        <v>347413924</v>
      </c>
      <c r="O1013">
        <v>398595751</v>
      </c>
      <c r="P1013">
        <v>5163</v>
      </c>
      <c r="Q1013" t="s">
        <v>2304</v>
      </c>
    </row>
    <row r="1014" spans="1:17" x14ac:dyDescent="0.3">
      <c r="A1014" t="s">
        <v>59</v>
      </c>
      <c r="B1014" t="str">
        <f>"002138"</f>
        <v>002138</v>
      </c>
      <c r="C1014" t="s">
        <v>2305</v>
      </c>
      <c r="D1014" t="s">
        <v>1180</v>
      </c>
      <c r="F1014">
        <v>1058361261</v>
      </c>
      <c r="G1014">
        <v>812701949</v>
      </c>
      <c r="H1014">
        <v>662715967</v>
      </c>
      <c r="I1014">
        <v>597108728</v>
      </c>
      <c r="J1014">
        <v>471674044</v>
      </c>
      <c r="K1014">
        <v>435562621</v>
      </c>
      <c r="L1014">
        <v>354815236</v>
      </c>
      <c r="M1014">
        <v>234275867</v>
      </c>
      <c r="N1014">
        <v>283069908</v>
      </c>
      <c r="O1014">
        <v>210804073</v>
      </c>
      <c r="P1014">
        <v>1065</v>
      </c>
      <c r="Q1014" t="s">
        <v>2306</v>
      </c>
    </row>
    <row r="1015" spans="1:17" x14ac:dyDescent="0.3">
      <c r="A1015" t="s">
        <v>17</v>
      </c>
      <c r="B1015" t="str">
        <f>"600830"</f>
        <v>600830</v>
      </c>
      <c r="C1015" t="s">
        <v>2307</v>
      </c>
      <c r="D1015" t="s">
        <v>117</v>
      </c>
      <c r="F1015">
        <v>-602918083</v>
      </c>
      <c r="G1015">
        <v>-405736264</v>
      </c>
      <c r="H1015">
        <v>662431037</v>
      </c>
      <c r="I1015">
        <v>166798099</v>
      </c>
      <c r="J1015">
        <v>-124294465</v>
      </c>
      <c r="K1015">
        <v>-238204207</v>
      </c>
      <c r="L1015">
        <v>138536907</v>
      </c>
      <c r="M1015">
        <v>-55683028</v>
      </c>
      <c r="N1015">
        <v>314975795</v>
      </c>
      <c r="O1015">
        <v>38746319</v>
      </c>
      <c r="P1015">
        <v>73</v>
      </c>
      <c r="Q1015" t="s">
        <v>2308</v>
      </c>
    </row>
    <row r="1016" spans="1:17" x14ac:dyDescent="0.3">
      <c r="A1016" t="s">
        <v>17</v>
      </c>
      <c r="B1016" t="str">
        <f>"601619"</f>
        <v>601619</v>
      </c>
      <c r="C1016" t="s">
        <v>2309</v>
      </c>
      <c r="D1016" t="s">
        <v>391</v>
      </c>
      <c r="F1016">
        <v>539644628</v>
      </c>
      <c r="G1016">
        <v>649020554</v>
      </c>
      <c r="H1016">
        <v>661436722</v>
      </c>
      <c r="I1016">
        <v>821478167</v>
      </c>
      <c r="J1016">
        <v>306208797</v>
      </c>
      <c r="K1016">
        <v>379159373</v>
      </c>
      <c r="L1016">
        <v>395803459</v>
      </c>
      <c r="M1016">
        <v>354177079</v>
      </c>
      <c r="P1016">
        <v>184</v>
      </c>
      <c r="Q1016" t="s">
        <v>2310</v>
      </c>
    </row>
    <row r="1017" spans="1:17" x14ac:dyDescent="0.3">
      <c r="A1017" t="s">
        <v>17</v>
      </c>
      <c r="B1017" t="str">
        <f>"603882"</f>
        <v>603882</v>
      </c>
      <c r="C1017" t="s">
        <v>2311</v>
      </c>
      <c r="D1017" t="s">
        <v>2312</v>
      </c>
      <c r="F1017">
        <v>2087970590</v>
      </c>
      <c r="G1017">
        <v>1523107567</v>
      </c>
      <c r="H1017">
        <v>661396159</v>
      </c>
      <c r="I1017">
        <v>529623041</v>
      </c>
      <c r="J1017">
        <v>283534715</v>
      </c>
      <c r="K1017">
        <v>292141285</v>
      </c>
      <c r="L1017">
        <v>220388055</v>
      </c>
      <c r="M1017">
        <v>225966984</v>
      </c>
      <c r="P1017">
        <v>1844</v>
      </c>
      <c r="Q1017" t="s">
        <v>2313</v>
      </c>
    </row>
    <row r="1018" spans="1:17" x14ac:dyDescent="0.3">
      <c r="A1018" t="s">
        <v>17</v>
      </c>
      <c r="B1018" t="str">
        <f>"605138"</f>
        <v>605138</v>
      </c>
      <c r="C1018" t="s">
        <v>2314</v>
      </c>
      <c r="D1018" t="s">
        <v>646</v>
      </c>
      <c r="F1018">
        <v>415770089</v>
      </c>
      <c r="G1018">
        <v>756378665</v>
      </c>
      <c r="H1018">
        <v>661276094</v>
      </c>
      <c r="I1018">
        <v>383743371</v>
      </c>
      <c r="J1018">
        <v>578889600</v>
      </c>
      <c r="P1018">
        <v>27</v>
      </c>
      <c r="Q1018" t="s">
        <v>2315</v>
      </c>
    </row>
    <row r="1019" spans="1:17" x14ac:dyDescent="0.3">
      <c r="A1019" t="s">
        <v>17</v>
      </c>
      <c r="B1019" t="str">
        <f>"605365"</f>
        <v>605365</v>
      </c>
      <c r="C1019" t="s">
        <v>2316</v>
      </c>
      <c r="D1019" t="s">
        <v>1626</v>
      </c>
      <c r="F1019">
        <v>285238203</v>
      </c>
      <c r="G1019">
        <v>526636258</v>
      </c>
      <c r="H1019">
        <v>661235934</v>
      </c>
      <c r="I1019">
        <v>382981025</v>
      </c>
      <c r="J1019">
        <v>-65768994</v>
      </c>
      <c r="P1019">
        <v>28</v>
      </c>
      <c r="Q1019" t="s">
        <v>2317</v>
      </c>
    </row>
    <row r="1020" spans="1:17" x14ac:dyDescent="0.3">
      <c r="A1020" t="s">
        <v>59</v>
      </c>
      <c r="B1020" t="str">
        <f>"300145"</f>
        <v>300145</v>
      </c>
      <c r="C1020" t="s">
        <v>2318</v>
      </c>
      <c r="D1020" t="s">
        <v>1838</v>
      </c>
      <c r="F1020">
        <v>404155282</v>
      </c>
      <c r="G1020">
        <v>573586565</v>
      </c>
      <c r="H1020">
        <v>660520697</v>
      </c>
      <c r="I1020">
        <v>681936583</v>
      </c>
      <c r="J1020">
        <v>767329429</v>
      </c>
      <c r="K1020">
        <v>577769946</v>
      </c>
      <c r="L1020">
        <v>192350530</v>
      </c>
      <c r="M1020">
        <v>178866967</v>
      </c>
      <c r="N1020">
        <v>190103445</v>
      </c>
      <c r="O1020">
        <v>170780548</v>
      </c>
      <c r="P1020">
        <v>281</v>
      </c>
      <c r="Q1020" t="s">
        <v>2319</v>
      </c>
    </row>
    <row r="1021" spans="1:17" x14ac:dyDescent="0.3">
      <c r="A1021" t="s">
        <v>59</v>
      </c>
      <c r="B1021" t="str">
        <f>"300324"</f>
        <v>300324</v>
      </c>
      <c r="C1021" t="s">
        <v>2320</v>
      </c>
      <c r="D1021" t="s">
        <v>707</v>
      </c>
      <c r="F1021">
        <v>143643693</v>
      </c>
      <c r="G1021">
        <v>165751535</v>
      </c>
      <c r="H1021">
        <v>659860571</v>
      </c>
      <c r="I1021">
        <v>-66266062</v>
      </c>
      <c r="J1021">
        <v>666110082</v>
      </c>
      <c r="K1021">
        <v>583446665</v>
      </c>
      <c r="L1021">
        <v>344179532</v>
      </c>
      <c r="M1021">
        <v>15441262</v>
      </c>
      <c r="N1021">
        <v>3265982</v>
      </c>
      <c r="O1021">
        <v>6909463</v>
      </c>
      <c r="P1021">
        <v>235</v>
      </c>
      <c r="Q1021" t="s">
        <v>2321</v>
      </c>
    </row>
    <row r="1022" spans="1:17" x14ac:dyDescent="0.3">
      <c r="A1022" t="s">
        <v>17</v>
      </c>
      <c r="B1022" t="str">
        <f>"603379"</f>
        <v>603379</v>
      </c>
      <c r="C1022" t="s">
        <v>2322</v>
      </c>
      <c r="D1022" t="s">
        <v>1095</v>
      </c>
      <c r="F1022">
        <v>243488178</v>
      </c>
      <c r="G1022">
        <v>519775864</v>
      </c>
      <c r="H1022">
        <v>659777620</v>
      </c>
      <c r="I1022">
        <v>1215367656</v>
      </c>
      <c r="J1022">
        <v>790736252</v>
      </c>
      <c r="K1022">
        <v>576125068</v>
      </c>
      <c r="P1022">
        <v>140</v>
      </c>
      <c r="Q1022" t="s">
        <v>2323</v>
      </c>
    </row>
    <row r="1023" spans="1:17" x14ac:dyDescent="0.3">
      <c r="A1023" t="s">
        <v>17</v>
      </c>
      <c r="B1023" t="str">
        <f>"603056"</f>
        <v>603056</v>
      </c>
      <c r="C1023" t="s">
        <v>2324</v>
      </c>
      <c r="D1023" t="s">
        <v>1388</v>
      </c>
      <c r="F1023">
        <v>2402318857</v>
      </c>
      <c r="G1023">
        <v>1772533158</v>
      </c>
      <c r="H1023">
        <v>659578134</v>
      </c>
      <c r="I1023">
        <v>1587940965</v>
      </c>
      <c r="J1023">
        <v>2001066939</v>
      </c>
      <c r="K1023">
        <v>95313061</v>
      </c>
      <c r="L1023">
        <v>1082590641</v>
      </c>
      <c r="M1023">
        <v>1276073907</v>
      </c>
      <c r="P1023">
        <v>412</v>
      </c>
      <c r="Q1023" t="s">
        <v>2325</v>
      </c>
    </row>
    <row r="1024" spans="1:17" x14ac:dyDescent="0.3">
      <c r="A1024" t="s">
        <v>17</v>
      </c>
      <c r="B1024" t="str">
        <f>"601952"</f>
        <v>601952</v>
      </c>
      <c r="C1024" t="s">
        <v>2326</v>
      </c>
      <c r="D1024" t="s">
        <v>1996</v>
      </c>
      <c r="F1024">
        <v>1021897454</v>
      </c>
      <c r="G1024">
        <v>769819659</v>
      </c>
      <c r="H1024">
        <v>658924855</v>
      </c>
      <c r="I1024">
        <v>351632574</v>
      </c>
      <c r="J1024">
        <v>605474933</v>
      </c>
      <c r="K1024">
        <v>797403619</v>
      </c>
      <c r="L1024">
        <v>494740204</v>
      </c>
      <c r="M1024">
        <v>296032324</v>
      </c>
      <c r="P1024">
        <v>313</v>
      </c>
      <c r="Q1024" t="s">
        <v>2327</v>
      </c>
    </row>
    <row r="1025" spans="1:17" x14ac:dyDescent="0.3">
      <c r="A1025" t="s">
        <v>59</v>
      </c>
      <c r="B1025" t="str">
        <f>"002321"</f>
        <v>002321</v>
      </c>
      <c r="C1025" t="s">
        <v>2328</v>
      </c>
      <c r="D1025" t="s">
        <v>2329</v>
      </c>
      <c r="F1025">
        <v>-284354253</v>
      </c>
      <c r="G1025">
        <v>-278244258</v>
      </c>
      <c r="H1025">
        <v>658262072</v>
      </c>
      <c r="I1025">
        <v>1342945321</v>
      </c>
      <c r="J1025">
        <v>-329235574</v>
      </c>
      <c r="K1025">
        <v>278011450</v>
      </c>
      <c r="L1025">
        <v>618771985</v>
      </c>
      <c r="M1025">
        <v>711673770</v>
      </c>
      <c r="N1025">
        <v>295262816</v>
      </c>
      <c r="O1025">
        <v>302180495</v>
      </c>
      <c r="P1025">
        <v>111</v>
      </c>
      <c r="Q1025" t="s">
        <v>2330</v>
      </c>
    </row>
    <row r="1026" spans="1:17" x14ac:dyDescent="0.3">
      <c r="A1026" t="s">
        <v>17</v>
      </c>
      <c r="B1026" t="str">
        <f>"600252"</f>
        <v>600252</v>
      </c>
      <c r="C1026" t="s">
        <v>2331</v>
      </c>
      <c r="D1026" t="s">
        <v>455</v>
      </c>
      <c r="F1026">
        <v>-76736671</v>
      </c>
      <c r="G1026">
        <v>656615885</v>
      </c>
      <c r="H1026">
        <v>654312677</v>
      </c>
      <c r="I1026">
        <v>853399912</v>
      </c>
      <c r="J1026">
        <v>893214443</v>
      </c>
      <c r="K1026">
        <v>1495621751</v>
      </c>
      <c r="L1026">
        <v>291525505</v>
      </c>
      <c r="M1026">
        <v>569946798</v>
      </c>
      <c r="N1026">
        <v>945099661</v>
      </c>
      <c r="O1026">
        <v>906427707</v>
      </c>
      <c r="P1026">
        <v>362</v>
      </c>
      <c r="Q1026" t="s">
        <v>2332</v>
      </c>
    </row>
    <row r="1027" spans="1:17" x14ac:dyDescent="0.3">
      <c r="A1027" t="s">
        <v>17</v>
      </c>
      <c r="B1027" t="str">
        <f>"601965"</f>
        <v>601965</v>
      </c>
      <c r="C1027" t="s">
        <v>2333</v>
      </c>
      <c r="D1027" t="s">
        <v>2334</v>
      </c>
      <c r="F1027">
        <v>708750272</v>
      </c>
      <c r="G1027">
        <v>708941058</v>
      </c>
      <c r="H1027">
        <v>653181058</v>
      </c>
      <c r="I1027">
        <v>345969493</v>
      </c>
      <c r="J1027">
        <v>565147864</v>
      </c>
      <c r="K1027">
        <v>455487556</v>
      </c>
      <c r="L1027">
        <v>363353656</v>
      </c>
      <c r="M1027">
        <v>86113467</v>
      </c>
      <c r="N1027">
        <v>350046421</v>
      </c>
      <c r="O1027">
        <v>200570701</v>
      </c>
      <c r="P1027">
        <v>307</v>
      </c>
      <c r="Q1027" t="s">
        <v>2335</v>
      </c>
    </row>
    <row r="1028" spans="1:17" x14ac:dyDescent="0.3">
      <c r="A1028" t="s">
        <v>59</v>
      </c>
      <c r="B1028" t="str">
        <f>"002426"</f>
        <v>002426</v>
      </c>
      <c r="C1028" t="s">
        <v>2336</v>
      </c>
      <c r="D1028" t="s">
        <v>637</v>
      </c>
      <c r="F1028">
        <v>-207373205</v>
      </c>
      <c r="G1028">
        <v>478717458</v>
      </c>
      <c r="H1028">
        <v>651098135</v>
      </c>
      <c r="I1028">
        <v>293891470</v>
      </c>
      <c r="J1028">
        <v>-183678305</v>
      </c>
      <c r="K1028">
        <v>-149992232</v>
      </c>
      <c r="L1028">
        <v>-391496322</v>
      </c>
      <c r="M1028">
        <v>-161163642</v>
      </c>
      <c r="N1028">
        <v>155620949</v>
      </c>
      <c r="O1028">
        <v>173834994</v>
      </c>
      <c r="P1028">
        <v>207</v>
      </c>
      <c r="Q1028" t="s">
        <v>2337</v>
      </c>
    </row>
    <row r="1029" spans="1:17" x14ac:dyDescent="0.3">
      <c r="A1029" t="s">
        <v>59</v>
      </c>
      <c r="B1029" t="str">
        <f>"002712"</f>
        <v>002712</v>
      </c>
      <c r="C1029" t="s">
        <v>2338</v>
      </c>
      <c r="D1029" t="s">
        <v>1889</v>
      </c>
      <c r="F1029">
        <v>109532008</v>
      </c>
      <c r="G1029">
        <v>-76886353</v>
      </c>
      <c r="H1029">
        <v>650509748</v>
      </c>
      <c r="I1029">
        <v>234599779</v>
      </c>
      <c r="J1029">
        <v>-184023087</v>
      </c>
      <c r="K1029">
        <v>391070225</v>
      </c>
      <c r="L1029">
        <v>311249438</v>
      </c>
      <c r="M1029">
        <v>-372196337</v>
      </c>
      <c r="N1029">
        <v>31723158</v>
      </c>
      <c r="O1029">
        <v>69229156</v>
      </c>
      <c r="P1029">
        <v>107</v>
      </c>
      <c r="Q1029" t="s">
        <v>2339</v>
      </c>
    </row>
    <row r="1030" spans="1:17" x14ac:dyDescent="0.3">
      <c r="A1030" t="s">
        <v>17</v>
      </c>
      <c r="B1030" t="str">
        <f>"601968"</f>
        <v>601968</v>
      </c>
      <c r="C1030" t="s">
        <v>2340</v>
      </c>
      <c r="D1030" t="s">
        <v>1328</v>
      </c>
      <c r="F1030">
        <v>971079922</v>
      </c>
      <c r="G1030">
        <v>704447851</v>
      </c>
      <c r="H1030">
        <v>650012674</v>
      </c>
      <c r="I1030">
        <v>697455536</v>
      </c>
      <c r="J1030">
        <v>397568505</v>
      </c>
      <c r="K1030">
        <v>241132816</v>
      </c>
      <c r="L1030">
        <v>372141553</v>
      </c>
      <c r="M1030">
        <v>321157702</v>
      </c>
      <c r="N1030">
        <v>606112208</v>
      </c>
      <c r="O1030">
        <v>56802375</v>
      </c>
      <c r="P1030">
        <v>108</v>
      </c>
      <c r="Q1030" t="s">
        <v>2341</v>
      </c>
    </row>
    <row r="1031" spans="1:17" x14ac:dyDescent="0.3">
      <c r="A1031" t="s">
        <v>17</v>
      </c>
      <c r="B1031" t="str">
        <f>"600318"</f>
        <v>600318</v>
      </c>
      <c r="C1031" t="s">
        <v>2342</v>
      </c>
      <c r="D1031" t="s">
        <v>117</v>
      </c>
      <c r="F1031">
        <v>298820610</v>
      </c>
      <c r="G1031">
        <v>148086841</v>
      </c>
      <c r="H1031">
        <v>649443175</v>
      </c>
      <c r="I1031">
        <v>813343171</v>
      </c>
      <c r="J1031">
        <v>439958355</v>
      </c>
      <c r="K1031">
        <v>395828208</v>
      </c>
      <c r="L1031">
        <v>-1027527909</v>
      </c>
      <c r="M1031">
        <v>436661670</v>
      </c>
      <c r="N1031">
        <v>232010858</v>
      </c>
      <c r="O1031">
        <v>346310093</v>
      </c>
      <c r="P1031">
        <v>104</v>
      </c>
      <c r="Q1031" t="s">
        <v>2343</v>
      </c>
    </row>
    <row r="1032" spans="1:17" x14ac:dyDescent="0.3">
      <c r="A1032" t="s">
        <v>17</v>
      </c>
      <c r="B1032" t="str">
        <f>"600078"</f>
        <v>600078</v>
      </c>
      <c r="C1032" t="s">
        <v>2344</v>
      </c>
      <c r="D1032" t="s">
        <v>533</v>
      </c>
      <c r="F1032">
        <v>502313052</v>
      </c>
      <c r="G1032">
        <v>730792053</v>
      </c>
      <c r="H1032">
        <v>648200926</v>
      </c>
      <c r="I1032">
        <v>503618046</v>
      </c>
      <c r="J1032">
        <v>452688274</v>
      </c>
      <c r="K1032">
        <v>580445997</v>
      </c>
      <c r="L1032">
        <v>384996191</v>
      </c>
      <c r="M1032">
        <v>262726340</v>
      </c>
      <c r="N1032">
        <v>409911302</v>
      </c>
      <c r="O1032">
        <v>626055904</v>
      </c>
      <c r="P1032">
        <v>85</v>
      </c>
      <c r="Q1032" t="s">
        <v>2345</v>
      </c>
    </row>
    <row r="1033" spans="1:17" x14ac:dyDescent="0.3">
      <c r="A1033" t="s">
        <v>17</v>
      </c>
      <c r="B1033" t="str">
        <f>"600763"</f>
        <v>600763</v>
      </c>
      <c r="C1033" t="s">
        <v>2346</v>
      </c>
      <c r="D1033" t="s">
        <v>999</v>
      </c>
      <c r="F1033">
        <v>939408130</v>
      </c>
      <c r="G1033">
        <v>708498043</v>
      </c>
      <c r="H1033">
        <v>647843745</v>
      </c>
      <c r="I1033">
        <v>469415594</v>
      </c>
      <c r="J1033">
        <v>346553967</v>
      </c>
      <c r="K1033">
        <v>160986254</v>
      </c>
      <c r="L1033">
        <v>184001630</v>
      </c>
      <c r="M1033">
        <v>128783328</v>
      </c>
      <c r="N1033">
        <v>134077223</v>
      </c>
      <c r="O1033">
        <v>112458832</v>
      </c>
      <c r="P1033">
        <v>38183</v>
      </c>
      <c r="Q1033" t="s">
        <v>2347</v>
      </c>
    </row>
    <row r="1034" spans="1:17" x14ac:dyDescent="0.3">
      <c r="A1034" t="s">
        <v>17</v>
      </c>
      <c r="B1034" t="str">
        <f>"600677"</f>
        <v>600677</v>
      </c>
      <c r="C1034" t="s">
        <v>2348</v>
      </c>
      <c r="H1034">
        <v>647103826</v>
      </c>
      <c r="I1034">
        <v>40336497</v>
      </c>
      <c r="J1034">
        <v>-684641883</v>
      </c>
      <c r="K1034">
        <v>-1608825777</v>
      </c>
      <c r="L1034">
        <v>122973460</v>
      </c>
      <c r="M1034">
        <v>-230370514</v>
      </c>
      <c r="N1034">
        <v>406331921</v>
      </c>
      <c r="O1034">
        <v>91808359</v>
      </c>
      <c r="P1034">
        <v>77</v>
      </c>
      <c r="Q1034" t="s">
        <v>2349</v>
      </c>
    </row>
    <row r="1035" spans="1:17" x14ac:dyDescent="0.3">
      <c r="A1035" t="s">
        <v>17</v>
      </c>
      <c r="B1035" t="str">
        <f>"600392"</f>
        <v>600392</v>
      </c>
      <c r="C1035" t="s">
        <v>2350</v>
      </c>
      <c r="D1035" t="s">
        <v>1865</v>
      </c>
      <c r="F1035">
        <v>964041001</v>
      </c>
      <c r="G1035">
        <v>332725932</v>
      </c>
      <c r="H1035">
        <v>646944069</v>
      </c>
      <c r="I1035">
        <v>273971855</v>
      </c>
      <c r="J1035">
        <v>-206959032</v>
      </c>
      <c r="K1035">
        <v>-106615619</v>
      </c>
      <c r="L1035">
        <v>-263954121</v>
      </c>
      <c r="M1035">
        <v>-108367083</v>
      </c>
      <c r="N1035">
        <v>-253053870</v>
      </c>
      <c r="O1035">
        <v>168162016</v>
      </c>
      <c r="P1035">
        <v>439</v>
      </c>
      <c r="Q1035" t="s">
        <v>2351</v>
      </c>
    </row>
    <row r="1036" spans="1:17" x14ac:dyDescent="0.3">
      <c r="A1036" t="s">
        <v>59</v>
      </c>
      <c r="B1036" t="str">
        <f>"002557"</f>
        <v>002557</v>
      </c>
      <c r="C1036" t="s">
        <v>2352</v>
      </c>
      <c r="D1036" t="s">
        <v>2353</v>
      </c>
      <c r="F1036">
        <v>1344822756</v>
      </c>
      <c r="G1036">
        <v>596854422</v>
      </c>
      <c r="H1036">
        <v>646284830</v>
      </c>
      <c r="I1036">
        <v>746820878</v>
      </c>
      <c r="J1036">
        <v>292923529</v>
      </c>
      <c r="K1036">
        <v>472353645</v>
      </c>
      <c r="L1036">
        <v>266727845</v>
      </c>
      <c r="M1036">
        <v>157325513</v>
      </c>
      <c r="N1036">
        <v>-1338830</v>
      </c>
      <c r="O1036">
        <v>296707876</v>
      </c>
      <c r="P1036">
        <v>1823</v>
      </c>
      <c r="Q1036" t="s">
        <v>2354</v>
      </c>
    </row>
    <row r="1037" spans="1:17" x14ac:dyDescent="0.3">
      <c r="A1037" t="s">
        <v>17</v>
      </c>
      <c r="B1037" t="str">
        <f>"600802"</f>
        <v>600802</v>
      </c>
      <c r="C1037" t="s">
        <v>2355</v>
      </c>
      <c r="D1037" t="s">
        <v>78</v>
      </c>
      <c r="F1037">
        <v>461729088</v>
      </c>
      <c r="G1037">
        <v>405097563</v>
      </c>
      <c r="H1037">
        <v>644970594</v>
      </c>
      <c r="I1037">
        <v>933029972</v>
      </c>
      <c r="J1037">
        <v>106844074</v>
      </c>
      <c r="K1037">
        <v>179571400</v>
      </c>
      <c r="L1037">
        <v>108423482</v>
      </c>
      <c r="M1037">
        <v>295225963</v>
      </c>
      <c r="N1037">
        <v>248364185</v>
      </c>
      <c r="O1037">
        <v>-83052437</v>
      </c>
      <c r="P1037">
        <v>248</v>
      </c>
      <c r="Q1037" t="s">
        <v>2356</v>
      </c>
    </row>
    <row r="1038" spans="1:17" x14ac:dyDescent="0.3">
      <c r="A1038" t="s">
        <v>17</v>
      </c>
      <c r="B1038" t="str">
        <f>"600161"</f>
        <v>600161</v>
      </c>
      <c r="C1038" t="s">
        <v>2357</v>
      </c>
      <c r="D1038" t="s">
        <v>1421</v>
      </c>
      <c r="F1038">
        <v>980350195</v>
      </c>
      <c r="G1038">
        <v>702109604</v>
      </c>
      <c r="H1038">
        <v>642468859</v>
      </c>
      <c r="I1038">
        <v>677916885</v>
      </c>
      <c r="J1038">
        <v>218389433</v>
      </c>
      <c r="K1038">
        <v>428374722</v>
      </c>
      <c r="L1038">
        <v>473258905</v>
      </c>
      <c r="M1038">
        <v>477952523</v>
      </c>
      <c r="N1038">
        <v>566433985</v>
      </c>
      <c r="O1038">
        <v>432004891</v>
      </c>
      <c r="P1038">
        <v>1406</v>
      </c>
      <c r="Q1038" t="s">
        <v>2358</v>
      </c>
    </row>
    <row r="1039" spans="1:17" x14ac:dyDescent="0.3">
      <c r="A1039" t="s">
        <v>59</v>
      </c>
      <c r="B1039" t="str">
        <f>"000546"</f>
        <v>000546</v>
      </c>
      <c r="C1039" t="s">
        <v>2359</v>
      </c>
      <c r="D1039" t="s">
        <v>78</v>
      </c>
      <c r="F1039">
        <v>179870784</v>
      </c>
      <c r="G1039">
        <v>562890021</v>
      </c>
      <c r="H1039">
        <v>641765715</v>
      </c>
      <c r="I1039">
        <v>540786231</v>
      </c>
      <c r="J1039">
        <v>293901514</v>
      </c>
      <c r="K1039">
        <v>-24081222</v>
      </c>
      <c r="L1039">
        <v>279380193</v>
      </c>
      <c r="M1039">
        <v>165478031</v>
      </c>
      <c r="N1039">
        <v>-20207048</v>
      </c>
      <c r="O1039">
        <v>63273001</v>
      </c>
      <c r="P1039">
        <v>181</v>
      </c>
      <c r="Q1039" t="s">
        <v>2360</v>
      </c>
    </row>
    <row r="1040" spans="1:17" x14ac:dyDescent="0.3">
      <c r="A1040" t="s">
        <v>17</v>
      </c>
      <c r="B1040" t="str">
        <f>"600609"</f>
        <v>600609</v>
      </c>
      <c r="C1040" t="s">
        <v>2361</v>
      </c>
      <c r="D1040" t="s">
        <v>289</v>
      </c>
      <c r="F1040">
        <v>485045694</v>
      </c>
      <c r="G1040">
        <v>337151886</v>
      </c>
      <c r="H1040">
        <v>641342716</v>
      </c>
      <c r="I1040">
        <v>1725117223</v>
      </c>
      <c r="J1040">
        <v>530983270</v>
      </c>
      <c r="K1040">
        <v>480233229</v>
      </c>
      <c r="L1040">
        <v>-492424685</v>
      </c>
      <c r="M1040">
        <v>492329244</v>
      </c>
      <c r="N1040">
        <v>354103499</v>
      </c>
      <c r="O1040">
        <v>249174291</v>
      </c>
      <c r="P1040">
        <v>128</v>
      </c>
      <c r="Q1040" t="s">
        <v>2362</v>
      </c>
    </row>
    <row r="1041" spans="1:17" x14ac:dyDescent="0.3">
      <c r="A1041" t="s">
        <v>17</v>
      </c>
      <c r="B1041" t="str">
        <f>"600750"</f>
        <v>600750</v>
      </c>
      <c r="C1041" t="s">
        <v>2363</v>
      </c>
      <c r="D1041" t="s">
        <v>455</v>
      </c>
      <c r="F1041">
        <v>917037661</v>
      </c>
      <c r="G1041">
        <v>752501254</v>
      </c>
      <c r="H1041">
        <v>641177784</v>
      </c>
      <c r="I1041">
        <v>486245961</v>
      </c>
      <c r="J1041">
        <v>124928620</v>
      </c>
      <c r="K1041">
        <v>698045544</v>
      </c>
      <c r="L1041">
        <v>510778276</v>
      </c>
      <c r="M1041">
        <v>356804769</v>
      </c>
      <c r="N1041">
        <v>111918812</v>
      </c>
      <c r="O1041">
        <v>226380995</v>
      </c>
      <c r="P1041">
        <v>817</v>
      </c>
      <c r="Q1041" t="s">
        <v>2364</v>
      </c>
    </row>
    <row r="1042" spans="1:17" x14ac:dyDescent="0.3">
      <c r="A1042" t="s">
        <v>59</v>
      </c>
      <c r="B1042" t="str">
        <f>"002410"</f>
        <v>002410</v>
      </c>
      <c r="C1042" t="s">
        <v>2365</v>
      </c>
      <c r="D1042" t="s">
        <v>1528</v>
      </c>
      <c r="F1042">
        <v>1601350834</v>
      </c>
      <c r="G1042">
        <v>1876130838</v>
      </c>
      <c r="H1042">
        <v>640918549</v>
      </c>
      <c r="I1042">
        <v>452703109</v>
      </c>
      <c r="J1042">
        <v>595575210</v>
      </c>
      <c r="K1042">
        <v>518227171</v>
      </c>
      <c r="L1042">
        <v>184804285</v>
      </c>
      <c r="M1042">
        <v>600611463</v>
      </c>
      <c r="N1042">
        <v>668674955</v>
      </c>
      <c r="O1042">
        <v>370200036</v>
      </c>
      <c r="P1042">
        <v>2190</v>
      </c>
      <c r="Q1042" t="s">
        <v>2366</v>
      </c>
    </row>
    <row r="1043" spans="1:17" x14ac:dyDescent="0.3">
      <c r="A1043" t="s">
        <v>59</v>
      </c>
      <c r="B1043" t="str">
        <f>"000905"</f>
        <v>000905</v>
      </c>
      <c r="C1043" t="s">
        <v>2367</v>
      </c>
      <c r="D1043" t="s">
        <v>386</v>
      </c>
      <c r="F1043">
        <v>855235573</v>
      </c>
      <c r="G1043">
        <v>425912776</v>
      </c>
      <c r="H1043">
        <v>638130948</v>
      </c>
      <c r="I1043">
        <v>224792706</v>
      </c>
      <c r="J1043">
        <v>-17257637</v>
      </c>
      <c r="K1043">
        <v>307583290</v>
      </c>
      <c r="L1043">
        <v>561530270</v>
      </c>
      <c r="M1043">
        <v>168125507</v>
      </c>
      <c r="N1043">
        <v>184275731</v>
      </c>
      <c r="O1043">
        <v>215290309</v>
      </c>
      <c r="P1043">
        <v>213</v>
      </c>
      <c r="Q1043" t="s">
        <v>2368</v>
      </c>
    </row>
    <row r="1044" spans="1:17" x14ac:dyDescent="0.3">
      <c r="A1044" t="s">
        <v>59</v>
      </c>
      <c r="B1044" t="str">
        <f>"000727"</f>
        <v>000727</v>
      </c>
      <c r="C1044" t="s">
        <v>2369</v>
      </c>
      <c r="D1044" t="s">
        <v>139</v>
      </c>
      <c r="F1044">
        <v>-4073525347</v>
      </c>
      <c r="G1044">
        <v>5878372353</v>
      </c>
      <c r="H1044">
        <v>637322531</v>
      </c>
      <c r="I1044">
        <v>1373143005</v>
      </c>
      <c r="J1044">
        <v>736083549</v>
      </c>
      <c r="K1044">
        <v>890552649</v>
      </c>
      <c r="L1044">
        <v>-30014073</v>
      </c>
      <c r="M1044">
        <v>52537578</v>
      </c>
      <c r="N1044">
        <v>-29242012</v>
      </c>
      <c r="O1044">
        <v>139709821</v>
      </c>
      <c r="P1044">
        <v>197</v>
      </c>
      <c r="Q1044" t="s">
        <v>2370</v>
      </c>
    </row>
    <row r="1045" spans="1:17" x14ac:dyDescent="0.3">
      <c r="A1045" t="s">
        <v>59</v>
      </c>
      <c r="B1045" t="str">
        <f>"002946"</f>
        <v>002946</v>
      </c>
      <c r="C1045" t="s">
        <v>2371</v>
      </c>
      <c r="D1045" t="s">
        <v>308</v>
      </c>
      <c r="F1045">
        <v>1035064439</v>
      </c>
      <c r="G1045">
        <v>719441754</v>
      </c>
      <c r="H1045">
        <v>635013656</v>
      </c>
      <c r="I1045">
        <v>437263899</v>
      </c>
      <c r="J1045">
        <v>459079250</v>
      </c>
      <c r="K1045">
        <v>456501167</v>
      </c>
      <c r="L1045">
        <v>454683766</v>
      </c>
      <c r="P1045">
        <v>342</v>
      </c>
      <c r="Q1045" t="s">
        <v>2372</v>
      </c>
    </row>
    <row r="1046" spans="1:17" x14ac:dyDescent="0.3">
      <c r="A1046" t="s">
        <v>59</v>
      </c>
      <c r="B1046" t="str">
        <f>"002011"</f>
        <v>002011</v>
      </c>
      <c r="C1046" t="s">
        <v>2373</v>
      </c>
      <c r="D1046" t="s">
        <v>1087</v>
      </c>
      <c r="F1046">
        <v>517737144</v>
      </c>
      <c r="G1046">
        <v>437152524</v>
      </c>
      <c r="H1046">
        <v>633756734</v>
      </c>
      <c r="I1046">
        <v>170667093</v>
      </c>
      <c r="J1046">
        <v>277274525</v>
      </c>
      <c r="K1046">
        <v>113724156</v>
      </c>
      <c r="L1046">
        <v>269442271</v>
      </c>
      <c r="M1046">
        <v>141820884</v>
      </c>
      <c r="N1046">
        <v>-492334166</v>
      </c>
      <c r="O1046">
        <v>270760882</v>
      </c>
      <c r="P1046">
        <v>201</v>
      </c>
      <c r="Q1046" t="s">
        <v>2374</v>
      </c>
    </row>
    <row r="1047" spans="1:17" x14ac:dyDescent="0.3">
      <c r="A1047" t="s">
        <v>17</v>
      </c>
      <c r="B1047" t="str">
        <f>"600587"</f>
        <v>600587</v>
      </c>
      <c r="C1047" t="s">
        <v>2375</v>
      </c>
      <c r="D1047" t="s">
        <v>485</v>
      </c>
      <c r="F1047">
        <v>1402538528</v>
      </c>
      <c r="G1047">
        <v>1098102394</v>
      </c>
      <c r="H1047">
        <v>630910081</v>
      </c>
      <c r="I1047">
        <v>653215493</v>
      </c>
      <c r="J1047">
        <v>947089785</v>
      </c>
      <c r="K1047">
        <v>188745622</v>
      </c>
      <c r="L1047">
        <v>110434996</v>
      </c>
      <c r="M1047">
        <v>52058790</v>
      </c>
      <c r="N1047">
        <v>22355700</v>
      </c>
      <c r="O1047">
        <v>10867025</v>
      </c>
      <c r="P1047">
        <v>533</v>
      </c>
      <c r="Q1047" t="s">
        <v>2376</v>
      </c>
    </row>
    <row r="1048" spans="1:17" x14ac:dyDescent="0.3">
      <c r="A1048" t="s">
        <v>59</v>
      </c>
      <c r="B1048" t="str">
        <f>"002471"</f>
        <v>002471</v>
      </c>
      <c r="C1048" t="s">
        <v>2377</v>
      </c>
      <c r="D1048" t="s">
        <v>1065</v>
      </c>
      <c r="F1048">
        <v>-230110141</v>
      </c>
      <c r="G1048">
        <v>131049644</v>
      </c>
      <c r="H1048">
        <v>628571332</v>
      </c>
      <c r="I1048">
        <v>329296159</v>
      </c>
      <c r="J1048">
        <v>72467516</v>
      </c>
      <c r="K1048">
        <v>587731038</v>
      </c>
      <c r="L1048">
        <v>186047807</v>
      </c>
      <c r="M1048">
        <v>-287335806</v>
      </c>
      <c r="N1048">
        <v>-185682534</v>
      </c>
      <c r="O1048">
        <v>-304623641</v>
      </c>
      <c r="P1048">
        <v>92</v>
      </c>
      <c r="Q1048" t="s">
        <v>2378</v>
      </c>
    </row>
    <row r="1049" spans="1:17" x14ac:dyDescent="0.3">
      <c r="A1049" t="s">
        <v>59</v>
      </c>
      <c r="B1049" t="str">
        <f>"002130"</f>
        <v>002130</v>
      </c>
      <c r="C1049" t="s">
        <v>2379</v>
      </c>
      <c r="D1049" t="s">
        <v>595</v>
      </c>
      <c r="F1049">
        <v>610587674</v>
      </c>
      <c r="G1049">
        <v>767684201</v>
      </c>
      <c r="H1049">
        <v>628215609</v>
      </c>
      <c r="I1049">
        <v>565714120</v>
      </c>
      <c r="J1049">
        <v>149599122</v>
      </c>
      <c r="K1049">
        <v>47531481</v>
      </c>
      <c r="L1049">
        <v>50738085</v>
      </c>
      <c r="M1049">
        <v>26336886</v>
      </c>
      <c r="N1049">
        <v>115523589</v>
      </c>
      <c r="O1049">
        <v>33275659</v>
      </c>
      <c r="P1049">
        <v>266</v>
      </c>
      <c r="Q1049" t="s">
        <v>2380</v>
      </c>
    </row>
    <row r="1050" spans="1:17" x14ac:dyDescent="0.3">
      <c r="A1050" t="s">
        <v>17</v>
      </c>
      <c r="B1050" t="str">
        <f>"603100"</f>
        <v>603100</v>
      </c>
      <c r="C1050" t="s">
        <v>2381</v>
      </c>
      <c r="D1050" t="s">
        <v>2382</v>
      </c>
      <c r="F1050">
        <v>981156664</v>
      </c>
      <c r="G1050">
        <v>566311199</v>
      </c>
      <c r="H1050">
        <v>624044257</v>
      </c>
      <c r="I1050">
        <v>259217858</v>
      </c>
      <c r="J1050">
        <v>-99768151</v>
      </c>
      <c r="K1050">
        <v>142532013</v>
      </c>
      <c r="L1050">
        <v>155979941</v>
      </c>
      <c r="M1050">
        <v>71220958</v>
      </c>
      <c r="N1050">
        <v>-113203035</v>
      </c>
      <c r="O1050">
        <v>233788255</v>
      </c>
      <c r="P1050">
        <v>194</v>
      </c>
      <c r="Q1050" t="s">
        <v>2383</v>
      </c>
    </row>
    <row r="1051" spans="1:17" x14ac:dyDescent="0.3">
      <c r="A1051" t="s">
        <v>17</v>
      </c>
      <c r="B1051" t="str">
        <f>"605589"</f>
        <v>605589</v>
      </c>
      <c r="C1051" t="s">
        <v>2384</v>
      </c>
      <c r="D1051" t="s">
        <v>2385</v>
      </c>
      <c r="F1051">
        <v>-226783526</v>
      </c>
      <c r="G1051">
        <v>727254373</v>
      </c>
      <c r="H1051">
        <v>623704093</v>
      </c>
      <c r="I1051">
        <v>433631065</v>
      </c>
      <c r="J1051">
        <v>112453839</v>
      </c>
      <c r="P1051">
        <v>40</v>
      </c>
      <c r="Q1051" t="s">
        <v>2386</v>
      </c>
    </row>
    <row r="1052" spans="1:17" x14ac:dyDescent="0.3">
      <c r="A1052" t="s">
        <v>59</v>
      </c>
      <c r="B1052" t="str">
        <f>"301216"</f>
        <v>301216</v>
      </c>
      <c r="C1052" t="s">
        <v>2387</v>
      </c>
      <c r="F1052">
        <v>-595377813</v>
      </c>
      <c r="G1052">
        <v>41139530</v>
      </c>
      <c r="H1052">
        <v>623549625</v>
      </c>
      <c r="I1052">
        <v>295638647</v>
      </c>
      <c r="J1052">
        <v>-76163505</v>
      </c>
      <c r="P1052">
        <v>6</v>
      </c>
      <c r="Q1052" t="s">
        <v>2388</v>
      </c>
    </row>
    <row r="1053" spans="1:17" x14ac:dyDescent="0.3">
      <c r="A1053" t="s">
        <v>17</v>
      </c>
      <c r="B1053" t="str">
        <f>"600841"</f>
        <v>600841</v>
      </c>
      <c r="C1053" t="s">
        <v>2389</v>
      </c>
      <c r="D1053" t="s">
        <v>156</v>
      </c>
      <c r="F1053">
        <v>-2176391133</v>
      </c>
      <c r="G1053">
        <v>157147524</v>
      </c>
      <c r="H1053">
        <v>618948439</v>
      </c>
      <c r="I1053">
        <v>464752506</v>
      </c>
      <c r="J1053">
        <v>171609910</v>
      </c>
      <c r="K1053">
        <v>53351655</v>
      </c>
      <c r="L1053">
        <v>397177173</v>
      </c>
      <c r="M1053">
        <v>268323638</v>
      </c>
      <c r="N1053">
        <v>162840869</v>
      </c>
      <c r="O1053">
        <v>394284438</v>
      </c>
      <c r="P1053">
        <v>88</v>
      </c>
      <c r="Q1053" t="s">
        <v>2390</v>
      </c>
    </row>
    <row r="1054" spans="1:17" x14ac:dyDescent="0.3">
      <c r="A1054" t="s">
        <v>59</v>
      </c>
      <c r="B1054" t="str">
        <f>"300616"</f>
        <v>300616</v>
      </c>
      <c r="C1054" t="s">
        <v>2391</v>
      </c>
      <c r="D1054" t="s">
        <v>963</v>
      </c>
      <c r="F1054">
        <v>538810160</v>
      </c>
      <c r="G1054">
        <v>132035969</v>
      </c>
      <c r="H1054">
        <v>618893331</v>
      </c>
      <c r="I1054">
        <v>650307123</v>
      </c>
      <c r="J1054">
        <v>878932776</v>
      </c>
      <c r="K1054">
        <v>717865316</v>
      </c>
      <c r="L1054">
        <v>455190109</v>
      </c>
      <c r="M1054">
        <v>416450217</v>
      </c>
      <c r="P1054">
        <v>694</v>
      </c>
      <c r="Q1054" t="s">
        <v>2392</v>
      </c>
    </row>
    <row r="1055" spans="1:17" x14ac:dyDescent="0.3">
      <c r="A1055" t="s">
        <v>59</v>
      </c>
      <c r="B1055" t="str">
        <f>"002791"</f>
        <v>002791</v>
      </c>
      <c r="C1055" t="s">
        <v>2393</v>
      </c>
      <c r="D1055" t="s">
        <v>1041</v>
      </c>
      <c r="F1055">
        <v>546362529</v>
      </c>
      <c r="G1055">
        <v>500769752</v>
      </c>
      <c r="H1055">
        <v>618630266</v>
      </c>
      <c r="I1055">
        <v>32079200</v>
      </c>
      <c r="J1055">
        <v>-44242247</v>
      </c>
      <c r="K1055">
        <v>237563776</v>
      </c>
      <c r="L1055">
        <v>141604383</v>
      </c>
      <c r="M1055">
        <v>33904374</v>
      </c>
      <c r="N1055">
        <v>158269490</v>
      </c>
      <c r="O1055">
        <v>125713379</v>
      </c>
      <c r="P1055">
        <v>552</v>
      </c>
      <c r="Q1055" t="s">
        <v>2394</v>
      </c>
    </row>
    <row r="1056" spans="1:17" x14ac:dyDescent="0.3">
      <c r="A1056" t="s">
        <v>17</v>
      </c>
      <c r="B1056" t="str">
        <f>"600969"</f>
        <v>600969</v>
      </c>
      <c r="C1056" t="s">
        <v>2395</v>
      </c>
      <c r="D1056" t="s">
        <v>682</v>
      </c>
      <c r="F1056">
        <v>896733635</v>
      </c>
      <c r="G1056">
        <v>589077174</v>
      </c>
      <c r="H1056">
        <v>617605041</v>
      </c>
      <c r="I1056">
        <v>746037416</v>
      </c>
      <c r="J1056">
        <v>571418124</v>
      </c>
      <c r="K1056">
        <v>390796852</v>
      </c>
      <c r="L1056">
        <v>638422483</v>
      </c>
      <c r="M1056">
        <v>395927010</v>
      </c>
      <c r="N1056">
        <v>340074335</v>
      </c>
      <c r="O1056">
        <v>432298566</v>
      </c>
      <c r="P1056">
        <v>77</v>
      </c>
      <c r="Q1056" t="s">
        <v>2396</v>
      </c>
    </row>
    <row r="1057" spans="1:17" x14ac:dyDescent="0.3">
      <c r="A1057" t="s">
        <v>59</v>
      </c>
      <c r="B1057" t="str">
        <f>"002386"</f>
        <v>002386</v>
      </c>
      <c r="C1057" t="s">
        <v>2397</v>
      </c>
      <c r="D1057" t="s">
        <v>317</v>
      </c>
      <c r="F1057">
        <v>1090523058</v>
      </c>
      <c r="G1057">
        <v>788653731</v>
      </c>
      <c r="H1057">
        <v>616929168</v>
      </c>
      <c r="I1057">
        <v>688749851</v>
      </c>
      <c r="J1057">
        <v>584327085</v>
      </c>
      <c r="K1057">
        <v>486497615</v>
      </c>
      <c r="L1057">
        <v>62520458</v>
      </c>
      <c r="M1057">
        <v>90174445</v>
      </c>
      <c r="N1057">
        <v>512420914</v>
      </c>
      <c r="O1057">
        <v>534971503</v>
      </c>
      <c r="P1057">
        <v>143</v>
      </c>
      <c r="Q1057" t="s">
        <v>2398</v>
      </c>
    </row>
    <row r="1058" spans="1:17" x14ac:dyDescent="0.3">
      <c r="A1058" t="s">
        <v>59</v>
      </c>
      <c r="B1058" t="str">
        <f>"002851"</f>
        <v>002851</v>
      </c>
      <c r="C1058" t="s">
        <v>2399</v>
      </c>
      <c r="D1058" t="s">
        <v>1746</v>
      </c>
      <c r="F1058">
        <v>-113413768</v>
      </c>
      <c r="G1058">
        <v>464096475</v>
      </c>
      <c r="H1058">
        <v>616173769</v>
      </c>
      <c r="I1058">
        <v>-94873585</v>
      </c>
      <c r="J1058">
        <v>92676277</v>
      </c>
      <c r="K1058">
        <v>71594818</v>
      </c>
      <c r="L1058">
        <v>13925595</v>
      </c>
      <c r="M1058">
        <v>-92795729</v>
      </c>
      <c r="P1058">
        <v>565</v>
      </c>
      <c r="Q1058" t="s">
        <v>2400</v>
      </c>
    </row>
    <row r="1059" spans="1:17" x14ac:dyDescent="0.3">
      <c r="A1059" t="s">
        <v>59</v>
      </c>
      <c r="B1059" t="str">
        <f>"002106"</f>
        <v>002106</v>
      </c>
      <c r="C1059" t="s">
        <v>2401</v>
      </c>
      <c r="D1059" t="s">
        <v>139</v>
      </c>
      <c r="F1059">
        <v>638928507</v>
      </c>
      <c r="G1059">
        <v>241190121</v>
      </c>
      <c r="H1059">
        <v>616166411</v>
      </c>
      <c r="I1059">
        <v>243681897</v>
      </c>
      <c r="J1059">
        <v>352716639</v>
      </c>
      <c r="K1059">
        <v>163107485</v>
      </c>
      <c r="L1059">
        <v>102325339</v>
      </c>
      <c r="M1059">
        <v>-131314786</v>
      </c>
      <c r="N1059">
        <v>419970122</v>
      </c>
      <c r="O1059">
        <v>123179430</v>
      </c>
      <c r="P1059">
        <v>296</v>
      </c>
      <c r="Q1059" t="s">
        <v>2402</v>
      </c>
    </row>
    <row r="1060" spans="1:17" x14ac:dyDescent="0.3">
      <c r="A1060" t="s">
        <v>17</v>
      </c>
      <c r="B1060" t="str">
        <f>"600568"</f>
        <v>600568</v>
      </c>
      <c r="C1060" t="s">
        <v>2403</v>
      </c>
      <c r="D1060" t="s">
        <v>999</v>
      </c>
      <c r="F1060">
        <v>94043010</v>
      </c>
      <c r="G1060">
        <v>248153578</v>
      </c>
      <c r="H1060">
        <v>614570785</v>
      </c>
      <c r="I1060">
        <v>-267764041</v>
      </c>
      <c r="J1060">
        <v>-358292403</v>
      </c>
      <c r="K1060">
        <v>296576550</v>
      </c>
      <c r="L1060">
        <v>189045815</v>
      </c>
      <c r="M1060">
        <v>14338136</v>
      </c>
      <c r="N1060">
        <v>3556577</v>
      </c>
      <c r="O1060">
        <v>-48432738</v>
      </c>
      <c r="P1060">
        <v>98</v>
      </c>
      <c r="Q1060" t="s">
        <v>2404</v>
      </c>
    </row>
    <row r="1061" spans="1:17" x14ac:dyDescent="0.3">
      <c r="A1061" t="s">
        <v>59</v>
      </c>
      <c r="B1061" t="str">
        <f>"000862"</f>
        <v>000862</v>
      </c>
      <c r="C1061" t="s">
        <v>2405</v>
      </c>
      <c r="D1061" t="s">
        <v>391</v>
      </c>
      <c r="F1061">
        <v>1726257960</v>
      </c>
      <c r="G1061">
        <v>556561982</v>
      </c>
      <c r="H1061">
        <v>614440011</v>
      </c>
      <c r="I1061">
        <v>753003465</v>
      </c>
      <c r="J1061">
        <v>449410453</v>
      </c>
      <c r="K1061">
        <v>598626931</v>
      </c>
      <c r="L1061">
        <v>710764124</v>
      </c>
      <c r="M1061">
        <v>695426527</v>
      </c>
      <c r="N1061">
        <v>408406424</v>
      </c>
      <c r="O1061">
        <v>219144552</v>
      </c>
      <c r="P1061">
        <v>171</v>
      </c>
      <c r="Q1061" t="s">
        <v>2406</v>
      </c>
    </row>
    <row r="1062" spans="1:17" x14ac:dyDescent="0.3">
      <c r="A1062" t="s">
        <v>59</v>
      </c>
      <c r="B1062" t="str">
        <f>"002223"</f>
        <v>002223</v>
      </c>
      <c r="C1062" t="s">
        <v>2407</v>
      </c>
      <c r="D1062" t="s">
        <v>485</v>
      </c>
      <c r="F1062">
        <v>1201201634</v>
      </c>
      <c r="G1062">
        <v>2830851056</v>
      </c>
      <c r="H1062">
        <v>614203042</v>
      </c>
      <c r="I1062">
        <v>798144562</v>
      </c>
      <c r="J1062">
        <v>242099879</v>
      </c>
      <c r="K1062">
        <v>676978915</v>
      </c>
      <c r="L1062">
        <v>543233405</v>
      </c>
      <c r="M1062">
        <v>205781087</v>
      </c>
      <c r="N1062">
        <v>124453602</v>
      </c>
      <c r="O1062">
        <v>171419700</v>
      </c>
      <c r="P1062">
        <v>17494</v>
      </c>
      <c r="Q1062" t="s">
        <v>2408</v>
      </c>
    </row>
    <row r="1063" spans="1:17" x14ac:dyDescent="0.3">
      <c r="A1063" t="s">
        <v>59</v>
      </c>
      <c r="B1063" t="str">
        <f>"002099"</f>
        <v>002099</v>
      </c>
      <c r="C1063" t="s">
        <v>2409</v>
      </c>
      <c r="D1063" t="s">
        <v>984</v>
      </c>
      <c r="F1063">
        <v>102360758</v>
      </c>
      <c r="G1063">
        <v>533869722</v>
      </c>
      <c r="H1063">
        <v>612399095</v>
      </c>
      <c r="I1063">
        <v>791449238</v>
      </c>
      <c r="J1063">
        <v>102676415</v>
      </c>
      <c r="K1063">
        <v>629417200</v>
      </c>
      <c r="L1063">
        <v>462163338</v>
      </c>
      <c r="M1063">
        <v>191561807</v>
      </c>
      <c r="N1063">
        <v>60850637</v>
      </c>
      <c r="O1063">
        <v>180727341</v>
      </c>
      <c r="P1063">
        <v>298</v>
      </c>
      <c r="Q1063" t="s">
        <v>2410</v>
      </c>
    </row>
    <row r="1064" spans="1:17" x14ac:dyDescent="0.3">
      <c r="A1064" t="s">
        <v>17</v>
      </c>
      <c r="B1064" t="str">
        <f>"600563"</f>
        <v>600563</v>
      </c>
      <c r="C1064" t="s">
        <v>2411</v>
      </c>
      <c r="D1064" t="s">
        <v>1180</v>
      </c>
      <c r="F1064">
        <v>907625960</v>
      </c>
      <c r="G1064">
        <v>354786591</v>
      </c>
      <c r="H1064">
        <v>610701830</v>
      </c>
      <c r="I1064">
        <v>579177124</v>
      </c>
      <c r="J1064">
        <v>409757968</v>
      </c>
      <c r="K1064">
        <v>464096481</v>
      </c>
      <c r="L1064">
        <v>325332323</v>
      </c>
      <c r="M1064">
        <v>302470794</v>
      </c>
      <c r="N1064">
        <v>320293341</v>
      </c>
      <c r="O1064">
        <v>315714343</v>
      </c>
      <c r="P1064">
        <v>21656</v>
      </c>
      <c r="Q1064" t="s">
        <v>2412</v>
      </c>
    </row>
    <row r="1065" spans="1:17" x14ac:dyDescent="0.3">
      <c r="A1065" t="s">
        <v>59</v>
      </c>
      <c r="B1065" t="str">
        <f>"300017"</f>
        <v>300017</v>
      </c>
      <c r="C1065" t="s">
        <v>2413</v>
      </c>
      <c r="D1065" t="s">
        <v>1189</v>
      </c>
      <c r="F1065">
        <v>835709941</v>
      </c>
      <c r="G1065">
        <v>797525770</v>
      </c>
      <c r="H1065">
        <v>610596243</v>
      </c>
      <c r="I1065">
        <v>735101524</v>
      </c>
      <c r="J1065">
        <v>638580404</v>
      </c>
      <c r="K1065">
        <v>1071404189</v>
      </c>
      <c r="L1065">
        <v>717984394</v>
      </c>
      <c r="M1065">
        <v>521895477</v>
      </c>
      <c r="N1065">
        <v>275576105</v>
      </c>
      <c r="O1065">
        <v>184970037</v>
      </c>
      <c r="P1065">
        <v>759</v>
      </c>
      <c r="Q1065" t="s">
        <v>2414</v>
      </c>
    </row>
    <row r="1066" spans="1:17" x14ac:dyDescent="0.3">
      <c r="A1066" t="s">
        <v>59</v>
      </c>
      <c r="B1066" t="str">
        <f>"002437"</f>
        <v>002437</v>
      </c>
      <c r="C1066" t="s">
        <v>2415</v>
      </c>
      <c r="D1066" t="s">
        <v>592</v>
      </c>
      <c r="F1066">
        <v>274181021</v>
      </c>
      <c r="G1066">
        <v>12763852</v>
      </c>
      <c r="H1066">
        <v>610365818</v>
      </c>
      <c r="I1066">
        <v>1162761435</v>
      </c>
      <c r="J1066">
        <v>651795326</v>
      </c>
      <c r="K1066">
        <v>1040487155</v>
      </c>
      <c r="L1066">
        <v>702047204</v>
      </c>
      <c r="M1066">
        <v>674036850</v>
      </c>
      <c r="N1066">
        <v>453020477</v>
      </c>
      <c r="O1066">
        <v>205889113</v>
      </c>
      <c r="P1066">
        <v>189</v>
      </c>
      <c r="Q1066" t="s">
        <v>2416</v>
      </c>
    </row>
    <row r="1067" spans="1:17" x14ac:dyDescent="0.3">
      <c r="A1067" t="s">
        <v>59</v>
      </c>
      <c r="B1067" t="str">
        <f>"002111"</f>
        <v>002111</v>
      </c>
      <c r="C1067" t="s">
        <v>2417</v>
      </c>
      <c r="D1067" t="s">
        <v>1351</v>
      </c>
      <c r="F1067">
        <v>-422353593</v>
      </c>
      <c r="G1067">
        <v>804189271</v>
      </c>
      <c r="H1067">
        <v>609505711</v>
      </c>
      <c r="I1067">
        <v>104363986</v>
      </c>
      <c r="J1067">
        <v>28690850</v>
      </c>
      <c r="K1067">
        <v>85310944</v>
      </c>
      <c r="L1067">
        <v>123700777</v>
      </c>
      <c r="M1067">
        <v>48452266</v>
      </c>
      <c r="N1067">
        <v>-27125603</v>
      </c>
      <c r="O1067">
        <v>14573839</v>
      </c>
      <c r="P1067">
        <v>214</v>
      </c>
      <c r="Q1067" t="s">
        <v>2418</v>
      </c>
    </row>
    <row r="1068" spans="1:17" x14ac:dyDescent="0.3">
      <c r="A1068" t="s">
        <v>17</v>
      </c>
      <c r="B1068" t="str">
        <f>"605368"</f>
        <v>605368</v>
      </c>
      <c r="C1068" t="s">
        <v>2419</v>
      </c>
      <c r="D1068" t="s">
        <v>883</v>
      </c>
      <c r="F1068">
        <v>648057502</v>
      </c>
      <c r="G1068">
        <v>591841157</v>
      </c>
      <c r="H1068">
        <v>607426089</v>
      </c>
      <c r="I1068">
        <v>523338048</v>
      </c>
      <c r="J1068">
        <v>525250244</v>
      </c>
      <c r="K1068">
        <v>284854245</v>
      </c>
      <c r="L1068">
        <v>307607483</v>
      </c>
      <c r="P1068">
        <v>60</v>
      </c>
      <c r="Q1068" t="s">
        <v>2420</v>
      </c>
    </row>
    <row r="1069" spans="1:17" x14ac:dyDescent="0.3">
      <c r="A1069" t="s">
        <v>59</v>
      </c>
      <c r="B1069" t="str">
        <f>"002318"</f>
        <v>002318</v>
      </c>
      <c r="C1069" t="s">
        <v>2421</v>
      </c>
      <c r="D1069" t="s">
        <v>330</v>
      </c>
      <c r="F1069">
        <v>758842019</v>
      </c>
      <c r="G1069">
        <v>1327845589</v>
      </c>
      <c r="H1069">
        <v>606938473</v>
      </c>
      <c r="I1069">
        <v>649215359</v>
      </c>
      <c r="J1069">
        <v>-122243320</v>
      </c>
      <c r="K1069">
        <v>306546645</v>
      </c>
      <c r="L1069">
        <v>343997258</v>
      </c>
      <c r="M1069">
        <v>251833478</v>
      </c>
      <c r="N1069">
        <v>396979417</v>
      </c>
      <c r="O1069">
        <v>345088796</v>
      </c>
      <c r="P1069">
        <v>451</v>
      </c>
      <c r="Q1069" t="s">
        <v>2422</v>
      </c>
    </row>
    <row r="1070" spans="1:17" x14ac:dyDescent="0.3">
      <c r="A1070" t="s">
        <v>17</v>
      </c>
      <c r="B1070" t="str">
        <f>"601929"</f>
        <v>601929</v>
      </c>
      <c r="C1070" t="s">
        <v>2423</v>
      </c>
      <c r="D1070" t="s">
        <v>775</v>
      </c>
      <c r="F1070">
        <v>912655869</v>
      </c>
      <c r="G1070">
        <v>710647085</v>
      </c>
      <c r="H1070">
        <v>606000568</v>
      </c>
      <c r="I1070">
        <v>719541542</v>
      </c>
      <c r="J1070">
        <v>713209470</v>
      </c>
      <c r="K1070">
        <v>1062939686</v>
      </c>
      <c r="L1070">
        <v>1038702277</v>
      </c>
      <c r="M1070">
        <v>985294115</v>
      </c>
      <c r="N1070">
        <v>1080708520</v>
      </c>
      <c r="O1070">
        <v>700507918</v>
      </c>
      <c r="P1070">
        <v>159</v>
      </c>
      <c r="Q1070" t="s">
        <v>2424</v>
      </c>
    </row>
    <row r="1071" spans="1:17" x14ac:dyDescent="0.3">
      <c r="A1071" t="s">
        <v>59</v>
      </c>
      <c r="B1071" t="str">
        <f>"300428"</f>
        <v>300428</v>
      </c>
      <c r="C1071" t="s">
        <v>2425</v>
      </c>
      <c r="D1071" t="s">
        <v>767</v>
      </c>
      <c r="F1071">
        <v>-921588293</v>
      </c>
      <c r="G1071">
        <v>362572861</v>
      </c>
      <c r="H1071">
        <v>605197255</v>
      </c>
      <c r="I1071">
        <v>633577584</v>
      </c>
      <c r="J1071">
        <v>21311357</v>
      </c>
      <c r="K1071">
        <v>30398793</v>
      </c>
      <c r="L1071">
        <v>16149644</v>
      </c>
      <c r="M1071">
        <v>24931870</v>
      </c>
      <c r="N1071">
        <v>28597197</v>
      </c>
      <c r="O1071">
        <v>17234929</v>
      </c>
      <c r="P1071">
        <v>171</v>
      </c>
      <c r="Q1071" t="s">
        <v>2426</v>
      </c>
    </row>
    <row r="1072" spans="1:17" x14ac:dyDescent="0.3">
      <c r="A1072" t="s">
        <v>17</v>
      </c>
      <c r="B1072" t="str">
        <f>"600337"</f>
        <v>600337</v>
      </c>
      <c r="C1072" t="s">
        <v>2427</v>
      </c>
      <c r="D1072" t="s">
        <v>972</v>
      </c>
      <c r="F1072">
        <v>794726314</v>
      </c>
      <c r="G1072">
        <v>621080797</v>
      </c>
      <c r="H1072">
        <v>605137123</v>
      </c>
      <c r="I1072">
        <v>-124560726</v>
      </c>
      <c r="J1072">
        <v>684545881</v>
      </c>
      <c r="K1072">
        <v>587667950</v>
      </c>
      <c r="L1072">
        <v>277115483</v>
      </c>
      <c r="M1072">
        <v>-36821554</v>
      </c>
      <c r="N1072">
        <v>315669368</v>
      </c>
      <c r="O1072">
        <v>205263479</v>
      </c>
      <c r="P1072">
        <v>226</v>
      </c>
      <c r="Q1072" t="s">
        <v>2428</v>
      </c>
    </row>
    <row r="1073" spans="1:17" x14ac:dyDescent="0.3">
      <c r="A1073" t="s">
        <v>17</v>
      </c>
      <c r="B1073" t="str">
        <f>"600724"</f>
        <v>600724</v>
      </c>
      <c r="C1073" t="s">
        <v>2429</v>
      </c>
      <c r="D1073" t="s">
        <v>78</v>
      </c>
      <c r="F1073">
        <v>368687328</v>
      </c>
      <c r="G1073">
        <v>763817182</v>
      </c>
      <c r="H1073">
        <v>604811806</v>
      </c>
      <c r="I1073">
        <v>2011461858</v>
      </c>
      <c r="J1073">
        <v>2660188970</v>
      </c>
      <c r="K1073">
        <v>1101735160</v>
      </c>
      <c r="L1073">
        <v>670956845</v>
      </c>
      <c r="M1073">
        <v>-501261719</v>
      </c>
      <c r="N1073">
        <v>1642131893</v>
      </c>
      <c r="O1073">
        <v>1457449064</v>
      </c>
      <c r="P1073">
        <v>169</v>
      </c>
      <c r="Q1073" t="s">
        <v>2430</v>
      </c>
    </row>
    <row r="1074" spans="1:17" x14ac:dyDescent="0.3">
      <c r="A1074" t="s">
        <v>59</v>
      </c>
      <c r="B1074" t="str">
        <f>"000657"</f>
        <v>000657</v>
      </c>
      <c r="C1074" t="s">
        <v>2431</v>
      </c>
      <c r="D1074" t="s">
        <v>1078</v>
      </c>
      <c r="F1074">
        <v>888261432</v>
      </c>
      <c r="G1074">
        <v>-171960899</v>
      </c>
      <c r="H1074">
        <v>604407826</v>
      </c>
      <c r="I1074">
        <v>401885419</v>
      </c>
      <c r="J1074">
        <v>512497947</v>
      </c>
      <c r="K1074">
        <v>467138335</v>
      </c>
      <c r="L1074">
        <v>574124249</v>
      </c>
      <c r="M1074">
        <v>1116998981</v>
      </c>
      <c r="N1074">
        <v>386678954</v>
      </c>
      <c r="O1074">
        <v>7567616</v>
      </c>
      <c r="P1074">
        <v>177</v>
      </c>
      <c r="Q1074" t="s">
        <v>2432</v>
      </c>
    </row>
    <row r="1075" spans="1:17" x14ac:dyDescent="0.3">
      <c r="A1075" t="s">
        <v>59</v>
      </c>
      <c r="B1075" t="str">
        <f>"000029"</f>
        <v>000029</v>
      </c>
      <c r="C1075" t="s">
        <v>2433</v>
      </c>
      <c r="D1075" t="s">
        <v>61</v>
      </c>
      <c r="F1075">
        <v>-1205952108</v>
      </c>
      <c r="G1075">
        <v>285164013</v>
      </c>
      <c r="H1075">
        <v>603607725</v>
      </c>
      <c r="I1075">
        <v>1062567406</v>
      </c>
      <c r="J1075">
        <v>-17801140</v>
      </c>
      <c r="K1075">
        <v>526691326</v>
      </c>
      <c r="L1075">
        <v>1097144255</v>
      </c>
      <c r="M1075">
        <v>322162063</v>
      </c>
      <c r="N1075">
        <v>194953683</v>
      </c>
      <c r="O1075">
        <v>27409820</v>
      </c>
      <c r="P1075">
        <v>137</v>
      </c>
      <c r="Q1075" t="s">
        <v>2434</v>
      </c>
    </row>
    <row r="1076" spans="1:17" x14ac:dyDescent="0.3">
      <c r="A1076" t="s">
        <v>59</v>
      </c>
      <c r="B1076" t="str">
        <f>"300383"</f>
        <v>300383</v>
      </c>
      <c r="C1076" t="s">
        <v>2435</v>
      </c>
      <c r="D1076" t="s">
        <v>1189</v>
      </c>
      <c r="F1076">
        <v>1441406313</v>
      </c>
      <c r="G1076">
        <v>1448288908</v>
      </c>
      <c r="H1076">
        <v>602966937</v>
      </c>
      <c r="I1076">
        <v>586931267</v>
      </c>
      <c r="J1076">
        <v>405697451</v>
      </c>
      <c r="K1076">
        <v>479516082</v>
      </c>
      <c r="L1076">
        <v>99912261</v>
      </c>
      <c r="M1076">
        <v>149158802</v>
      </c>
      <c r="N1076">
        <v>101444223</v>
      </c>
      <c r="O1076">
        <v>75231614</v>
      </c>
      <c r="P1076">
        <v>2115</v>
      </c>
      <c r="Q1076" t="s">
        <v>2436</v>
      </c>
    </row>
    <row r="1077" spans="1:17" x14ac:dyDescent="0.3">
      <c r="A1077" t="s">
        <v>17</v>
      </c>
      <c r="B1077" t="str">
        <f>"600963"</f>
        <v>600963</v>
      </c>
      <c r="C1077" t="s">
        <v>2437</v>
      </c>
      <c r="D1077" t="s">
        <v>241</v>
      </c>
      <c r="F1077">
        <v>341664693</v>
      </c>
      <c r="G1077">
        <v>986895626</v>
      </c>
      <c r="H1077">
        <v>602237069</v>
      </c>
      <c r="I1077">
        <v>843720978</v>
      </c>
      <c r="J1077">
        <v>1103175254</v>
      </c>
      <c r="K1077">
        <v>936970024</v>
      </c>
      <c r="L1077">
        <v>10064512</v>
      </c>
      <c r="M1077">
        <v>1617126506</v>
      </c>
      <c r="N1077">
        <v>238907684</v>
      </c>
      <c r="O1077">
        <v>21571743</v>
      </c>
      <c r="P1077">
        <v>201</v>
      </c>
      <c r="Q1077" t="s">
        <v>2438</v>
      </c>
    </row>
    <row r="1078" spans="1:17" x14ac:dyDescent="0.3">
      <c r="A1078" t="s">
        <v>59</v>
      </c>
      <c r="B1078" t="str">
        <f>"300439"</f>
        <v>300439</v>
      </c>
      <c r="C1078" t="s">
        <v>2439</v>
      </c>
      <c r="D1078" t="s">
        <v>1953</v>
      </c>
      <c r="F1078">
        <v>515482463</v>
      </c>
      <c r="G1078">
        <v>912074949</v>
      </c>
      <c r="H1078">
        <v>601170721</v>
      </c>
      <c r="I1078">
        <v>418803232</v>
      </c>
      <c r="J1078">
        <v>-128396514</v>
      </c>
      <c r="K1078">
        <v>2453706</v>
      </c>
      <c r="L1078">
        <v>177548087</v>
      </c>
      <c r="M1078">
        <v>116510815</v>
      </c>
      <c r="N1078">
        <v>100063948</v>
      </c>
      <c r="O1078">
        <v>46778386</v>
      </c>
      <c r="P1078">
        <v>209</v>
      </c>
      <c r="Q1078" t="s">
        <v>2440</v>
      </c>
    </row>
    <row r="1079" spans="1:17" x14ac:dyDescent="0.3">
      <c r="A1079" t="s">
        <v>59</v>
      </c>
      <c r="B1079" t="str">
        <f>"002821"</f>
        <v>002821</v>
      </c>
      <c r="C1079" t="s">
        <v>2441</v>
      </c>
      <c r="D1079" t="s">
        <v>751</v>
      </c>
      <c r="F1079">
        <v>113150121</v>
      </c>
      <c r="G1079">
        <v>569291589</v>
      </c>
      <c r="H1079">
        <v>600867844</v>
      </c>
      <c r="I1079">
        <v>415060931</v>
      </c>
      <c r="J1079">
        <v>196400310</v>
      </c>
      <c r="K1079">
        <v>278355646</v>
      </c>
      <c r="L1079">
        <v>256994133</v>
      </c>
      <c r="M1079">
        <v>127045752</v>
      </c>
      <c r="N1079">
        <v>105917363</v>
      </c>
      <c r="P1079">
        <v>2412</v>
      </c>
      <c r="Q1079" t="s">
        <v>2442</v>
      </c>
    </row>
    <row r="1080" spans="1:17" x14ac:dyDescent="0.3">
      <c r="A1080" t="s">
        <v>59</v>
      </c>
      <c r="B1080" t="str">
        <f>"300888"</f>
        <v>300888</v>
      </c>
      <c r="C1080" t="s">
        <v>2443</v>
      </c>
      <c r="D1080" t="s">
        <v>1429</v>
      </c>
      <c r="F1080">
        <v>871689902</v>
      </c>
      <c r="G1080">
        <v>4767496287</v>
      </c>
      <c r="H1080">
        <v>599772566</v>
      </c>
      <c r="I1080">
        <v>467862582</v>
      </c>
      <c r="J1080">
        <v>357800403</v>
      </c>
      <c r="K1080">
        <v>450141994</v>
      </c>
      <c r="P1080">
        <v>457</v>
      </c>
      <c r="Q1080" t="s">
        <v>2444</v>
      </c>
    </row>
    <row r="1081" spans="1:17" x14ac:dyDescent="0.3">
      <c r="A1081" t="s">
        <v>17</v>
      </c>
      <c r="B1081" t="str">
        <f>"600529"</f>
        <v>600529</v>
      </c>
      <c r="C1081" t="s">
        <v>2445</v>
      </c>
      <c r="D1081" t="s">
        <v>1036</v>
      </c>
      <c r="F1081">
        <v>750440353</v>
      </c>
      <c r="G1081">
        <v>566009161</v>
      </c>
      <c r="H1081">
        <v>599051286</v>
      </c>
      <c r="I1081">
        <v>465773178</v>
      </c>
      <c r="J1081">
        <v>411962940</v>
      </c>
      <c r="K1081">
        <v>506528107</v>
      </c>
      <c r="L1081">
        <v>389634256</v>
      </c>
      <c r="M1081">
        <v>266634294</v>
      </c>
      <c r="N1081">
        <v>268597934</v>
      </c>
      <c r="O1081">
        <v>28519303</v>
      </c>
      <c r="P1081">
        <v>1046</v>
      </c>
      <c r="Q1081" t="s">
        <v>2446</v>
      </c>
    </row>
    <row r="1082" spans="1:17" x14ac:dyDescent="0.3">
      <c r="A1082" t="s">
        <v>17</v>
      </c>
      <c r="B1082" t="str">
        <f>"600579"</f>
        <v>600579</v>
      </c>
      <c r="C1082" t="s">
        <v>2447</v>
      </c>
      <c r="D1082" t="s">
        <v>1351</v>
      </c>
      <c r="F1082">
        <v>672760794</v>
      </c>
      <c r="G1082">
        <v>146752647</v>
      </c>
      <c r="H1082">
        <v>598815408</v>
      </c>
      <c r="I1082">
        <v>566398344</v>
      </c>
      <c r="J1082">
        <v>-15914543</v>
      </c>
      <c r="K1082">
        <v>-24685438</v>
      </c>
      <c r="L1082">
        <v>-31030671</v>
      </c>
      <c r="M1082">
        <v>5479122</v>
      </c>
      <c r="N1082">
        <v>118930995</v>
      </c>
      <c r="O1082">
        <v>210267359</v>
      </c>
      <c r="P1082">
        <v>72</v>
      </c>
      <c r="Q1082" t="s">
        <v>2448</v>
      </c>
    </row>
    <row r="1083" spans="1:17" x14ac:dyDescent="0.3">
      <c r="A1083" t="s">
        <v>17</v>
      </c>
      <c r="B1083" t="str">
        <f>"600819"</f>
        <v>600819</v>
      </c>
      <c r="C1083" t="s">
        <v>2449</v>
      </c>
      <c r="D1083" t="s">
        <v>901</v>
      </c>
      <c r="F1083">
        <v>583878253</v>
      </c>
      <c r="G1083">
        <v>611764430</v>
      </c>
      <c r="H1083">
        <v>598270659</v>
      </c>
      <c r="I1083">
        <v>376937934</v>
      </c>
      <c r="J1083">
        <v>172375432</v>
      </c>
      <c r="K1083">
        <v>439892167</v>
      </c>
      <c r="L1083">
        <v>530970177</v>
      </c>
      <c r="M1083">
        <v>228414832</v>
      </c>
      <c r="N1083">
        <v>229446193</v>
      </c>
      <c r="O1083">
        <v>290201791</v>
      </c>
      <c r="P1083">
        <v>94</v>
      </c>
      <c r="Q1083" t="s">
        <v>2450</v>
      </c>
    </row>
    <row r="1084" spans="1:17" x14ac:dyDescent="0.3">
      <c r="A1084" t="s">
        <v>59</v>
      </c>
      <c r="B1084" t="str">
        <f>"000603"</f>
        <v>000603</v>
      </c>
      <c r="C1084" t="s">
        <v>2451</v>
      </c>
      <c r="D1084" t="s">
        <v>856</v>
      </c>
      <c r="F1084">
        <v>826669503</v>
      </c>
      <c r="G1084">
        <v>598801914</v>
      </c>
      <c r="H1084">
        <v>597693410</v>
      </c>
      <c r="I1084">
        <v>789897761</v>
      </c>
      <c r="J1084">
        <v>524124867</v>
      </c>
      <c r="K1084">
        <v>356279518</v>
      </c>
      <c r="L1084">
        <v>260938257</v>
      </c>
      <c r="M1084">
        <v>476448756</v>
      </c>
      <c r="N1084">
        <v>468918611</v>
      </c>
      <c r="O1084">
        <v>437498128</v>
      </c>
      <c r="P1084">
        <v>351</v>
      </c>
      <c r="Q1084" t="s">
        <v>2452</v>
      </c>
    </row>
    <row r="1085" spans="1:17" x14ac:dyDescent="0.3">
      <c r="A1085" t="s">
        <v>59</v>
      </c>
      <c r="B1085" t="str">
        <f>"002612"</f>
        <v>002612</v>
      </c>
      <c r="C1085" t="s">
        <v>2453</v>
      </c>
      <c r="D1085" t="s">
        <v>646</v>
      </c>
      <c r="F1085">
        <v>470584897</v>
      </c>
      <c r="G1085">
        <v>379278067</v>
      </c>
      <c r="H1085">
        <v>596746641</v>
      </c>
      <c r="I1085">
        <v>54383383</v>
      </c>
      <c r="J1085">
        <v>129370751</v>
      </c>
      <c r="K1085">
        <v>132432456</v>
      </c>
      <c r="L1085">
        <v>150825033</v>
      </c>
      <c r="M1085">
        <v>35511481</v>
      </c>
      <c r="N1085">
        <v>12912627</v>
      </c>
      <c r="O1085">
        <v>3305208</v>
      </c>
      <c r="P1085">
        <v>370</v>
      </c>
      <c r="Q1085" t="s">
        <v>2454</v>
      </c>
    </row>
    <row r="1086" spans="1:17" x14ac:dyDescent="0.3">
      <c r="A1086" t="s">
        <v>17</v>
      </c>
      <c r="B1086" t="str">
        <f>"600138"</f>
        <v>600138</v>
      </c>
      <c r="C1086" t="s">
        <v>2455</v>
      </c>
      <c r="D1086" t="s">
        <v>1281</v>
      </c>
      <c r="F1086">
        <v>904528813</v>
      </c>
      <c r="G1086">
        <v>609453910</v>
      </c>
      <c r="H1086">
        <v>596210562</v>
      </c>
      <c r="I1086">
        <v>719062225</v>
      </c>
      <c r="J1086">
        <v>-785807095</v>
      </c>
      <c r="K1086">
        <v>947431813</v>
      </c>
      <c r="L1086">
        <v>510261522</v>
      </c>
      <c r="M1086">
        <v>524228725</v>
      </c>
      <c r="N1086">
        <v>494653383</v>
      </c>
      <c r="O1086">
        <v>250318172</v>
      </c>
      <c r="P1086">
        <v>486</v>
      </c>
      <c r="Q1086" t="s">
        <v>2456</v>
      </c>
    </row>
    <row r="1087" spans="1:17" x14ac:dyDescent="0.3">
      <c r="A1087" t="s">
        <v>59</v>
      </c>
      <c r="B1087" t="str">
        <f>"002083"</f>
        <v>002083</v>
      </c>
      <c r="C1087" t="s">
        <v>2457</v>
      </c>
      <c r="D1087" t="s">
        <v>1090</v>
      </c>
      <c r="F1087">
        <v>559983962</v>
      </c>
      <c r="G1087">
        <v>892314832</v>
      </c>
      <c r="H1087">
        <v>594248843</v>
      </c>
      <c r="I1087">
        <v>520256445</v>
      </c>
      <c r="J1087">
        <v>862031144</v>
      </c>
      <c r="K1087">
        <v>1166191581</v>
      </c>
      <c r="L1087">
        <v>888447487</v>
      </c>
      <c r="M1087">
        <v>142550244</v>
      </c>
      <c r="N1087">
        <v>988868118</v>
      </c>
      <c r="O1087">
        <v>779028527</v>
      </c>
      <c r="P1087">
        <v>283</v>
      </c>
      <c r="Q1087" t="s">
        <v>2458</v>
      </c>
    </row>
    <row r="1088" spans="1:17" x14ac:dyDescent="0.3">
      <c r="A1088" t="s">
        <v>17</v>
      </c>
      <c r="B1088" t="str">
        <f>"600499"</f>
        <v>600499</v>
      </c>
      <c r="C1088" t="s">
        <v>2459</v>
      </c>
      <c r="D1088" t="s">
        <v>1351</v>
      </c>
      <c r="F1088">
        <v>1287617044</v>
      </c>
      <c r="G1088">
        <v>1183582357</v>
      </c>
      <c r="H1088">
        <v>593833125</v>
      </c>
      <c r="I1088">
        <v>56170687</v>
      </c>
      <c r="J1088">
        <v>-255964607</v>
      </c>
      <c r="K1088">
        <v>446558061</v>
      </c>
      <c r="L1088">
        <v>564938805</v>
      </c>
      <c r="M1088">
        <v>-284257906</v>
      </c>
      <c r="N1088">
        <v>2942327</v>
      </c>
      <c r="O1088">
        <v>177162155</v>
      </c>
      <c r="P1088">
        <v>246</v>
      </c>
      <c r="Q1088" t="s">
        <v>2460</v>
      </c>
    </row>
    <row r="1089" spans="1:17" x14ac:dyDescent="0.3">
      <c r="A1089" t="s">
        <v>17</v>
      </c>
      <c r="B1089" t="str">
        <f>"600279"</f>
        <v>600279</v>
      </c>
      <c r="C1089" t="s">
        <v>2461</v>
      </c>
      <c r="D1089" t="s">
        <v>386</v>
      </c>
      <c r="F1089">
        <v>535803607</v>
      </c>
      <c r="G1089">
        <v>772217769</v>
      </c>
      <c r="H1089">
        <v>591149083</v>
      </c>
      <c r="I1089">
        <v>495453782</v>
      </c>
      <c r="J1089">
        <v>111539426</v>
      </c>
      <c r="K1089">
        <v>-189871554</v>
      </c>
      <c r="L1089">
        <v>334320566</v>
      </c>
      <c r="M1089">
        <v>254513945</v>
      </c>
      <c r="N1089">
        <v>44102416</v>
      </c>
      <c r="O1089">
        <v>67943831</v>
      </c>
      <c r="P1089">
        <v>125</v>
      </c>
      <c r="Q1089" t="s">
        <v>2462</v>
      </c>
    </row>
    <row r="1090" spans="1:17" x14ac:dyDescent="0.3">
      <c r="A1090" t="s">
        <v>59</v>
      </c>
      <c r="B1090" t="str">
        <f>"000407"</f>
        <v>000407</v>
      </c>
      <c r="C1090" t="s">
        <v>2463</v>
      </c>
      <c r="D1090" t="s">
        <v>883</v>
      </c>
      <c r="F1090">
        <v>291309749</v>
      </c>
      <c r="G1090">
        <v>449780537</v>
      </c>
      <c r="H1090">
        <v>590797664</v>
      </c>
      <c r="I1090">
        <v>283942405</v>
      </c>
      <c r="J1090">
        <v>202159050</v>
      </c>
      <c r="K1090">
        <v>51133176</v>
      </c>
      <c r="L1090">
        <v>65493949</v>
      </c>
      <c r="M1090">
        <v>58722955</v>
      </c>
      <c r="N1090">
        <v>17112667</v>
      </c>
      <c r="O1090">
        <v>45651180</v>
      </c>
      <c r="P1090">
        <v>113</v>
      </c>
      <c r="Q1090" t="s">
        <v>2464</v>
      </c>
    </row>
    <row r="1091" spans="1:17" x14ac:dyDescent="0.3">
      <c r="A1091" t="s">
        <v>59</v>
      </c>
      <c r="B1091" t="str">
        <f>"002258"</f>
        <v>002258</v>
      </c>
      <c r="C1091" t="s">
        <v>2465</v>
      </c>
      <c r="D1091" t="s">
        <v>1356</v>
      </c>
      <c r="F1091">
        <v>1317229894</v>
      </c>
      <c r="G1091">
        <v>899001364</v>
      </c>
      <c r="H1091">
        <v>589723367</v>
      </c>
      <c r="I1091">
        <v>348038821</v>
      </c>
      <c r="J1091">
        <v>362985775</v>
      </c>
      <c r="K1091">
        <v>184861779</v>
      </c>
      <c r="L1091">
        <v>156796906</v>
      </c>
      <c r="M1091">
        <v>140335347</v>
      </c>
      <c r="N1091">
        <v>108899372</v>
      </c>
      <c r="O1091">
        <v>103306904</v>
      </c>
      <c r="P1091">
        <v>646</v>
      </c>
      <c r="Q1091" t="s">
        <v>2466</v>
      </c>
    </row>
    <row r="1092" spans="1:17" x14ac:dyDescent="0.3">
      <c r="A1092" t="s">
        <v>17</v>
      </c>
      <c r="B1092" t="str">
        <f>"600577"</f>
        <v>600577</v>
      </c>
      <c r="C1092" t="s">
        <v>2467</v>
      </c>
      <c r="D1092" t="s">
        <v>1065</v>
      </c>
      <c r="F1092">
        <v>-498187468</v>
      </c>
      <c r="G1092">
        <v>412858538</v>
      </c>
      <c r="H1092">
        <v>588352716</v>
      </c>
      <c r="I1092">
        <v>787140115</v>
      </c>
      <c r="J1092">
        <v>-432999609</v>
      </c>
      <c r="K1092">
        <v>285668630</v>
      </c>
      <c r="L1092">
        <v>837878594</v>
      </c>
      <c r="M1092">
        <v>982683636</v>
      </c>
      <c r="N1092">
        <v>-116621352</v>
      </c>
      <c r="O1092">
        <v>810384873</v>
      </c>
      <c r="P1092">
        <v>247</v>
      </c>
      <c r="Q1092" t="s">
        <v>2468</v>
      </c>
    </row>
    <row r="1093" spans="1:17" x14ac:dyDescent="0.3">
      <c r="A1093" t="s">
        <v>17</v>
      </c>
      <c r="B1093" t="str">
        <f>"688336"</f>
        <v>688336</v>
      </c>
      <c r="C1093" t="s">
        <v>2469</v>
      </c>
      <c r="D1093" t="s">
        <v>1062</v>
      </c>
      <c r="F1093">
        <v>-243791725</v>
      </c>
      <c r="G1093">
        <v>-40079053</v>
      </c>
      <c r="H1093">
        <v>587635778</v>
      </c>
      <c r="I1093">
        <v>361284001</v>
      </c>
      <c r="J1093">
        <v>235108243</v>
      </c>
      <c r="K1093">
        <v>354351519</v>
      </c>
      <c r="P1093">
        <v>52</v>
      </c>
      <c r="Q1093" t="s">
        <v>2470</v>
      </c>
    </row>
    <row r="1094" spans="1:17" x14ac:dyDescent="0.3">
      <c r="A1094" t="s">
        <v>59</v>
      </c>
      <c r="B1094" t="str">
        <f>"000822"</f>
        <v>000822</v>
      </c>
      <c r="C1094" t="s">
        <v>2471</v>
      </c>
      <c r="D1094" t="s">
        <v>1310</v>
      </c>
      <c r="F1094">
        <v>940853473</v>
      </c>
      <c r="G1094">
        <v>-496752357</v>
      </c>
      <c r="H1094">
        <v>587394507</v>
      </c>
      <c r="I1094">
        <v>327660827</v>
      </c>
      <c r="J1094">
        <v>-44609970</v>
      </c>
      <c r="K1094">
        <v>287706028</v>
      </c>
      <c r="L1094">
        <v>168596079</v>
      </c>
      <c r="M1094">
        <v>962892552</v>
      </c>
      <c r="N1094">
        <v>144713772</v>
      </c>
      <c r="O1094">
        <v>340520657</v>
      </c>
      <c r="P1094">
        <v>211</v>
      </c>
      <c r="Q1094" t="s">
        <v>2472</v>
      </c>
    </row>
    <row r="1095" spans="1:17" x14ac:dyDescent="0.3">
      <c r="A1095" t="s">
        <v>17</v>
      </c>
      <c r="B1095" t="str">
        <f>"601008"</f>
        <v>601008</v>
      </c>
      <c r="C1095" t="s">
        <v>2473</v>
      </c>
      <c r="D1095" t="s">
        <v>386</v>
      </c>
      <c r="F1095">
        <v>348810159</v>
      </c>
      <c r="G1095">
        <v>-109101314</v>
      </c>
      <c r="H1095">
        <v>587236659</v>
      </c>
      <c r="I1095">
        <v>-594480870</v>
      </c>
      <c r="J1095">
        <v>64121156</v>
      </c>
      <c r="K1095">
        <v>65450579</v>
      </c>
      <c r="L1095">
        <v>46417590</v>
      </c>
      <c r="M1095">
        <v>119624988</v>
      </c>
      <c r="N1095">
        <v>108448822</v>
      </c>
      <c r="O1095">
        <v>197350871</v>
      </c>
      <c r="P1095">
        <v>131</v>
      </c>
      <c r="Q1095" t="s">
        <v>2474</v>
      </c>
    </row>
    <row r="1096" spans="1:17" x14ac:dyDescent="0.3">
      <c r="A1096" t="s">
        <v>59</v>
      </c>
      <c r="B1096" t="str">
        <f>"300511"</f>
        <v>300511</v>
      </c>
      <c r="C1096" t="s">
        <v>2475</v>
      </c>
      <c r="D1096" t="s">
        <v>2476</v>
      </c>
      <c r="F1096">
        <v>246748490</v>
      </c>
      <c r="G1096">
        <v>555465789</v>
      </c>
      <c r="H1096">
        <v>586928418</v>
      </c>
      <c r="I1096">
        <v>406816774</v>
      </c>
      <c r="J1096">
        <v>305727002</v>
      </c>
      <c r="K1096">
        <v>317713877</v>
      </c>
      <c r="L1096">
        <v>273766018</v>
      </c>
      <c r="M1096">
        <v>253240371</v>
      </c>
      <c r="N1096">
        <v>235069408</v>
      </c>
      <c r="P1096">
        <v>301</v>
      </c>
      <c r="Q1096" t="s">
        <v>2477</v>
      </c>
    </row>
    <row r="1097" spans="1:17" x14ac:dyDescent="0.3">
      <c r="A1097" t="s">
        <v>17</v>
      </c>
      <c r="B1097" t="str">
        <f>"603639"</f>
        <v>603639</v>
      </c>
      <c r="C1097" t="s">
        <v>2478</v>
      </c>
      <c r="D1097" t="s">
        <v>1356</v>
      </c>
      <c r="F1097">
        <v>438414772</v>
      </c>
      <c r="G1097">
        <v>587508248</v>
      </c>
      <c r="H1097">
        <v>586577103</v>
      </c>
      <c r="I1097">
        <v>244307283</v>
      </c>
      <c r="J1097">
        <v>-59699334</v>
      </c>
      <c r="K1097">
        <v>270060030</v>
      </c>
      <c r="L1097">
        <v>128341332</v>
      </c>
      <c r="M1097">
        <v>134575074</v>
      </c>
      <c r="N1097">
        <v>153622059</v>
      </c>
      <c r="P1097">
        <v>1565</v>
      </c>
      <c r="Q1097" t="s">
        <v>2479</v>
      </c>
    </row>
    <row r="1098" spans="1:17" x14ac:dyDescent="0.3">
      <c r="A1098" t="s">
        <v>17</v>
      </c>
      <c r="B1098" t="str">
        <f>"688111"</f>
        <v>688111</v>
      </c>
      <c r="C1098" t="s">
        <v>2480</v>
      </c>
      <c r="D1098" t="s">
        <v>789</v>
      </c>
      <c r="F1098">
        <v>1864300475</v>
      </c>
      <c r="G1098">
        <v>1514423730</v>
      </c>
      <c r="H1098">
        <v>585691497</v>
      </c>
      <c r="I1098">
        <v>418097821</v>
      </c>
      <c r="J1098">
        <v>346774940</v>
      </c>
      <c r="K1098">
        <v>137500096</v>
      </c>
      <c r="L1098">
        <v>55320700</v>
      </c>
      <c r="P1098">
        <v>964</v>
      </c>
      <c r="Q1098" t="s">
        <v>2481</v>
      </c>
    </row>
    <row r="1099" spans="1:17" x14ac:dyDescent="0.3">
      <c r="A1099" t="s">
        <v>59</v>
      </c>
      <c r="B1099" t="str">
        <f>"300529"</f>
        <v>300529</v>
      </c>
      <c r="C1099" t="s">
        <v>2482</v>
      </c>
      <c r="D1099" t="s">
        <v>1036</v>
      </c>
      <c r="F1099">
        <v>1249414597</v>
      </c>
      <c r="G1099">
        <v>957488770</v>
      </c>
      <c r="H1099">
        <v>583495276</v>
      </c>
      <c r="I1099">
        <v>384076786</v>
      </c>
      <c r="J1099">
        <v>304095589</v>
      </c>
      <c r="K1099">
        <v>178635457</v>
      </c>
      <c r="L1099">
        <v>205178112</v>
      </c>
      <c r="M1099">
        <v>137354216</v>
      </c>
      <c r="N1099">
        <v>133325812</v>
      </c>
      <c r="P1099">
        <v>5945</v>
      </c>
      <c r="Q1099" t="s">
        <v>2483</v>
      </c>
    </row>
    <row r="1100" spans="1:17" x14ac:dyDescent="0.3">
      <c r="A1100" t="s">
        <v>59</v>
      </c>
      <c r="B1100" t="str">
        <f>"300134"</f>
        <v>300134</v>
      </c>
      <c r="C1100" t="s">
        <v>2484</v>
      </c>
      <c r="D1100" t="s">
        <v>352</v>
      </c>
      <c r="F1100">
        <v>27368067</v>
      </c>
      <c r="G1100">
        <v>157586095</v>
      </c>
      <c r="H1100">
        <v>583462619</v>
      </c>
      <c r="I1100">
        <v>49279894</v>
      </c>
      <c r="J1100">
        <v>106202295</v>
      </c>
      <c r="K1100">
        <v>338357460</v>
      </c>
      <c r="L1100">
        <v>140999698</v>
      </c>
      <c r="M1100">
        <v>475708465</v>
      </c>
      <c r="N1100">
        <v>219849861</v>
      </c>
      <c r="O1100">
        <v>-129258994</v>
      </c>
      <c r="P1100">
        <v>342</v>
      </c>
      <c r="Q1100" t="s">
        <v>2485</v>
      </c>
    </row>
    <row r="1101" spans="1:17" x14ac:dyDescent="0.3">
      <c r="A1101" t="s">
        <v>17</v>
      </c>
      <c r="B1101" t="str">
        <f>"600662"</f>
        <v>600662</v>
      </c>
      <c r="C1101" t="s">
        <v>2486</v>
      </c>
      <c r="D1101" t="s">
        <v>2487</v>
      </c>
      <c r="F1101">
        <v>2119060731</v>
      </c>
      <c r="G1101">
        <v>443483857</v>
      </c>
      <c r="H1101">
        <v>582829603</v>
      </c>
      <c r="I1101">
        <v>612229602</v>
      </c>
      <c r="J1101">
        <v>808740771</v>
      </c>
      <c r="K1101">
        <v>1083533648</v>
      </c>
      <c r="L1101">
        <v>842695444</v>
      </c>
      <c r="M1101">
        <v>724684067</v>
      </c>
      <c r="N1101">
        <v>1009876396</v>
      </c>
      <c r="O1101">
        <v>482492018</v>
      </c>
      <c r="P1101">
        <v>130</v>
      </c>
      <c r="Q1101" t="s">
        <v>2488</v>
      </c>
    </row>
    <row r="1102" spans="1:17" x14ac:dyDescent="0.3">
      <c r="A1102" t="s">
        <v>17</v>
      </c>
      <c r="B1102" t="str">
        <f>"600532"</f>
        <v>600532</v>
      </c>
      <c r="C1102" t="s">
        <v>2489</v>
      </c>
      <c r="D1102" t="s">
        <v>54</v>
      </c>
      <c r="G1102">
        <v>679519452</v>
      </c>
      <c r="H1102">
        <v>580849756</v>
      </c>
      <c r="I1102">
        <v>-743733338</v>
      </c>
      <c r="J1102">
        <v>15861928</v>
      </c>
      <c r="K1102">
        <v>102846994</v>
      </c>
      <c r="L1102">
        <v>-98812696</v>
      </c>
      <c r="M1102">
        <v>201235104</v>
      </c>
      <c r="N1102">
        <v>-48428133</v>
      </c>
      <c r="O1102">
        <v>21012991</v>
      </c>
      <c r="P1102">
        <v>91</v>
      </c>
      <c r="Q1102" t="s">
        <v>2490</v>
      </c>
    </row>
    <row r="1103" spans="1:17" x14ac:dyDescent="0.3">
      <c r="A1103" t="s">
        <v>59</v>
      </c>
      <c r="B1103" t="str">
        <f>"000040"</f>
        <v>000040</v>
      </c>
      <c r="C1103" t="s">
        <v>2491</v>
      </c>
      <c r="D1103" t="s">
        <v>1119</v>
      </c>
      <c r="F1103">
        <v>257751864</v>
      </c>
      <c r="G1103">
        <v>547736979</v>
      </c>
      <c r="H1103">
        <v>580734728</v>
      </c>
      <c r="I1103">
        <v>-3833258264</v>
      </c>
      <c r="J1103">
        <v>152748165</v>
      </c>
      <c r="K1103">
        <v>-283357624</v>
      </c>
      <c r="L1103">
        <v>191013163</v>
      </c>
      <c r="M1103">
        <v>-68125407</v>
      </c>
      <c r="N1103">
        <v>-471653897</v>
      </c>
      <c r="O1103">
        <v>-318673885</v>
      </c>
      <c r="P1103">
        <v>220</v>
      </c>
      <c r="Q1103" t="s">
        <v>2492</v>
      </c>
    </row>
    <row r="1104" spans="1:17" x14ac:dyDescent="0.3">
      <c r="A1104" t="s">
        <v>17</v>
      </c>
      <c r="B1104" t="str">
        <f>"603103"</f>
        <v>603103</v>
      </c>
      <c r="C1104" t="s">
        <v>2493</v>
      </c>
      <c r="D1104" t="s">
        <v>1102</v>
      </c>
      <c r="F1104">
        <v>652553344</v>
      </c>
      <c r="G1104">
        <v>-9942120</v>
      </c>
      <c r="H1104">
        <v>580625358</v>
      </c>
      <c r="I1104">
        <v>666573693</v>
      </c>
      <c r="J1104">
        <v>611698000</v>
      </c>
      <c r="K1104">
        <v>580086688</v>
      </c>
      <c r="L1104">
        <v>816366826</v>
      </c>
      <c r="M1104">
        <v>222676005</v>
      </c>
      <c r="P1104">
        <v>240</v>
      </c>
      <c r="Q1104" t="s">
        <v>2494</v>
      </c>
    </row>
    <row r="1105" spans="1:17" x14ac:dyDescent="0.3">
      <c r="A1105" t="s">
        <v>17</v>
      </c>
      <c r="B1105" t="str">
        <f>"601908"</f>
        <v>601908</v>
      </c>
      <c r="C1105" t="s">
        <v>2495</v>
      </c>
      <c r="D1105" t="s">
        <v>1119</v>
      </c>
      <c r="F1105">
        <v>694297908</v>
      </c>
      <c r="G1105">
        <v>370785344</v>
      </c>
      <c r="H1105">
        <v>580211778</v>
      </c>
      <c r="I1105">
        <v>313215217</v>
      </c>
      <c r="J1105">
        <v>1099411723</v>
      </c>
      <c r="K1105">
        <v>482885940</v>
      </c>
      <c r="L1105">
        <v>-260031108</v>
      </c>
      <c r="M1105">
        <v>-324535105</v>
      </c>
      <c r="N1105">
        <v>-95414984</v>
      </c>
      <c r="O1105">
        <v>362547844</v>
      </c>
      <c r="P1105">
        <v>318</v>
      </c>
      <c r="Q1105" t="s">
        <v>2496</v>
      </c>
    </row>
    <row r="1106" spans="1:17" x14ac:dyDescent="0.3">
      <c r="A1106" t="s">
        <v>59</v>
      </c>
      <c r="B1106" t="str">
        <f>"300233"</f>
        <v>300233</v>
      </c>
      <c r="C1106" t="s">
        <v>2497</v>
      </c>
      <c r="D1106" t="s">
        <v>592</v>
      </c>
      <c r="F1106">
        <v>437185450</v>
      </c>
      <c r="G1106">
        <v>546126322</v>
      </c>
      <c r="H1106">
        <v>577983378</v>
      </c>
      <c r="I1106">
        <v>352196534</v>
      </c>
      <c r="J1106">
        <v>151829060</v>
      </c>
      <c r="K1106">
        <v>241482127</v>
      </c>
      <c r="L1106">
        <v>207917945</v>
      </c>
      <c r="M1106">
        <v>219455484</v>
      </c>
      <c r="N1106">
        <v>93921980</v>
      </c>
      <c r="O1106">
        <v>86605849</v>
      </c>
      <c r="P1106">
        <v>202</v>
      </c>
      <c r="Q1106" t="s">
        <v>2498</v>
      </c>
    </row>
    <row r="1107" spans="1:17" x14ac:dyDescent="0.3">
      <c r="A1107" t="s">
        <v>17</v>
      </c>
      <c r="B1107" t="str">
        <f>"688055"</f>
        <v>688055</v>
      </c>
      <c r="C1107" t="s">
        <v>2499</v>
      </c>
      <c r="D1107" t="s">
        <v>139</v>
      </c>
      <c r="F1107">
        <v>858814770</v>
      </c>
      <c r="G1107">
        <v>288768970</v>
      </c>
      <c r="H1107">
        <v>577791918</v>
      </c>
      <c r="I1107">
        <v>635348532</v>
      </c>
      <c r="J1107">
        <v>1384063842</v>
      </c>
      <c r="K1107">
        <v>1788695640</v>
      </c>
      <c r="P1107">
        <v>76</v>
      </c>
      <c r="Q1107" t="s">
        <v>2500</v>
      </c>
    </row>
    <row r="1108" spans="1:17" x14ac:dyDescent="0.3">
      <c r="A1108" t="s">
        <v>59</v>
      </c>
      <c r="B1108" t="str">
        <f>"002273"</f>
        <v>002273</v>
      </c>
      <c r="C1108" t="s">
        <v>2501</v>
      </c>
      <c r="D1108" t="s">
        <v>692</v>
      </c>
      <c r="F1108">
        <v>708944375</v>
      </c>
      <c r="G1108">
        <v>543240356</v>
      </c>
      <c r="H1108">
        <v>577075227</v>
      </c>
      <c r="I1108">
        <v>448718009</v>
      </c>
      <c r="J1108">
        <v>358872870</v>
      </c>
      <c r="K1108">
        <v>330634206</v>
      </c>
      <c r="L1108">
        <v>212346508</v>
      </c>
      <c r="M1108">
        <v>149684735</v>
      </c>
      <c r="N1108">
        <v>93197197</v>
      </c>
      <c r="O1108">
        <v>176743144</v>
      </c>
      <c r="P1108">
        <v>949</v>
      </c>
      <c r="Q1108" t="s">
        <v>2502</v>
      </c>
    </row>
    <row r="1109" spans="1:17" x14ac:dyDescent="0.3">
      <c r="A1109" t="s">
        <v>17</v>
      </c>
      <c r="B1109" t="str">
        <f>"603345"</f>
        <v>603345</v>
      </c>
      <c r="C1109" t="s">
        <v>2503</v>
      </c>
      <c r="D1109" t="s">
        <v>2504</v>
      </c>
      <c r="F1109">
        <v>538203779</v>
      </c>
      <c r="G1109">
        <v>664887101</v>
      </c>
      <c r="H1109">
        <v>576571947</v>
      </c>
      <c r="I1109">
        <v>295850939</v>
      </c>
      <c r="J1109">
        <v>354745629</v>
      </c>
      <c r="K1109">
        <v>216664921</v>
      </c>
      <c r="L1109">
        <v>377280266</v>
      </c>
      <c r="M1109">
        <v>292986739</v>
      </c>
      <c r="N1109">
        <v>143669929</v>
      </c>
      <c r="P1109">
        <v>1174</v>
      </c>
      <c r="Q1109" t="s">
        <v>2505</v>
      </c>
    </row>
    <row r="1110" spans="1:17" x14ac:dyDescent="0.3">
      <c r="A1110" t="s">
        <v>59</v>
      </c>
      <c r="B1110" t="str">
        <f>"002301"</f>
        <v>002301</v>
      </c>
      <c r="C1110" t="s">
        <v>2506</v>
      </c>
      <c r="D1110" t="s">
        <v>1657</v>
      </c>
      <c r="F1110">
        <v>212276387</v>
      </c>
      <c r="G1110">
        <v>587000195</v>
      </c>
      <c r="H1110">
        <v>576570950</v>
      </c>
      <c r="I1110">
        <v>398443170</v>
      </c>
      <c r="J1110">
        <v>-164212597</v>
      </c>
      <c r="K1110">
        <v>367570401</v>
      </c>
      <c r="L1110">
        <v>-40323608</v>
      </c>
      <c r="M1110">
        <v>76779181</v>
      </c>
      <c r="N1110">
        <v>-53223530</v>
      </c>
      <c r="O1110">
        <v>56780970</v>
      </c>
      <c r="P1110">
        <v>202</v>
      </c>
      <c r="Q1110" t="s">
        <v>2507</v>
      </c>
    </row>
    <row r="1111" spans="1:17" x14ac:dyDescent="0.3">
      <c r="A1111" t="s">
        <v>17</v>
      </c>
      <c r="B1111" t="str">
        <f>"688396"</f>
        <v>688396</v>
      </c>
      <c r="C1111" t="s">
        <v>2508</v>
      </c>
      <c r="D1111" t="s">
        <v>325</v>
      </c>
      <c r="F1111">
        <v>3454432398</v>
      </c>
      <c r="G1111">
        <v>1832059827</v>
      </c>
      <c r="H1111">
        <v>576258618</v>
      </c>
      <c r="I1111">
        <v>1482630181</v>
      </c>
      <c r="J1111">
        <v>1667456151</v>
      </c>
      <c r="K1111">
        <v>1103415352</v>
      </c>
      <c r="P1111">
        <v>495</v>
      </c>
      <c r="Q1111" t="s">
        <v>2509</v>
      </c>
    </row>
    <row r="1112" spans="1:17" x14ac:dyDescent="0.3">
      <c r="A1112" t="s">
        <v>59</v>
      </c>
      <c r="B1112" t="str">
        <f>"002300"</f>
        <v>002300</v>
      </c>
      <c r="C1112" t="s">
        <v>2510</v>
      </c>
      <c r="D1112" t="s">
        <v>1065</v>
      </c>
      <c r="F1112">
        <v>203459882</v>
      </c>
      <c r="G1112">
        <v>316805477</v>
      </c>
      <c r="H1112">
        <v>576045633</v>
      </c>
      <c r="I1112">
        <v>-131934329</v>
      </c>
      <c r="J1112">
        <v>224099760</v>
      </c>
      <c r="K1112">
        <v>385640934</v>
      </c>
      <c r="L1112">
        <v>211153657</v>
      </c>
      <c r="M1112">
        <v>467563461</v>
      </c>
      <c r="N1112">
        <v>366562295</v>
      </c>
      <c r="O1112">
        <v>256076672</v>
      </c>
      <c r="P1112">
        <v>125</v>
      </c>
      <c r="Q1112" t="s">
        <v>2511</v>
      </c>
    </row>
    <row r="1113" spans="1:17" x14ac:dyDescent="0.3">
      <c r="A1113" t="s">
        <v>17</v>
      </c>
      <c r="B1113" t="str">
        <f>"603920"</f>
        <v>603920</v>
      </c>
      <c r="C1113" t="s">
        <v>2512</v>
      </c>
      <c r="D1113" t="s">
        <v>539</v>
      </c>
      <c r="F1113">
        <v>296548534</v>
      </c>
      <c r="G1113">
        <v>499235266</v>
      </c>
      <c r="H1113">
        <v>575904296</v>
      </c>
      <c r="I1113">
        <v>257384299</v>
      </c>
      <c r="J1113">
        <v>138573608</v>
      </c>
      <c r="K1113">
        <v>272464799</v>
      </c>
      <c r="L1113">
        <v>219650757</v>
      </c>
      <c r="M1113">
        <v>271602694</v>
      </c>
      <c r="P1113">
        <v>267</v>
      </c>
      <c r="Q1113" t="s">
        <v>2513</v>
      </c>
    </row>
    <row r="1114" spans="1:17" x14ac:dyDescent="0.3">
      <c r="A1114" t="s">
        <v>17</v>
      </c>
      <c r="B1114" t="str">
        <f>"603979"</f>
        <v>603979</v>
      </c>
      <c r="C1114" t="s">
        <v>2514</v>
      </c>
      <c r="D1114" t="s">
        <v>199</v>
      </c>
      <c r="F1114">
        <v>688573901</v>
      </c>
      <c r="G1114">
        <v>459952774</v>
      </c>
      <c r="H1114">
        <v>574741908</v>
      </c>
      <c r="I1114">
        <v>182230898</v>
      </c>
      <c r="J1114">
        <v>126088116</v>
      </c>
      <c r="K1114">
        <v>242883406</v>
      </c>
      <c r="L1114">
        <v>-180820434</v>
      </c>
      <c r="M1114">
        <v>76156815</v>
      </c>
      <c r="N1114">
        <v>115913819</v>
      </c>
      <c r="O1114">
        <v>139920549</v>
      </c>
      <c r="P1114">
        <v>122</v>
      </c>
      <c r="Q1114" t="s">
        <v>2515</v>
      </c>
    </row>
    <row r="1115" spans="1:17" x14ac:dyDescent="0.3">
      <c r="A1115" t="s">
        <v>59</v>
      </c>
      <c r="B1115" t="str">
        <f>"002225"</f>
        <v>002225</v>
      </c>
      <c r="C1115" t="s">
        <v>2516</v>
      </c>
      <c r="D1115" t="s">
        <v>2517</v>
      </c>
      <c r="F1115">
        <v>-189510273</v>
      </c>
      <c r="G1115">
        <v>483444069</v>
      </c>
      <c r="H1115">
        <v>574378476</v>
      </c>
      <c r="I1115">
        <v>471025909</v>
      </c>
      <c r="J1115">
        <v>119874903</v>
      </c>
      <c r="K1115">
        <v>175894290</v>
      </c>
      <c r="L1115">
        <v>-87601440</v>
      </c>
      <c r="M1115">
        <v>146514410</v>
      </c>
      <c r="N1115">
        <v>151745894</v>
      </c>
      <c r="O1115">
        <v>96165526</v>
      </c>
      <c r="P1115">
        <v>142</v>
      </c>
      <c r="Q1115" t="s">
        <v>2518</v>
      </c>
    </row>
    <row r="1116" spans="1:17" x14ac:dyDescent="0.3">
      <c r="A1116" t="s">
        <v>17</v>
      </c>
      <c r="B1116" t="str">
        <f>"605296"</f>
        <v>605296</v>
      </c>
      <c r="C1116" t="s">
        <v>2519</v>
      </c>
      <c r="D1116" t="s">
        <v>196</v>
      </c>
      <c r="F1116">
        <v>585857697</v>
      </c>
      <c r="G1116">
        <v>885828666</v>
      </c>
      <c r="H1116">
        <v>573495396</v>
      </c>
      <c r="I1116">
        <v>106193262</v>
      </c>
      <c r="J1116">
        <v>189242503</v>
      </c>
      <c r="P1116">
        <v>59</v>
      </c>
      <c r="Q1116" t="s">
        <v>2520</v>
      </c>
    </row>
    <row r="1117" spans="1:17" x14ac:dyDescent="0.3">
      <c r="A1117" t="s">
        <v>17</v>
      </c>
      <c r="B1117" t="str">
        <f>"600665"</f>
        <v>600665</v>
      </c>
      <c r="C1117" t="s">
        <v>2521</v>
      </c>
      <c r="D1117" t="s">
        <v>61</v>
      </c>
      <c r="F1117">
        <v>669379334</v>
      </c>
      <c r="G1117">
        <v>3876529049</v>
      </c>
      <c r="H1117">
        <v>571104602</v>
      </c>
      <c r="I1117">
        <v>870078642</v>
      </c>
      <c r="J1117">
        <v>-140475475</v>
      </c>
      <c r="K1117">
        <v>1365117466</v>
      </c>
      <c r="L1117">
        <v>-1399073084</v>
      </c>
      <c r="M1117">
        <v>-583401708</v>
      </c>
      <c r="N1117">
        <v>-1394406425</v>
      </c>
      <c r="O1117">
        <v>-265594710</v>
      </c>
      <c r="P1117">
        <v>455</v>
      </c>
      <c r="Q1117" t="s">
        <v>2522</v>
      </c>
    </row>
    <row r="1118" spans="1:17" x14ac:dyDescent="0.3">
      <c r="A1118" t="s">
        <v>59</v>
      </c>
      <c r="B1118" t="str">
        <f>"000850"</f>
        <v>000850</v>
      </c>
      <c r="C1118" t="s">
        <v>2523</v>
      </c>
      <c r="D1118" t="s">
        <v>1090</v>
      </c>
      <c r="F1118">
        <v>225552651</v>
      </c>
      <c r="G1118">
        <v>400288140</v>
      </c>
      <c r="H1118">
        <v>570762304</v>
      </c>
      <c r="I1118">
        <v>-69654141</v>
      </c>
      <c r="J1118">
        <v>52683939</v>
      </c>
      <c r="K1118">
        <v>209380684</v>
      </c>
      <c r="L1118">
        <v>167335220</v>
      </c>
      <c r="M1118">
        <v>-9776480</v>
      </c>
      <c r="N1118">
        <v>132959992</v>
      </c>
      <c r="O1118">
        <v>593519025</v>
      </c>
      <c r="P1118">
        <v>121</v>
      </c>
      <c r="Q1118" t="s">
        <v>2524</v>
      </c>
    </row>
    <row r="1119" spans="1:17" x14ac:dyDescent="0.3">
      <c r="A1119" t="s">
        <v>17</v>
      </c>
      <c r="B1119" t="str">
        <f>"601188"</f>
        <v>601188</v>
      </c>
      <c r="C1119" t="s">
        <v>2525</v>
      </c>
      <c r="D1119" t="s">
        <v>406</v>
      </c>
      <c r="F1119">
        <v>232523835</v>
      </c>
      <c r="G1119">
        <v>302113089</v>
      </c>
      <c r="H1119">
        <v>570436511</v>
      </c>
      <c r="I1119">
        <v>491209786</v>
      </c>
      <c r="J1119">
        <v>680900622</v>
      </c>
      <c r="K1119">
        <v>315784229</v>
      </c>
      <c r="L1119">
        <v>289722389</v>
      </c>
      <c r="M1119">
        <v>320068197</v>
      </c>
      <c r="N1119">
        <v>-94642464</v>
      </c>
      <c r="O1119">
        <v>-221196050</v>
      </c>
      <c r="P1119">
        <v>124</v>
      </c>
      <c r="Q1119" t="s">
        <v>2526</v>
      </c>
    </row>
    <row r="1120" spans="1:17" x14ac:dyDescent="0.3">
      <c r="A1120" t="s">
        <v>59</v>
      </c>
      <c r="B1120" t="str">
        <f>"300308"</f>
        <v>300308</v>
      </c>
      <c r="C1120" t="s">
        <v>2527</v>
      </c>
      <c r="D1120" t="s">
        <v>352</v>
      </c>
      <c r="F1120">
        <v>812760603</v>
      </c>
      <c r="G1120">
        <v>21688211</v>
      </c>
      <c r="H1120">
        <v>569457699</v>
      </c>
      <c r="I1120">
        <v>660013526</v>
      </c>
      <c r="J1120">
        <v>41357112</v>
      </c>
      <c r="K1120">
        <v>33833601</v>
      </c>
      <c r="L1120">
        <v>26968205</v>
      </c>
      <c r="M1120">
        <v>9114630</v>
      </c>
      <c r="N1120">
        <v>36139805</v>
      </c>
      <c r="O1120">
        <v>-13274320</v>
      </c>
      <c r="P1120">
        <v>814</v>
      </c>
      <c r="Q1120" t="s">
        <v>2528</v>
      </c>
    </row>
    <row r="1121" spans="1:17" x14ac:dyDescent="0.3">
      <c r="A1121" t="s">
        <v>17</v>
      </c>
      <c r="B1121" t="str">
        <f>"603000"</f>
        <v>603000</v>
      </c>
      <c r="C1121" t="s">
        <v>2529</v>
      </c>
      <c r="D1121" t="s">
        <v>2530</v>
      </c>
      <c r="F1121">
        <v>421442178</v>
      </c>
      <c r="G1121">
        <v>492401703</v>
      </c>
      <c r="H1121">
        <v>568358879</v>
      </c>
      <c r="I1121">
        <v>312229933</v>
      </c>
      <c r="J1121">
        <v>306335262</v>
      </c>
      <c r="K1121">
        <v>240180416</v>
      </c>
      <c r="L1121">
        <v>364992469</v>
      </c>
      <c r="M1121">
        <v>365184219</v>
      </c>
      <c r="N1121">
        <v>256727085</v>
      </c>
      <c r="O1121">
        <v>92828993</v>
      </c>
      <c r="P1121">
        <v>323</v>
      </c>
      <c r="Q1121" t="s">
        <v>2531</v>
      </c>
    </row>
    <row r="1122" spans="1:17" x14ac:dyDescent="0.3">
      <c r="A1122" t="s">
        <v>59</v>
      </c>
      <c r="B1122" t="str">
        <f>"200541"</f>
        <v>200541</v>
      </c>
      <c r="C1122" t="s">
        <v>2532</v>
      </c>
      <c r="F1122">
        <v>-338746273.93800002</v>
      </c>
      <c r="G1122">
        <v>468305884.58520001</v>
      </c>
      <c r="H1122">
        <v>568292800.70449996</v>
      </c>
      <c r="I1122">
        <v>703578753.94949996</v>
      </c>
      <c r="J1122">
        <v>259028595.83860001</v>
      </c>
      <c r="K1122">
        <v>323674300.8416</v>
      </c>
      <c r="L1122">
        <v>224803778.10929999</v>
      </c>
      <c r="M1122">
        <v>382170686.74800003</v>
      </c>
      <c r="N1122">
        <v>262436895.65939999</v>
      </c>
      <c r="O1122">
        <v>544384121.99919999</v>
      </c>
      <c r="P1122">
        <v>119</v>
      </c>
      <c r="Q1122" t="s">
        <v>2533</v>
      </c>
    </row>
    <row r="1123" spans="1:17" x14ac:dyDescent="0.3">
      <c r="A1123" t="s">
        <v>17</v>
      </c>
      <c r="B1123" t="str">
        <f>"603167"</f>
        <v>603167</v>
      </c>
      <c r="C1123" t="s">
        <v>2534</v>
      </c>
      <c r="D1123" t="s">
        <v>178</v>
      </c>
      <c r="F1123">
        <v>301034192</v>
      </c>
      <c r="G1123">
        <v>395054457</v>
      </c>
      <c r="H1123">
        <v>566755794</v>
      </c>
      <c r="I1123">
        <v>516860374</v>
      </c>
      <c r="J1123">
        <v>547457109</v>
      </c>
      <c r="K1123">
        <v>488104260</v>
      </c>
      <c r="L1123">
        <v>369421477</v>
      </c>
      <c r="M1123">
        <v>321999455</v>
      </c>
      <c r="N1123">
        <v>348764007</v>
      </c>
      <c r="O1123">
        <v>348491588</v>
      </c>
      <c r="P1123">
        <v>239</v>
      </c>
      <c r="Q1123" t="s">
        <v>2535</v>
      </c>
    </row>
    <row r="1124" spans="1:17" x14ac:dyDescent="0.3">
      <c r="A1124" t="s">
        <v>17</v>
      </c>
      <c r="B1124" t="str">
        <f>"603035"</f>
        <v>603035</v>
      </c>
      <c r="C1124" t="s">
        <v>2536</v>
      </c>
      <c r="D1124" t="s">
        <v>289</v>
      </c>
      <c r="F1124">
        <v>340530476</v>
      </c>
      <c r="G1124">
        <v>370343165</v>
      </c>
      <c r="H1124">
        <v>565609134</v>
      </c>
      <c r="I1124">
        <v>179112619</v>
      </c>
      <c r="J1124">
        <v>80690258</v>
      </c>
      <c r="K1124">
        <v>183129416</v>
      </c>
      <c r="L1124">
        <v>179974050</v>
      </c>
      <c r="M1124">
        <v>128145448</v>
      </c>
      <c r="N1124">
        <v>75266253</v>
      </c>
      <c r="P1124">
        <v>244</v>
      </c>
      <c r="Q1124" t="s">
        <v>2537</v>
      </c>
    </row>
    <row r="1125" spans="1:17" x14ac:dyDescent="0.3">
      <c r="A1125" t="s">
        <v>59</v>
      </c>
      <c r="B1125" t="str">
        <f>"003039"</f>
        <v>003039</v>
      </c>
      <c r="C1125" t="s">
        <v>2538</v>
      </c>
      <c r="D1125" t="s">
        <v>669</v>
      </c>
      <c r="F1125">
        <v>618831419</v>
      </c>
      <c r="G1125">
        <v>565986846</v>
      </c>
      <c r="H1125">
        <v>565564733</v>
      </c>
      <c r="I1125">
        <v>306787016</v>
      </c>
      <c r="J1125">
        <v>292609146</v>
      </c>
      <c r="P1125">
        <v>64</v>
      </c>
      <c r="Q1125" t="s">
        <v>2539</v>
      </c>
    </row>
    <row r="1126" spans="1:17" x14ac:dyDescent="0.3">
      <c r="A1126" t="s">
        <v>59</v>
      </c>
      <c r="B1126" t="str">
        <f>"300815"</f>
        <v>300815</v>
      </c>
      <c r="C1126" t="s">
        <v>2540</v>
      </c>
      <c r="D1126" t="s">
        <v>894</v>
      </c>
      <c r="F1126">
        <v>619773597</v>
      </c>
      <c r="G1126">
        <v>521753417</v>
      </c>
      <c r="H1126">
        <v>565008825</v>
      </c>
      <c r="I1126">
        <v>199082029</v>
      </c>
      <c r="J1126">
        <v>157558899</v>
      </c>
      <c r="K1126">
        <v>78261930</v>
      </c>
      <c r="P1126">
        <v>345</v>
      </c>
      <c r="Q1126" t="s">
        <v>2541</v>
      </c>
    </row>
    <row r="1127" spans="1:17" x14ac:dyDescent="0.3">
      <c r="A1127" t="s">
        <v>17</v>
      </c>
      <c r="B1127" t="str">
        <f>"603786"</f>
        <v>603786</v>
      </c>
      <c r="C1127" t="s">
        <v>2542</v>
      </c>
      <c r="D1127" t="s">
        <v>575</v>
      </c>
      <c r="F1127">
        <v>421148769</v>
      </c>
      <c r="G1127">
        <v>521407074</v>
      </c>
      <c r="H1127">
        <v>562452131</v>
      </c>
      <c r="I1127">
        <v>371816103</v>
      </c>
      <c r="J1127">
        <v>214718438</v>
      </c>
      <c r="K1127">
        <v>320696030</v>
      </c>
      <c r="P1127">
        <v>345</v>
      </c>
      <c r="Q1127" t="s">
        <v>2543</v>
      </c>
    </row>
    <row r="1128" spans="1:17" x14ac:dyDescent="0.3">
      <c r="A1128" t="s">
        <v>17</v>
      </c>
      <c r="B1128" t="str">
        <f>"600935"</f>
        <v>600935</v>
      </c>
      <c r="C1128" t="s">
        <v>2544</v>
      </c>
      <c r="D1128" t="s">
        <v>317</v>
      </c>
      <c r="F1128">
        <v>1232685823</v>
      </c>
      <c r="G1128">
        <v>1173895540</v>
      </c>
      <c r="H1128">
        <v>561436398</v>
      </c>
      <c r="I1128">
        <v>580860915</v>
      </c>
      <c r="J1128">
        <v>893393161</v>
      </c>
      <c r="P1128">
        <v>16</v>
      </c>
      <c r="Q1128" t="s">
        <v>2545</v>
      </c>
    </row>
    <row r="1129" spans="1:17" x14ac:dyDescent="0.3">
      <c r="A1129" t="s">
        <v>17</v>
      </c>
      <c r="B1129" t="str">
        <f>"600336"</f>
        <v>600336</v>
      </c>
      <c r="C1129" t="s">
        <v>2546</v>
      </c>
      <c r="D1129" t="s">
        <v>213</v>
      </c>
      <c r="F1129">
        <v>121534338</v>
      </c>
      <c r="G1129">
        <v>10574936</v>
      </c>
      <c r="H1129">
        <v>561328365</v>
      </c>
      <c r="I1129">
        <v>218340909</v>
      </c>
      <c r="J1129">
        <v>83726627</v>
      </c>
      <c r="K1129">
        <v>165805793</v>
      </c>
      <c r="L1129">
        <v>370348289</v>
      </c>
      <c r="M1129">
        <v>-34478495</v>
      </c>
      <c r="N1129">
        <v>237013792</v>
      </c>
      <c r="O1129">
        <v>3268345</v>
      </c>
      <c r="P1129">
        <v>223</v>
      </c>
      <c r="Q1129" t="s">
        <v>2547</v>
      </c>
    </row>
    <row r="1130" spans="1:17" x14ac:dyDescent="0.3">
      <c r="A1130" t="s">
        <v>59</v>
      </c>
      <c r="B1130" t="str">
        <f>"300037"</f>
        <v>300037</v>
      </c>
      <c r="C1130" t="s">
        <v>2548</v>
      </c>
      <c r="D1130" t="s">
        <v>1444</v>
      </c>
      <c r="F1130">
        <v>449123128</v>
      </c>
      <c r="G1130">
        <v>880534666</v>
      </c>
      <c r="H1130">
        <v>561143492</v>
      </c>
      <c r="I1130">
        <v>352059136</v>
      </c>
      <c r="J1130">
        <v>176986145</v>
      </c>
      <c r="K1130">
        <v>189345164</v>
      </c>
      <c r="L1130">
        <v>103836704</v>
      </c>
      <c r="M1130">
        <v>133066422</v>
      </c>
      <c r="N1130">
        <v>118636130</v>
      </c>
      <c r="O1130">
        <v>139239742</v>
      </c>
      <c r="P1130">
        <v>830</v>
      </c>
      <c r="Q1130" t="s">
        <v>2549</v>
      </c>
    </row>
    <row r="1131" spans="1:17" x14ac:dyDescent="0.3">
      <c r="A1131" t="s">
        <v>59</v>
      </c>
      <c r="B1131" t="str">
        <f>"002145"</f>
        <v>002145</v>
      </c>
      <c r="C1131" t="s">
        <v>2550</v>
      </c>
      <c r="D1131" t="s">
        <v>1029</v>
      </c>
      <c r="F1131">
        <v>1507466043</v>
      </c>
      <c r="G1131">
        <v>718012713</v>
      </c>
      <c r="H1131">
        <v>560242355</v>
      </c>
      <c r="I1131">
        <v>605602399</v>
      </c>
      <c r="J1131">
        <v>457762397</v>
      </c>
      <c r="K1131">
        <v>368332005</v>
      </c>
      <c r="L1131">
        <v>-557755986</v>
      </c>
      <c r="M1131">
        <v>-110220939</v>
      </c>
      <c r="N1131">
        <v>-167825904</v>
      </c>
      <c r="O1131">
        <v>-69237318</v>
      </c>
      <c r="P1131">
        <v>284</v>
      </c>
      <c r="Q1131" t="s">
        <v>2551</v>
      </c>
    </row>
    <row r="1132" spans="1:17" x14ac:dyDescent="0.3">
      <c r="A1132" t="s">
        <v>17</v>
      </c>
      <c r="B1132" t="str">
        <f>"600197"</f>
        <v>600197</v>
      </c>
      <c r="C1132" t="s">
        <v>2552</v>
      </c>
      <c r="D1132" t="s">
        <v>67</v>
      </c>
      <c r="F1132">
        <v>99984363</v>
      </c>
      <c r="G1132">
        <v>276498230</v>
      </c>
      <c r="H1132">
        <v>559934919</v>
      </c>
      <c r="I1132">
        <v>288503127</v>
      </c>
      <c r="J1132">
        <v>341912236</v>
      </c>
      <c r="K1132">
        <v>586427453</v>
      </c>
      <c r="L1132">
        <v>248978114</v>
      </c>
      <c r="M1132">
        <v>245858267</v>
      </c>
      <c r="N1132">
        <v>397420623</v>
      </c>
      <c r="O1132">
        <v>438838504</v>
      </c>
      <c r="P1132">
        <v>1080</v>
      </c>
      <c r="Q1132" t="s">
        <v>2553</v>
      </c>
    </row>
    <row r="1133" spans="1:17" x14ac:dyDescent="0.3">
      <c r="A1133" t="s">
        <v>59</v>
      </c>
      <c r="B1133" t="str">
        <f>"300682"</f>
        <v>300682</v>
      </c>
      <c r="C1133" t="s">
        <v>2554</v>
      </c>
      <c r="D1133" t="s">
        <v>1189</v>
      </c>
      <c r="F1133">
        <v>163851944</v>
      </c>
      <c r="G1133">
        <v>388171711</v>
      </c>
      <c r="H1133">
        <v>559833506</v>
      </c>
      <c r="I1133">
        <v>2641989</v>
      </c>
      <c r="J1133">
        <v>48714314</v>
      </c>
      <c r="K1133">
        <v>53658487</v>
      </c>
      <c r="L1133">
        <v>25862858</v>
      </c>
      <c r="M1133">
        <v>46773002</v>
      </c>
      <c r="P1133">
        <v>254</v>
      </c>
      <c r="Q1133" t="s">
        <v>2555</v>
      </c>
    </row>
    <row r="1134" spans="1:17" x14ac:dyDescent="0.3">
      <c r="A1134" t="s">
        <v>17</v>
      </c>
      <c r="B1134" t="str">
        <f>"600151"</f>
        <v>600151</v>
      </c>
      <c r="C1134" t="s">
        <v>2556</v>
      </c>
      <c r="D1134" t="s">
        <v>430</v>
      </c>
      <c r="F1134">
        <v>472416921</v>
      </c>
      <c r="G1134">
        <v>177794871</v>
      </c>
      <c r="H1134">
        <v>559372402</v>
      </c>
      <c r="I1134">
        <v>-176484098</v>
      </c>
      <c r="J1134">
        <v>-149667233</v>
      </c>
      <c r="K1134">
        <v>1045636403</v>
      </c>
      <c r="L1134">
        <v>123423006</v>
      </c>
      <c r="M1134">
        <v>272048702</v>
      </c>
      <c r="N1134">
        <v>114656755</v>
      </c>
      <c r="O1134">
        <v>-570777607</v>
      </c>
      <c r="P1134">
        <v>165</v>
      </c>
      <c r="Q1134" t="s">
        <v>2557</v>
      </c>
    </row>
    <row r="1135" spans="1:17" x14ac:dyDescent="0.3">
      <c r="A1135" t="s">
        <v>17</v>
      </c>
      <c r="B1135" t="str">
        <f>"603569"</f>
        <v>603569</v>
      </c>
      <c r="C1135" t="s">
        <v>2558</v>
      </c>
      <c r="D1135" t="s">
        <v>1388</v>
      </c>
      <c r="F1135">
        <v>190748686</v>
      </c>
      <c r="G1135">
        <v>652489411</v>
      </c>
      <c r="H1135">
        <v>555489677</v>
      </c>
      <c r="I1135">
        <v>-634819954</v>
      </c>
      <c r="J1135">
        <v>-46682565</v>
      </c>
      <c r="K1135">
        <v>445094432</v>
      </c>
      <c r="L1135">
        <v>348401505</v>
      </c>
      <c r="M1135">
        <v>315060796</v>
      </c>
      <c r="N1135">
        <v>222208655</v>
      </c>
      <c r="P1135">
        <v>198</v>
      </c>
      <c r="Q1135" t="s">
        <v>2559</v>
      </c>
    </row>
    <row r="1136" spans="1:17" x14ac:dyDescent="0.3">
      <c r="A1136" t="s">
        <v>59</v>
      </c>
      <c r="B1136" t="str">
        <f>"300558"</f>
        <v>300558</v>
      </c>
      <c r="C1136" t="s">
        <v>2560</v>
      </c>
      <c r="D1136" t="s">
        <v>592</v>
      </c>
      <c r="F1136">
        <v>526630893</v>
      </c>
      <c r="G1136">
        <v>646022132</v>
      </c>
      <c r="H1136">
        <v>555074095</v>
      </c>
      <c r="I1136">
        <v>286396897</v>
      </c>
      <c r="J1136">
        <v>278257561</v>
      </c>
      <c r="K1136">
        <v>407053019</v>
      </c>
      <c r="L1136">
        <v>385563833</v>
      </c>
      <c r="M1136">
        <v>277553769</v>
      </c>
      <c r="N1136">
        <v>190342025</v>
      </c>
      <c r="P1136">
        <v>756</v>
      </c>
      <c r="Q1136" t="s">
        <v>2561</v>
      </c>
    </row>
    <row r="1137" spans="1:17" x14ac:dyDescent="0.3">
      <c r="A1137" t="s">
        <v>59</v>
      </c>
      <c r="B1137" t="str">
        <f>"002243"</f>
        <v>002243</v>
      </c>
      <c r="C1137" t="s">
        <v>2562</v>
      </c>
      <c r="D1137" t="s">
        <v>2271</v>
      </c>
      <c r="F1137">
        <v>-1069422559</v>
      </c>
      <c r="G1137">
        <v>-125137461</v>
      </c>
      <c r="H1137">
        <v>555069109</v>
      </c>
      <c r="I1137">
        <v>77419469</v>
      </c>
      <c r="J1137">
        <v>60421587</v>
      </c>
      <c r="K1137">
        <v>199289073</v>
      </c>
      <c r="L1137">
        <v>137535645</v>
      </c>
      <c r="M1137">
        <v>102286522</v>
      </c>
      <c r="N1137">
        <v>126473462</v>
      </c>
      <c r="O1137">
        <v>95173248</v>
      </c>
      <c r="P1137">
        <v>155</v>
      </c>
      <c r="Q1137" t="s">
        <v>2563</v>
      </c>
    </row>
    <row r="1138" spans="1:17" x14ac:dyDescent="0.3">
      <c r="A1138" t="s">
        <v>59</v>
      </c>
      <c r="B1138" t="str">
        <f>"002397"</f>
        <v>002397</v>
      </c>
      <c r="C1138" t="s">
        <v>2564</v>
      </c>
      <c r="D1138" t="s">
        <v>1920</v>
      </c>
      <c r="F1138">
        <v>11822969</v>
      </c>
      <c r="G1138">
        <v>359927169</v>
      </c>
      <c r="H1138">
        <v>554772600</v>
      </c>
      <c r="I1138">
        <v>194037399</v>
      </c>
      <c r="J1138">
        <v>102069398</v>
      </c>
      <c r="K1138">
        <v>116482629</v>
      </c>
      <c r="L1138">
        <v>66749922</v>
      </c>
      <c r="M1138">
        <v>224856192</v>
      </c>
      <c r="N1138">
        <v>132504822</v>
      </c>
      <c r="O1138">
        <v>882898</v>
      </c>
      <c r="P1138">
        <v>109</v>
      </c>
      <c r="Q1138" t="s">
        <v>2565</v>
      </c>
    </row>
    <row r="1139" spans="1:17" x14ac:dyDescent="0.3">
      <c r="A1139" t="s">
        <v>17</v>
      </c>
      <c r="B1139" t="str">
        <f>"600526"</f>
        <v>600526</v>
      </c>
      <c r="C1139" t="s">
        <v>2566</v>
      </c>
      <c r="D1139" t="s">
        <v>1337</v>
      </c>
      <c r="F1139">
        <v>158128939</v>
      </c>
      <c r="G1139">
        <v>249960926</v>
      </c>
      <c r="H1139">
        <v>554606268</v>
      </c>
      <c r="I1139">
        <v>-30793521</v>
      </c>
      <c r="J1139">
        <v>-215011259</v>
      </c>
      <c r="K1139">
        <v>73825790</v>
      </c>
      <c r="L1139">
        <v>1860330</v>
      </c>
      <c r="M1139">
        <v>-423463141</v>
      </c>
      <c r="N1139">
        <v>-96613668</v>
      </c>
      <c r="O1139">
        <v>78243284</v>
      </c>
      <c r="P1139">
        <v>114</v>
      </c>
      <c r="Q1139" t="s">
        <v>2567</v>
      </c>
    </row>
    <row r="1140" spans="1:17" x14ac:dyDescent="0.3">
      <c r="A1140" t="s">
        <v>17</v>
      </c>
      <c r="B1140" t="str">
        <f>"603456"</f>
        <v>603456</v>
      </c>
      <c r="C1140" t="s">
        <v>2568</v>
      </c>
      <c r="D1140" t="s">
        <v>751</v>
      </c>
      <c r="F1140">
        <v>677519236</v>
      </c>
      <c r="G1140">
        <v>400392398</v>
      </c>
      <c r="H1140">
        <v>554161972</v>
      </c>
      <c r="I1140">
        <v>264782500</v>
      </c>
      <c r="J1140">
        <v>244201283</v>
      </c>
      <c r="K1140">
        <v>136646434</v>
      </c>
      <c r="L1140">
        <v>140525670</v>
      </c>
      <c r="M1140">
        <v>10167664</v>
      </c>
      <c r="N1140">
        <v>203861153</v>
      </c>
      <c r="O1140">
        <v>154281691</v>
      </c>
      <c r="P1140">
        <v>453</v>
      </c>
      <c r="Q1140" t="s">
        <v>2569</v>
      </c>
    </row>
    <row r="1141" spans="1:17" x14ac:dyDescent="0.3">
      <c r="A1141" t="s">
        <v>59</v>
      </c>
      <c r="B1141" t="str">
        <f>"000753"</f>
        <v>000753</v>
      </c>
      <c r="C1141" t="s">
        <v>2570</v>
      </c>
      <c r="D1141" t="s">
        <v>672</v>
      </c>
      <c r="F1141">
        <v>-908344211</v>
      </c>
      <c r="G1141">
        <v>294772259</v>
      </c>
      <c r="H1141">
        <v>554141122</v>
      </c>
      <c r="I1141">
        <v>12087540</v>
      </c>
      <c r="J1141">
        <v>787349995</v>
      </c>
      <c r="K1141">
        <v>162801215</v>
      </c>
      <c r="L1141">
        <v>21655735</v>
      </c>
      <c r="M1141">
        <v>-460293596</v>
      </c>
      <c r="N1141">
        <v>32671102</v>
      </c>
      <c r="O1141">
        <v>-331775234</v>
      </c>
      <c r="P1141">
        <v>85</v>
      </c>
      <c r="Q1141" t="s">
        <v>2571</v>
      </c>
    </row>
    <row r="1142" spans="1:17" x14ac:dyDescent="0.3">
      <c r="A1142" t="s">
        <v>59</v>
      </c>
      <c r="B1142" t="str">
        <f>"000768"</f>
        <v>000768</v>
      </c>
      <c r="C1142" t="s">
        <v>2572</v>
      </c>
      <c r="D1142" t="s">
        <v>448</v>
      </c>
      <c r="F1142">
        <v>-14955056597</v>
      </c>
      <c r="G1142">
        <v>2732819989</v>
      </c>
      <c r="H1142">
        <v>553466342</v>
      </c>
      <c r="I1142">
        <v>1403759370</v>
      </c>
      <c r="J1142">
        <v>1309600021</v>
      </c>
      <c r="K1142">
        <v>1421729030</v>
      </c>
      <c r="L1142">
        <v>1322287499</v>
      </c>
      <c r="M1142">
        <v>-1132583271</v>
      </c>
      <c r="N1142">
        <v>1893114186</v>
      </c>
      <c r="O1142">
        <v>-728338519</v>
      </c>
      <c r="P1142">
        <v>662</v>
      </c>
      <c r="Q1142" t="s">
        <v>2573</v>
      </c>
    </row>
    <row r="1143" spans="1:17" x14ac:dyDescent="0.3">
      <c r="A1143" t="s">
        <v>59</v>
      </c>
      <c r="B1143" t="str">
        <f>"002547"</f>
        <v>002547</v>
      </c>
      <c r="C1143" t="s">
        <v>2574</v>
      </c>
      <c r="D1143" t="s">
        <v>349</v>
      </c>
      <c r="F1143">
        <v>172111294</v>
      </c>
      <c r="G1143">
        <v>291197951</v>
      </c>
      <c r="H1143">
        <v>552780042</v>
      </c>
      <c r="I1143">
        <v>300895447</v>
      </c>
      <c r="J1143">
        <v>-36732421</v>
      </c>
      <c r="K1143">
        <v>331805718</v>
      </c>
      <c r="L1143">
        <v>156213453</v>
      </c>
      <c r="M1143">
        <v>313992623</v>
      </c>
      <c r="N1143">
        <v>-21294371</v>
      </c>
      <c r="O1143">
        <v>170759403</v>
      </c>
      <c r="P1143">
        <v>306</v>
      </c>
      <c r="Q1143" t="s">
        <v>2575</v>
      </c>
    </row>
    <row r="1144" spans="1:17" x14ac:dyDescent="0.3">
      <c r="A1144" t="s">
        <v>59</v>
      </c>
      <c r="B1144" t="str">
        <f>"000911"</f>
        <v>000911</v>
      </c>
      <c r="C1144" t="s">
        <v>2576</v>
      </c>
      <c r="D1144" t="s">
        <v>623</v>
      </c>
      <c r="F1144">
        <v>24267109</v>
      </c>
      <c r="G1144">
        <v>954061399</v>
      </c>
      <c r="H1144">
        <v>551456230</v>
      </c>
      <c r="I1144">
        <v>395242458</v>
      </c>
      <c r="J1144">
        <v>-861174310</v>
      </c>
      <c r="K1144">
        <v>375760458</v>
      </c>
      <c r="L1144">
        <v>171452197</v>
      </c>
      <c r="M1144">
        <v>-920776348</v>
      </c>
      <c r="N1144">
        <v>790906411</v>
      </c>
      <c r="O1144">
        <v>-91605900</v>
      </c>
      <c r="P1144">
        <v>334</v>
      </c>
      <c r="Q1144" t="s">
        <v>2577</v>
      </c>
    </row>
    <row r="1145" spans="1:17" x14ac:dyDescent="0.3">
      <c r="A1145" t="s">
        <v>59</v>
      </c>
      <c r="B1145" t="str">
        <f>"002489"</f>
        <v>002489</v>
      </c>
      <c r="C1145" t="s">
        <v>2578</v>
      </c>
      <c r="D1145" t="s">
        <v>972</v>
      </c>
      <c r="F1145">
        <v>-175693550</v>
      </c>
      <c r="G1145">
        <v>424499505</v>
      </c>
      <c r="H1145">
        <v>550867403</v>
      </c>
      <c r="I1145">
        <v>235687796</v>
      </c>
      <c r="J1145">
        <v>194648827</v>
      </c>
      <c r="K1145">
        <v>172695469</v>
      </c>
      <c r="L1145">
        <v>-43094994</v>
      </c>
      <c r="M1145">
        <v>-207985827</v>
      </c>
      <c r="N1145">
        <v>433359279</v>
      </c>
      <c r="O1145">
        <v>699643110</v>
      </c>
      <c r="P1145">
        <v>206</v>
      </c>
      <c r="Q1145" t="s">
        <v>2579</v>
      </c>
    </row>
    <row r="1146" spans="1:17" x14ac:dyDescent="0.3">
      <c r="A1146" t="s">
        <v>59</v>
      </c>
      <c r="B1146" t="str">
        <f>"002174"</f>
        <v>002174</v>
      </c>
      <c r="C1146" t="s">
        <v>2580</v>
      </c>
      <c r="D1146" t="s">
        <v>689</v>
      </c>
      <c r="F1146">
        <v>326517509</v>
      </c>
      <c r="G1146">
        <v>832588812</v>
      </c>
      <c r="H1146">
        <v>550437312</v>
      </c>
      <c r="I1146">
        <v>273338495</v>
      </c>
      <c r="J1146">
        <v>741508831</v>
      </c>
      <c r="K1146">
        <v>561385100</v>
      </c>
      <c r="L1146">
        <v>328465709</v>
      </c>
      <c r="M1146">
        <v>243833605</v>
      </c>
      <c r="N1146">
        <v>9821949</v>
      </c>
      <c r="O1146">
        <v>154323292</v>
      </c>
      <c r="P1146">
        <v>736</v>
      </c>
      <c r="Q1146" t="s">
        <v>2581</v>
      </c>
    </row>
    <row r="1147" spans="1:17" x14ac:dyDescent="0.3">
      <c r="A1147" t="s">
        <v>59</v>
      </c>
      <c r="B1147" t="str">
        <f>"002219"</f>
        <v>002219</v>
      </c>
      <c r="C1147" t="s">
        <v>2582</v>
      </c>
      <c r="D1147" t="s">
        <v>999</v>
      </c>
      <c r="F1147">
        <v>277294763</v>
      </c>
      <c r="G1147">
        <v>283796319</v>
      </c>
      <c r="H1147">
        <v>549512401</v>
      </c>
      <c r="I1147">
        <v>522565203</v>
      </c>
      <c r="J1147">
        <v>-204818621</v>
      </c>
      <c r="K1147">
        <v>-697374079</v>
      </c>
      <c r="L1147">
        <v>219021904</v>
      </c>
      <c r="M1147">
        <v>193353695</v>
      </c>
      <c r="N1147">
        <v>158400972</v>
      </c>
      <c r="O1147">
        <v>82705472</v>
      </c>
      <c r="P1147">
        <v>94</v>
      </c>
      <c r="Q1147" t="s">
        <v>2583</v>
      </c>
    </row>
    <row r="1148" spans="1:17" x14ac:dyDescent="0.3">
      <c r="A1148" t="s">
        <v>59</v>
      </c>
      <c r="B1148" t="str">
        <f>"000910"</f>
        <v>000910</v>
      </c>
      <c r="C1148" t="s">
        <v>2584</v>
      </c>
      <c r="D1148" t="s">
        <v>1791</v>
      </c>
      <c r="F1148">
        <v>595680144</v>
      </c>
      <c r="G1148">
        <v>885235485</v>
      </c>
      <c r="H1148">
        <v>549119768</v>
      </c>
      <c r="I1148">
        <v>1003486492</v>
      </c>
      <c r="J1148">
        <v>1189423339</v>
      </c>
      <c r="K1148">
        <v>1035768210</v>
      </c>
      <c r="L1148">
        <v>1487554398</v>
      </c>
      <c r="M1148">
        <v>1063947535</v>
      </c>
      <c r="N1148">
        <v>1206157975</v>
      </c>
      <c r="O1148">
        <v>1072050088</v>
      </c>
      <c r="P1148">
        <v>813</v>
      </c>
      <c r="Q1148" t="s">
        <v>2585</v>
      </c>
    </row>
    <row r="1149" spans="1:17" x14ac:dyDescent="0.3">
      <c r="A1149" t="s">
        <v>17</v>
      </c>
      <c r="B1149" t="str">
        <f>"900938"</f>
        <v>900938</v>
      </c>
      <c r="C1149" t="s">
        <v>2586</v>
      </c>
      <c r="G1149">
        <v>2785700159.3699999</v>
      </c>
      <c r="H1149">
        <v>546246214.79999995</v>
      </c>
      <c r="I1149">
        <v>445830423.60000002</v>
      </c>
      <c r="J1149">
        <v>-738451353.60000002</v>
      </c>
      <c r="K1149">
        <v>240364368</v>
      </c>
      <c r="L1149">
        <v>-6165574.6459999997</v>
      </c>
      <c r="M1149">
        <v>20753472.350000001</v>
      </c>
      <c r="N1149">
        <v>24429275.443999998</v>
      </c>
      <c r="O1149">
        <v>4501489.5719999997</v>
      </c>
      <c r="P1149">
        <v>12</v>
      </c>
      <c r="Q1149" t="s">
        <v>2587</v>
      </c>
    </row>
    <row r="1150" spans="1:17" x14ac:dyDescent="0.3">
      <c r="A1150" t="s">
        <v>17</v>
      </c>
      <c r="B1150" t="str">
        <f>"600496"</f>
        <v>600496</v>
      </c>
      <c r="C1150" t="s">
        <v>2588</v>
      </c>
      <c r="D1150" t="s">
        <v>1903</v>
      </c>
      <c r="F1150">
        <v>-242599848</v>
      </c>
      <c r="G1150">
        <v>424101478</v>
      </c>
      <c r="H1150">
        <v>546011757</v>
      </c>
      <c r="I1150">
        <v>-234259901</v>
      </c>
      <c r="J1150">
        <v>-567848030</v>
      </c>
      <c r="K1150">
        <v>844245262</v>
      </c>
      <c r="L1150">
        <v>464686346</v>
      </c>
      <c r="M1150">
        <v>116858970</v>
      </c>
      <c r="N1150">
        <v>-9349928</v>
      </c>
      <c r="O1150">
        <v>-362546766</v>
      </c>
      <c r="P1150">
        <v>249</v>
      </c>
      <c r="Q1150" t="s">
        <v>2589</v>
      </c>
    </row>
    <row r="1151" spans="1:17" x14ac:dyDescent="0.3">
      <c r="A1151" t="s">
        <v>59</v>
      </c>
      <c r="B1151" t="str">
        <f>"002170"</f>
        <v>002170</v>
      </c>
      <c r="C1151" t="s">
        <v>2590</v>
      </c>
      <c r="D1151" t="s">
        <v>1317</v>
      </c>
      <c r="F1151">
        <v>101449881</v>
      </c>
      <c r="G1151">
        <v>366154825</v>
      </c>
      <c r="H1151">
        <v>545767009</v>
      </c>
      <c r="I1151">
        <v>177650305</v>
      </c>
      <c r="J1151">
        <v>222323839</v>
      </c>
      <c r="K1151">
        <v>302002252</v>
      </c>
      <c r="L1151">
        <v>289548005</v>
      </c>
      <c r="M1151">
        <v>263964980</v>
      </c>
      <c r="N1151">
        <v>174344297</v>
      </c>
      <c r="O1151">
        <v>309326934</v>
      </c>
      <c r="P1151">
        <v>103</v>
      </c>
      <c r="Q1151" t="s">
        <v>2591</v>
      </c>
    </row>
    <row r="1152" spans="1:17" x14ac:dyDescent="0.3">
      <c r="A1152" t="s">
        <v>59</v>
      </c>
      <c r="B1152" t="str">
        <f>"002400"</f>
        <v>002400</v>
      </c>
      <c r="C1152" t="s">
        <v>2592</v>
      </c>
      <c r="D1152" t="s">
        <v>1889</v>
      </c>
      <c r="F1152">
        <v>595355745</v>
      </c>
      <c r="G1152">
        <v>372687842</v>
      </c>
      <c r="H1152">
        <v>544841376</v>
      </c>
      <c r="I1152">
        <v>549902209</v>
      </c>
      <c r="J1152">
        <v>352739826</v>
      </c>
      <c r="K1152">
        <v>596991891</v>
      </c>
      <c r="L1152">
        <v>265433046</v>
      </c>
      <c r="M1152">
        <v>132259959</v>
      </c>
      <c r="N1152">
        <v>121111332</v>
      </c>
      <c r="O1152">
        <v>46998320</v>
      </c>
      <c r="P1152">
        <v>328</v>
      </c>
      <c r="Q1152" t="s">
        <v>2593</v>
      </c>
    </row>
    <row r="1153" spans="1:17" x14ac:dyDescent="0.3">
      <c r="A1153" t="s">
        <v>59</v>
      </c>
      <c r="B1153" t="str">
        <f>"300735"</f>
        <v>300735</v>
      </c>
      <c r="C1153" t="s">
        <v>2594</v>
      </c>
      <c r="D1153" t="s">
        <v>349</v>
      </c>
      <c r="F1153">
        <v>-26267306</v>
      </c>
      <c r="G1153">
        <v>543462608</v>
      </c>
      <c r="H1153">
        <v>543596101</v>
      </c>
      <c r="I1153">
        <v>216941396</v>
      </c>
      <c r="J1153">
        <v>284457019</v>
      </c>
      <c r="K1153">
        <v>147457220</v>
      </c>
      <c r="L1153">
        <v>105878077</v>
      </c>
      <c r="M1153">
        <v>104877122</v>
      </c>
      <c r="P1153">
        <v>453</v>
      </c>
      <c r="Q1153" t="s">
        <v>2595</v>
      </c>
    </row>
    <row r="1154" spans="1:17" x14ac:dyDescent="0.3">
      <c r="A1154" t="s">
        <v>59</v>
      </c>
      <c r="B1154" t="str">
        <f>"002677"</f>
        <v>002677</v>
      </c>
      <c r="C1154" t="s">
        <v>2596</v>
      </c>
      <c r="D1154" t="s">
        <v>1294</v>
      </c>
      <c r="F1154">
        <v>618550452</v>
      </c>
      <c r="G1154">
        <v>633842680</v>
      </c>
      <c r="H1154">
        <v>543387261</v>
      </c>
      <c r="I1154">
        <v>441885730</v>
      </c>
      <c r="J1154">
        <v>448060978</v>
      </c>
      <c r="K1154">
        <v>266508353</v>
      </c>
      <c r="L1154">
        <v>155476278</v>
      </c>
      <c r="M1154">
        <v>129633636</v>
      </c>
      <c r="N1154">
        <v>128171787</v>
      </c>
      <c r="O1154">
        <v>108462044</v>
      </c>
      <c r="P1154">
        <v>4536</v>
      </c>
      <c r="Q1154" t="s">
        <v>2597</v>
      </c>
    </row>
    <row r="1155" spans="1:17" x14ac:dyDescent="0.3">
      <c r="A1155" t="s">
        <v>59</v>
      </c>
      <c r="B1155" t="str">
        <f>"002567"</f>
        <v>002567</v>
      </c>
      <c r="C1155" t="s">
        <v>2598</v>
      </c>
      <c r="D1155" t="s">
        <v>1128</v>
      </c>
      <c r="F1155">
        <v>-378771494</v>
      </c>
      <c r="G1155">
        <v>1045813495</v>
      </c>
      <c r="H1155">
        <v>542069996</v>
      </c>
      <c r="I1155">
        <v>562783889</v>
      </c>
      <c r="J1155">
        <v>417646482</v>
      </c>
      <c r="K1155">
        <v>355835011</v>
      </c>
      <c r="L1155">
        <v>484867011</v>
      </c>
      <c r="M1155">
        <v>215830031</v>
      </c>
      <c r="N1155">
        <v>63153248</v>
      </c>
      <c r="O1155">
        <v>282847880</v>
      </c>
      <c r="P1155">
        <v>451</v>
      </c>
      <c r="Q1155" t="s">
        <v>2599</v>
      </c>
    </row>
    <row r="1156" spans="1:17" x14ac:dyDescent="0.3">
      <c r="A1156" t="s">
        <v>59</v>
      </c>
      <c r="B1156" t="str">
        <f>"300450"</f>
        <v>300450</v>
      </c>
      <c r="C1156" t="s">
        <v>2600</v>
      </c>
      <c r="D1156" t="s">
        <v>2601</v>
      </c>
      <c r="F1156">
        <v>1343709630</v>
      </c>
      <c r="G1156">
        <v>1353058045</v>
      </c>
      <c r="H1156">
        <v>541376742</v>
      </c>
      <c r="I1156">
        <v>-47969962</v>
      </c>
      <c r="J1156">
        <v>30938365</v>
      </c>
      <c r="K1156">
        <v>105203825</v>
      </c>
      <c r="L1156">
        <v>216941820</v>
      </c>
      <c r="M1156">
        <v>93548827</v>
      </c>
      <c r="N1156">
        <v>43583338</v>
      </c>
      <c r="O1156">
        <v>-32936508</v>
      </c>
      <c r="P1156">
        <v>9753</v>
      </c>
      <c r="Q1156" t="s">
        <v>2602</v>
      </c>
    </row>
    <row r="1157" spans="1:17" x14ac:dyDescent="0.3">
      <c r="A1157" t="s">
        <v>17</v>
      </c>
      <c r="B1157" t="str">
        <f>"603508"</f>
        <v>603508</v>
      </c>
      <c r="C1157" t="s">
        <v>2603</v>
      </c>
      <c r="D1157" t="s">
        <v>344</v>
      </c>
      <c r="F1157">
        <v>65324067</v>
      </c>
      <c r="G1157">
        <v>383729620</v>
      </c>
      <c r="H1157">
        <v>540429028</v>
      </c>
      <c r="I1157">
        <v>227821921</v>
      </c>
      <c r="J1157">
        <v>146549932</v>
      </c>
      <c r="K1157">
        <v>160095665</v>
      </c>
      <c r="L1157">
        <v>213269847</v>
      </c>
      <c r="M1157">
        <v>175955807</v>
      </c>
      <c r="N1157">
        <v>48885089</v>
      </c>
      <c r="O1157">
        <v>101008845</v>
      </c>
      <c r="P1157">
        <v>219</v>
      </c>
      <c r="Q1157" t="s">
        <v>2604</v>
      </c>
    </row>
    <row r="1158" spans="1:17" x14ac:dyDescent="0.3">
      <c r="A1158" t="s">
        <v>59</v>
      </c>
      <c r="B1158" t="str">
        <f>"001313"</f>
        <v>001313</v>
      </c>
      <c r="C1158" t="s">
        <v>2605</v>
      </c>
      <c r="F1158">
        <v>629887827</v>
      </c>
      <c r="G1158">
        <v>-90857033</v>
      </c>
      <c r="H1158">
        <v>540058469</v>
      </c>
      <c r="I1158">
        <v>157681140</v>
      </c>
      <c r="J1158">
        <v>-33148647</v>
      </c>
      <c r="P1158">
        <v>10</v>
      </c>
      <c r="Q1158" t="s">
        <v>2606</v>
      </c>
    </row>
    <row r="1159" spans="1:17" x14ac:dyDescent="0.3">
      <c r="A1159" t="s">
        <v>59</v>
      </c>
      <c r="B1159" t="str">
        <f>"000918"</f>
        <v>000918</v>
      </c>
      <c r="C1159" t="s">
        <v>2607</v>
      </c>
      <c r="D1159" t="s">
        <v>61</v>
      </c>
      <c r="F1159">
        <v>511417776</v>
      </c>
      <c r="G1159">
        <v>-421704348</v>
      </c>
      <c r="H1159">
        <v>537113743</v>
      </c>
      <c r="I1159">
        <v>-779238426</v>
      </c>
      <c r="J1159">
        <v>-2663617862</v>
      </c>
      <c r="K1159">
        <v>-834837336</v>
      </c>
      <c r="L1159">
        <v>-719107666</v>
      </c>
      <c r="M1159">
        <v>-3124047019</v>
      </c>
      <c r="N1159">
        <v>-695819678</v>
      </c>
      <c r="O1159">
        <v>1633770271</v>
      </c>
      <c r="P1159">
        <v>123</v>
      </c>
      <c r="Q1159" t="s">
        <v>2608</v>
      </c>
    </row>
    <row r="1160" spans="1:17" x14ac:dyDescent="0.3">
      <c r="A1160" t="s">
        <v>59</v>
      </c>
      <c r="B1160" t="str">
        <f>"002020"</f>
        <v>002020</v>
      </c>
      <c r="C1160" t="s">
        <v>2609</v>
      </c>
      <c r="D1160" t="s">
        <v>592</v>
      </c>
      <c r="F1160">
        <v>365024285</v>
      </c>
      <c r="G1160">
        <v>513210536</v>
      </c>
      <c r="H1160">
        <v>535301257</v>
      </c>
      <c r="I1160">
        <v>523403341</v>
      </c>
      <c r="J1160">
        <v>385007181</v>
      </c>
      <c r="K1160">
        <v>252694496</v>
      </c>
      <c r="L1160">
        <v>144692819</v>
      </c>
      <c r="M1160">
        <v>210488270</v>
      </c>
      <c r="N1160">
        <v>111031750</v>
      </c>
      <c r="O1160">
        <v>60276649</v>
      </c>
      <c r="P1160">
        <v>619</v>
      </c>
      <c r="Q1160" t="s">
        <v>2610</v>
      </c>
    </row>
    <row r="1161" spans="1:17" x14ac:dyDescent="0.3">
      <c r="A1161" t="s">
        <v>59</v>
      </c>
      <c r="B1161" t="str">
        <f>"002636"</f>
        <v>002636</v>
      </c>
      <c r="C1161" t="s">
        <v>2611</v>
      </c>
      <c r="D1161" t="s">
        <v>539</v>
      </c>
      <c r="F1161">
        <v>742126022</v>
      </c>
      <c r="G1161">
        <v>432410224</v>
      </c>
      <c r="H1161">
        <v>534631652</v>
      </c>
      <c r="I1161">
        <v>441649143</v>
      </c>
      <c r="J1161">
        <v>667380108</v>
      </c>
      <c r="K1161">
        <v>541137001</v>
      </c>
      <c r="L1161">
        <v>175518946</v>
      </c>
      <c r="M1161">
        <v>97404362</v>
      </c>
      <c r="N1161">
        <v>175324633</v>
      </c>
      <c r="O1161">
        <v>188248699</v>
      </c>
      <c r="P1161">
        <v>306</v>
      </c>
      <c r="Q1161" t="s">
        <v>2612</v>
      </c>
    </row>
    <row r="1162" spans="1:17" x14ac:dyDescent="0.3">
      <c r="A1162" t="s">
        <v>59</v>
      </c>
      <c r="B1162" t="str">
        <f>"002755"</f>
        <v>002755</v>
      </c>
      <c r="C1162" t="s">
        <v>2613</v>
      </c>
      <c r="D1162" t="s">
        <v>592</v>
      </c>
      <c r="F1162">
        <v>567707651</v>
      </c>
      <c r="G1162">
        <v>580383968</v>
      </c>
      <c r="H1162">
        <v>534615974</v>
      </c>
      <c r="I1162">
        <v>497158804</v>
      </c>
      <c r="J1162">
        <v>-50301672</v>
      </c>
      <c r="K1162">
        <v>16729532</v>
      </c>
      <c r="L1162">
        <v>-802678</v>
      </c>
      <c r="M1162">
        <v>-35296991</v>
      </c>
      <c r="N1162">
        <v>-13345290</v>
      </c>
      <c r="O1162">
        <v>106470203</v>
      </c>
      <c r="P1162">
        <v>307</v>
      </c>
      <c r="Q1162" t="s">
        <v>2614</v>
      </c>
    </row>
    <row r="1163" spans="1:17" x14ac:dyDescent="0.3">
      <c r="A1163" t="s">
        <v>17</v>
      </c>
      <c r="B1163" t="str">
        <f>"688161"</f>
        <v>688161</v>
      </c>
      <c r="C1163" t="s">
        <v>2615</v>
      </c>
      <c r="D1163" t="s">
        <v>1036</v>
      </c>
      <c r="F1163">
        <v>788251165</v>
      </c>
      <c r="G1163">
        <v>644123439</v>
      </c>
      <c r="H1163">
        <v>534154275</v>
      </c>
      <c r="I1163">
        <v>324449685</v>
      </c>
      <c r="J1163">
        <v>251409199</v>
      </c>
      <c r="P1163">
        <v>101</v>
      </c>
      <c r="Q1163" t="s">
        <v>2616</v>
      </c>
    </row>
    <row r="1164" spans="1:17" x14ac:dyDescent="0.3">
      <c r="A1164" t="s">
        <v>17</v>
      </c>
      <c r="B1164" t="str">
        <f>"600986"</f>
        <v>600986</v>
      </c>
      <c r="C1164" t="s">
        <v>2617</v>
      </c>
      <c r="D1164" t="s">
        <v>1889</v>
      </c>
      <c r="F1164">
        <v>-601774242</v>
      </c>
      <c r="G1164">
        <v>-113991669</v>
      </c>
      <c r="H1164">
        <v>533328869</v>
      </c>
      <c r="I1164">
        <v>6679533</v>
      </c>
      <c r="J1164">
        <v>-25235791</v>
      </c>
      <c r="K1164">
        <v>701136277</v>
      </c>
      <c r="L1164">
        <v>476125458</v>
      </c>
      <c r="M1164">
        <v>6279725</v>
      </c>
      <c r="N1164">
        <v>-508196901</v>
      </c>
      <c r="O1164">
        <v>70884641</v>
      </c>
      <c r="P1164">
        <v>239</v>
      </c>
      <c r="Q1164" t="s">
        <v>2618</v>
      </c>
    </row>
    <row r="1165" spans="1:17" x14ac:dyDescent="0.3">
      <c r="A1165" t="s">
        <v>59</v>
      </c>
      <c r="B1165" t="str">
        <f>"002124"</f>
        <v>002124</v>
      </c>
      <c r="C1165" t="s">
        <v>2619</v>
      </c>
      <c r="D1165" t="s">
        <v>196</v>
      </c>
      <c r="F1165">
        <v>-555707470</v>
      </c>
      <c r="G1165">
        <v>4453081509</v>
      </c>
      <c r="H1165">
        <v>531939240</v>
      </c>
      <c r="I1165">
        <v>189959340</v>
      </c>
      <c r="J1165">
        <v>334798272</v>
      </c>
      <c r="K1165">
        <v>513017984</v>
      </c>
      <c r="L1165">
        <v>220548411</v>
      </c>
      <c r="M1165">
        <v>85228226</v>
      </c>
      <c r="N1165">
        <v>183028802</v>
      </c>
      <c r="O1165">
        <v>104935079</v>
      </c>
      <c r="P1165">
        <v>922</v>
      </c>
      <c r="Q1165" t="s">
        <v>2620</v>
      </c>
    </row>
    <row r="1166" spans="1:17" x14ac:dyDescent="0.3">
      <c r="A1166" t="s">
        <v>59</v>
      </c>
      <c r="B1166" t="str">
        <f>"002568"</f>
        <v>002568</v>
      </c>
      <c r="C1166" t="s">
        <v>2621</v>
      </c>
      <c r="D1166" t="s">
        <v>1964</v>
      </c>
      <c r="F1166">
        <v>869213521</v>
      </c>
      <c r="G1166">
        <v>723366906</v>
      </c>
      <c r="H1166">
        <v>530492224</v>
      </c>
      <c r="I1166">
        <v>342336665</v>
      </c>
      <c r="J1166">
        <v>244919327</v>
      </c>
      <c r="K1166">
        <v>-263263111</v>
      </c>
      <c r="L1166">
        <v>383295303</v>
      </c>
      <c r="M1166">
        <v>58686141</v>
      </c>
      <c r="N1166">
        <v>56193658</v>
      </c>
      <c r="O1166">
        <v>78684845</v>
      </c>
      <c r="P1166">
        <v>1074</v>
      </c>
      <c r="Q1166" t="s">
        <v>2622</v>
      </c>
    </row>
    <row r="1167" spans="1:17" x14ac:dyDescent="0.3">
      <c r="A1167" t="s">
        <v>59</v>
      </c>
      <c r="B1167" t="str">
        <f>"002616"</f>
        <v>002616</v>
      </c>
      <c r="C1167" t="s">
        <v>2623</v>
      </c>
      <c r="D1167" t="s">
        <v>2624</v>
      </c>
      <c r="F1167">
        <v>86661523</v>
      </c>
      <c r="G1167">
        <v>246128727</v>
      </c>
      <c r="H1167">
        <v>529589426</v>
      </c>
      <c r="I1167">
        <v>699991829</v>
      </c>
      <c r="J1167">
        <v>28035481</v>
      </c>
      <c r="K1167">
        <v>298330030</v>
      </c>
      <c r="L1167">
        <v>135508303</v>
      </c>
      <c r="M1167">
        <v>118336323</v>
      </c>
      <c r="N1167">
        <v>167212605</v>
      </c>
      <c r="O1167">
        <v>25267227</v>
      </c>
      <c r="P1167">
        <v>202</v>
      </c>
      <c r="Q1167" t="s">
        <v>2625</v>
      </c>
    </row>
    <row r="1168" spans="1:17" x14ac:dyDescent="0.3">
      <c r="A1168" t="s">
        <v>59</v>
      </c>
      <c r="B1168" t="str">
        <f>"000970"</f>
        <v>000970</v>
      </c>
      <c r="C1168" t="s">
        <v>2626</v>
      </c>
      <c r="D1168" t="s">
        <v>2132</v>
      </c>
      <c r="F1168">
        <v>-653504539</v>
      </c>
      <c r="G1168">
        <v>155606423</v>
      </c>
      <c r="H1168">
        <v>529147678</v>
      </c>
      <c r="I1168">
        <v>213929802</v>
      </c>
      <c r="J1168">
        <v>-28543234</v>
      </c>
      <c r="K1168">
        <v>346237028</v>
      </c>
      <c r="L1168">
        <v>433524770</v>
      </c>
      <c r="M1168">
        <v>238577141</v>
      </c>
      <c r="N1168">
        <v>410360356</v>
      </c>
      <c r="O1168">
        <v>1856090030</v>
      </c>
      <c r="P1168">
        <v>364</v>
      </c>
      <c r="Q1168" t="s">
        <v>2627</v>
      </c>
    </row>
    <row r="1169" spans="1:17" x14ac:dyDescent="0.3">
      <c r="A1169" t="s">
        <v>59</v>
      </c>
      <c r="B1169" t="str">
        <f>"002053"</f>
        <v>002053</v>
      </c>
      <c r="C1169" t="s">
        <v>2628</v>
      </c>
      <c r="D1169" t="s">
        <v>1241</v>
      </c>
      <c r="F1169">
        <v>556937222</v>
      </c>
      <c r="G1169">
        <v>549505580</v>
      </c>
      <c r="H1169">
        <v>528618072</v>
      </c>
      <c r="I1169">
        <v>177234657</v>
      </c>
      <c r="J1169">
        <v>51827899</v>
      </c>
      <c r="K1169">
        <v>432112500</v>
      </c>
      <c r="L1169">
        <v>328821490</v>
      </c>
      <c r="M1169">
        <v>254414190</v>
      </c>
      <c r="N1169">
        <v>207682137</v>
      </c>
      <c r="O1169">
        <v>159288761</v>
      </c>
      <c r="P1169">
        <v>105</v>
      </c>
      <c r="Q1169" t="s">
        <v>2629</v>
      </c>
    </row>
    <row r="1170" spans="1:17" x14ac:dyDescent="0.3">
      <c r="A1170" t="s">
        <v>59</v>
      </c>
      <c r="B1170" t="str">
        <f>"002153"</f>
        <v>002153</v>
      </c>
      <c r="C1170" t="s">
        <v>2630</v>
      </c>
      <c r="D1170" t="s">
        <v>1528</v>
      </c>
      <c r="F1170">
        <v>215884559</v>
      </c>
      <c r="G1170">
        <v>203947057</v>
      </c>
      <c r="H1170">
        <v>528066977</v>
      </c>
      <c r="I1170">
        <v>499339508</v>
      </c>
      <c r="J1170">
        <v>513062230</v>
      </c>
      <c r="K1170">
        <v>613237761</v>
      </c>
      <c r="L1170">
        <v>338309932</v>
      </c>
      <c r="M1170">
        <v>484459917</v>
      </c>
      <c r="N1170">
        <v>393188251</v>
      </c>
      <c r="O1170">
        <v>317474582</v>
      </c>
      <c r="P1170">
        <v>679</v>
      </c>
      <c r="Q1170" t="s">
        <v>2631</v>
      </c>
    </row>
    <row r="1171" spans="1:17" x14ac:dyDescent="0.3">
      <c r="A1171" t="s">
        <v>59</v>
      </c>
      <c r="B1171" t="str">
        <f>"300347"</f>
        <v>300347</v>
      </c>
      <c r="C1171" t="s">
        <v>2632</v>
      </c>
      <c r="D1171" t="s">
        <v>751</v>
      </c>
      <c r="F1171">
        <v>1423796250</v>
      </c>
      <c r="G1171">
        <v>998675097</v>
      </c>
      <c r="H1171">
        <v>527557936</v>
      </c>
      <c r="I1171">
        <v>522242719</v>
      </c>
      <c r="J1171">
        <v>314970862</v>
      </c>
      <c r="K1171">
        <v>191910992</v>
      </c>
      <c r="L1171">
        <v>185732093</v>
      </c>
      <c r="M1171">
        <v>43660897</v>
      </c>
      <c r="N1171">
        <v>77099586</v>
      </c>
      <c r="O1171">
        <v>14982519</v>
      </c>
      <c r="P1171">
        <v>3109</v>
      </c>
      <c r="Q1171" t="s">
        <v>2633</v>
      </c>
    </row>
    <row r="1172" spans="1:17" x14ac:dyDescent="0.3">
      <c r="A1172" t="s">
        <v>59</v>
      </c>
      <c r="B1172" t="str">
        <f>"002003"</f>
        <v>002003</v>
      </c>
      <c r="C1172" t="s">
        <v>2634</v>
      </c>
      <c r="D1172" t="s">
        <v>2635</v>
      </c>
      <c r="F1172">
        <v>634433493</v>
      </c>
      <c r="G1172">
        <v>609558812</v>
      </c>
      <c r="H1172">
        <v>527553564</v>
      </c>
      <c r="I1172">
        <v>431937717</v>
      </c>
      <c r="J1172">
        <v>518643896</v>
      </c>
      <c r="K1172">
        <v>334690530</v>
      </c>
      <c r="L1172">
        <v>338950580</v>
      </c>
      <c r="M1172">
        <v>331787476</v>
      </c>
      <c r="N1172">
        <v>354528012</v>
      </c>
      <c r="O1172">
        <v>403749273</v>
      </c>
      <c r="P1172">
        <v>761</v>
      </c>
      <c r="Q1172" t="s">
        <v>2636</v>
      </c>
    </row>
    <row r="1173" spans="1:17" x14ac:dyDescent="0.3">
      <c r="A1173" t="s">
        <v>59</v>
      </c>
      <c r="B1173" t="str">
        <f>"000669"</f>
        <v>000669</v>
      </c>
      <c r="C1173" t="s">
        <v>2637</v>
      </c>
      <c r="D1173" t="s">
        <v>883</v>
      </c>
      <c r="F1173">
        <v>222108907</v>
      </c>
      <c r="G1173">
        <v>363689965</v>
      </c>
      <c r="H1173">
        <v>526409238</v>
      </c>
      <c r="I1173">
        <v>920555871</v>
      </c>
      <c r="J1173">
        <v>688694970</v>
      </c>
      <c r="K1173">
        <v>697403834</v>
      </c>
      <c r="L1173">
        <v>437047137</v>
      </c>
      <c r="M1173">
        <v>737503614</v>
      </c>
      <c r="N1173">
        <v>514237202</v>
      </c>
      <c r="O1173">
        <v>172300183</v>
      </c>
      <c r="P1173">
        <v>83</v>
      </c>
      <c r="Q1173" t="s">
        <v>2638</v>
      </c>
    </row>
    <row r="1174" spans="1:17" x14ac:dyDescent="0.3">
      <c r="A1174" t="s">
        <v>17</v>
      </c>
      <c r="B1174" t="str">
        <f>"600159"</f>
        <v>600159</v>
      </c>
      <c r="C1174" t="s">
        <v>2639</v>
      </c>
      <c r="D1174" t="s">
        <v>61</v>
      </c>
      <c r="F1174">
        <v>228693382</v>
      </c>
      <c r="G1174">
        <v>480008619</v>
      </c>
      <c r="H1174">
        <v>523308369</v>
      </c>
      <c r="I1174">
        <v>-182807466</v>
      </c>
      <c r="J1174">
        <v>-348099657</v>
      </c>
      <c r="K1174">
        <v>-224394076</v>
      </c>
      <c r="L1174">
        <v>-74121877</v>
      </c>
      <c r="M1174">
        <v>294028733</v>
      </c>
      <c r="N1174">
        <v>1045981185</v>
      </c>
      <c r="O1174">
        <v>-383612334</v>
      </c>
      <c r="P1174">
        <v>87</v>
      </c>
      <c r="Q1174" t="s">
        <v>2640</v>
      </c>
    </row>
    <row r="1175" spans="1:17" x14ac:dyDescent="0.3">
      <c r="A1175" t="s">
        <v>59</v>
      </c>
      <c r="B1175" t="str">
        <f>"300298"</f>
        <v>300298</v>
      </c>
      <c r="C1175" t="s">
        <v>2641</v>
      </c>
      <c r="D1175" t="s">
        <v>485</v>
      </c>
      <c r="F1175">
        <v>480028164</v>
      </c>
      <c r="G1175">
        <v>504641320</v>
      </c>
      <c r="H1175">
        <v>522807473</v>
      </c>
      <c r="I1175">
        <v>319265971</v>
      </c>
      <c r="J1175">
        <v>243891126</v>
      </c>
      <c r="K1175">
        <v>203417116</v>
      </c>
      <c r="L1175">
        <v>121519206</v>
      </c>
      <c r="M1175">
        <v>153148888</v>
      </c>
      <c r="N1175">
        <v>114416408</v>
      </c>
      <c r="O1175">
        <v>129120619</v>
      </c>
      <c r="P1175">
        <v>619</v>
      </c>
      <c r="Q1175" t="s">
        <v>2642</v>
      </c>
    </row>
    <row r="1176" spans="1:17" x14ac:dyDescent="0.3">
      <c r="A1176" t="s">
        <v>59</v>
      </c>
      <c r="B1176" t="str">
        <f>"000868"</f>
        <v>000868</v>
      </c>
      <c r="C1176" t="s">
        <v>2643</v>
      </c>
      <c r="D1176" t="s">
        <v>427</v>
      </c>
      <c r="F1176">
        <v>-570484435</v>
      </c>
      <c r="G1176">
        <v>400051723</v>
      </c>
      <c r="H1176">
        <v>522262692</v>
      </c>
      <c r="I1176">
        <v>-345317349</v>
      </c>
      <c r="J1176">
        <v>249401358</v>
      </c>
      <c r="K1176">
        <v>-1256344897</v>
      </c>
      <c r="L1176">
        <v>-289294344</v>
      </c>
      <c r="M1176">
        <v>126780222</v>
      </c>
      <c r="N1176">
        <v>-145282127</v>
      </c>
      <c r="O1176">
        <v>422859846</v>
      </c>
      <c r="P1176">
        <v>171</v>
      </c>
      <c r="Q1176" t="s">
        <v>2644</v>
      </c>
    </row>
    <row r="1177" spans="1:17" x14ac:dyDescent="0.3">
      <c r="A1177" t="s">
        <v>59</v>
      </c>
      <c r="B1177" t="str">
        <f>"002005"</f>
        <v>002005</v>
      </c>
      <c r="C1177" t="s">
        <v>2645</v>
      </c>
      <c r="D1177" t="s">
        <v>1173</v>
      </c>
      <c r="F1177">
        <v>-111207615</v>
      </c>
      <c r="G1177">
        <v>-394570713</v>
      </c>
      <c r="H1177">
        <v>522229646</v>
      </c>
      <c r="I1177">
        <v>995428497</v>
      </c>
      <c r="J1177">
        <v>505076248</v>
      </c>
      <c r="K1177">
        <v>1224535906</v>
      </c>
      <c r="L1177">
        <v>472766269</v>
      </c>
      <c r="M1177">
        <v>334235641</v>
      </c>
      <c r="N1177">
        <v>267081506</v>
      </c>
      <c r="O1177">
        <v>32943544</v>
      </c>
      <c r="P1177">
        <v>74</v>
      </c>
      <c r="Q1177" t="s">
        <v>2646</v>
      </c>
    </row>
    <row r="1178" spans="1:17" x14ac:dyDescent="0.3">
      <c r="A1178" t="s">
        <v>59</v>
      </c>
      <c r="B1178" t="str">
        <f>"002208"</f>
        <v>002208</v>
      </c>
      <c r="C1178" t="s">
        <v>2647</v>
      </c>
      <c r="D1178" t="s">
        <v>61</v>
      </c>
      <c r="F1178">
        <v>-2605343515</v>
      </c>
      <c r="G1178">
        <v>76115603</v>
      </c>
      <c r="H1178">
        <v>521138024</v>
      </c>
      <c r="I1178">
        <v>1231048709</v>
      </c>
      <c r="J1178">
        <v>-42157045</v>
      </c>
      <c r="K1178">
        <v>-376942313</v>
      </c>
      <c r="L1178">
        <v>484129347</v>
      </c>
      <c r="M1178">
        <v>-477304275</v>
      </c>
      <c r="N1178">
        <v>347502565</v>
      </c>
      <c r="O1178">
        <v>-6572160</v>
      </c>
      <c r="P1178">
        <v>198</v>
      </c>
      <c r="Q1178" t="s">
        <v>2648</v>
      </c>
    </row>
    <row r="1179" spans="1:17" x14ac:dyDescent="0.3">
      <c r="A1179" t="s">
        <v>17</v>
      </c>
      <c r="B1179" t="str">
        <f>"600668"</f>
        <v>600668</v>
      </c>
      <c r="C1179" t="s">
        <v>2649</v>
      </c>
      <c r="D1179" t="s">
        <v>672</v>
      </c>
      <c r="F1179">
        <v>475350064</v>
      </c>
      <c r="G1179">
        <v>614046944</v>
      </c>
      <c r="H1179">
        <v>519981314</v>
      </c>
      <c r="I1179">
        <v>652544217</v>
      </c>
      <c r="J1179">
        <v>431986914</v>
      </c>
      <c r="K1179">
        <v>398482689</v>
      </c>
      <c r="L1179">
        <v>163480295</v>
      </c>
      <c r="M1179">
        <v>318894448</v>
      </c>
      <c r="N1179">
        <v>150509996</v>
      </c>
      <c r="O1179">
        <v>112019678</v>
      </c>
      <c r="P1179">
        <v>343</v>
      </c>
      <c r="Q1179" t="s">
        <v>2650</v>
      </c>
    </row>
    <row r="1180" spans="1:17" x14ac:dyDescent="0.3">
      <c r="A1180" t="s">
        <v>59</v>
      </c>
      <c r="B1180" t="str">
        <f>"002332"</f>
        <v>002332</v>
      </c>
      <c r="C1180" t="s">
        <v>2651</v>
      </c>
      <c r="D1180" t="s">
        <v>592</v>
      </c>
      <c r="F1180">
        <v>676151766</v>
      </c>
      <c r="G1180">
        <v>789233377</v>
      </c>
      <c r="H1180">
        <v>519805114</v>
      </c>
      <c r="I1180">
        <v>193266995</v>
      </c>
      <c r="J1180">
        <v>167466085</v>
      </c>
      <c r="K1180">
        <v>155905555</v>
      </c>
      <c r="L1180">
        <v>199607086</v>
      </c>
      <c r="M1180">
        <v>141638737</v>
      </c>
      <c r="N1180">
        <v>63461726</v>
      </c>
      <c r="O1180">
        <v>33427872</v>
      </c>
      <c r="P1180">
        <v>385</v>
      </c>
      <c r="Q1180" t="s">
        <v>2652</v>
      </c>
    </row>
    <row r="1181" spans="1:17" x14ac:dyDescent="0.3">
      <c r="A1181" t="s">
        <v>17</v>
      </c>
      <c r="B1181" t="str">
        <f>"603693"</f>
        <v>603693</v>
      </c>
      <c r="C1181" t="s">
        <v>2653</v>
      </c>
      <c r="D1181" t="s">
        <v>391</v>
      </c>
      <c r="F1181">
        <v>762914483</v>
      </c>
      <c r="G1181">
        <v>810795433</v>
      </c>
      <c r="H1181">
        <v>517439515</v>
      </c>
      <c r="I1181">
        <v>857668332</v>
      </c>
      <c r="J1181">
        <v>736373402</v>
      </c>
      <c r="K1181">
        <v>646612444</v>
      </c>
      <c r="L1181">
        <v>434451274</v>
      </c>
      <c r="P1181">
        <v>160</v>
      </c>
      <c r="Q1181" t="s">
        <v>2654</v>
      </c>
    </row>
    <row r="1182" spans="1:17" x14ac:dyDescent="0.3">
      <c r="A1182" t="s">
        <v>17</v>
      </c>
      <c r="B1182" t="str">
        <f>"600663"</f>
        <v>600663</v>
      </c>
      <c r="C1182" t="s">
        <v>2655</v>
      </c>
      <c r="D1182" t="s">
        <v>70</v>
      </c>
      <c r="F1182">
        <v>3714767532</v>
      </c>
      <c r="G1182">
        <v>-702444458</v>
      </c>
      <c r="H1182">
        <v>517368527</v>
      </c>
      <c r="I1182">
        <v>4317379145</v>
      </c>
      <c r="J1182">
        <v>-5358164398</v>
      </c>
      <c r="K1182">
        <v>-1254595785</v>
      </c>
      <c r="L1182">
        <v>3303452067</v>
      </c>
      <c r="M1182">
        <v>-995432069</v>
      </c>
      <c r="N1182">
        <v>573698948</v>
      </c>
      <c r="O1182">
        <v>1604845459</v>
      </c>
      <c r="P1182">
        <v>700</v>
      </c>
      <c r="Q1182" t="s">
        <v>2656</v>
      </c>
    </row>
    <row r="1183" spans="1:17" x14ac:dyDescent="0.3">
      <c r="A1183" t="s">
        <v>17</v>
      </c>
      <c r="B1183" t="str">
        <f>"600917"</f>
        <v>600917</v>
      </c>
      <c r="C1183" t="s">
        <v>2657</v>
      </c>
      <c r="D1183" t="s">
        <v>883</v>
      </c>
      <c r="F1183">
        <v>622187119</v>
      </c>
      <c r="G1183">
        <v>667097384</v>
      </c>
      <c r="H1183">
        <v>516860405</v>
      </c>
      <c r="I1183">
        <v>512026750</v>
      </c>
      <c r="J1183">
        <v>348024513</v>
      </c>
      <c r="K1183">
        <v>779433831</v>
      </c>
      <c r="L1183">
        <v>772492735</v>
      </c>
      <c r="M1183">
        <v>851898033</v>
      </c>
      <c r="N1183">
        <v>833273471</v>
      </c>
      <c r="O1183">
        <v>751386846</v>
      </c>
      <c r="P1183">
        <v>176</v>
      </c>
      <c r="Q1183" t="s">
        <v>2658</v>
      </c>
    </row>
    <row r="1184" spans="1:17" x14ac:dyDescent="0.3">
      <c r="A1184" t="s">
        <v>59</v>
      </c>
      <c r="B1184" t="str">
        <f>"002507"</f>
        <v>002507</v>
      </c>
      <c r="C1184" t="s">
        <v>2659</v>
      </c>
      <c r="D1184" t="s">
        <v>375</v>
      </c>
      <c r="F1184">
        <v>745482456</v>
      </c>
      <c r="G1184">
        <v>939075964</v>
      </c>
      <c r="H1184">
        <v>516502463</v>
      </c>
      <c r="I1184">
        <v>559381765</v>
      </c>
      <c r="J1184">
        <v>522782708</v>
      </c>
      <c r="K1184">
        <v>402829732</v>
      </c>
      <c r="L1184">
        <v>244643729</v>
      </c>
      <c r="M1184">
        <v>109211413</v>
      </c>
      <c r="N1184">
        <v>199725905</v>
      </c>
      <c r="O1184">
        <v>152382106</v>
      </c>
      <c r="P1184">
        <v>4502</v>
      </c>
      <c r="Q1184" t="s">
        <v>2660</v>
      </c>
    </row>
    <row r="1185" spans="1:17" x14ac:dyDescent="0.3">
      <c r="A1185" t="s">
        <v>59</v>
      </c>
      <c r="B1185" t="str">
        <f>"002237"</f>
        <v>002237</v>
      </c>
      <c r="C1185" t="s">
        <v>2661</v>
      </c>
      <c r="D1185" t="s">
        <v>530</v>
      </c>
      <c r="F1185">
        <v>473588015</v>
      </c>
      <c r="G1185">
        <v>193506524</v>
      </c>
      <c r="H1185">
        <v>516218868</v>
      </c>
      <c r="I1185">
        <v>1157063713</v>
      </c>
      <c r="J1185">
        <v>695361165</v>
      </c>
      <c r="K1185">
        <v>259784491</v>
      </c>
      <c r="L1185">
        <v>877308447</v>
      </c>
      <c r="M1185">
        <v>1573462579</v>
      </c>
      <c r="N1185">
        <v>-370015946</v>
      </c>
      <c r="O1185">
        <v>-773680386</v>
      </c>
      <c r="P1185">
        <v>193</v>
      </c>
      <c r="Q1185" t="s">
        <v>2662</v>
      </c>
    </row>
    <row r="1186" spans="1:17" x14ac:dyDescent="0.3">
      <c r="A1186" t="s">
        <v>59</v>
      </c>
      <c r="B1186" t="str">
        <f>"300957"</f>
        <v>300957</v>
      </c>
      <c r="C1186" t="s">
        <v>2663</v>
      </c>
      <c r="D1186" t="s">
        <v>2118</v>
      </c>
      <c r="F1186">
        <v>1152720351</v>
      </c>
      <c r="G1186">
        <v>431026329</v>
      </c>
      <c r="H1186">
        <v>514923172</v>
      </c>
      <c r="I1186">
        <v>102196797</v>
      </c>
      <c r="J1186">
        <v>202442522</v>
      </c>
      <c r="P1186">
        <v>350</v>
      </c>
      <c r="Q1186" t="s">
        <v>2664</v>
      </c>
    </row>
    <row r="1187" spans="1:17" x14ac:dyDescent="0.3">
      <c r="A1187" t="s">
        <v>59</v>
      </c>
      <c r="B1187" t="str">
        <f>"300315"</f>
        <v>300315</v>
      </c>
      <c r="C1187" t="s">
        <v>2665</v>
      </c>
      <c r="D1187" t="s">
        <v>689</v>
      </c>
      <c r="F1187">
        <v>150617238</v>
      </c>
      <c r="G1187">
        <v>479689021</v>
      </c>
      <c r="H1187">
        <v>514875431</v>
      </c>
      <c r="I1187">
        <v>845902517</v>
      </c>
      <c r="J1187">
        <v>669422511</v>
      </c>
      <c r="K1187">
        <v>875913189</v>
      </c>
      <c r="L1187">
        <v>484673119</v>
      </c>
      <c r="M1187">
        <v>408661839</v>
      </c>
      <c r="N1187">
        <v>140458465</v>
      </c>
      <c r="O1187">
        <v>52283946</v>
      </c>
      <c r="P1187">
        <v>456</v>
      </c>
      <c r="Q1187" t="s">
        <v>2666</v>
      </c>
    </row>
    <row r="1188" spans="1:17" x14ac:dyDescent="0.3">
      <c r="A1188" t="s">
        <v>59</v>
      </c>
      <c r="B1188" t="str">
        <f>"002436"</f>
        <v>002436</v>
      </c>
      <c r="C1188" t="s">
        <v>2667</v>
      </c>
      <c r="D1188" t="s">
        <v>539</v>
      </c>
      <c r="F1188">
        <v>579717794</v>
      </c>
      <c r="G1188">
        <v>407672002</v>
      </c>
      <c r="H1188">
        <v>513457721</v>
      </c>
      <c r="I1188">
        <v>333190503</v>
      </c>
      <c r="J1188">
        <v>402936005</v>
      </c>
      <c r="K1188">
        <v>224382761</v>
      </c>
      <c r="L1188">
        <v>184968215</v>
      </c>
      <c r="M1188">
        <v>157718881</v>
      </c>
      <c r="N1188">
        <v>134740409</v>
      </c>
      <c r="O1188">
        <v>63855060</v>
      </c>
      <c r="P1188">
        <v>563</v>
      </c>
      <c r="Q1188" t="s">
        <v>2668</v>
      </c>
    </row>
    <row r="1189" spans="1:17" x14ac:dyDescent="0.3">
      <c r="A1189" t="s">
        <v>59</v>
      </c>
      <c r="B1189" t="str">
        <f>"300821"</f>
        <v>300821</v>
      </c>
      <c r="C1189" t="s">
        <v>2669</v>
      </c>
      <c r="D1189" t="s">
        <v>1900</v>
      </c>
      <c r="F1189">
        <v>554569597</v>
      </c>
      <c r="G1189">
        <v>209910155</v>
      </c>
      <c r="H1189">
        <v>513099311</v>
      </c>
      <c r="I1189">
        <v>810794703</v>
      </c>
      <c r="J1189">
        <v>408310536</v>
      </c>
      <c r="P1189">
        <v>159</v>
      </c>
      <c r="Q1189" t="s">
        <v>2670</v>
      </c>
    </row>
    <row r="1190" spans="1:17" x14ac:dyDescent="0.3">
      <c r="A1190" t="s">
        <v>59</v>
      </c>
      <c r="B1190" t="str">
        <f>"002684"</f>
        <v>002684</v>
      </c>
      <c r="C1190" t="s">
        <v>2671</v>
      </c>
      <c r="D1190" t="s">
        <v>2334</v>
      </c>
      <c r="F1190">
        <v>200995231</v>
      </c>
      <c r="G1190">
        <v>315470587</v>
      </c>
      <c r="H1190">
        <v>513018396</v>
      </c>
      <c r="I1190">
        <v>232919659</v>
      </c>
      <c r="J1190">
        <v>-1350013708</v>
      </c>
      <c r="K1190">
        <v>-316764260</v>
      </c>
      <c r="L1190">
        <v>-54047524</v>
      </c>
      <c r="M1190">
        <v>35763638</v>
      </c>
      <c r="N1190">
        <v>-20691323</v>
      </c>
      <c r="O1190">
        <v>-24298525</v>
      </c>
      <c r="P1190">
        <v>91</v>
      </c>
      <c r="Q1190" t="s">
        <v>2672</v>
      </c>
    </row>
    <row r="1191" spans="1:17" x14ac:dyDescent="0.3">
      <c r="A1191" t="s">
        <v>17</v>
      </c>
      <c r="B1191" t="str">
        <f>"900936"</f>
        <v>900936</v>
      </c>
      <c r="C1191" t="s">
        <v>2673</v>
      </c>
      <c r="G1191">
        <v>796461801.99909997</v>
      </c>
      <c r="H1191">
        <v>511372100.52359998</v>
      </c>
      <c r="I1191">
        <v>1031141567.5444</v>
      </c>
      <c r="J1191">
        <v>667151956.0704</v>
      </c>
      <c r="K1191">
        <v>615318555.74399996</v>
      </c>
      <c r="L1191">
        <v>770940222.20599997</v>
      </c>
      <c r="M1191">
        <v>795805971.37080002</v>
      </c>
      <c r="N1191">
        <v>426355096.41759998</v>
      </c>
      <c r="O1191">
        <v>609553249.38</v>
      </c>
      <c r="P1191">
        <v>53</v>
      </c>
      <c r="Q1191" t="s">
        <v>2674</v>
      </c>
    </row>
    <row r="1192" spans="1:17" x14ac:dyDescent="0.3">
      <c r="A1192" t="s">
        <v>17</v>
      </c>
      <c r="B1192" t="str">
        <f>"601865"</f>
        <v>601865</v>
      </c>
      <c r="C1192" t="s">
        <v>2675</v>
      </c>
      <c r="D1192" t="s">
        <v>1340</v>
      </c>
      <c r="F1192">
        <v>579728852</v>
      </c>
      <c r="G1192">
        <v>1701167320</v>
      </c>
      <c r="H1192">
        <v>510196693</v>
      </c>
      <c r="I1192">
        <v>430909252</v>
      </c>
      <c r="J1192">
        <v>309041089</v>
      </c>
      <c r="K1192">
        <v>1047971821</v>
      </c>
      <c r="L1192">
        <v>591028798</v>
      </c>
      <c r="P1192">
        <v>925</v>
      </c>
      <c r="Q1192" t="s">
        <v>2676</v>
      </c>
    </row>
    <row r="1193" spans="1:17" x14ac:dyDescent="0.3">
      <c r="A1193" t="s">
        <v>59</v>
      </c>
      <c r="B1193" t="str">
        <f>"300023"</f>
        <v>300023</v>
      </c>
      <c r="C1193" t="s">
        <v>2677</v>
      </c>
      <c r="D1193" t="s">
        <v>117</v>
      </c>
      <c r="F1193">
        <v>-38631460</v>
      </c>
      <c r="G1193">
        <v>-4562797</v>
      </c>
      <c r="H1193">
        <v>509611716</v>
      </c>
      <c r="I1193">
        <v>967602936</v>
      </c>
      <c r="J1193">
        <v>-267927869</v>
      </c>
      <c r="K1193">
        <v>-1756825122</v>
      </c>
      <c r="L1193">
        <v>-1615043627</v>
      </c>
      <c r="M1193">
        <v>690281</v>
      </c>
      <c r="N1193">
        <v>-1118711</v>
      </c>
      <c r="O1193">
        <v>-20370870</v>
      </c>
      <c r="P1193">
        <v>61</v>
      </c>
      <c r="Q1193" t="s">
        <v>2678</v>
      </c>
    </row>
    <row r="1194" spans="1:17" x14ac:dyDescent="0.3">
      <c r="A1194" t="s">
        <v>59</v>
      </c>
      <c r="B1194" t="str">
        <f>"002913"</f>
        <v>002913</v>
      </c>
      <c r="C1194" t="s">
        <v>2679</v>
      </c>
      <c r="D1194" t="s">
        <v>539</v>
      </c>
      <c r="F1194">
        <v>804546568</v>
      </c>
      <c r="G1194">
        <v>338217809</v>
      </c>
      <c r="H1194">
        <v>509457780</v>
      </c>
      <c r="I1194">
        <v>304973922</v>
      </c>
      <c r="J1194">
        <v>241412015</v>
      </c>
      <c r="K1194">
        <v>153185703</v>
      </c>
      <c r="L1194">
        <v>248553877</v>
      </c>
      <c r="M1194">
        <v>78089157</v>
      </c>
      <c r="P1194">
        <v>205</v>
      </c>
      <c r="Q1194" t="s">
        <v>2680</v>
      </c>
    </row>
    <row r="1195" spans="1:17" x14ac:dyDescent="0.3">
      <c r="A1195" t="s">
        <v>59</v>
      </c>
      <c r="B1195" t="str">
        <f>"000682"</f>
        <v>000682</v>
      </c>
      <c r="C1195" t="s">
        <v>2681</v>
      </c>
      <c r="D1195" t="s">
        <v>494</v>
      </c>
      <c r="F1195">
        <v>202073083</v>
      </c>
      <c r="G1195">
        <v>320071483</v>
      </c>
      <c r="H1195">
        <v>508350957</v>
      </c>
      <c r="I1195">
        <v>265965690</v>
      </c>
      <c r="J1195">
        <v>191965989</v>
      </c>
      <c r="K1195">
        <v>-60178218</v>
      </c>
      <c r="L1195">
        <v>166291185</v>
      </c>
      <c r="M1195">
        <v>117238272</v>
      </c>
      <c r="N1195">
        <v>119328378</v>
      </c>
      <c r="O1195">
        <v>-10508831</v>
      </c>
      <c r="P1195">
        <v>156</v>
      </c>
      <c r="Q1195" t="s">
        <v>2682</v>
      </c>
    </row>
    <row r="1196" spans="1:17" x14ac:dyDescent="0.3">
      <c r="A1196" t="s">
        <v>17</v>
      </c>
      <c r="B1196" t="str">
        <f>"600280"</f>
        <v>600280</v>
      </c>
      <c r="C1196" t="s">
        <v>2683</v>
      </c>
      <c r="D1196" t="s">
        <v>1361</v>
      </c>
      <c r="F1196">
        <v>578030390</v>
      </c>
      <c r="G1196">
        <v>60068788</v>
      </c>
      <c r="H1196">
        <v>508340656</v>
      </c>
      <c r="I1196">
        <v>149641271</v>
      </c>
      <c r="J1196">
        <v>599440220</v>
      </c>
      <c r="K1196">
        <v>776842487</v>
      </c>
      <c r="L1196">
        <v>-774951386</v>
      </c>
      <c r="M1196">
        <v>-1754880952</v>
      </c>
      <c r="N1196">
        <v>-733965635</v>
      </c>
      <c r="O1196">
        <v>-303114178</v>
      </c>
      <c r="P1196">
        <v>81</v>
      </c>
      <c r="Q1196" t="s">
        <v>2684</v>
      </c>
    </row>
    <row r="1197" spans="1:17" x14ac:dyDescent="0.3">
      <c r="A1197" t="s">
        <v>59</v>
      </c>
      <c r="B1197" t="str">
        <f>"000541"</f>
        <v>000541</v>
      </c>
      <c r="C1197" t="s">
        <v>2685</v>
      </c>
      <c r="D1197" t="s">
        <v>1626</v>
      </c>
      <c r="F1197">
        <v>-277025085</v>
      </c>
      <c r="G1197">
        <v>394828332</v>
      </c>
      <c r="H1197">
        <v>508084757</v>
      </c>
      <c r="I1197">
        <v>617987487</v>
      </c>
      <c r="J1197">
        <v>215821193</v>
      </c>
      <c r="K1197">
        <v>289978768</v>
      </c>
      <c r="L1197">
        <v>188325189</v>
      </c>
      <c r="M1197">
        <v>305638745</v>
      </c>
      <c r="N1197">
        <v>204756882</v>
      </c>
      <c r="O1197">
        <v>437396852</v>
      </c>
      <c r="P1197">
        <v>437</v>
      </c>
      <c r="Q1197" t="s">
        <v>2686</v>
      </c>
    </row>
    <row r="1198" spans="1:17" x14ac:dyDescent="0.3">
      <c r="A1198" t="s">
        <v>17</v>
      </c>
      <c r="B1198" t="str">
        <f>"600006"</f>
        <v>600006</v>
      </c>
      <c r="C1198" t="s">
        <v>2687</v>
      </c>
      <c r="D1198" t="s">
        <v>475</v>
      </c>
      <c r="F1198">
        <v>980364279</v>
      </c>
      <c r="G1198">
        <v>1439281142</v>
      </c>
      <c r="H1198">
        <v>507812524</v>
      </c>
      <c r="I1198">
        <v>-632214360</v>
      </c>
      <c r="J1198">
        <v>-502550537</v>
      </c>
      <c r="K1198">
        <v>742769676</v>
      </c>
      <c r="L1198">
        <v>368217880</v>
      </c>
      <c r="M1198">
        <v>-328339341</v>
      </c>
      <c r="N1198">
        <v>-517253736</v>
      </c>
      <c r="O1198">
        <v>-363094845</v>
      </c>
      <c r="P1198">
        <v>469</v>
      </c>
      <c r="Q1198" t="s">
        <v>2688</v>
      </c>
    </row>
    <row r="1199" spans="1:17" x14ac:dyDescent="0.3">
      <c r="A1199" t="s">
        <v>59</v>
      </c>
      <c r="B1199" t="str">
        <f>"300601"</f>
        <v>300601</v>
      </c>
      <c r="C1199" t="s">
        <v>2689</v>
      </c>
      <c r="D1199" t="s">
        <v>1413</v>
      </c>
      <c r="F1199">
        <v>1652270157</v>
      </c>
      <c r="G1199">
        <v>439847497</v>
      </c>
      <c r="H1199">
        <v>505701645</v>
      </c>
      <c r="I1199">
        <v>336476192</v>
      </c>
      <c r="J1199">
        <v>153984559</v>
      </c>
      <c r="K1199">
        <v>78323553</v>
      </c>
      <c r="L1199">
        <v>277854673</v>
      </c>
      <c r="M1199">
        <v>112059070</v>
      </c>
      <c r="N1199">
        <v>26384661</v>
      </c>
      <c r="P1199">
        <v>1384</v>
      </c>
      <c r="Q1199" t="s">
        <v>2690</v>
      </c>
    </row>
    <row r="1200" spans="1:17" x14ac:dyDescent="0.3">
      <c r="A1200" t="s">
        <v>17</v>
      </c>
      <c r="B1200" t="str">
        <f>"603399"</f>
        <v>603399</v>
      </c>
      <c r="C1200" t="s">
        <v>2691</v>
      </c>
      <c r="D1200" t="s">
        <v>1186</v>
      </c>
      <c r="F1200">
        <v>706947118</v>
      </c>
      <c r="G1200">
        <v>-439740526</v>
      </c>
      <c r="H1200">
        <v>505568578</v>
      </c>
      <c r="I1200">
        <v>116652812</v>
      </c>
      <c r="J1200">
        <v>-851686211</v>
      </c>
      <c r="K1200">
        <v>-156573354</v>
      </c>
      <c r="L1200">
        <v>326137517</v>
      </c>
      <c r="M1200">
        <v>79773303</v>
      </c>
      <c r="N1200">
        <v>-647596122</v>
      </c>
      <c r="O1200">
        <v>-311305210</v>
      </c>
      <c r="P1200">
        <v>72</v>
      </c>
      <c r="Q1200" t="s">
        <v>2692</v>
      </c>
    </row>
    <row r="1201" spans="1:17" x14ac:dyDescent="0.3">
      <c r="A1201" t="s">
        <v>17</v>
      </c>
      <c r="B1201" t="str">
        <f>"600916"</f>
        <v>600916</v>
      </c>
      <c r="C1201" t="s">
        <v>2693</v>
      </c>
      <c r="D1201" t="s">
        <v>2025</v>
      </c>
      <c r="F1201">
        <v>814945005</v>
      </c>
      <c r="G1201">
        <v>555500091</v>
      </c>
      <c r="H1201">
        <v>505491977</v>
      </c>
      <c r="I1201">
        <v>-24853700</v>
      </c>
      <c r="J1201">
        <v>426102020</v>
      </c>
      <c r="P1201">
        <v>97</v>
      </c>
      <c r="Q1201" t="s">
        <v>2694</v>
      </c>
    </row>
    <row r="1202" spans="1:17" x14ac:dyDescent="0.3">
      <c r="A1202" t="s">
        <v>17</v>
      </c>
      <c r="B1202" t="str">
        <f>"601519"</f>
        <v>601519</v>
      </c>
      <c r="C1202" t="s">
        <v>2695</v>
      </c>
      <c r="D1202" t="s">
        <v>1528</v>
      </c>
      <c r="F1202">
        <v>151406982</v>
      </c>
      <c r="G1202">
        <v>-21972396</v>
      </c>
      <c r="H1202">
        <v>505310819</v>
      </c>
      <c r="I1202">
        <v>-378012304</v>
      </c>
      <c r="J1202">
        <v>-401771325</v>
      </c>
      <c r="K1202">
        <v>-1071336966</v>
      </c>
      <c r="L1202">
        <v>-328257124</v>
      </c>
      <c r="M1202">
        <v>-530838614</v>
      </c>
      <c r="N1202">
        <v>-77100007</v>
      </c>
      <c r="O1202">
        <v>-253113268</v>
      </c>
      <c r="P1202">
        <v>209</v>
      </c>
      <c r="Q1202" t="s">
        <v>2696</v>
      </c>
    </row>
    <row r="1203" spans="1:17" x14ac:dyDescent="0.3">
      <c r="A1203" t="s">
        <v>17</v>
      </c>
      <c r="B1203" t="str">
        <f>"600386"</f>
        <v>600386</v>
      </c>
      <c r="C1203" t="s">
        <v>2697</v>
      </c>
      <c r="D1203" t="s">
        <v>337</v>
      </c>
      <c r="F1203">
        <v>492265560</v>
      </c>
      <c r="G1203">
        <v>403193080</v>
      </c>
      <c r="H1203">
        <v>505037683</v>
      </c>
      <c r="I1203">
        <v>302979768</v>
      </c>
      <c r="J1203">
        <v>191081467</v>
      </c>
      <c r="K1203">
        <v>214260548</v>
      </c>
      <c r="L1203">
        <v>274684504</v>
      </c>
      <c r="M1203">
        <v>369436294</v>
      </c>
      <c r="N1203">
        <v>179237250</v>
      </c>
      <c r="O1203">
        <v>271073194</v>
      </c>
      <c r="P1203">
        <v>96</v>
      </c>
      <c r="Q1203" t="s">
        <v>2698</v>
      </c>
    </row>
    <row r="1204" spans="1:17" x14ac:dyDescent="0.3">
      <c r="A1204" t="s">
        <v>59</v>
      </c>
      <c r="B1204" t="str">
        <f>"300203"</f>
        <v>300203</v>
      </c>
      <c r="C1204" t="s">
        <v>2699</v>
      </c>
      <c r="D1204" t="s">
        <v>2700</v>
      </c>
      <c r="F1204">
        <v>-366149531</v>
      </c>
      <c r="G1204">
        <v>638557451</v>
      </c>
      <c r="H1204">
        <v>504696395</v>
      </c>
      <c r="I1204">
        <v>481711441</v>
      </c>
      <c r="J1204">
        <v>60481981</v>
      </c>
      <c r="K1204">
        <v>119491043</v>
      </c>
      <c r="L1204">
        <v>272878302</v>
      </c>
      <c r="M1204">
        <v>143241246</v>
      </c>
      <c r="N1204">
        <v>77277979</v>
      </c>
      <c r="O1204">
        <v>110502367</v>
      </c>
      <c r="P1204">
        <v>431</v>
      </c>
      <c r="Q1204" t="s">
        <v>2701</v>
      </c>
    </row>
    <row r="1205" spans="1:17" x14ac:dyDescent="0.3">
      <c r="A1205" t="s">
        <v>59</v>
      </c>
      <c r="B1205" t="str">
        <f>"300230"</f>
        <v>300230</v>
      </c>
      <c r="C1205" t="s">
        <v>2702</v>
      </c>
      <c r="D1205" t="s">
        <v>2104</v>
      </c>
      <c r="F1205">
        <v>297114652</v>
      </c>
      <c r="G1205">
        <v>508389894</v>
      </c>
      <c r="H1205">
        <v>503569201</v>
      </c>
      <c r="I1205">
        <v>406301595</v>
      </c>
      <c r="J1205">
        <v>344424474</v>
      </c>
      <c r="K1205">
        <v>184562463</v>
      </c>
      <c r="L1205">
        <v>69383933</v>
      </c>
      <c r="M1205">
        <v>47920138</v>
      </c>
      <c r="N1205">
        <v>43004284</v>
      </c>
      <c r="O1205">
        <v>56440184</v>
      </c>
      <c r="P1205">
        <v>169</v>
      </c>
      <c r="Q1205" t="s">
        <v>2703</v>
      </c>
    </row>
    <row r="1206" spans="1:17" x14ac:dyDescent="0.3">
      <c r="A1206" t="s">
        <v>59</v>
      </c>
      <c r="B1206" t="str">
        <f>"002520"</f>
        <v>002520</v>
      </c>
      <c r="C1206" t="s">
        <v>2704</v>
      </c>
      <c r="D1206" t="s">
        <v>2705</v>
      </c>
      <c r="F1206">
        <v>806116251</v>
      </c>
      <c r="G1206">
        <v>459989896</v>
      </c>
      <c r="H1206">
        <v>502509786</v>
      </c>
      <c r="I1206">
        <v>399407660</v>
      </c>
      <c r="J1206">
        <v>233526039</v>
      </c>
      <c r="K1206">
        <v>-7382204</v>
      </c>
      <c r="L1206">
        <v>22887891</v>
      </c>
      <c r="M1206">
        <v>10607316</v>
      </c>
      <c r="N1206">
        <v>40113272</v>
      </c>
      <c r="O1206">
        <v>48916417</v>
      </c>
      <c r="P1206">
        <v>99</v>
      </c>
      <c r="Q1206" t="s">
        <v>2706</v>
      </c>
    </row>
    <row r="1207" spans="1:17" x14ac:dyDescent="0.3">
      <c r="A1207" t="s">
        <v>59</v>
      </c>
      <c r="B1207" t="str">
        <f>"002068"</f>
        <v>002068</v>
      </c>
      <c r="C1207" t="s">
        <v>2707</v>
      </c>
      <c r="D1207" t="s">
        <v>2708</v>
      </c>
      <c r="F1207">
        <v>196091922</v>
      </c>
      <c r="G1207">
        <v>-44264772</v>
      </c>
      <c r="H1207">
        <v>502483710</v>
      </c>
      <c r="I1207">
        <v>987347680</v>
      </c>
      <c r="J1207">
        <v>107867055</v>
      </c>
      <c r="K1207">
        <v>489792367</v>
      </c>
      <c r="L1207">
        <v>-307740851</v>
      </c>
      <c r="M1207">
        <v>1490006065</v>
      </c>
      <c r="N1207">
        <v>-660680001</v>
      </c>
      <c r="O1207">
        <v>188972831</v>
      </c>
      <c r="P1207">
        <v>300</v>
      </c>
      <c r="Q1207" t="s">
        <v>2709</v>
      </c>
    </row>
    <row r="1208" spans="1:17" x14ac:dyDescent="0.3">
      <c r="A1208" t="s">
        <v>59</v>
      </c>
      <c r="B1208" t="str">
        <f>"300100"</f>
        <v>300100</v>
      </c>
      <c r="C1208" t="s">
        <v>2710</v>
      </c>
      <c r="D1208" t="s">
        <v>289</v>
      </c>
      <c r="F1208">
        <v>425837450</v>
      </c>
      <c r="G1208">
        <v>596700802</v>
      </c>
      <c r="H1208">
        <v>501870003</v>
      </c>
      <c r="I1208">
        <v>785674468</v>
      </c>
      <c r="J1208">
        <v>243561464</v>
      </c>
      <c r="K1208">
        <v>342965188</v>
      </c>
      <c r="L1208">
        <v>361342470</v>
      </c>
      <c r="M1208">
        <v>88286475</v>
      </c>
      <c r="N1208">
        <v>112256418</v>
      </c>
      <c r="O1208">
        <v>204679910</v>
      </c>
      <c r="P1208">
        <v>129</v>
      </c>
      <c r="Q1208" t="s">
        <v>2711</v>
      </c>
    </row>
    <row r="1209" spans="1:17" x14ac:dyDescent="0.3">
      <c r="A1209" t="s">
        <v>59</v>
      </c>
      <c r="B1209" t="str">
        <f>"002690"</f>
        <v>002690</v>
      </c>
      <c r="C1209" t="s">
        <v>2712</v>
      </c>
      <c r="D1209" t="s">
        <v>1351</v>
      </c>
      <c r="F1209">
        <v>578600273</v>
      </c>
      <c r="G1209">
        <v>415362286</v>
      </c>
      <c r="H1209">
        <v>501590313</v>
      </c>
      <c r="I1209">
        <v>423424212</v>
      </c>
      <c r="J1209">
        <v>441721174</v>
      </c>
      <c r="K1209">
        <v>331051725</v>
      </c>
      <c r="L1209">
        <v>140730981</v>
      </c>
      <c r="M1209">
        <v>215590409</v>
      </c>
      <c r="N1209">
        <v>194623234</v>
      </c>
      <c r="O1209">
        <v>144390708</v>
      </c>
      <c r="P1209">
        <v>3632</v>
      </c>
      <c r="Q1209" t="s">
        <v>2713</v>
      </c>
    </row>
    <row r="1210" spans="1:17" x14ac:dyDescent="0.3">
      <c r="A1210" t="s">
        <v>59</v>
      </c>
      <c r="B1210" t="str">
        <f>"000936"</f>
        <v>000936</v>
      </c>
      <c r="C1210" t="s">
        <v>2714</v>
      </c>
      <c r="D1210" t="s">
        <v>1116</v>
      </c>
      <c r="F1210">
        <v>-40354539</v>
      </c>
      <c r="G1210">
        <v>141623282</v>
      </c>
      <c r="H1210">
        <v>498838987</v>
      </c>
      <c r="I1210">
        <v>-196457858</v>
      </c>
      <c r="J1210">
        <v>9506729</v>
      </c>
      <c r="K1210">
        <v>232718311</v>
      </c>
      <c r="L1210">
        <v>99027618</v>
      </c>
      <c r="M1210">
        <v>-183186756</v>
      </c>
      <c r="N1210">
        <v>113764117</v>
      </c>
      <c r="O1210">
        <v>13908303</v>
      </c>
      <c r="P1210">
        <v>226</v>
      </c>
      <c r="Q1210" t="s">
        <v>2715</v>
      </c>
    </row>
    <row r="1211" spans="1:17" x14ac:dyDescent="0.3">
      <c r="A1211" t="s">
        <v>17</v>
      </c>
      <c r="B1211" t="str">
        <f>"600361"</f>
        <v>600361</v>
      </c>
      <c r="C1211" t="s">
        <v>2716</v>
      </c>
      <c r="D1211" t="s">
        <v>1147</v>
      </c>
      <c r="F1211">
        <v>463138461</v>
      </c>
      <c r="G1211">
        <v>671208685</v>
      </c>
      <c r="H1211">
        <v>498477557</v>
      </c>
      <c r="I1211">
        <v>726446447</v>
      </c>
      <c r="J1211">
        <v>634040879</v>
      </c>
      <c r="K1211">
        <v>-77669410</v>
      </c>
      <c r="L1211">
        <v>254931351</v>
      </c>
      <c r="M1211">
        <v>552047154</v>
      </c>
      <c r="N1211">
        <v>631919938</v>
      </c>
      <c r="O1211">
        <v>959856167</v>
      </c>
      <c r="P1211">
        <v>134</v>
      </c>
      <c r="Q1211" t="s">
        <v>2717</v>
      </c>
    </row>
    <row r="1212" spans="1:17" x14ac:dyDescent="0.3">
      <c r="A1212" t="s">
        <v>17</v>
      </c>
      <c r="B1212" t="str">
        <f>"603008"</f>
        <v>603008</v>
      </c>
      <c r="C1212" t="s">
        <v>2718</v>
      </c>
      <c r="D1212" t="s">
        <v>972</v>
      </c>
      <c r="F1212">
        <v>703610307</v>
      </c>
      <c r="G1212">
        <v>739997779</v>
      </c>
      <c r="H1212">
        <v>498457716</v>
      </c>
      <c r="I1212">
        <v>-139410327</v>
      </c>
      <c r="J1212">
        <v>222450168</v>
      </c>
      <c r="K1212">
        <v>279141880</v>
      </c>
      <c r="L1212">
        <v>286579240</v>
      </c>
      <c r="M1212">
        <v>40370944</v>
      </c>
      <c r="N1212">
        <v>99050378</v>
      </c>
      <c r="O1212">
        <v>135229362</v>
      </c>
      <c r="P1212">
        <v>300</v>
      </c>
      <c r="Q1212" t="s">
        <v>2719</v>
      </c>
    </row>
    <row r="1213" spans="1:17" x14ac:dyDescent="0.3">
      <c r="A1213" t="s">
        <v>59</v>
      </c>
      <c r="B1213" t="str">
        <f>"000605"</f>
        <v>000605</v>
      </c>
      <c r="C1213" t="s">
        <v>2720</v>
      </c>
      <c r="D1213" t="s">
        <v>669</v>
      </c>
      <c r="F1213">
        <v>160585791</v>
      </c>
      <c r="G1213">
        <v>144054152</v>
      </c>
      <c r="H1213">
        <v>498252687</v>
      </c>
      <c r="I1213">
        <v>-60015588</v>
      </c>
      <c r="J1213">
        <v>-93544998</v>
      </c>
      <c r="K1213">
        <v>148596906</v>
      </c>
      <c r="L1213">
        <v>65376324</v>
      </c>
      <c r="M1213">
        <v>73804707</v>
      </c>
      <c r="N1213">
        <v>4530259</v>
      </c>
      <c r="O1213">
        <v>3163002</v>
      </c>
      <c r="P1213">
        <v>85</v>
      </c>
      <c r="Q1213" t="s">
        <v>2721</v>
      </c>
    </row>
    <row r="1214" spans="1:17" x14ac:dyDescent="0.3">
      <c r="A1214" t="s">
        <v>59</v>
      </c>
      <c r="B1214" t="str">
        <f>"300303"</f>
        <v>300303</v>
      </c>
      <c r="C1214" t="s">
        <v>2722</v>
      </c>
      <c r="D1214" t="s">
        <v>772</v>
      </c>
      <c r="F1214">
        <v>571360486</v>
      </c>
      <c r="G1214">
        <v>245896540</v>
      </c>
      <c r="H1214">
        <v>498149107</v>
      </c>
      <c r="I1214">
        <v>74930412</v>
      </c>
      <c r="J1214">
        <v>45611941</v>
      </c>
      <c r="K1214">
        <v>139180193</v>
      </c>
      <c r="L1214">
        <v>183494363</v>
      </c>
      <c r="M1214">
        <v>154902141</v>
      </c>
      <c r="N1214">
        <v>157564812</v>
      </c>
      <c r="O1214">
        <v>41633700</v>
      </c>
      <c r="P1214">
        <v>256</v>
      </c>
      <c r="Q1214" t="s">
        <v>2723</v>
      </c>
    </row>
    <row r="1215" spans="1:17" x14ac:dyDescent="0.3">
      <c r="A1215" t="s">
        <v>59</v>
      </c>
      <c r="B1215" t="str">
        <f>"200026"</f>
        <v>200026</v>
      </c>
      <c r="C1215" t="s">
        <v>2724</v>
      </c>
      <c r="F1215">
        <v>669176209.26240003</v>
      </c>
      <c r="G1215">
        <v>448595481.16659999</v>
      </c>
      <c r="H1215">
        <v>497532030.12650001</v>
      </c>
      <c r="I1215">
        <v>377558238.91500002</v>
      </c>
      <c r="J1215">
        <v>678058465.31239998</v>
      </c>
      <c r="K1215">
        <v>508718300.72280002</v>
      </c>
      <c r="L1215">
        <v>472988097.35039997</v>
      </c>
      <c r="M1215">
        <v>361602714.6024</v>
      </c>
      <c r="N1215">
        <v>101315169.2147</v>
      </c>
      <c r="O1215">
        <v>57060753.035999998</v>
      </c>
      <c r="P1215">
        <v>52</v>
      </c>
      <c r="Q1215" t="s">
        <v>2725</v>
      </c>
    </row>
    <row r="1216" spans="1:17" x14ac:dyDescent="0.3">
      <c r="A1216" t="s">
        <v>59</v>
      </c>
      <c r="B1216" t="str">
        <f>"002439"</f>
        <v>002439</v>
      </c>
      <c r="C1216" t="s">
        <v>2726</v>
      </c>
      <c r="D1216" t="s">
        <v>789</v>
      </c>
      <c r="F1216">
        <v>317842332</v>
      </c>
      <c r="G1216">
        <v>658070438</v>
      </c>
      <c r="H1216">
        <v>496652176</v>
      </c>
      <c r="I1216">
        <v>310177196</v>
      </c>
      <c r="J1216">
        <v>444247899</v>
      </c>
      <c r="K1216">
        <v>94743049</v>
      </c>
      <c r="L1216">
        <v>417092397</v>
      </c>
      <c r="M1216">
        <v>368140438</v>
      </c>
      <c r="N1216">
        <v>251894383</v>
      </c>
      <c r="O1216">
        <v>112676109</v>
      </c>
      <c r="P1216">
        <v>1190</v>
      </c>
      <c r="Q1216" t="s">
        <v>2727</v>
      </c>
    </row>
    <row r="1217" spans="1:17" x14ac:dyDescent="0.3">
      <c r="A1217" t="s">
        <v>59</v>
      </c>
      <c r="B1217" t="str">
        <f>"300215"</f>
        <v>300215</v>
      </c>
      <c r="C1217" t="s">
        <v>2728</v>
      </c>
      <c r="D1217" t="s">
        <v>2028</v>
      </c>
      <c r="F1217">
        <v>627235711</v>
      </c>
      <c r="G1217">
        <v>481327619</v>
      </c>
      <c r="H1217">
        <v>496310218</v>
      </c>
      <c r="I1217">
        <v>593436041</v>
      </c>
      <c r="J1217">
        <v>403029723</v>
      </c>
      <c r="K1217">
        <v>340662494</v>
      </c>
      <c r="L1217">
        <v>256594821</v>
      </c>
      <c r="M1217">
        <v>260107015</v>
      </c>
      <c r="N1217">
        <v>267128012</v>
      </c>
      <c r="O1217">
        <v>264199734</v>
      </c>
      <c r="P1217">
        <v>178</v>
      </c>
      <c r="Q1217" t="s">
        <v>2729</v>
      </c>
    </row>
    <row r="1218" spans="1:17" x14ac:dyDescent="0.3">
      <c r="A1218" t="s">
        <v>59</v>
      </c>
      <c r="B1218" t="str">
        <f>"000897"</f>
        <v>000897</v>
      </c>
      <c r="C1218" t="s">
        <v>2730</v>
      </c>
      <c r="D1218" t="s">
        <v>61</v>
      </c>
      <c r="F1218">
        <v>1269666727</v>
      </c>
      <c r="G1218">
        <v>775291529</v>
      </c>
      <c r="H1218">
        <v>496109345</v>
      </c>
      <c r="I1218">
        <v>860299637</v>
      </c>
      <c r="J1218">
        <v>-282415128</v>
      </c>
      <c r="K1218">
        <v>822459933</v>
      </c>
      <c r="L1218">
        <v>333921650</v>
      </c>
      <c r="M1218">
        <v>1053738638</v>
      </c>
      <c r="N1218">
        <v>528010738</v>
      </c>
      <c r="O1218">
        <v>1427282275</v>
      </c>
      <c r="P1218">
        <v>170</v>
      </c>
      <c r="Q1218" t="s">
        <v>2731</v>
      </c>
    </row>
    <row r="1219" spans="1:17" x14ac:dyDescent="0.3">
      <c r="A1219" t="s">
        <v>17</v>
      </c>
      <c r="B1219" t="str">
        <f>"600329"</f>
        <v>600329</v>
      </c>
      <c r="C1219" t="s">
        <v>2732</v>
      </c>
      <c r="D1219" t="s">
        <v>455</v>
      </c>
      <c r="F1219">
        <v>852401232</v>
      </c>
      <c r="G1219">
        <v>671420833</v>
      </c>
      <c r="H1219">
        <v>495488679</v>
      </c>
      <c r="I1219">
        <v>350144367</v>
      </c>
      <c r="J1219">
        <v>-3972632</v>
      </c>
      <c r="K1219">
        <v>419901910</v>
      </c>
      <c r="L1219">
        <v>360583420</v>
      </c>
      <c r="M1219">
        <v>286854209</v>
      </c>
      <c r="N1219">
        <v>213435405</v>
      </c>
      <c r="O1219">
        <v>20808889</v>
      </c>
      <c r="P1219">
        <v>553</v>
      </c>
      <c r="Q1219" t="s">
        <v>2733</v>
      </c>
    </row>
    <row r="1220" spans="1:17" x14ac:dyDescent="0.3">
      <c r="A1220" t="s">
        <v>17</v>
      </c>
      <c r="B1220" t="str">
        <f>"688777"</f>
        <v>688777</v>
      </c>
      <c r="C1220" t="s">
        <v>2734</v>
      </c>
      <c r="D1220" t="s">
        <v>1426</v>
      </c>
      <c r="F1220">
        <v>140530508</v>
      </c>
      <c r="G1220">
        <v>695643691</v>
      </c>
      <c r="H1220">
        <v>495235567</v>
      </c>
      <c r="I1220">
        <v>463182757</v>
      </c>
      <c r="J1220">
        <v>281480309</v>
      </c>
      <c r="K1220">
        <v>210055042</v>
      </c>
      <c r="P1220">
        <v>180</v>
      </c>
      <c r="Q1220" t="s">
        <v>2735</v>
      </c>
    </row>
    <row r="1221" spans="1:17" x14ac:dyDescent="0.3">
      <c r="A1221" t="s">
        <v>17</v>
      </c>
      <c r="B1221" t="str">
        <f>"600995"</f>
        <v>600995</v>
      </c>
      <c r="C1221" t="s">
        <v>2736</v>
      </c>
      <c r="D1221" t="s">
        <v>682</v>
      </c>
      <c r="F1221">
        <v>343967039</v>
      </c>
      <c r="G1221">
        <v>299291770</v>
      </c>
      <c r="H1221">
        <v>495149159</v>
      </c>
      <c r="I1221">
        <v>469052436</v>
      </c>
      <c r="J1221">
        <v>443301775</v>
      </c>
      <c r="K1221">
        <v>484895680</v>
      </c>
      <c r="L1221">
        <v>362284334</v>
      </c>
      <c r="M1221">
        <v>442874389</v>
      </c>
      <c r="N1221">
        <v>554702504</v>
      </c>
      <c r="O1221">
        <v>291785375</v>
      </c>
      <c r="P1221">
        <v>267</v>
      </c>
      <c r="Q1221" t="s">
        <v>2737</v>
      </c>
    </row>
    <row r="1222" spans="1:17" x14ac:dyDescent="0.3">
      <c r="A1222" t="s">
        <v>17</v>
      </c>
      <c r="B1222" t="str">
        <f>"603556"</f>
        <v>603556</v>
      </c>
      <c r="C1222" t="s">
        <v>2738</v>
      </c>
      <c r="D1222" t="s">
        <v>1828</v>
      </c>
      <c r="F1222">
        <v>145466632</v>
      </c>
      <c r="G1222">
        <v>411727242</v>
      </c>
      <c r="H1222">
        <v>494285211</v>
      </c>
      <c r="I1222">
        <v>-7998951</v>
      </c>
      <c r="J1222">
        <v>376894159</v>
      </c>
      <c r="K1222">
        <v>499380071</v>
      </c>
      <c r="L1222">
        <v>458303747</v>
      </c>
      <c r="M1222">
        <v>340350634</v>
      </c>
      <c r="N1222">
        <v>251753174</v>
      </c>
      <c r="P1222">
        <v>218</v>
      </c>
      <c r="Q1222" t="s">
        <v>2739</v>
      </c>
    </row>
    <row r="1223" spans="1:17" x14ac:dyDescent="0.3">
      <c r="A1223" t="s">
        <v>59</v>
      </c>
      <c r="B1223" t="str">
        <f>"002472"</f>
        <v>002472</v>
      </c>
      <c r="C1223" t="s">
        <v>2740</v>
      </c>
      <c r="D1223" t="s">
        <v>156</v>
      </c>
      <c r="F1223">
        <v>794393032</v>
      </c>
      <c r="G1223">
        <v>641384701</v>
      </c>
      <c r="H1223">
        <v>493303214</v>
      </c>
      <c r="I1223">
        <v>6922854</v>
      </c>
      <c r="J1223">
        <v>201575030</v>
      </c>
      <c r="K1223">
        <v>207522124</v>
      </c>
      <c r="L1223">
        <v>282687269</v>
      </c>
      <c r="M1223">
        <v>126386694</v>
      </c>
      <c r="N1223">
        <v>118101153</v>
      </c>
      <c r="O1223">
        <v>124956585</v>
      </c>
      <c r="P1223">
        <v>258</v>
      </c>
      <c r="Q1223" t="s">
        <v>2741</v>
      </c>
    </row>
    <row r="1224" spans="1:17" x14ac:dyDescent="0.3">
      <c r="A1224" t="s">
        <v>17</v>
      </c>
      <c r="B1224" t="str">
        <f>"601226"</f>
        <v>601226</v>
      </c>
      <c r="C1224" t="s">
        <v>2742</v>
      </c>
      <c r="D1224" t="s">
        <v>199</v>
      </c>
      <c r="F1224">
        <v>657312566</v>
      </c>
      <c r="G1224">
        <v>479013481</v>
      </c>
      <c r="H1224">
        <v>491646001</v>
      </c>
      <c r="I1224">
        <v>309278762</v>
      </c>
      <c r="J1224">
        <v>116052931</v>
      </c>
      <c r="K1224">
        <v>213217723</v>
      </c>
      <c r="L1224">
        <v>29103931</v>
      </c>
      <c r="M1224">
        <v>-169904332</v>
      </c>
      <c r="N1224">
        <v>114251248</v>
      </c>
      <c r="O1224">
        <v>134480106</v>
      </c>
      <c r="P1224">
        <v>114</v>
      </c>
      <c r="Q1224" t="s">
        <v>2743</v>
      </c>
    </row>
    <row r="1225" spans="1:17" x14ac:dyDescent="0.3">
      <c r="A1225" t="s">
        <v>17</v>
      </c>
      <c r="B1225" t="str">
        <f>"600993"</f>
        <v>600993</v>
      </c>
      <c r="C1225" t="s">
        <v>2744</v>
      </c>
      <c r="D1225" t="s">
        <v>455</v>
      </c>
      <c r="F1225">
        <v>597171049</v>
      </c>
      <c r="G1225">
        <v>282988369</v>
      </c>
      <c r="H1225">
        <v>491584397</v>
      </c>
      <c r="I1225">
        <v>308243561</v>
      </c>
      <c r="J1225">
        <v>356168369</v>
      </c>
      <c r="K1225">
        <v>239599870</v>
      </c>
      <c r="L1225">
        <v>182850576</v>
      </c>
      <c r="M1225">
        <v>111670948</v>
      </c>
      <c r="N1225">
        <v>129939557</v>
      </c>
      <c r="O1225">
        <v>169253825</v>
      </c>
      <c r="P1225">
        <v>942</v>
      </c>
      <c r="Q1225" t="s">
        <v>2745</v>
      </c>
    </row>
    <row r="1226" spans="1:17" x14ac:dyDescent="0.3">
      <c r="A1226" t="s">
        <v>17</v>
      </c>
      <c r="B1226" t="str">
        <f>"603659"</f>
        <v>603659</v>
      </c>
      <c r="C1226" t="s">
        <v>2746</v>
      </c>
      <c r="D1226" t="s">
        <v>1444</v>
      </c>
      <c r="F1226">
        <v>1725113559</v>
      </c>
      <c r="G1226">
        <v>693563527</v>
      </c>
      <c r="H1226">
        <v>490428913</v>
      </c>
      <c r="I1226">
        <v>326315354</v>
      </c>
      <c r="J1226">
        <v>30496231</v>
      </c>
      <c r="K1226">
        <v>213189823</v>
      </c>
      <c r="L1226">
        <v>-45584349</v>
      </c>
      <c r="M1226">
        <v>-28116012</v>
      </c>
      <c r="P1226">
        <v>1047</v>
      </c>
      <c r="Q1226" t="s">
        <v>2747</v>
      </c>
    </row>
    <row r="1227" spans="1:17" x14ac:dyDescent="0.3">
      <c r="A1227" t="s">
        <v>17</v>
      </c>
      <c r="B1227" t="str">
        <f>"600211"</f>
        <v>600211</v>
      </c>
      <c r="C1227" t="s">
        <v>2748</v>
      </c>
      <c r="D1227" t="s">
        <v>455</v>
      </c>
      <c r="F1227">
        <v>366531412</v>
      </c>
      <c r="G1227">
        <v>428165608</v>
      </c>
      <c r="H1227">
        <v>489592489</v>
      </c>
      <c r="I1227">
        <v>289217375</v>
      </c>
      <c r="J1227">
        <v>91457115</v>
      </c>
      <c r="K1227">
        <v>250204859</v>
      </c>
      <c r="L1227">
        <v>133930273</v>
      </c>
      <c r="M1227">
        <v>-141403348</v>
      </c>
      <c r="N1227">
        <v>279222005</v>
      </c>
      <c r="O1227">
        <v>56200572</v>
      </c>
      <c r="P1227">
        <v>530</v>
      </c>
      <c r="Q1227" t="s">
        <v>2749</v>
      </c>
    </row>
    <row r="1228" spans="1:17" x14ac:dyDescent="0.3">
      <c r="A1228" t="s">
        <v>17</v>
      </c>
      <c r="B1228" t="str">
        <f>"600691"</f>
        <v>600691</v>
      </c>
      <c r="C1228" t="s">
        <v>2750</v>
      </c>
      <c r="D1228" t="s">
        <v>2751</v>
      </c>
      <c r="F1228">
        <v>1072096358</v>
      </c>
      <c r="G1228">
        <v>2795234794</v>
      </c>
      <c r="H1228">
        <v>488470646</v>
      </c>
      <c r="I1228">
        <v>2166117428</v>
      </c>
      <c r="J1228">
        <v>2353954011</v>
      </c>
      <c r="K1228">
        <v>84449007</v>
      </c>
      <c r="L1228">
        <v>171685790</v>
      </c>
      <c r="M1228">
        <v>815573929</v>
      </c>
      <c r="N1228">
        <v>1119350028</v>
      </c>
      <c r="O1228">
        <v>761059435</v>
      </c>
      <c r="P1228">
        <v>130</v>
      </c>
      <c r="Q1228" t="s">
        <v>2752</v>
      </c>
    </row>
    <row r="1229" spans="1:17" x14ac:dyDescent="0.3">
      <c r="A1229" t="s">
        <v>17</v>
      </c>
      <c r="B1229" t="str">
        <f>"600290"</f>
        <v>600290</v>
      </c>
      <c r="C1229" t="s">
        <v>2753</v>
      </c>
      <c r="D1229" t="s">
        <v>458</v>
      </c>
      <c r="F1229">
        <v>-80257745</v>
      </c>
      <c r="G1229">
        <v>-190404373</v>
      </c>
      <c r="H1229">
        <v>488285688</v>
      </c>
      <c r="I1229">
        <v>749716020</v>
      </c>
      <c r="J1229">
        <v>-115251050</v>
      </c>
      <c r="K1229">
        <v>-410936328</v>
      </c>
      <c r="L1229">
        <v>68772266</v>
      </c>
      <c r="M1229">
        <v>-279472617</v>
      </c>
      <c r="N1229">
        <v>240819716</v>
      </c>
      <c r="O1229">
        <v>-65259742</v>
      </c>
      <c r="P1229">
        <v>68</v>
      </c>
      <c r="Q1229" t="s">
        <v>2754</v>
      </c>
    </row>
    <row r="1230" spans="1:17" x14ac:dyDescent="0.3">
      <c r="A1230" t="s">
        <v>17</v>
      </c>
      <c r="B1230" t="str">
        <f>"600676"</f>
        <v>600676</v>
      </c>
      <c r="C1230" t="s">
        <v>2755</v>
      </c>
      <c r="D1230" t="s">
        <v>672</v>
      </c>
      <c r="F1230">
        <v>458373468</v>
      </c>
      <c r="G1230">
        <v>528684706</v>
      </c>
      <c r="H1230">
        <v>487508360</v>
      </c>
      <c r="I1230">
        <v>428386491</v>
      </c>
      <c r="J1230">
        <v>342939933</v>
      </c>
      <c r="K1230">
        <v>564167144</v>
      </c>
      <c r="L1230">
        <v>687200110</v>
      </c>
      <c r="M1230">
        <v>653870495</v>
      </c>
      <c r="N1230">
        <v>515824130</v>
      </c>
      <c r="O1230">
        <v>581723596</v>
      </c>
      <c r="P1230">
        <v>88</v>
      </c>
      <c r="Q1230" t="s">
        <v>2756</v>
      </c>
    </row>
    <row r="1231" spans="1:17" x14ac:dyDescent="0.3">
      <c r="A1231" t="s">
        <v>17</v>
      </c>
      <c r="B1231" t="str">
        <f>"603113"</f>
        <v>603113</v>
      </c>
      <c r="C1231" t="s">
        <v>2757</v>
      </c>
      <c r="D1231" t="s">
        <v>841</v>
      </c>
      <c r="F1231">
        <v>822555197</v>
      </c>
      <c r="G1231">
        <v>1323346928</v>
      </c>
      <c r="H1231">
        <v>487252376</v>
      </c>
      <c r="I1231">
        <v>1691862238</v>
      </c>
      <c r="J1231">
        <v>627600769</v>
      </c>
      <c r="K1231">
        <v>350312546</v>
      </c>
      <c r="L1231">
        <v>496261108</v>
      </c>
      <c r="M1231">
        <v>412325335</v>
      </c>
      <c r="P1231">
        <v>302</v>
      </c>
      <c r="Q1231" t="s">
        <v>2758</v>
      </c>
    </row>
    <row r="1232" spans="1:17" x14ac:dyDescent="0.3">
      <c r="A1232" t="s">
        <v>17</v>
      </c>
      <c r="B1232" t="str">
        <f>"603585"</f>
        <v>603585</v>
      </c>
      <c r="C1232" t="s">
        <v>2759</v>
      </c>
      <c r="D1232" t="s">
        <v>1356</v>
      </c>
      <c r="F1232">
        <v>316004317</v>
      </c>
      <c r="G1232">
        <v>169057788</v>
      </c>
      <c r="H1232">
        <v>486332393</v>
      </c>
      <c r="I1232">
        <v>420486858</v>
      </c>
      <c r="J1232">
        <v>284550207</v>
      </c>
      <c r="K1232">
        <v>236838548</v>
      </c>
      <c r="L1232">
        <v>147068573</v>
      </c>
      <c r="M1232">
        <v>176042568</v>
      </c>
      <c r="N1232">
        <v>165419166</v>
      </c>
      <c r="P1232">
        <v>546</v>
      </c>
      <c r="Q1232" t="s">
        <v>2760</v>
      </c>
    </row>
    <row r="1233" spans="1:17" x14ac:dyDescent="0.3">
      <c r="A1233" t="s">
        <v>17</v>
      </c>
      <c r="B1233" t="str">
        <f>"603305"</f>
        <v>603305</v>
      </c>
      <c r="C1233" t="s">
        <v>2761</v>
      </c>
      <c r="D1233" t="s">
        <v>156</v>
      </c>
      <c r="F1233">
        <v>378030620</v>
      </c>
      <c r="G1233">
        <v>484056464</v>
      </c>
      <c r="H1233">
        <v>485816619</v>
      </c>
      <c r="I1233">
        <v>392041639</v>
      </c>
      <c r="J1233">
        <v>243778579</v>
      </c>
      <c r="K1233">
        <v>247430343</v>
      </c>
      <c r="L1233">
        <v>90458529</v>
      </c>
      <c r="M1233">
        <v>56574425</v>
      </c>
      <c r="P1233">
        <v>506</v>
      </c>
      <c r="Q1233" t="s">
        <v>2762</v>
      </c>
    </row>
    <row r="1234" spans="1:17" x14ac:dyDescent="0.3">
      <c r="A1234" t="s">
        <v>59</v>
      </c>
      <c r="B1234" t="str">
        <f>"300285"</f>
        <v>300285</v>
      </c>
      <c r="C1234" t="s">
        <v>2763</v>
      </c>
      <c r="D1234" t="s">
        <v>1252</v>
      </c>
      <c r="F1234">
        <v>571844677</v>
      </c>
      <c r="G1234">
        <v>772156561</v>
      </c>
      <c r="H1234">
        <v>484259397</v>
      </c>
      <c r="I1234">
        <v>349758541</v>
      </c>
      <c r="J1234">
        <v>129662095</v>
      </c>
      <c r="K1234">
        <v>143052242</v>
      </c>
      <c r="L1234">
        <v>47093754</v>
      </c>
      <c r="M1234">
        <v>-9202682</v>
      </c>
      <c r="N1234">
        <v>48162883</v>
      </c>
      <c r="O1234">
        <v>36369166</v>
      </c>
      <c r="P1234">
        <v>1537</v>
      </c>
      <c r="Q1234" t="s">
        <v>2764</v>
      </c>
    </row>
    <row r="1235" spans="1:17" x14ac:dyDescent="0.3">
      <c r="A1235" t="s">
        <v>17</v>
      </c>
      <c r="B1235" t="str">
        <f>"600581"</f>
        <v>600581</v>
      </c>
      <c r="C1235" t="s">
        <v>2765</v>
      </c>
      <c r="D1235" t="s">
        <v>120</v>
      </c>
      <c r="F1235">
        <v>219586808</v>
      </c>
      <c r="G1235">
        <v>2252663117</v>
      </c>
      <c r="H1235">
        <v>484064738</v>
      </c>
      <c r="I1235">
        <v>972092096</v>
      </c>
      <c r="J1235">
        <v>2583556696</v>
      </c>
      <c r="K1235">
        <v>603644382</v>
      </c>
      <c r="L1235">
        <v>4430832251</v>
      </c>
      <c r="M1235">
        <v>-1108217825</v>
      </c>
      <c r="N1235">
        <v>2534136888</v>
      </c>
      <c r="O1235">
        <v>227987799</v>
      </c>
      <c r="P1235">
        <v>265</v>
      </c>
      <c r="Q1235" t="s">
        <v>2766</v>
      </c>
    </row>
    <row r="1236" spans="1:17" x14ac:dyDescent="0.3">
      <c r="A1236" t="s">
        <v>17</v>
      </c>
      <c r="B1236" t="str">
        <f>"688567"</f>
        <v>688567</v>
      </c>
      <c r="C1236" t="s">
        <v>2767</v>
      </c>
      <c r="D1236" t="s">
        <v>232</v>
      </c>
      <c r="F1236">
        <v>233241843</v>
      </c>
      <c r="G1236">
        <v>-943857818</v>
      </c>
      <c r="H1236">
        <v>483521769</v>
      </c>
      <c r="I1236">
        <v>-437574018</v>
      </c>
      <c r="J1236">
        <v>-147853482</v>
      </c>
      <c r="K1236">
        <v>-38052221</v>
      </c>
      <c r="P1236">
        <v>107</v>
      </c>
      <c r="Q1236" t="s">
        <v>2768</v>
      </c>
    </row>
    <row r="1237" spans="1:17" x14ac:dyDescent="0.3">
      <c r="A1237" t="s">
        <v>59</v>
      </c>
      <c r="B1237" t="str">
        <f>"200771"</f>
        <v>200771</v>
      </c>
      <c r="C1237" t="s">
        <v>2769</v>
      </c>
      <c r="F1237">
        <v>87808643.149200007</v>
      </c>
      <c r="G1237">
        <v>538983530.4461</v>
      </c>
      <c r="H1237">
        <v>483478146.97350001</v>
      </c>
      <c r="I1237">
        <v>733687160.62950003</v>
      </c>
      <c r="J1237">
        <v>246404410.95840001</v>
      </c>
      <c r="K1237">
        <v>564975153.53359997</v>
      </c>
      <c r="L1237">
        <v>424572557.63010001</v>
      </c>
      <c r="M1237">
        <v>354774706.58880001</v>
      </c>
      <c r="N1237">
        <v>473799030.66439998</v>
      </c>
      <c r="O1237">
        <v>967912515.98720002</v>
      </c>
      <c r="P1237">
        <v>65</v>
      </c>
      <c r="Q1237" t="s">
        <v>2770</v>
      </c>
    </row>
    <row r="1238" spans="1:17" x14ac:dyDescent="0.3">
      <c r="A1238" t="s">
        <v>59</v>
      </c>
      <c r="B1238" t="str">
        <f>"300244"</f>
        <v>300244</v>
      </c>
      <c r="C1238" t="s">
        <v>2771</v>
      </c>
      <c r="D1238" t="s">
        <v>2312</v>
      </c>
      <c r="F1238">
        <v>1317918147</v>
      </c>
      <c r="G1238">
        <v>1547226993</v>
      </c>
      <c r="H1238">
        <v>483185628</v>
      </c>
      <c r="I1238">
        <v>373237375</v>
      </c>
      <c r="J1238">
        <v>38510799</v>
      </c>
      <c r="K1238">
        <v>132247094</v>
      </c>
      <c r="L1238">
        <v>131286595</v>
      </c>
      <c r="M1238">
        <v>117949328</v>
      </c>
      <c r="N1238">
        <v>75438948</v>
      </c>
      <c r="O1238">
        <v>25656074</v>
      </c>
      <c r="P1238">
        <v>1268</v>
      </c>
      <c r="Q1238" t="s">
        <v>2772</v>
      </c>
    </row>
    <row r="1239" spans="1:17" x14ac:dyDescent="0.3">
      <c r="A1239" t="s">
        <v>17</v>
      </c>
      <c r="B1239" t="str">
        <f>"600081"</f>
        <v>600081</v>
      </c>
      <c r="C1239" t="s">
        <v>2773</v>
      </c>
      <c r="D1239" t="s">
        <v>289</v>
      </c>
      <c r="F1239">
        <v>434731054</v>
      </c>
      <c r="G1239">
        <v>327066178</v>
      </c>
      <c r="H1239">
        <v>481816437</v>
      </c>
      <c r="I1239">
        <v>435789985</v>
      </c>
      <c r="J1239">
        <v>607760043</v>
      </c>
      <c r="K1239">
        <v>387944154</v>
      </c>
      <c r="L1239">
        <v>562352007</v>
      </c>
      <c r="M1239">
        <v>362085170</v>
      </c>
      <c r="N1239">
        <v>229335581</v>
      </c>
      <c r="O1239">
        <v>310718541</v>
      </c>
      <c r="P1239">
        <v>205</v>
      </c>
      <c r="Q1239" t="s">
        <v>2774</v>
      </c>
    </row>
    <row r="1240" spans="1:17" x14ac:dyDescent="0.3">
      <c r="A1240" t="s">
        <v>59</v>
      </c>
      <c r="B1240" t="str">
        <f>"200058"</f>
        <v>200058</v>
      </c>
      <c r="C1240" t="s">
        <v>2775</v>
      </c>
      <c r="F1240">
        <v>922027563.62639999</v>
      </c>
      <c r="G1240">
        <v>288867959.4655</v>
      </c>
      <c r="H1240">
        <v>481513345.13349998</v>
      </c>
      <c r="I1240">
        <v>190897024.329</v>
      </c>
      <c r="J1240">
        <v>608965336.10979998</v>
      </c>
      <c r="K1240">
        <v>-133977550.7396</v>
      </c>
      <c r="L1240">
        <v>-14865771.5988</v>
      </c>
      <c r="M1240">
        <v>-535088199.69840002</v>
      </c>
      <c r="N1240">
        <v>-157047402.08989999</v>
      </c>
      <c r="O1240">
        <v>-57236058.679799996</v>
      </c>
      <c r="P1240">
        <v>7</v>
      </c>
      <c r="Q1240" t="s">
        <v>2776</v>
      </c>
    </row>
    <row r="1241" spans="1:17" x14ac:dyDescent="0.3">
      <c r="A1241" t="s">
        <v>17</v>
      </c>
      <c r="B1241" t="str">
        <f>"603043"</f>
        <v>603043</v>
      </c>
      <c r="C1241" t="s">
        <v>2777</v>
      </c>
      <c r="D1241" t="s">
        <v>1868</v>
      </c>
      <c r="F1241">
        <v>728924488</v>
      </c>
      <c r="G1241">
        <v>807610785</v>
      </c>
      <c r="H1241">
        <v>481381794</v>
      </c>
      <c r="I1241">
        <v>476022139</v>
      </c>
      <c r="J1241">
        <v>420762262</v>
      </c>
      <c r="K1241">
        <v>376425877</v>
      </c>
      <c r="L1241">
        <v>271642711</v>
      </c>
      <c r="M1241">
        <v>254031797</v>
      </c>
      <c r="P1241">
        <v>1509</v>
      </c>
      <c r="Q1241" t="s">
        <v>2778</v>
      </c>
    </row>
    <row r="1242" spans="1:17" x14ac:dyDescent="0.3">
      <c r="A1242" t="s">
        <v>17</v>
      </c>
      <c r="B1242" t="str">
        <f>"601015"</f>
        <v>601015</v>
      </c>
      <c r="C1242" t="s">
        <v>2779</v>
      </c>
      <c r="D1242" t="s">
        <v>841</v>
      </c>
      <c r="F1242">
        <v>13250001</v>
      </c>
      <c r="G1242">
        <v>-1130316521</v>
      </c>
      <c r="H1242">
        <v>480906762</v>
      </c>
      <c r="I1242">
        <v>471156743</v>
      </c>
      <c r="J1242">
        <v>677243941</v>
      </c>
      <c r="K1242">
        <v>699320641</v>
      </c>
      <c r="L1242">
        <v>-57258863</v>
      </c>
      <c r="M1242">
        <v>-915719201</v>
      </c>
      <c r="N1242">
        <v>119044505</v>
      </c>
      <c r="O1242">
        <v>142892494</v>
      </c>
      <c r="P1242">
        <v>212</v>
      </c>
      <c r="Q1242" t="s">
        <v>2780</v>
      </c>
    </row>
    <row r="1243" spans="1:17" x14ac:dyDescent="0.3">
      <c r="A1243" t="s">
        <v>17</v>
      </c>
      <c r="B1243" t="str">
        <f>"601518"</f>
        <v>601518</v>
      </c>
      <c r="C1243" t="s">
        <v>2781</v>
      </c>
      <c r="D1243" t="s">
        <v>406</v>
      </c>
      <c r="F1243">
        <v>785068322</v>
      </c>
      <c r="G1243">
        <v>405653312</v>
      </c>
      <c r="H1243">
        <v>480206893</v>
      </c>
      <c r="I1243">
        <v>579489611</v>
      </c>
      <c r="J1243">
        <v>684254737</v>
      </c>
      <c r="K1243">
        <v>453977980</v>
      </c>
      <c r="L1243">
        <v>304911666</v>
      </c>
      <c r="M1243">
        <v>263127592</v>
      </c>
      <c r="N1243">
        <v>453069057</v>
      </c>
      <c r="O1243">
        <v>483138574</v>
      </c>
      <c r="P1243">
        <v>111</v>
      </c>
      <c r="Q1243" t="s">
        <v>2782</v>
      </c>
    </row>
    <row r="1244" spans="1:17" x14ac:dyDescent="0.3">
      <c r="A1244" t="s">
        <v>17</v>
      </c>
      <c r="B1244" t="str">
        <f>"603132"</f>
        <v>603132</v>
      </c>
      <c r="C1244" t="s">
        <v>2783</v>
      </c>
      <c r="F1244">
        <v>757522645</v>
      </c>
      <c r="G1244">
        <v>711638665</v>
      </c>
      <c r="H1244">
        <v>479105996</v>
      </c>
      <c r="I1244">
        <v>84757814</v>
      </c>
      <c r="P1244">
        <v>10</v>
      </c>
      <c r="Q1244" t="s">
        <v>2784</v>
      </c>
    </row>
    <row r="1245" spans="1:17" x14ac:dyDescent="0.3">
      <c r="A1245" t="s">
        <v>59</v>
      </c>
      <c r="B1245" t="str">
        <f>"300332"</f>
        <v>300332</v>
      </c>
      <c r="C1245" t="s">
        <v>2785</v>
      </c>
      <c r="D1245" t="s">
        <v>883</v>
      </c>
      <c r="F1245">
        <v>219409720</v>
      </c>
      <c r="G1245">
        <v>243835095</v>
      </c>
      <c r="H1245">
        <v>479044084</v>
      </c>
      <c r="I1245">
        <v>312868338</v>
      </c>
      <c r="J1245">
        <v>-59530320</v>
      </c>
      <c r="K1245">
        <v>143942861</v>
      </c>
      <c r="L1245">
        <v>44707503</v>
      </c>
      <c r="M1245">
        <v>26894960</v>
      </c>
      <c r="N1245">
        <v>28929668</v>
      </c>
      <c r="O1245">
        <v>39537803</v>
      </c>
      <c r="P1245">
        <v>117</v>
      </c>
      <c r="Q1245" t="s">
        <v>2786</v>
      </c>
    </row>
    <row r="1246" spans="1:17" x14ac:dyDescent="0.3">
      <c r="A1246" t="s">
        <v>59</v>
      </c>
      <c r="B1246" t="str">
        <f>"000755"</f>
        <v>000755</v>
      </c>
      <c r="C1246" t="s">
        <v>2787</v>
      </c>
      <c r="D1246" t="s">
        <v>406</v>
      </c>
      <c r="F1246">
        <v>1412294849</v>
      </c>
      <c r="G1246">
        <v>483761247</v>
      </c>
      <c r="H1246">
        <v>478560437</v>
      </c>
      <c r="I1246">
        <v>771819829</v>
      </c>
      <c r="J1246">
        <v>-80584042</v>
      </c>
      <c r="K1246">
        <v>55541880</v>
      </c>
      <c r="L1246">
        <v>14001674</v>
      </c>
      <c r="M1246">
        <v>356644371</v>
      </c>
      <c r="N1246">
        <v>-352595762</v>
      </c>
      <c r="O1246">
        <v>22085225</v>
      </c>
      <c r="P1246">
        <v>96</v>
      </c>
      <c r="Q1246" t="s">
        <v>2788</v>
      </c>
    </row>
    <row r="1247" spans="1:17" x14ac:dyDescent="0.3">
      <c r="A1247" t="s">
        <v>17</v>
      </c>
      <c r="B1247" t="str">
        <f>"603377"</f>
        <v>603377</v>
      </c>
      <c r="C1247" t="s">
        <v>2789</v>
      </c>
      <c r="D1247" t="s">
        <v>871</v>
      </c>
      <c r="F1247">
        <v>448662643</v>
      </c>
      <c r="G1247">
        <v>650908286</v>
      </c>
      <c r="H1247">
        <v>477679714</v>
      </c>
      <c r="I1247">
        <v>-254241541</v>
      </c>
      <c r="J1247">
        <v>293611398</v>
      </c>
      <c r="K1247">
        <v>243504453</v>
      </c>
      <c r="L1247">
        <v>346363083</v>
      </c>
      <c r="M1247">
        <v>521689600</v>
      </c>
      <c r="N1247">
        <v>415471807</v>
      </c>
      <c r="O1247">
        <v>407977531</v>
      </c>
      <c r="P1247">
        <v>171</v>
      </c>
      <c r="Q1247" t="s">
        <v>2790</v>
      </c>
    </row>
    <row r="1248" spans="1:17" x14ac:dyDescent="0.3">
      <c r="A1248" t="s">
        <v>59</v>
      </c>
      <c r="B1248" t="str">
        <f>"002582"</f>
        <v>002582</v>
      </c>
      <c r="C1248" t="s">
        <v>2791</v>
      </c>
      <c r="D1248" t="s">
        <v>2353</v>
      </c>
      <c r="F1248">
        <v>70082250</v>
      </c>
      <c r="G1248">
        <v>334997960</v>
      </c>
      <c r="H1248">
        <v>477006822</v>
      </c>
      <c r="I1248">
        <v>571791947</v>
      </c>
      <c r="J1248">
        <v>225957495</v>
      </c>
      <c r="K1248">
        <v>-351605622</v>
      </c>
      <c r="L1248">
        <v>158309187</v>
      </c>
      <c r="M1248">
        <v>-93864987</v>
      </c>
      <c r="N1248">
        <v>180412926</v>
      </c>
      <c r="O1248">
        <v>35919621</v>
      </c>
      <c r="P1248">
        <v>439</v>
      </c>
      <c r="Q1248" t="s">
        <v>2792</v>
      </c>
    </row>
    <row r="1249" spans="1:17" x14ac:dyDescent="0.3">
      <c r="A1249" t="s">
        <v>17</v>
      </c>
      <c r="B1249" t="str">
        <f>"600814"</f>
        <v>600814</v>
      </c>
      <c r="C1249" t="s">
        <v>2793</v>
      </c>
      <c r="D1249" t="s">
        <v>1361</v>
      </c>
      <c r="F1249">
        <v>870627644</v>
      </c>
      <c r="G1249">
        <v>614522935</v>
      </c>
      <c r="H1249">
        <v>475720864</v>
      </c>
      <c r="I1249">
        <v>462418943</v>
      </c>
      <c r="J1249">
        <v>428943814</v>
      </c>
      <c r="K1249">
        <v>468028616</v>
      </c>
      <c r="L1249">
        <v>162223908</v>
      </c>
      <c r="M1249">
        <v>131267270</v>
      </c>
      <c r="N1249">
        <v>34873064</v>
      </c>
      <c r="O1249">
        <v>34111690</v>
      </c>
      <c r="P1249">
        <v>150</v>
      </c>
      <c r="Q1249" t="s">
        <v>2794</v>
      </c>
    </row>
    <row r="1250" spans="1:17" x14ac:dyDescent="0.3">
      <c r="A1250" t="s">
        <v>17</v>
      </c>
      <c r="B1250" t="str">
        <f>"600310"</f>
        <v>600310</v>
      </c>
      <c r="C1250" t="s">
        <v>2795</v>
      </c>
      <c r="D1250" t="s">
        <v>682</v>
      </c>
      <c r="F1250">
        <v>1047010328</v>
      </c>
      <c r="G1250">
        <v>1560704326</v>
      </c>
      <c r="H1250">
        <v>475604022</v>
      </c>
      <c r="I1250">
        <v>65788048</v>
      </c>
      <c r="J1250">
        <v>227397118</v>
      </c>
      <c r="K1250">
        <v>227796079</v>
      </c>
      <c r="L1250">
        <v>429046553</v>
      </c>
      <c r="M1250">
        <v>-44266915</v>
      </c>
      <c r="N1250">
        <v>276518333</v>
      </c>
      <c r="O1250">
        <v>193353826</v>
      </c>
      <c r="P1250">
        <v>115</v>
      </c>
      <c r="Q1250" t="s">
        <v>2796</v>
      </c>
    </row>
    <row r="1251" spans="1:17" x14ac:dyDescent="0.3">
      <c r="A1251" t="s">
        <v>59</v>
      </c>
      <c r="B1251" t="str">
        <f>"002194"</f>
        <v>002194</v>
      </c>
      <c r="C1251" t="s">
        <v>2797</v>
      </c>
      <c r="D1251" t="s">
        <v>352</v>
      </c>
      <c r="F1251">
        <v>426253818</v>
      </c>
      <c r="G1251">
        <v>223779438</v>
      </c>
      <c r="H1251">
        <v>474381084</v>
      </c>
      <c r="I1251">
        <v>58125409</v>
      </c>
      <c r="J1251">
        <v>-335756805</v>
      </c>
      <c r="K1251">
        <v>369417687</v>
      </c>
      <c r="L1251">
        <v>-5209447</v>
      </c>
      <c r="M1251">
        <v>-175203105</v>
      </c>
      <c r="N1251">
        <v>246431204</v>
      </c>
      <c r="O1251">
        <v>-35482803</v>
      </c>
      <c r="P1251">
        <v>906</v>
      </c>
      <c r="Q1251" t="s">
        <v>2798</v>
      </c>
    </row>
    <row r="1252" spans="1:17" x14ac:dyDescent="0.3">
      <c r="A1252" t="s">
        <v>17</v>
      </c>
      <c r="B1252" t="str">
        <f>"600551"</f>
        <v>600551</v>
      </c>
      <c r="C1252" t="s">
        <v>2799</v>
      </c>
      <c r="D1252" t="s">
        <v>914</v>
      </c>
      <c r="F1252">
        <v>333653450</v>
      </c>
      <c r="G1252">
        <v>482040679</v>
      </c>
      <c r="H1252">
        <v>474083498</v>
      </c>
      <c r="I1252">
        <v>284502536</v>
      </c>
      <c r="J1252">
        <v>-126696641</v>
      </c>
      <c r="K1252">
        <v>262141486</v>
      </c>
      <c r="L1252">
        <v>437138745</v>
      </c>
      <c r="M1252">
        <v>409031478</v>
      </c>
      <c r="N1252">
        <v>316925466</v>
      </c>
      <c r="O1252">
        <v>357412915</v>
      </c>
      <c r="P1252">
        <v>134</v>
      </c>
      <c r="Q1252" t="s">
        <v>2800</v>
      </c>
    </row>
    <row r="1253" spans="1:17" x14ac:dyDescent="0.3">
      <c r="A1253" t="s">
        <v>59</v>
      </c>
      <c r="B1253" t="str">
        <f>"002421"</f>
        <v>002421</v>
      </c>
      <c r="C1253" t="s">
        <v>2801</v>
      </c>
      <c r="D1253" t="s">
        <v>1189</v>
      </c>
      <c r="F1253">
        <v>-623962447</v>
      </c>
      <c r="G1253">
        <v>282936673</v>
      </c>
      <c r="H1253">
        <v>473968308</v>
      </c>
      <c r="I1253">
        <v>-190975019</v>
      </c>
      <c r="J1253">
        <v>210127346</v>
      </c>
      <c r="K1253">
        <v>-14817710</v>
      </c>
      <c r="L1253">
        <v>137004658</v>
      </c>
      <c r="M1253">
        <v>114107772</v>
      </c>
      <c r="N1253">
        <v>4520823</v>
      </c>
      <c r="O1253">
        <v>104309933</v>
      </c>
      <c r="P1253">
        <v>199</v>
      </c>
      <c r="Q1253" t="s">
        <v>2802</v>
      </c>
    </row>
    <row r="1254" spans="1:17" x14ac:dyDescent="0.3">
      <c r="A1254" t="s">
        <v>59</v>
      </c>
      <c r="B1254" t="str">
        <f>"300271"</f>
        <v>300271</v>
      </c>
      <c r="C1254" t="s">
        <v>2803</v>
      </c>
      <c r="D1254" t="s">
        <v>1189</v>
      </c>
      <c r="F1254">
        <v>-219201033</v>
      </c>
      <c r="G1254">
        <v>658929884</v>
      </c>
      <c r="H1254">
        <v>473107686</v>
      </c>
      <c r="I1254">
        <v>320161310</v>
      </c>
      <c r="J1254">
        <v>491523303</v>
      </c>
      <c r="K1254">
        <v>237220810</v>
      </c>
      <c r="L1254">
        <v>349825717</v>
      </c>
      <c r="M1254">
        <v>288761055</v>
      </c>
      <c r="N1254">
        <v>-11861129</v>
      </c>
      <c r="O1254">
        <v>90852995</v>
      </c>
      <c r="P1254">
        <v>590</v>
      </c>
      <c r="Q1254" t="s">
        <v>2804</v>
      </c>
    </row>
    <row r="1255" spans="1:17" x14ac:dyDescent="0.3">
      <c r="A1255" t="s">
        <v>17</v>
      </c>
      <c r="B1255" t="str">
        <f>"600979"</f>
        <v>600979</v>
      </c>
      <c r="C1255" t="s">
        <v>2805</v>
      </c>
      <c r="D1255" t="s">
        <v>682</v>
      </c>
      <c r="F1255">
        <v>549166523</v>
      </c>
      <c r="G1255">
        <v>673270663</v>
      </c>
      <c r="H1255">
        <v>472539820</v>
      </c>
      <c r="I1255">
        <v>448130623</v>
      </c>
      <c r="J1255">
        <v>754517326</v>
      </c>
      <c r="K1255">
        <v>575029643</v>
      </c>
      <c r="L1255">
        <v>554272220</v>
      </c>
      <c r="M1255">
        <v>399606804</v>
      </c>
      <c r="N1255">
        <v>353316704</v>
      </c>
      <c r="O1255">
        <v>242227040</v>
      </c>
      <c r="P1255">
        <v>117</v>
      </c>
      <c r="Q1255" t="s">
        <v>2806</v>
      </c>
    </row>
    <row r="1256" spans="1:17" x14ac:dyDescent="0.3">
      <c r="A1256" t="s">
        <v>17</v>
      </c>
      <c r="B1256" t="str">
        <f>"688388"</f>
        <v>688388</v>
      </c>
      <c r="C1256" t="s">
        <v>2807</v>
      </c>
      <c r="D1256" t="s">
        <v>259</v>
      </c>
      <c r="F1256">
        <v>318670381</v>
      </c>
      <c r="G1256">
        <v>91133246</v>
      </c>
      <c r="H1256">
        <v>472132436</v>
      </c>
      <c r="I1256">
        <v>134924949</v>
      </c>
      <c r="J1256">
        <v>16569138</v>
      </c>
      <c r="K1256">
        <v>102243177</v>
      </c>
      <c r="P1256">
        <v>286</v>
      </c>
      <c r="Q1256" t="s">
        <v>2808</v>
      </c>
    </row>
    <row r="1257" spans="1:17" x14ac:dyDescent="0.3">
      <c r="A1257" t="s">
        <v>59</v>
      </c>
      <c r="B1257" t="str">
        <f>"002402"</f>
        <v>002402</v>
      </c>
      <c r="C1257" t="s">
        <v>2809</v>
      </c>
      <c r="D1257" t="s">
        <v>349</v>
      </c>
      <c r="F1257">
        <v>166442284</v>
      </c>
      <c r="G1257">
        <v>564638936</v>
      </c>
      <c r="H1257">
        <v>471661762</v>
      </c>
      <c r="I1257">
        <v>291588354</v>
      </c>
      <c r="J1257">
        <v>185829742</v>
      </c>
      <c r="K1257">
        <v>126010017</v>
      </c>
      <c r="L1257">
        <v>87088815</v>
      </c>
      <c r="M1257">
        <v>47618312</v>
      </c>
      <c r="N1257">
        <v>26596429</v>
      </c>
      <c r="O1257">
        <v>26548714</v>
      </c>
      <c r="P1257">
        <v>1281</v>
      </c>
      <c r="Q1257" t="s">
        <v>2810</v>
      </c>
    </row>
    <row r="1258" spans="1:17" x14ac:dyDescent="0.3">
      <c r="A1258" t="s">
        <v>59</v>
      </c>
      <c r="B1258" t="str">
        <f>"300552"</f>
        <v>300552</v>
      </c>
      <c r="C1258" t="s">
        <v>2811</v>
      </c>
      <c r="D1258" t="s">
        <v>707</v>
      </c>
      <c r="F1258">
        <v>229781879</v>
      </c>
      <c r="G1258">
        <v>400283399</v>
      </c>
      <c r="H1258">
        <v>470811191</v>
      </c>
      <c r="I1258">
        <v>-24733402</v>
      </c>
      <c r="J1258">
        <v>-77463198</v>
      </c>
      <c r="K1258">
        <v>-12086818</v>
      </c>
      <c r="L1258">
        <v>86209295</v>
      </c>
      <c r="M1258">
        <v>19711506</v>
      </c>
      <c r="N1258">
        <v>12648686</v>
      </c>
      <c r="P1258">
        <v>327</v>
      </c>
      <c r="Q1258" t="s">
        <v>2812</v>
      </c>
    </row>
    <row r="1259" spans="1:17" x14ac:dyDescent="0.3">
      <c r="A1259" t="s">
        <v>59</v>
      </c>
      <c r="B1259" t="str">
        <f>"002163"</f>
        <v>002163</v>
      </c>
      <c r="C1259" t="s">
        <v>2813</v>
      </c>
      <c r="D1259" t="s">
        <v>901</v>
      </c>
      <c r="F1259">
        <v>51032185</v>
      </c>
      <c r="G1259">
        <v>329121458</v>
      </c>
      <c r="H1259">
        <v>469977028</v>
      </c>
      <c r="I1259">
        <v>526683400</v>
      </c>
      <c r="J1259">
        <v>541031854</v>
      </c>
      <c r="K1259">
        <v>274288458</v>
      </c>
      <c r="L1259">
        <v>155203031</v>
      </c>
      <c r="M1259">
        <v>224784012</v>
      </c>
      <c r="N1259">
        <v>77326282</v>
      </c>
      <c r="O1259">
        <v>76933586</v>
      </c>
      <c r="P1259">
        <v>170</v>
      </c>
      <c r="Q1259" t="s">
        <v>2814</v>
      </c>
    </row>
    <row r="1260" spans="1:17" x14ac:dyDescent="0.3">
      <c r="A1260" t="s">
        <v>59</v>
      </c>
      <c r="B1260" t="str">
        <f>"002929"</f>
        <v>002929</v>
      </c>
      <c r="C1260" t="s">
        <v>2815</v>
      </c>
      <c r="D1260" t="s">
        <v>2057</v>
      </c>
      <c r="F1260">
        <v>385000098</v>
      </c>
      <c r="G1260">
        <v>331657338</v>
      </c>
      <c r="H1260">
        <v>469716382</v>
      </c>
      <c r="I1260">
        <v>170930254</v>
      </c>
      <c r="J1260">
        <v>-188078079</v>
      </c>
      <c r="K1260">
        <v>-77062579</v>
      </c>
      <c r="L1260">
        <v>139585724</v>
      </c>
      <c r="P1260">
        <v>270</v>
      </c>
      <c r="Q1260" t="s">
        <v>2816</v>
      </c>
    </row>
    <row r="1261" spans="1:17" x14ac:dyDescent="0.3">
      <c r="A1261" t="s">
        <v>59</v>
      </c>
      <c r="B1261" t="str">
        <f>"002275"</f>
        <v>002275</v>
      </c>
      <c r="C1261" t="s">
        <v>2817</v>
      </c>
      <c r="D1261" t="s">
        <v>455</v>
      </c>
      <c r="F1261">
        <v>410241542</v>
      </c>
      <c r="G1261">
        <v>597991408</v>
      </c>
      <c r="H1261">
        <v>468285132</v>
      </c>
      <c r="I1261">
        <v>551726198</v>
      </c>
      <c r="J1261">
        <v>387823160</v>
      </c>
      <c r="K1261">
        <v>536851083</v>
      </c>
      <c r="L1261">
        <v>398495406</v>
      </c>
      <c r="M1261">
        <v>396529896</v>
      </c>
      <c r="N1261">
        <v>314159410</v>
      </c>
      <c r="O1261">
        <v>302589347</v>
      </c>
      <c r="P1261">
        <v>11978</v>
      </c>
      <c r="Q1261" t="s">
        <v>2818</v>
      </c>
    </row>
    <row r="1262" spans="1:17" x14ac:dyDescent="0.3">
      <c r="A1262" t="s">
        <v>59</v>
      </c>
      <c r="B1262" t="str">
        <f>"300232"</f>
        <v>300232</v>
      </c>
      <c r="C1262" t="s">
        <v>2819</v>
      </c>
      <c r="D1262" t="s">
        <v>772</v>
      </c>
      <c r="F1262">
        <v>14857943</v>
      </c>
      <c r="G1262">
        <v>536361231</v>
      </c>
      <c r="H1262">
        <v>468247003</v>
      </c>
      <c r="I1262">
        <v>320123414</v>
      </c>
      <c r="J1262">
        <v>122691173</v>
      </c>
      <c r="K1262">
        <v>217889013</v>
      </c>
      <c r="L1262">
        <v>77487665</v>
      </c>
      <c r="M1262">
        <v>87993108</v>
      </c>
      <c r="N1262">
        <v>52047961</v>
      </c>
      <c r="O1262">
        <v>-69330906</v>
      </c>
      <c r="P1262">
        <v>922</v>
      </c>
      <c r="Q1262" t="s">
        <v>2820</v>
      </c>
    </row>
    <row r="1263" spans="1:17" x14ac:dyDescent="0.3">
      <c r="A1263" t="s">
        <v>17</v>
      </c>
      <c r="B1263" t="str">
        <f>"600565"</f>
        <v>600565</v>
      </c>
      <c r="C1263" t="s">
        <v>2821</v>
      </c>
      <c r="D1263" t="s">
        <v>61</v>
      </c>
      <c r="F1263">
        <v>-2340920855</v>
      </c>
      <c r="G1263">
        <v>2220359303</v>
      </c>
      <c r="H1263">
        <v>468116700</v>
      </c>
      <c r="I1263">
        <v>6829183443</v>
      </c>
      <c r="J1263">
        <v>1741096803</v>
      </c>
      <c r="K1263">
        <v>1277318513</v>
      </c>
      <c r="L1263">
        <v>157612472</v>
      </c>
      <c r="M1263">
        <v>-620281665</v>
      </c>
      <c r="N1263">
        <v>-1142857396</v>
      </c>
      <c r="O1263">
        <v>772140675</v>
      </c>
      <c r="P1263">
        <v>468</v>
      </c>
      <c r="Q1263" t="s">
        <v>2822</v>
      </c>
    </row>
    <row r="1264" spans="1:17" x14ac:dyDescent="0.3">
      <c r="A1264" t="s">
        <v>59</v>
      </c>
      <c r="B1264" t="str">
        <f>"000517"</f>
        <v>000517</v>
      </c>
      <c r="C1264" t="s">
        <v>2823</v>
      </c>
      <c r="D1264" t="s">
        <v>61</v>
      </c>
      <c r="F1264">
        <v>-403539350</v>
      </c>
      <c r="G1264">
        <v>-10728252477</v>
      </c>
      <c r="H1264">
        <v>467792351</v>
      </c>
      <c r="I1264">
        <v>-2715771338</v>
      </c>
      <c r="J1264">
        <v>-261776063</v>
      </c>
      <c r="K1264">
        <v>181538103</v>
      </c>
      <c r="L1264">
        <v>660400495</v>
      </c>
      <c r="M1264">
        <v>-639843824</v>
      </c>
      <c r="N1264">
        <v>1385930954</v>
      </c>
      <c r="O1264">
        <v>2879542438</v>
      </c>
      <c r="P1264">
        <v>312</v>
      </c>
      <c r="Q1264" t="s">
        <v>2824</v>
      </c>
    </row>
    <row r="1265" spans="1:17" x14ac:dyDescent="0.3">
      <c r="A1265" t="s">
        <v>59</v>
      </c>
      <c r="B1265" t="str">
        <f>"002424"</f>
        <v>002424</v>
      </c>
      <c r="C1265" t="s">
        <v>2825</v>
      </c>
      <c r="D1265" t="s">
        <v>455</v>
      </c>
      <c r="F1265">
        <v>324922221</v>
      </c>
      <c r="G1265">
        <v>231779656</v>
      </c>
      <c r="H1265">
        <v>467413828</v>
      </c>
      <c r="I1265">
        <v>-157445352</v>
      </c>
      <c r="J1265">
        <v>79884249</v>
      </c>
      <c r="K1265">
        <v>466615480</v>
      </c>
      <c r="L1265">
        <v>413228742</v>
      </c>
      <c r="M1265">
        <v>395833192</v>
      </c>
      <c r="N1265">
        <v>141756276</v>
      </c>
      <c r="O1265">
        <v>19516226</v>
      </c>
      <c r="P1265">
        <v>472</v>
      </c>
      <c r="Q1265" t="s">
        <v>2826</v>
      </c>
    </row>
    <row r="1266" spans="1:17" x14ac:dyDescent="0.3">
      <c r="A1266" t="s">
        <v>17</v>
      </c>
      <c r="B1266" t="str">
        <f>"603868"</f>
        <v>603868</v>
      </c>
      <c r="C1266" t="s">
        <v>2827</v>
      </c>
      <c r="D1266" t="s">
        <v>2828</v>
      </c>
      <c r="F1266">
        <v>740946381</v>
      </c>
      <c r="G1266">
        <v>979206546</v>
      </c>
      <c r="H1266">
        <v>467322822</v>
      </c>
      <c r="I1266">
        <v>553978995</v>
      </c>
      <c r="J1266">
        <v>858548899</v>
      </c>
      <c r="K1266">
        <v>799850728</v>
      </c>
      <c r="L1266">
        <v>425011626</v>
      </c>
      <c r="M1266">
        <v>540823666</v>
      </c>
      <c r="N1266">
        <v>180962378</v>
      </c>
      <c r="P1266">
        <v>4435</v>
      </c>
      <c r="Q1266" t="s">
        <v>2829</v>
      </c>
    </row>
    <row r="1267" spans="1:17" x14ac:dyDescent="0.3">
      <c r="A1267" t="s">
        <v>59</v>
      </c>
      <c r="B1267" t="str">
        <f>"000919"</f>
        <v>000919</v>
      </c>
      <c r="C1267" t="s">
        <v>2830</v>
      </c>
      <c r="D1267" t="s">
        <v>455</v>
      </c>
      <c r="F1267">
        <v>292026282</v>
      </c>
      <c r="G1267">
        <v>311464432</v>
      </c>
      <c r="H1267">
        <v>465847095</v>
      </c>
      <c r="I1267">
        <v>433825968</v>
      </c>
      <c r="J1267">
        <v>443109708</v>
      </c>
      <c r="K1267">
        <v>96149992</v>
      </c>
      <c r="L1267">
        <v>212449641</v>
      </c>
      <c r="M1267">
        <v>299891715</v>
      </c>
      <c r="N1267">
        <v>271208293</v>
      </c>
      <c r="O1267">
        <v>232116927</v>
      </c>
      <c r="P1267">
        <v>179</v>
      </c>
      <c r="Q1267" t="s">
        <v>2831</v>
      </c>
    </row>
    <row r="1268" spans="1:17" x14ac:dyDescent="0.3">
      <c r="A1268" t="s">
        <v>17</v>
      </c>
      <c r="B1268" t="str">
        <f>"603983"</f>
        <v>603983</v>
      </c>
      <c r="C1268" t="s">
        <v>2832</v>
      </c>
      <c r="D1268" t="s">
        <v>2118</v>
      </c>
      <c r="F1268">
        <v>-7480531</v>
      </c>
      <c r="G1268">
        <v>362345691</v>
      </c>
      <c r="H1268">
        <v>465531842</v>
      </c>
      <c r="I1268">
        <v>516693625</v>
      </c>
      <c r="J1268">
        <v>356202161</v>
      </c>
      <c r="K1268">
        <v>213332613</v>
      </c>
      <c r="P1268">
        <v>898</v>
      </c>
      <c r="Q1268" t="s">
        <v>2833</v>
      </c>
    </row>
    <row r="1269" spans="1:17" x14ac:dyDescent="0.3">
      <c r="A1269" t="s">
        <v>59</v>
      </c>
      <c r="B1269" t="str">
        <f>"002354"</f>
        <v>002354</v>
      </c>
      <c r="C1269" t="s">
        <v>2834</v>
      </c>
      <c r="D1269" t="s">
        <v>689</v>
      </c>
      <c r="F1269">
        <v>-52224878</v>
      </c>
      <c r="G1269">
        <v>93931408</v>
      </c>
      <c r="H1269">
        <v>465445065</v>
      </c>
      <c r="I1269">
        <v>275295305</v>
      </c>
      <c r="J1269">
        <v>894814787</v>
      </c>
      <c r="K1269">
        <v>502161697</v>
      </c>
      <c r="L1269">
        <v>319815463</v>
      </c>
      <c r="M1269">
        <v>130247553</v>
      </c>
      <c r="N1269">
        <v>33861131</v>
      </c>
      <c r="O1269">
        <v>70474644</v>
      </c>
      <c r="P1269">
        <v>265</v>
      </c>
      <c r="Q1269" t="s">
        <v>2835</v>
      </c>
    </row>
    <row r="1270" spans="1:17" x14ac:dyDescent="0.3">
      <c r="A1270" t="s">
        <v>59</v>
      </c>
      <c r="B1270" t="str">
        <f>"002491"</f>
        <v>002491</v>
      </c>
      <c r="C1270" t="s">
        <v>2836</v>
      </c>
      <c r="D1270" t="s">
        <v>754</v>
      </c>
      <c r="F1270">
        <v>25895709</v>
      </c>
      <c r="G1270">
        <v>337124583</v>
      </c>
      <c r="H1270">
        <v>464627353</v>
      </c>
      <c r="I1270">
        <v>122322240</v>
      </c>
      <c r="J1270">
        <v>568887883</v>
      </c>
      <c r="K1270">
        <v>663554706</v>
      </c>
      <c r="L1270">
        <v>454881213</v>
      </c>
      <c r="M1270">
        <v>573431428</v>
      </c>
      <c r="N1270">
        <v>-201188026</v>
      </c>
      <c r="O1270">
        <v>-371194989</v>
      </c>
      <c r="P1270">
        <v>214</v>
      </c>
      <c r="Q1270" t="s">
        <v>2837</v>
      </c>
    </row>
    <row r="1271" spans="1:17" x14ac:dyDescent="0.3">
      <c r="A1271" t="s">
        <v>59</v>
      </c>
      <c r="B1271" t="str">
        <f>"300258"</f>
        <v>300258</v>
      </c>
      <c r="C1271" t="s">
        <v>2838</v>
      </c>
      <c r="D1271" t="s">
        <v>156</v>
      </c>
      <c r="F1271">
        <v>196743492</v>
      </c>
      <c r="G1271">
        <v>358883966</v>
      </c>
      <c r="H1271">
        <v>464154982</v>
      </c>
      <c r="I1271">
        <v>424253120</v>
      </c>
      <c r="J1271">
        <v>362765721</v>
      </c>
      <c r="K1271">
        <v>310929455</v>
      </c>
      <c r="L1271">
        <v>204207054</v>
      </c>
      <c r="M1271">
        <v>130138920</v>
      </c>
      <c r="N1271">
        <v>101907645</v>
      </c>
      <c r="O1271">
        <v>112182322</v>
      </c>
      <c r="P1271">
        <v>330</v>
      </c>
      <c r="Q1271" t="s">
        <v>2839</v>
      </c>
    </row>
    <row r="1272" spans="1:17" x14ac:dyDescent="0.3">
      <c r="A1272" t="s">
        <v>59</v>
      </c>
      <c r="B1272" t="str">
        <f>"000552"</f>
        <v>000552</v>
      </c>
      <c r="C1272" t="s">
        <v>2840</v>
      </c>
      <c r="D1272" t="s">
        <v>54</v>
      </c>
      <c r="F1272">
        <v>2391637916</v>
      </c>
      <c r="G1272">
        <v>638604363</v>
      </c>
      <c r="H1272">
        <v>463056161</v>
      </c>
      <c r="I1272">
        <v>526022268</v>
      </c>
      <c r="J1272">
        <v>609185422</v>
      </c>
      <c r="K1272">
        <v>488064385</v>
      </c>
      <c r="L1272">
        <v>-21760080</v>
      </c>
      <c r="M1272">
        <v>21651834</v>
      </c>
      <c r="N1272">
        <v>461799687</v>
      </c>
      <c r="O1272">
        <v>105867363</v>
      </c>
      <c r="P1272">
        <v>263</v>
      </c>
      <c r="Q1272" t="s">
        <v>2841</v>
      </c>
    </row>
    <row r="1273" spans="1:17" x14ac:dyDescent="0.3">
      <c r="A1273" t="s">
        <v>59</v>
      </c>
      <c r="B1273" t="str">
        <f>"300770"</f>
        <v>300770</v>
      </c>
      <c r="C1273" t="s">
        <v>2842</v>
      </c>
      <c r="D1273" t="s">
        <v>775</v>
      </c>
      <c r="F1273">
        <v>1044506314</v>
      </c>
      <c r="G1273">
        <v>524888064</v>
      </c>
      <c r="H1273">
        <v>462252958</v>
      </c>
      <c r="I1273">
        <v>246383201</v>
      </c>
      <c r="J1273">
        <v>198515803</v>
      </c>
      <c r="K1273">
        <v>73570455</v>
      </c>
      <c r="P1273">
        <v>632</v>
      </c>
      <c r="Q1273" t="s">
        <v>2843</v>
      </c>
    </row>
    <row r="1274" spans="1:17" x14ac:dyDescent="0.3">
      <c r="A1274" t="s">
        <v>17</v>
      </c>
      <c r="B1274" t="str">
        <f>"603603"</f>
        <v>603603</v>
      </c>
      <c r="C1274" t="s">
        <v>2844</v>
      </c>
      <c r="D1274" t="s">
        <v>669</v>
      </c>
      <c r="F1274">
        <v>386780804</v>
      </c>
      <c r="G1274">
        <v>259028508</v>
      </c>
      <c r="H1274">
        <v>461573540</v>
      </c>
      <c r="I1274">
        <v>317299469</v>
      </c>
      <c r="J1274">
        <v>-465368456</v>
      </c>
      <c r="K1274">
        <v>-488294634</v>
      </c>
      <c r="L1274">
        <v>-439167405</v>
      </c>
      <c r="M1274">
        <v>25536325</v>
      </c>
      <c r="N1274">
        <v>50338147</v>
      </c>
      <c r="P1274">
        <v>118</v>
      </c>
      <c r="Q1274" t="s">
        <v>2845</v>
      </c>
    </row>
    <row r="1275" spans="1:17" x14ac:dyDescent="0.3">
      <c r="A1275" t="s">
        <v>17</v>
      </c>
      <c r="B1275" t="str">
        <f>"688219"</f>
        <v>688219</v>
      </c>
      <c r="C1275" t="s">
        <v>2846</v>
      </c>
      <c r="D1275" t="s">
        <v>792</v>
      </c>
      <c r="F1275">
        <v>195974287</v>
      </c>
      <c r="G1275">
        <v>-88300710</v>
      </c>
      <c r="H1275">
        <v>460765365</v>
      </c>
      <c r="I1275">
        <v>-123364145</v>
      </c>
      <c r="J1275">
        <v>-247579498</v>
      </c>
      <c r="P1275">
        <v>50</v>
      </c>
      <c r="Q1275" t="s">
        <v>2847</v>
      </c>
    </row>
    <row r="1276" spans="1:17" x14ac:dyDescent="0.3">
      <c r="A1276" t="s">
        <v>59</v>
      </c>
      <c r="B1276" t="str">
        <f>"002249"</f>
        <v>002249</v>
      </c>
      <c r="C1276" t="s">
        <v>2848</v>
      </c>
      <c r="D1276" t="s">
        <v>1556</v>
      </c>
      <c r="F1276">
        <v>746483085</v>
      </c>
      <c r="G1276">
        <v>679565306</v>
      </c>
      <c r="H1276">
        <v>460338409</v>
      </c>
      <c r="I1276">
        <v>747082593</v>
      </c>
      <c r="J1276">
        <v>138323955</v>
      </c>
      <c r="K1276">
        <v>537464058</v>
      </c>
      <c r="L1276">
        <v>264332175</v>
      </c>
      <c r="M1276">
        <v>540509706</v>
      </c>
      <c r="N1276">
        <v>468674963</v>
      </c>
      <c r="O1276">
        <v>333218418</v>
      </c>
      <c r="P1276">
        <v>338</v>
      </c>
      <c r="Q1276" t="s">
        <v>2849</v>
      </c>
    </row>
    <row r="1277" spans="1:17" x14ac:dyDescent="0.3">
      <c r="A1277" t="s">
        <v>59</v>
      </c>
      <c r="B1277" t="str">
        <f>"300463"</f>
        <v>300463</v>
      </c>
      <c r="C1277" t="s">
        <v>2850</v>
      </c>
      <c r="D1277" t="s">
        <v>1953</v>
      </c>
      <c r="F1277">
        <v>1616683216</v>
      </c>
      <c r="G1277">
        <v>1094048810</v>
      </c>
      <c r="H1277">
        <v>459516312</v>
      </c>
      <c r="I1277">
        <v>193905904</v>
      </c>
      <c r="J1277">
        <v>79033594</v>
      </c>
      <c r="K1277">
        <v>49315148</v>
      </c>
      <c r="L1277">
        <v>33183263</v>
      </c>
      <c r="M1277">
        <v>115090084</v>
      </c>
      <c r="N1277">
        <v>98392339</v>
      </c>
      <c r="O1277">
        <v>110959272</v>
      </c>
      <c r="P1277">
        <v>1101</v>
      </c>
      <c r="Q1277" t="s">
        <v>2851</v>
      </c>
    </row>
    <row r="1278" spans="1:17" x14ac:dyDescent="0.3">
      <c r="A1278" t="s">
        <v>17</v>
      </c>
      <c r="B1278" t="str">
        <f>"603408"</f>
        <v>603408</v>
      </c>
      <c r="C1278" t="s">
        <v>2852</v>
      </c>
      <c r="D1278" t="s">
        <v>2853</v>
      </c>
      <c r="F1278">
        <v>371115862</v>
      </c>
      <c r="G1278">
        <v>449279012</v>
      </c>
      <c r="H1278">
        <v>459283312</v>
      </c>
      <c r="I1278">
        <v>461753879</v>
      </c>
      <c r="J1278">
        <v>409253149</v>
      </c>
      <c r="P1278">
        <v>98</v>
      </c>
      <c r="Q1278" t="s">
        <v>2854</v>
      </c>
    </row>
    <row r="1279" spans="1:17" x14ac:dyDescent="0.3">
      <c r="A1279" t="s">
        <v>17</v>
      </c>
      <c r="B1279" t="str">
        <f>"603733"</f>
        <v>603733</v>
      </c>
      <c r="C1279" t="s">
        <v>2855</v>
      </c>
      <c r="D1279" t="s">
        <v>2856</v>
      </c>
      <c r="F1279">
        <v>447018098</v>
      </c>
      <c r="G1279">
        <v>301929633</v>
      </c>
      <c r="H1279">
        <v>455643309</v>
      </c>
      <c r="I1279">
        <v>-320650117</v>
      </c>
      <c r="J1279">
        <v>-289550451</v>
      </c>
      <c r="K1279">
        <v>49607100</v>
      </c>
      <c r="L1279">
        <v>-9690217</v>
      </c>
      <c r="P1279">
        <v>233</v>
      </c>
      <c r="Q1279" t="s">
        <v>2857</v>
      </c>
    </row>
    <row r="1280" spans="1:17" x14ac:dyDescent="0.3">
      <c r="A1280" t="s">
        <v>59</v>
      </c>
      <c r="B1280" t="str">
        <f>"002002"</f>
        <v>002002</v>
      </c>
      <c r="C1280" t="s">
        <v>2858</v>
      </c>
      <c r="D1280" t="s">
        <v>317</v>
      </c>
      <c r="F1280">
        <v>-211784983</v>
      </c>
      <c r="G1280">
        <v>637226347</v>
      </c>
      <c r="H1280">
        <v>455514795</v>
      </c>
      <c r="I1280">
        <v>1429961949</v>
      </c>
      <c r="J1280">
        <v>870518099</v>
      </c>
      <c r="K1280">
        <v>633080263</v>
      </c>
      <c r="L1280">
        <v>331668991</v>
      </c>
      <c r="M1280">
        <v>-98816434</v>
      </c>
      <c r="N1280">
        <v>-61884634</v>
      </c>
      <c r="O1280">
        <v>-11614715</v>
      </c>
      <c r="P1280">
        <v>451</v>
      </c>
      <c r="Q1280" t="s">
        <v>2859</v>
      </c>
    </row>
    <row r="1281" spans="1:17" x14ac:dyDescent="0.3">
      <c r="A1281" t="s">
        <v>59</v>
      </c>
      <c r="B1281" t="str">
        <f>"002850"</f>
        <v>002850</v>
      </c>
      <c r="C1281" t="s">
        <v>2860</v>
      </c>
      <c r="D1281" t="s">
        <v>232</v>
      </c>
      <c r="F1281">
        <v>334741168</v>
      </c>
      <c r="G1281">
        <v>83688619</v>
      </c>
      <c r="H1281">
        <v>453990011</v>
      </c>
      <c r="I1281">
        <v>170590587</v>
      </c>
      <c r="J1281">
        <v>-74248843</v>
      </c>
      <c r="K1281">
        <v>312291388</v>
      </c>
      <c r="L1281">
        <v>126622046</v>
      </c>
      <c r="M1281">
        <v>-13242419</v>
      </c>
      <c r="P1281">
        <v>379</v>
      </c>
      <c r="Q1281" t="s">
        <v>2861</v>
      </c>
    </row>
    <row r="1282" spans="1:17" x14ac:dyDescent="0.3">
      <c r="A1282" t="s">
        <v>17</v>
      </c>
      <c r="B1282" t="str">
        <f>"600936"</f>
        <v>600936</v>
      </c>
      <c r="C1282" t="s">
        <v>2862</v>
      </c>
      <c r="D1282" t="s">
        <v>775</v>
      </c>
      <c r="F1282">
        <v>578164360</v>
      </c>
      <c r="G1282">
        <v>288191044</v>
      </c>
      <c r="H1282">
        <v>453180801</v>
      </c>
      <c r="I1282">
        <v>477026932</v>
      </c>
      <c r="J1282">
        <v>223615818</v>
      </c>
      <c r="K1282">
        <v>683439616</v>
      </c>
      <c r="L1282">
        <v>856010190</v>
      </c>
      <c r="M1282">
        <v>894583767</v>
      </c>
      <c r="N1282">
        <v>795823092</v>
      </c>
      <c r="P1282">
        <v>80</v>
      </c>
      <c r="Q1282" t="s">
        <v>2863</v>
      </c>
    </row>
    <row r="1283" spans="1:17" x14ac:dyDescent="0.3">
      <c r="A1283" t="s">
        <v>59</v>
      </c>
      <c r="B1283" t="str">
        <f>"002238"</f>
        <v>002238</v>
      </c>
      <c r="C1283" t="s">
        <v>2864</v>
      </c>
      <c r="D1283" t="s">
        <v>775</v>
      </c>
      <c r="F1283">
        <v>435559129</v>
      </c>
      <c r="G1283">
        <v>499574397</v>
      </c>
      <c r="H1283">
        <v>452633477</v>
      </c>
      <c r="I1283">
        <v>431177283</v>
      </c>
      <c r="J1283">
        <v>543517824</v>
      </c>
      <c r="K1283">
        <v>650533233</v>
      </c>
      <c r="L1283">
        <v>715915432</v>
      </c>
      <c r="M1283">
        <v>670002878</v>
      </c>
      <c r="N1283">
        <v>348638444</v>
      </c>
      <c r="O1283">
        <v>361253449</v>
      </c>
      <c r="P1283">
        <v>205</v>
      </c>
      <c r="Q1283" t="s">
        <v>2865</v>
      </c>
    </row>
    <row r="1284" spans="1:17" x14ac:dyDescent="0.3">
      <c r="A1284" t="s">
        <v>17</v>
      </c>
      <c r="B1284" t="str">
        <f>"601608"</f>
        <v>601608</v>
      </c>
      <c r="C1284" t="s">
        <v>2866</v>
      </c>
      <c r="D1284" t="s">
        <v>741</v>
      </c>
      <c r="F1284">
        <v>681950760</v>
      </c>
      <c r="G1284">
        <v>605181882</v>
      </c>
      <c r="H1284">
        <v>450792208</v>
      </c>
      <c r="I1284">
        <v>724221529</v>
      </c>
      <c r="J1284">
        <v>565922295</v>
      </c>
      <c r="K1284">
        <v>-713720050</v>
      </c>
      <c r="L1284">
        <v>55590845</v>
      </c>
      <c r="M1284">
        <v>-262979766</v>
      </c>
      <c r="N1284">
        <v>45617779</v>
      </c>
      <c r="O1284">
        <v>827938357</v>
      </c>
      <c r="P1284">
        <v>178</v>
      </c>
      <c r="Q1284" t="s">
        <v>2867</v>
      </c>
    </row>
    <row r="1285" spans="1:17" x14ac:dyDescent="0.3">
      <c r="A1285" t="s">
        <v>59</v>
      </c>
      <c r="B1285" t="str">
        <f>"003035"</f>
        <v>003035</v>
      </c>
      <c r="C1285" t="s">
        <v>2868</v>
      </c>
      <c r="D1285" t="s">
        <v>682</v>
      </c>
      <c r="F1285">
        <v>714576695</v>
      </c>
      <c r="G1285">
        <v>778889828</v>
      </c>
      <c r="H1285">
        <v>450449322</v>
      </c>
      <c r="I1285">
        <v>826970881</v>
      </c>
      <c r="J1285">
        <v>337143642</v>
      </c>
      <c r="P1285">
        <v>278</v>
      </c>
      <c r="Q1285" t="s">
        <v>2869</v>
      </c>
    </row>
    <row r="1286" spans="1:17" x14ac:dyDescent="0.3">
      <c r="A1286" t="s">
        <v>17</v>
      </c>
      <c r="B1286" t="str">
        <f>"600285"</f>
        <v>600285</v>
      </c>
      <c r="C1286" t="s">
        <v>2870</v>
      </c>
      <c r="D1286" t="s">
        <v>455</v>
      </c>
      <c r="F1286">
        <v>845686168</v>
      </c>
      <c r="G1286">
        <v>450529976</v>
      </c>
      <c r="H1286">
        <v>450154298</v>
      </c>
      <c r="I1286">
        <v>436248605</v>
      </c>
      <c r="J1286">
        <v>105972635</v>
      </c>
      <c r="K1286">
        <v>63262546</v>
      </c>
      <c r="L1286">
        <v>156818481</v>
      </c>
      <c r="M1286">
        <v>124320876</v>
      </c>
      <c r="N1286">
        <v>127269670</v>
      </c>
      <c r="O1286">
        <v>15434352</v>
      </c>
      <c r="P1286">
        <v>606</v>
      </c>
      <c r="Q1286" t="s">
        <v>2871</v>
      </c>
    </row>
    <row r="1287" spans="1:17" x14ac:dyDescent="0.3">
      <c r="A1287" t="s">
        <v>17</v>
      </c>
      <c r="B1287" t="str">
        <f>"601199"</f>
        <v>601199</v>
      </c>
      <c r="C1287" t="s">
        <v>2872</v>
      </c>
      <c r="D1287" t="s">
        <v>669</v>
      </c>
      <c r="F1287">
        <v>442160096</v>
      </c>
      <c r="G1287">
        <v>549042858</v>
      </c>
      <c r="H1287">
        <v>449085010</v>
      </c>
      <c r="I1287">
        <v>325631397</v>
      </c>
      <c r="J1287">
        <v>375512072</v>
      </c>
      <c r="K1287">
        <v>381851528</v>
      </c>
      <c r="L1287">
        <v>361170832</v>
      </c>
      <c r="M1287">
        <v>385402226</v>
      </c>
      <c r="N1287">
        <v>458750230</v>
      </c>
      <c r="O1287">
        <v>418454930</v>
      </c>
      <c r="P1287">
        <v>186</v>
      </c>
      <c r="Q1287" t="s">
        <v>2873</v>
      </c>
    </row>
    <row r="1288" spans="1:17" x14ac:dyDescent="0.3">
      <c r="A1288" t="s">
        <v>59</v>
      </c>
      <c r="B1288" t="str">
        <f>"300349"</f>
        <v>300349</v>
      </c>
      <c r="C1288" t="s">
        <v>2874</v>
      </c>
      <c r="D1288" t="s">
        <v>2382</v>
      </c>
      <c r="F1288">
        <v>127372152</v>
      </c>
      <c r="G1288">
        <v>494971304</v>
      </c>
      <c r="H1288">
        <v>448651185</v>
      </c>
      <c r="I1288">
        <v>425442806</v>
      </c>
      <c r="J1288">
        <v>464480754</v>
      </c>
      <c r="K1288">
        <v>259592024</v>
      </c>
      <c r="L1288">
        <v>94751752</v>
      </c>
      <c r="M1288">
        <v>81044450</v>
      </c>
      <c r="N1288">
        <v>60561057</v>
      </c>
      <c r="O1288">
        <v>43919650</v>
      </c>
      <c r="P1288">
        <v>395</v>
      </c>
      <c r="Q1288" t="s">
        <v>2875</v>
      </c>
    </row>
    <row r="1289" spans="1:17" x14ac:dyDescent="0.3">
      <c r="A1289" t="s">
        <v>59</v>
      </c>
      <c r="B1289" t="str">
        <f>"002498"</f>
        <v>002498</v>
      </c>
      <c r="C1289" t="s">
        <v>2876</v>
      </c>
      <c r="D1289" t="s">
        <v>1065</v>
      </c>
      <c r="F1289">
        <v>542184044</v>
      </c>
      <c r="G1289">
        <v>961316194</v>
      </c>
      <c r="H1289">
        <v>448543869</v>
      </c>
      <c r="I1289">
        <v>532983586</v>
      </c>
      <c r="J1289">
        <v>-308411246</v>
      </c>
      <c r="K1289">
        <v>323989116</v>
      </c>
      <c r="L1289">
        <v>1634883</v>
      </c>
      <c r="M1289">
        <v>213858620</v>
      </c>
      <c r="N1289">
        <v>-5141410</v>
      </c>
      <c r="O1289">
        <v>430183566</v>
      </c>
      <c r="P1289">
        <v>282</v>
      </c>
      <c r="Q1289" t="s">
        <v>2877</v>
      </c>
    </row>
    <row r="1290" spans="1:17" x14ac:dyDescent="0.3">
      <c r="A1290" t="s">
        <v>59</v>
      </c>
      <c r="B1290" t="str">
        <f>"002031"</f>
        <v>002031</v>
      </c>
      <c r="C1290" t="s">
        <v>2878</v>
      </c>
      <c r="D1290" t="s">
        <v>1351</v>
      </c>
      <c r="F1290">
        <v>303355925</v>
      </c>
      <c r="G1290">
        <v>113331880</v>
      </c>
      <c r="H1290">
        <v>448419079</v>
      </c>
      <c r="I1290">
        <v>449325550</v>
      </c>
      <c r="J1290">
        <v>358915520</v>
      </c>
      <c r="K1290">
        <v>240897851</v>
      </c>
      <c r="L1290">
        <v>-11869992</v>
      </c>
      <c r="M1290">
        <v>158516054</v>
      </c>
      <c r="N1290">
        <v>131734531</v>
      </c>
      <c r="O1290">
        <v>188284374</v>
      </c>
      <c r="P1290">
        <v>137</v>
      </c>
      <c r="Q1290" t="s">
        <v>2879</v>
      </c>
    </row>
    <row r="1291" spans="1:17" x14ac:dyDescent="0.3">
      <c r="A1291" t="s">
        <v>17</v>
      </c>
      <c r="B1291" t="str">
        <f>"600216"</f>
        <v>600216</v>
      </c>
      <c r="C1291" t="s">
        <v>2880</v>
      </c>
      <c r="D1291" t="s">
        <v>984</v>
      </c>
      <c r="F1291">
        <v>1136655958</v>
      </c>
      <c r="G1291">
        <v>1256721981</v>
      </c>
      <c r="H1291">
        <v>447249287</v>
      </c>
      <c r="I1291">
        <v>579907749</v>
      </c>
      <c r="J1291">
        <v>503468945</v>
      </c>
      <c r="K1291">
        <v>336135775</v>
      </c>
      <c r="L1291">
        <v>106539173</v>
      </c>
      <c r="M1291">
        <v>549899399</v>
      </c>
      <c r="N1291">
        <v>655086217</v>
      </c>
      <c r="O1291">
        <v>807488235</v>
      </c>
      <c r="P1291">
        <v>461</v>
      </c>
      <c r="Q1291" t="s">
        <v>2881</v>
      </c>
    </row>
    <row r="1292" spans="1:17" x14ac:dyDescent="0.3">
      <c r="A1292" t="s">
        <v>17</v>
      </c>
      <c r="B1292" t="str">
        <f>"603579"</f>
        <v>603579</v>
      </c>
      <c r="C1292" t="s">
        <v>2882</v>
      </c>
      <c r="D1292" t="s">
        <v>2883</v>
      </c>
      <c r="F1292">
        <v>337916376</v>
      </c>
      <c r="G1292">
        <v>275594380</v>
      </c>
      <c r="H1292">
        <v>446466295</v>
      </c>
      <c r="I1292">
        <v>261352955</v>
      </c>
      <c r="J1292">
        <v>281166361</v>
      </c>
      <c r="K1292">
        <v>175676552</v>
      </c>
      <c r="L1292">
        <v>214602162</v>
      </c>
      <c r="M1292">
        <v>125140234</v>
      </c>
      <c r="N1292">
        <v>76757666</v>
      </c>
      <c r="P1292">
        <v>597</v>
      </c>
      <c r="Q1292" t="s">
        <v>2884</v>
      </c>
    </row>
    <row r="1293" spans="1:17" x14ac:dyDescent="0.3">
      <c r="A1293" t="s">
        <v>59</v>
      </c>
      <c r="B1293" t="str">
        <f>"300171"</f>
        <v>300171</v>
      </c>
      <c r="C1293" t="s">
        <v>2885</v>
      </c>
      <c r="D1293" t="s">
        <v>485</v>
      </c>
      <c r="F1293">
        <v>1368930358</v>
      </c>
      <c r="G1293">
        <v>1115814540</v>
      </c>
      <c r="H1293">
        <v>446307739</v>
      </c>
      <c r="I1293">
        <v>222035747</v>
      </c>
      <c r="J1293">
        <v>20916735</v>
      </c>
      <c r="K1293">
        <v>107413338</v>
      </c>
      <c r="L1293">
        <v>140664561</v>
      </c>
      <c r="M1293">
        <v>55060521</v>
      </c>
      <c r="N1293">
        <v>338950152</v>
      </c>
      <c r="O1293">
        <v>347375486</v>
      </c>
      <c r="P1293">
        <v>248</v>
      </c>
      <c r="Q1293" t="s">
        <v>2886</v>
      </c>
    </row>
    <row r="1294" spans="1:17" x14ac:dyDescent="0.3">
      <c r="A1294" t="s">
        <v>17</v>
      </c>
      <c r="B1294" t="str">
        <f>"688128"</f>
        <v>688128</v>
      </c>
      <c r="C1294" t="s">
        <v>2887</v>
      </c>
      <c r="D1294" t="s">
        <v>1351</v>
      </c>
      <c r="F1294">
        <v>108108203</v>
      </c>
      <c r="G1294">
        <v>380862102</v>
      </c>
      <c r="H1294">
        <v>445850365</v>
      </c>
      <c r="I1294">
        <v>174100170</v>
      </c>
      <c r="J1294">
        <v>135884682</v>
      </c>
      <c r="K1294">
        <v>160200440</v>
      </c>
      <c r="P1294">
        <v>68</v>
      </c>
      <c r="Q1294" t="s">
        <v>2888</v>
      </c>
    </row>
    <row r="1295" spans="1:17" x14ac:dyDescent="0.3">
      <c r="A1295" t="s">
        <v>59</v>
      </c>
      <c r="B1295" t="str">
        <f>"300267"</f>
        <v>300267</v>
      </c>
      <c r="C1295" t="s">
        <v>2889</v>
      </c>
      <c r="D1295" t="s">
        <v>984</v>
      </c>
      <c r="F1295">
        <v>92683406</v>
      </c>
      <c r="G1295">
        <v>178527341</v>
      </c>
      <c r="H1295">
        <v>445815849</v>
      </c>
      <c r="I1295">
        <v>123894781</v>
      </c>
      <c r="J1295">
        <v>687211144</v>
      </c>
      <c r="K1295">
        <v>486495536</v>
      </c>
      <c r="L1295">
        <v>518955782</v>
      </c>
      <c r="M1295">
        <v>175382420</v>
      </c>
      <c r="N1295">
        <v>174221201</v>
      </c>
      <c r="O1295">
        <v>84021540</v>
      </c>
      <c r="P1295">
        <v>237</v>
      </c>
      <c r="Q1295" t="s">
        <v>2890</v>
      </c>
    </row>
    <row r="1296" spans="1:17" x14ac:dyDescent="0.3">
      <c r="A1296" t="s">
        <v>17</v>
      </c>
      <c r="B1296" t="str">
        <f>"605339"</f>
        <v>605339</v>
      </c>
      <c r="C1296" t="s">
        <v>2891</v>
      </c>
      <c r="D1296" t="s">
        <v>1868</v>
      </c>
      <c r="F1296">
        <v>212908814</v>
      </c>
      <c r="G1296">
        <v>503920465</v>
      </c>
      <c r="H1296">
        <v>445322110</v>
      </c>
      <c r="I1296">
        <v>485285147</v>
      </c>
      <c r="J1296">
        <v>316194445</v>
      </c>
      <c r="K1296">
        <v>343167540</v>
      </c>
      <c r="L1296">
        <v>423218493</v>
      </c>
      <c r="P1296">
        <v>66</v>
      </c>
      <c r="Q1296" t="s">
        <v>2892</v>
      </c>
    </row>
    <row r="1297" spans="1:17" x14ac:dyDescent="0.3">
      <c r="A1297" t="s">
        <v>59</v>
      </c>
      <c r="B1297" t="str">
        <f>"000026"</f>
        <v>000026</v>
      </c>
      <c r="C1297" t="s">
        <v>2893</v>
      </c>
      <c r="D1297" t="s">
        <v>2025</v>
      </c>
      <c r="F1297">
        <v>547249108</v>
      </c>
      <c r="G1297">
        <v>378210506</v>
      </c>
      <c r="H1297">
        <v>444820769</v>
      </c>
      <c r="I1297">
        <v>331627790</v>
      </c>
      <c r="J1297">
        <v>564954562</v>
      </c>
      <c r="K1297">
        <v>455759094</v>
      </c>
      <c r="L1297">
        <v>396236992</v>
      </c>
      <c r="M1297">
        <v>289189631</v>
      </c>
      <c r="N1297">
        <v>79047491</v>
      </c>
      <c r="O1297">
        <v>45846660</v>
      </c>
      <c r="P1297">
        <v>321</v>
      </c>
      <c r="Q1297" t="s">
        <v>2894</v>
      </c>
    </row>
    <row r="1298" spans="1:17" x14ac:dyDescent="0.3">
      <c r="A1298" t="s">
        <v>59</v>
      </c>
      <c r="B1298" t="str">
        <f>"002394"</f>
        <v>002394</v>
      </c>
      <c r="C1298" t="s">
        <v>2895</v>
      </c>
      <c r="D1298" t="s">
        <v>1090</v>
      </c>
      <c r="F1298">
        <v>-36979601</v>
      </c>
      <c r="G1298">
        <v>441804410</v>
      </c>
      <c r="H1298">
        <v>444695407</v>
      </c>
      <c r="I1298">
        <v>568337861</v>
      </c>
      <c r="J1298">
        <v>295756680</v>
      </c>
      <c r="K1298">
        <v>285424829</v>
      </c>
      <c r="L1298">
        <v>495403687</v>
      </c>
      <c r="M1298">
        <v>622236509</v>
      </c>
      <c r="N1298">
        <v>340753192</v>
      </c>
      <c r="O1298">
        <v>316145468</v>
      </c>
      <c r="P1298">
        <v>673</v>
      </c>
      <c r="Q1298" t="s">
        <v>2896</v>
      </c>
    </row>
    <row r="1299" spans="1:17" x14ac:dyDescent="0.3">
      <c r="A1299" t="s">
        <v>17</v>
      </c>
      <c r="B1299" t="str">
        <f>"600283"</f>
        <v>600283</v>
      </c>
      <c r="C1299" t="s">
        <v>2897</v>
      </c>
      <c r="D1299" t="s">
        <v>669</v>
      </c>
      <c r="F1299">
        <v>558953902</v>
      </c>
      <c r="G1299">
        <v>469842809</v>
      </c>
      <c r="H1299">
        <v>444598491</v>
      </c>
      <c r="I1299">
        <v>398920866</v>
      </c>
      <c r="J1299">
        <v>253482392</v>
      </c>
      <c r="K1299">
        <v>126747361</v>
      </c>
      <c r="L1299">
        <v>192076792</v>
      </c>
      <c r="M1299">
        <v>30947045</v>
      </c>
      <c r="N1299">
        <v>42737555</v>
      </c>
      <c r="O1299">
        <v>83890816</v>
      </c>
      <c r="P1299">
        <v>122</v>
      </c>
      <c r="Q1299" t="s">
        <v>2898</v>
      </c>
    </row>
    <row r="1300" spans="1:17" x14ac:dyDescent="0.3">
      <c r="A1300" t="s">
        <v>17</v>
      </c>
      <c r="B1300" t="str">
        <f>"603279"</f>
        <v>603279</v>
      </c>
      <c r="C1300" t="s">
        <v>2899</v>
      </c>
      <c r="D1300" t="s">
        <v>1337</v>
      </c>
      <c r="F1300">
        <v>577079594</v>
      </c>
      <c r="G1300">
        <v>610942604</v>
      </c>
      <c r="H1300">
        <v>443891507</v>
      </c>
      <c r="I1300">
        <v>326910600</v>
      </c>
      <c r="J1300">
        <v>29944782</v>
      </c>
      <c r="K1300">
        <v>366836089</v>
      </c>
      <c r="P1300">
        <v>231</v>
      </c>
      <c r="Q1300" t="s">
        <v>2900</v>
      </c>
    </row>
    <row r="1301" spans="1:17" x14ac:dyDescent="0.3">
      <c r="A1301" t="s">
        <v>59</v>
      </c>
      <c r="B1301" t="str">
        <f>"300867"</f>
        <v>300867</v>
      </c>
      <c r="C1301" t="s">
        <v>2901</v>
      </c>
      <c r="D1301" t="s">
        <v>894</v>
      </c>
      <c r="F1301">
        <v>383535790</v>
      </c>
      <c r="G1301">
        <v>483244982</v>
      </c>
      <c r="H1301">
        <v>443797193</v>
      </c>
      <c r="I1301">
        <v>457745551</v>
      </c>
      <c r="J1301">
        <v>263299409</v>
      </c>
      <c r="K1301">
        <v>179258181</v>
      </c>
      <c r="P1301">
        <v>103</v>
      </c>
      <c r="Q1301" t="s">
        <v>2902</v>
      </c>
    </row>
    <row r="1302" spans="1:17" x14ac:dyDescent="0.3">
      <c r="A1302" t="s">
        <v>17</v>
      </c>
      <c r="B1302" t="str">
        <f>"600105"</f>
        <v>600105</v>
      </c>
      <c r="C1302" t="s">
        <v>2903</v>
      </c>
      <c r="D1302" t="s">
        <v>754</v>
      </c>
      <c r="F1302">
        <v>-785096086</v>
      </c>
      <c r="G1302">
        <v>1030314086</v>
      </c>
      <c r="H1302">
        <v>442657882</v>
      </c>
      <c r="I1302">
        <v>-136165183</v>
      </c>
      <c r="J1302">
        <v>-27688338</v>
      </c>
      <c r="K1302">
        <v>56338585</v>
      </c>
      <c r="L1302">
        <v>50267064</v>
      </c>
      <c r="M1302">
        <v>179568950</v>
      </c>
      <c r="N1302">
        <v>63232341</v>
      </c>
      <c r="O1302">
        <v>90624063</v>
      </c>
      <c r="P1302">
        <v>274</v>
      </c>
      <c r="Q1302" t="s">
        <v>2904</v>
      </c>
    </row>
    <row r="1303" spans="1:17" x14ac:dyDescent="0.3">
      <c r="A1303" t="s">
        <v>59</v>
      </c>
      <c r="B1303" t="str">
        <f>"000426"</f>
        <v>000426</v>
      </c>
      <c r="C1303" t="s">
        <v>2905</v>
      </c>
      <c r="D1303" t="s">
        <v>856</v>
      </c>
      <c r="F1303">
        <v>688043714</v>
      </c>
      <c r="G1303">
        <v>417397335</v>
      </c>
      <c r="H1303">
        <v>442606008</v>
      </c>
      <c r="I1303">
        <v>1147552703</v>
      </c>
      <c r="J1303">
        <v>1166917269</v>
      </c>
      <c r="K1303">
        <v>196379929</v>
      </c>
      <c r="L1303">
        <v>-46885522</v>
      </c>
      <c r="M1303">
        <v>-194546350</v>
      </c>
      <c r="N1303">
        <v>33163407</v>
      </c>
      <c r="O1303">
        <v>150493586</v>
      </c>
      <c r="P1303">
        <v>202</v>
      </c>
      <c r="Q1303" t="s">
        <v>2906</v>
      </c>
    </row>
    <row r="1304" spans="1:17" x14ac:dyDescent="0.3">
      <c r="A1304" t="s">
        <v>59</v>
      </c>
      <c r="B1304" t="str">
        <f>"000564"</f>
        <v>000564</v>
      </c>
      <c r="C1304" t="s">
        <v>2907</v>
      </c>
      <c r="D1304" t="s">
        <v>1361</v>
      </c>
      <c r="F1304">
        <v>-376173371</v>
      </c>
      <c r="G1304">
        <v>173660422</v>
      </c>
      <c r="H1304">
        <v>442377942</v>
      </c>
      <c r="I1304">
        <v>3981434715</v>
      </c>
      <c r="J1304">
        <v>1449224315</v>
      </c>
      <c r="K1304">
        <v>4462593702</v>
      </c>
      <c r="L1304">
        <v>337122427</v>
      </c>
      <c r="M1304">
        <v>490214567</v>
      </c>
      <c r="N1304">
        <v>636579221</v>
      </c>
      <c r="O1304">
        <v>519703393</v>
      </c>
      <c r="P1304">
        <v>187</v>
      </c>
      <c r="Q1304" t="s">
        <v>2908</v>
      </c>
    </row>
    <row r="1305" spans="1:17" x14ac:dyDescent="0.3">
      <c r="A1305" t="s">
        <v>59</v>
      </c>
      <c r="B1305" t="str">
        <f>"300381"</f>
        <v>300381</v>
      </c>
      <c r="C1305" t="s">
        <v>2909</v>
      </c>
      <c r="D1305" t="s">
        <v>984</v>
      </c>
      <c r="F1305">
        <v>216929264</v>
      </c>
      <c r="G1305">
        <v>403726107</v>
      </c>
      <c r="H1305">
        <v>442165361</v>
      </c>
      <c r="I1305">
        <v>203948204</v>
      </c>
      <c r="J1305">
        <v>-4371740</v>
      </c>
      <c r="K1305">
        <v>-44127714</v>
      </c>
      <c r="L1305">
        <v>54158886</v>
      </c>
      <c r="M1305">
        <v>17959691</v>
      </c>
      <c r="N1305">
        <v>67911398</v>
      </c>
      <c r="O1305">
        <v>61319051</v>
      </c>
      <c r="P1305">
        <v>160</v>
      </c>
      <c r="Q1305" t="s">
        <v>2910</v>
      </c>
    </row>
    <row r="1306" spans="1:17" x14ac:dyDescent="0.3">
      <c r="A1306" t="s">
        <v>59</v>
      </c>
      <c r="B1306" t="str">
        <f>"002303"</f>
        <v>002303</v>
      </c>
      <c r="C1306" t="s">
        <v>2911</v>
      </c>
      <c r="D1306" t="s">
        <v>1416</v>
      </c>
      <c r="F1306">
        <v>277662780</v>
      </c>
      <c r="G1306">
        <v>409889964</v>
      </c>
      <c r="H1306">
        <v>441130346</v>
      </c>
      <c r="I1306">
        <v>273926567</v>
      </c>
      <c r="J1306">
        <v>264155318</v>
      </c>
      <c r="K1306">
        <v>99651449</v>
      </c>
      <c r="L1306">
        <v>208890369</v>
      </c>
      <c r="M1306">
        <v>292618452</v>
      </c>
      <c r="N1306">
        <v>269107118</v>
      </c>
      <c r="O1306">
        <v>163472169</v>
      </c>
      <c r="P1306">
        <v>224</v>
      </c>
      <c r="Q1306" t="s">
        <v>2912</v>
      </c>
    </row>
    <row r="1307" spans="1:17" x14ac:dyDescent="0.3">
      <c r="A1307" t="s">
        <v>17</v>
      </c>
      <c r="B1307" t="str">
        <f>"605507"</f>
        <v>605507</v>
      </c>
      <c r="C1307" t="s">
        <v>2913</v>
      </c>
      <c r="D1307" t="s">
        <v>984</v>
      </c>
      <c r="F1307">
        <v>-176183250</v>
      </c>
      <c r="G1307">
        <v>767704803</v>
      </c>
      <c r="H1307">
        <v>440863592</v>
      </c>
      <c r="I1307">
        <v>541682929</v>
      </c>
      <c r="J1307">
        <v>148032966</v>
      </c>
      <c r="P1307">
        <v>25</v>
      </c>
      <c r="Q1307" t="s">
        <v>2914</v>
      </c>
    </row>
    <row r="1308" spans="1:17" x14ac:dyDescent="0.3">
      <c r="A1308" t="s">
        <v>17</v>
      </c>
      <c r="B1308" t="str">
        <f>"688151"</f>
        <v>688151</v>
      </c>
      <c r="C1308" t="s">
        <v>2915</v>
      </c>
      <c r="D1308" t="s">
        <v>606</v>
      </c>
      <c r="F1308">
        <v>472426883</v>
      </c>
      <c r="G1308">
        <v>-313120601</v>
      </c>
      <c r="H1308">
        <v>440809463</v>
      </c>
      <c r="I1308">
        <v>197848909</v>
      </c>
      <c r="J1308">
        <v>258367935</v>
      </c>
      <c r="P1308">
        <v>13</v>
      </c>
      <c r="Q1308" t="s">
        <v>2916</v>
      </c>
    </row>
    <row r="1309" spans="1:17" x14ac:dyDescent="0.3">
      <c r="A1309" t="s">
        <v>59</v>
      </c>
      <c r="B1309" t="str">
        <f>"003021"</f>
        <v>003021</v>
      </c>
      <c r="C1309" t="s">
        <v>2917</v>
      </c>
      <c r="D1309" t="s">
        <v>1556</v>
      </c>
      <c r="F1309">
        <v>222089370</v>
      </c>
      <c r="G1309">
        <v>147460844</v>
      </c>
      <c r="H1309">
        <v>440805242</v>
      </c>
      <c r="I1309">
        <v>195825977</v>
      </c>
      <c r="J1309">
        <v>83185224</v>
      </c>
      <c r="K1309">
        <v>107530042</v>
      </c>
      <c r="P1309">
        <v>80</v>
      </c>
      <c r="Q1309" t="s">
        <v>2918</v>
      </c>
    </row>
    <row r="1310" spans="1:17" x14ac:dyDescent="0.3">
      <c r="A1310" t="s">
        <v>17</v>
      </c>
      <c r="B1310" t="str">
        <f>"603808"</f>
        <v>603808</v>
      </c>
      <c r="C1310" t="s">
        <v>2919</v>
      </c>
      <c r="D1310" t="s">
        <v>646</v>
      </c>
      <c r="F1310">
        <v>300114435</v>
      </c>
      <c r="G1310">
        <v>215489559</v>
      </c>
      <c r="H1310">
        <v>440032836</v>
      </c>
      <c r="I1310">
        <v>410415607</v>
      </c>
      <c r="J1310">
        <v>460492755</v>
      </c>
      <c r="K1310">
        <v>101173821</v>
      </c>
      <c r="L1310">
        <v>165977531</v>
      </c>
      <c r="M1310">
        <v>169697299</v>
      </c>
      <c r="N1310">
        <v>157231238</v>
      </c>
      <c r="O1310">
        <v>150321773</v>
      </c>
      <c r="P1310">
        <v>479</v>
      </c>
      <c r="Q1310" t="s">
        <v>2920</v>
      </c>
    </row>
    <row r="1311" spans="1:17" x14ac:dyDescent="0.3">
      <c r="A1311" t="s">
        <v>17</v>
      </c>
      <c r="B1311" t="str">
        <f>"603730"</f>
        <v>603730</v>
      </c>
      <c r="C1311" t="s">
        <v>2921</v>
      </c>
      <c r="D1311" t="s">
        <v>289</v>
      </c>
      <c r="F1311">
        <v>74962825</v>
      </c>
      <c r="G1311">
        <v>764838027</v>
      </c>
      <c r="H1311">
        <v>439337820</v>
      </c>
      <c r="I1311">
        <v>720902720</v>
      </c>
      <c r="J1311">
        <v>406071396</v>
      </c>
      <c r="K1311">
        <v>322601839</v>
      </c>
      <c r="L1311">
        <v>349071725</v>
      </c>
      <c r="M1311">
        <v>218486495</v>
      </c>
      <c r="P1311">
        <v>522</v>
      </c>
      <c r="Q1311" t="s">
        <v>2922</v>
      </c>
    </row>
    <row r="1312" spans="1:17" x14ac:dyDescent="0.3">
      <c r="A1312" t="s">
        <v>59</v>
      </c>
      <c r="B1312" t="str">
        <f>"002377"</f>
        <v>002377</v>
      </c>
      <c r="C1312" t="s">
        <v>2923</v>
      </c>
      <c r="D1312" t="s">
        <v>1274</v>
      </c>
      <c r="F1312">
        <v>-29559123</v>
      </c>
      <c r="G1312">
        <v>-279908448</v>
      </c>
      <c r="H1312">
        <v>437714528</v>
      </c>
      <c r="I1312">
        <v>217221235</v>
      </c>
      <c r="J1312">
        <v>259423378</v>
      </c>
      <c r="K1312">
        <v>27074700</v>
      </c>
      <c r="L1312">
        <v>178074399</v>
      </c>
      <c r="M1312">
        <v>-8464155</v>
      </c>
      <c r="N1312">
        <v>-30784007</v>
      </c>
      <c r="O1312">
        <v>106394895</v>
      </c>
      <c r="P1312">
        <v>95</v>
      </c>
      <c r="Q1312" t="s">
        <v>2924</v>
      </c>
    </row>
    <row r="1313" spans="1:17" x14ac:dyDescent="0.3">
      <c r="A1313" t="s">
        <v>17</v>
      </c>
      <c r="B1313" t="str">
        <f>"600525"</f>
        <v>600525</v>
      </c>
      <c r="C1313" t="s">
        <v>2925</v>
      </c>
      <c r="D1313" t="s">
        <v>560</v>
      </c>
      <c r="F1313">
        <v>228228676</v>
      </c>
      <c r="G1313">
        <v>206833725</v>
      </c>
      <c r="H1313">
        <v>436972560</v>
      </c>
      <c r="I1313">
        <v>680751991</v>
      </c>
      <c r="J1313">
        <v>140745069</v>
      </c>
      <c r="K1313">
        <v>445150714</v>
      </c>
      <c r="L1313">
        <v>456036080</v>
      </c>
      <c r="M1313">
        <v>281474564</v>
      </c>
      <c r="N1313">
        <v>349748845</v>
      </c>
      <c r="O1313">
        <v>211224328</v>
      </c>
      <c r="P1313">
        <v>254</v>
      </c>
      <c r="Q1313" t="s">
        <v>2926</v>
      </c>
    </row>
    <row r="1314" spans="1:17" x14ac:dyDescent="0.3">
      <c r="A1314" t="s">
        <v>17</v>
      </c>
      <c r="B1314" t="str">
        <f>"603308"</f>
        <v>603308</v>
      </c>
      <c r="C1314" t="s">
        <v>2927</v>
      </c>
      <c r="D1314" t="s">
        <v>637</v>
      </c>
      <c r="F1314">
        <v>224124594</v>
      </c>
      <c r="G1314">
        <v>404826980</v>
      </c>
      <c r="H1314">
        <v>436917535</v>
      </c>
      <c r="I1314">
        <v>383803120</v>
      </c>
      <c r="J1314">
        <v>120867318</v>
      </c>
      <c r="K1314">
        <v>-64448028</v>
      </c>
      <c r="L1314">
        <v>75125835</v>
      </c>
      <c r="M1314">
        <v>8228905</v>
      </c>
      <c r="N1314">
        <v>242657271</v>
      </c>
      <c r="O1314">
        <v>120964429</v>
      </c>
      <c r="P1314">
        <v>233</v>
      </c>
      <c r="Q1314" t="s">
        <v>2928</v>
      </c>
    </row>
    <row r="1315" spans="1:17" x14ac:dyDescent="0.3">
      <c r="A1315" t="s">
        <v>17</v>
      </c>
      <c r="B1315" t="str">
        <f>"603637"</f>
        <v>603637</v>
      </c>
      <c r="C1315" t="s">
        <v>2929</v>
      </c>
      <c r="D1315" t="s">
        <v>482</v>
      </c>
      <c r="F1315">
        <v>195079278</v>
      </c>
      <c r="G1315">
        <v>-135675481</v>
      </c>
      <c r="H1315">
        <v>435192263</v>
      </c>
      <c r="I1315">
        <v>89469153</v>
      </c>
      <c r="J1315">
        <v>-3100754</v>
      </c>
      <c r="K1315">
        <v>-77126886</v>
      </c>
      <c r="L1315">
        <v>132024625</v>
      </c>
      <c r="M1315">
        <v>69464897</v>
      </c>
      <c r="N1315">
        <v>75619576</v>
      </c>
      <c r="P1315">
        <v>70</v>
      </c>
      <c r="Q1315" t="s">
        <v>2930</v>
      </c>
    </row>
    <row r="1316" spans="1:17" x14ac:dyDescent="0.3">
      <c r="A1316" t="s">
        <v>17</v>
      </c>
      <c r="B1316" t="str">
        <f>"600467"</f>
        <v>600467</v>
      </c>
      <c r="C1316" t="s">
        <v>2931</v>
      </c>
      <c r="D1316" t="s">
        <v>2932</v>
      </c>
      <c r="F1316">
        <v>380127710</v>
      </c>
      <c r="G1316">
        <v>342294744</v>
      </c>
      <c r="H1316">
        <v>435064086</v>
      </c>
      <c r="I1316">
        <v>256377347</v>
      </c>
      <c r="J1316">
        <v>323345520</v>
      </c>
      <c r="K1316">
        <v>432091933</v>
      </c>
      <c r="L1316">
        <v>382058184</v>
      </c>
      <c r="M1316">
        <v>213940773</v>
      </c>
      <c r="N1316">
        <v>94796528</v>
      </c>
      <c r="O1316">
        <v>15263553</v>
      </c>
      <c r="P1316">
        <v>119</v>
      </c>
      <c r="Q1316" t="s">
        <v>2933</v>
      </c>
    </row>
    <row r="1317" spans="1:17" x14ac:dyDescent="0.3">
      <c r="A1317" t="s">
        <v>17</v>
      </c>
      <c r="B1317" t="str">
        <f>"601595"</f>
        <v>601595</v>
      </c>
      <c r="C1317" t="s">
        <v>2934</v>
      </c>
      <c r="D1317" t="s">
        <v>1059</v>
      </c>
      <c r="F1317">
        <v>264049771</v>
      </c>
      <c r="G1317">
        <v>-394779357</v>
      </c>
      <c r="H1317">
        <v>435050106</v>
      </c>
      <c r="I1317">
        <v>111711301</v>
      </c>
      <c r="J1317">
        <v>218490395</v>
      </c>
      <c r="K1317">
        <v>191125440</v>
      </c>
      <c r="L1317">
        <v>309172388</v>
      </c>
      <c r="M1317">
        <v>247066466</v>
      </c>
      <c r="N1317">
        <v>167555908</v>
      </c>
      <c r="P1317">
        <v>158</v>
      </c>
      <c r="Q1317" t="s">
        <v>2935</v>
      </c>
    </row>
    <row r="1318" spans="1:17" x14ac:dyDescent="0.3">
      <c r="A1318" t="s">
        <v>17</v>
      </c>
      <c r="B1318" t="str">
        <f>"603806"</f>
        <v>603806</v>
      </c>
      <c r="C1318" t="s">
        <v>2936</v>
      </c>
      <c r="D1318" t="s">
        <v>1340</v>
      </c>
      <c r="F1318">
        <v>-147561056</v>
      </c>
      <c r="G1318">
        <v>272341483</v>
      </c>
      <c r="H1318">
        <v>434941651</v>
      </c>
      <c r="I1318">
        <v>169574040</v>
      </c>
      <c r="J1318">
        <v>242962049</v>
      </c>
      <c r="K1318">
        <v>295087959</v>
      </c>
      <c r="L1318">
        <v>415946113</v>
      </c>
      <c r="M1318">
        <v>99873177</v>
      </c>
      <c r="N1318">
        <v>406969101</v>
      </c>
      <c r="O1318">
        <v>317513097</v>
      </c>
      <c r="P1318">
        <v>1029</v>
      </c>
      <c r="Q1318" t="s">
        <v>2937</v>
      </c>
    </row>
    <row r="1319" spans="1:17" x14ac:dyDescent="0.3">
      <c r="A1319" t="s">
        <v>59</v>
      </c>
      <c r="B1319" t="str">
        <f>"002901"</f>
        <v>002901</v>
      </c>
      <c r="C1319" t="s">
        <v>2938</v>
      </c>
      <c r="D1319" t="s">
        <v>1036</v>
      </c>
      <c r="F1319">
        <v>673261691</v>
      </c>
      <c r="G1319">
        <v>555769602</v>
      </c>
      <c r="H1319">
        <v>433877268</v>
      </c>
      <c r="I1319">
        <v>334876268</v>
      </c>
      <c r="J1319">
        <v>308700299</v>
      </c>
      <c r="K1319">
        <v>207128436</v>
      </c>
      <c r="L1319">
        <v>123443348</v>
      </c>
      <c r="M1319">
        <v>151116863</v>
      </c>
      <c r="P1319">
        <v>1702</v>
      </c>
      <c r="Q1319" t="s">
        <v>2939</v>
      </c>
    </row>
    <row r="1320" spans="1:17" x14ac:dyDescent="0.3">
      <c r="A1320" t="s">
        <v>17</v>
      </c>
      <c r="B1320" t="str">
        <f>"603101"</f>
        <v>603101</v>
      </c>
      <c r="C1320" t="s">
        <v>2940</v>
      </c>
      <c r="D1320" t="s">
        <v>1361</v>
      </c>
      <c r="F1320">
        <v>382110470</v>
      </c>
      <c r="G1320">
        <v>127016585</v>
      </c>
      <c r="H1320">
        <v>433845772</v>
      </c>
      <c r="I1320">
        <v>13590936</v>
      </c>
      <c r="J1320">
        <v>353030302</v>
      </c>
      <c r="K1320">
        <v>42247737</v>
      </c>
      <c r="L1320">
        <v>295795257</v>
      </c>
      <c r="M1320">
        <v>286540184</v>
      </c>
      <c r="N1320">
        <v>272123351</v>
      </c>
      <c r="P1320">
        <v>69</v>
      </c>
      <c r="Q1320" t="s">
        <v>2941</v>
      </c>
    </row>
    <row r="1321" spans="1:17" x14ac:dyDescent="0.3">
      <c r="A1321" t="s">
        <v>17</v>
      </c>
      <c r="B1321" t="str">
        <f>"600960"</f>
        <v>600960</v>
      </c>
      <c r="C1321" t="s">
        <v>2942</v>
      </c>
      <c r="D1321" t="s">
        <v>156</v>
      </c>
      <c r="F1321">
        <v>136993869</v>
      </c>
      <c r="G1321">
        <v>109272119</v>
      </c>
      <c r="H1321">
        <v>433401014</v>
      </c>
      <c r="I1321">
        <v>-66265283</v>
      </c>
      <c r="J1321">
        <v>-57204195</v>
      </c>
      <c r="K1321">
        <v>199611687</v>
      </c>
      <c r="L1321">
        <v>193739154</v>
      </c>
      <c r="M1321">
        <v>165070691</v>
      </c>
      <c r="N1321">
        <v>184307579</v>
      </c>
      <c r="O1321">
        <v>286170216</v>
      </c>
      <c r="P1321">
        <v>91</v>
      </c>
      <c r="Q1321" t="s">
        <v>2943</v>
      </c>
    </row>
    <row r="1322" spans="1:17" x14ac:dyDescent="0.3">
      <c r="A1322" t="s">
        <v>17</v>
      </c>
      <c r="B1322" t="str">
        <f>"600988"</f>
        <v>600988</v>
      </c>
      <c r="C1322" t="s">
        <v>2944</v>
      </c>
      <c r="D1322" t="s">
        <v>530</v>
      </c>
      <c r="F1322">
        <v>755148839</v>
      </c>
      <c r="G1322">
        <v>1072375487</v>
      </c>
      <c r="H1322">
        <v>433285487</v>
      </c>
      <c r="I1322">
        <v>387064488</v>
      </c>
      <c r="J1322">
        <v>-378060765</v>
      </c>
      <c r="K1322">
        <v>67586251</v>
      </c>
      <c r="L1322">
        <v>168720358</v>
      </c>
      <c r="M1322">
        <v>73123124</v>
      </c>
      <c r="N1322">
        <v>388953852</v>
      </c>
      <c r="O1322">
        <v>147673299</v>
      </c>
      <c r="P1322">
        <v>487</v>
      </c>
      <c r="Q1322" t="s">
        <v>2945</v>
      </c>
    </row>
    <row r="1323" spans="1:17" x14ac:dyDescent="0.3">
      <c r="A1323" t="s">
        <v>17</v>
      </c>
      <c r="B1323" t="str">
        <f>"601002"</f>
        <v>601002</v>
      </c>
      <c r="C1323" t="s">
        <v>2946</v>
      </c>
      <c r="D1323" t="s">
        <v>637</v>
      </c>
      <c r="F1323">
        <v>90953128</v>
      </c>
      <c r="G1323">
        <v>476759166</v>
      </c>
      <c r="H1323">
        <v>431092125</v>
      </c>
      <c r="I1323">
        <v>341316486</v>
      </c>
      <c r="J1323">
        <v>113883488</v>
      </c>
      <c r="K1323">
        <v>308862958</v>
      </c>
      <c r="L1323">
        <v>196023989</v>
      </c>
      <c r="M1323">
        <v>288686407</v>
      </c>
      <c r="N1323">
        <v>92738155</v>
      </c>
      <c r="O1323">
        <v>531661867</v>
      </c>
      <c r="P1323">
        <v>146</v>
      </c>
      <c r="Q1323" t="s">
        <v>2947</v>
      </c>
    </row>
    <row r="1324" spans="1:17" x14ac:dyDescent="0.3">
      <c r="A1324" t="s">
        <v>59</v>
      </c>
      <c r="B1324" t="str">
        <f>"000655"</f>
        <v>000655</v>
      </c>
      <c r="C1324" t="s">
        <v>2948</v>
      </c>
      <c r="D1324" t="s">
        <v>1705</v>
      </c>
      <c r="F1324">
        <v>419718603</v>
      </c>
      <c r="G1324">
        <v>123171660</v>
      </c>
      <c r="H1324">
        <v>430771749</v>
      </c>
      <c r="I1324">
        <v>316775425</v>
      </c>
      <c r="J1324">
        <v>121173306</v>
      </c>
      <c r="K1324">
        <v>-95859392</v>
      </c>
      <c r="L1324">
        <v>35412036</v>
      </c>
      <c r="M1324">
        <v>245000069</v>
      </c>
      <c r="N1324">
        <v>100954729</v>
      </c>
      <c r="O1324">
        <v>434260025</v>
      </c>
      <c r="P1324">
        <v>145</v>
      </c>
      <c r="Q1324" t="s">
        <v>2949</v>
      </c>
    </row>
    <row r="1325" spans="1:17" x14ac:dyDescent="0.3">
      <c r="A1325" t="s">
        <v>59</v>
      </c>
      <c r="B1325" t="str">
        <f>"000058"</f>
        <v>000058</v>
      </c>
      <c r="C1325" t="s">
        <v>2950</v>
      </c>
      <c r="D1325" t="s">
        <v>548</v>
      </c>
      <c r="F1325">
        <v>754029738</v>
      </c>
      <c r="G1325">
        <v>243544355</v>
      </c>
      <c r="H1325">
        <v>430499191</v>
      </c>
      <c r="I1325">
        <v>167674154</v>
      </c>
      <c r="J1325">
        <v>507386549</v>
      </c>
      <c r="K1325">
        <v>-120030058</v>
      </c>
      <c r="L1325">
        <v>-12453524</v>
      </c>
      <c r="M1325">
        <v>-427933621</v>
      </c>
      <c r="N1325">
        <v>-122530547</v>
      </c>
      <c r="O1325">
        <v>-45987513</v>
      </c>
      <c r="P1325">
        <v>142</v>
      </c>
      <c r="Q1325" t="s">
        <v>2951</v>
      </c>
    </row>
    <row r="1326" spans="1:17" x14ac:dyDescent="0.3">
      <c r="A1326" t="s">
        <v>17</v>
      </c>
      <c r="B1326" t="str">
        <f>"688015"</f>
        <v>688015</v>
      </c>
      <c r="C1326" t="s">
        <v>2952</v>
      </c>
      <c r="D1326" t="s">
        <v>165</v>
      </c>
      <c r="F1326">
        <v>190185526</v>
      </c>
      <c r="G1326">
        <v>347725728</v>
      </c>
      <c r="H1326">
        <v>430257633</v>
      </c>
      <c r="I1326">
        <v>113299027</v>
      </c>
      <c r="J1326">
        <v>20548486</v>
      </c>
      <c r="K1326">
        <v>71638119</v>
      </c>
      <c r="P1326">
        <v>278</v>
      </c>
      <c r="Q1326" t="s">
        <v>2953</v>
      </c>
    </row>
    <row r="1327" spans="1:17" x14ac:dyDescent="0.3">
      <c r="A1327" t="s">
        <v>17</v>
      </c>
      <c r="B1327" t="str">
        <f>"600674"</f>
        <v>600674</v>
      </c>
      <c r="C1327" t="s">
        <v>2954</v>
      </c>
      <c r="D1327" t="s">
        <v>105</v>
      </c>
      <c r="F1327">
        <v>546862317</v>
      </c>
      <c r="G1327">
        <v>396170226</v>
      </c>
      <c r="H1327">
        <v>430114235</v>
      </c>
      <c r="I1327">
        <v>417242909</v>
      </c>
      <c r="J1327">
        <v>493320747</v>
      </c>
      <c r="K1327">
        <v>370098938</v>
      </c>
      <c r="L1327">
        <v>598165424</v>
      </c>
      <c r="M1327">
        <v>538579017</v>
      </c>
      <c r="N1327">
        <v>686672739</v>
      </c>
      <c r="O1327">
        <v>635485360</v>
      </c>
      <c r="P1327">
        <v>1531</v>
      </c>
      <c r="Q1327" t="s">
        <v>2955</v>
      </c>
    </row>
    <row r="1328" spans="1:17" x14ac:dyDescent="0.3">
      <c r="A1328" t="s">
        <v>17</v>
      </c>
      <c r="B1328" t="str">
        <f>"600422"</f>
        <v>600422</v>
      </c>
      <c r="C1328" t="s">
        <v>2956</v>
      </c>
      <c r="D1328" t="s">
        <v>455</v>
      </c>
      <c r="F1328">
        <v>251628491</v>
      </c>
      <c r="G1328">
        <v>409939216</v>
      </c>
      <c r="H1328">
        <v>429500910</v>
      </c>
      <c r="I1328">
        <v>352074124</v>
      </c>
      <c r="J1328">
        <v>242534997</v>
      </c>
      <c r="K1328">
        <v>311157102</v>
      </c>
      <c r="L1328">
        <v>476617134</v>
      </c>
      <c r="M1328">
        <v>379126296</v>
      </c>
      <c r="N1328">
        <v>241969668</v>
      </c>
      <c r="O1328">
        <v>213330130</v>
      </c>
      <c r="P1328">
        <v>452</v>
      </c>
      <c r="Q1328" t="s">
        <v>2957</v>
      </c>
    </row>
    <row r="1329" spans="1:17" x14ac:dyDescent="0.3">
      <c r="A1329" t="s">
        <v>17</v>
      </c>
      <c r="B1329" t="str">
        <f>"601020"</f>
        <v>601020</v>
      </c>
      <c r="C1329" t="s">
        <v>2958</v>
      </c>
      <c r="D1329" t="s">
        <v>530</v>
      </c>
      <c r="F1329">
        <v>259326113</v>
      </c>
      <c r="G1329">
        <v>543397714</v>
      </c>
      <c r="H1329">
        <v>429302112</v>
      </c>
      <c r="I1329">
        <v>387967924</v>
      </c>
      <c r="J1329">
        <v>285921246</v>
      </c>
      <c r="K1329">
        <v>252990472</v>
      </c>
      <c r="L1329">
        <v>255532733</v>
      </c>
      <c r="M1329">
        <v>344237441</v>
      </c>
      <c r="N1329">
        <v>179506707</v>
      </c>
      <c r="P1329">
        <v>180</v>
      </c>
      <c r="Q1329" t="s">
        <v>2959</v>
      </c>
    </row>
    <row r="1330" spans="1:17" x14ac:dyDescent="0.3">
      <c r="A1330" t="s">
        <v>17</v>
      </c>
      <c r="B1330" t="str">
        <f>"600305"</f>
        <v>600305</v>
      </c>
      <c r="C1330" t="s">
        <v>2960</v>
      </c>
      <c r="D1330" t="s">
        <v>375</v>
      </c>
      <c r="F1330">
        <v>322696099</v>
      </c>
      <c r="G1330">
        <v>364122580</v>
      </c>
      <c r="H1330">
        <v>429121442</v>
      </c>
      <c r="I1330">
        <v>375608122</v>
      </c>
      <c r="J1330">
        <v>310920797</v>
      </c>
      <c r="K1330">
        <v>313986883</v>
      </c>
      <c r="L1330">
        <v>282060414</v>
      </c>
      <c r="M1330">
        <v>232777188</v>
      </c>
      <c r="N1330">
        <v>415832147</v>
      </c>
      <c r="O1330">
        <v>177946793</v>
      </c>
      <c r="P1330">
        <v>2155</v>
      </c>
      <c r="Q1330" t="s">
        <v>2961</v>
      </c>
    </row>
    <row r="1331" spans="1:17" x14ac:dyDescent="0.3">
      <c r="A1331" t="s">
        <v>59</v>
      </c>
      <c r="B1331" t="str">
        <f>"300335"</f>
        <v>300335</v>
      </c>
      <c r="C1331" t="s">
        <v>2962</v>
      </c>
      <c r="D1331" t="s">
        <v>1238</v>
      </c>
      <c r="F1331">
        <v>116322949</v>
      </c>
      <c r="G1331">
        <v>309604978</v>
      </c>
      <c r="H1331">
        <v>428770380</v>
      </c>
      <c r="I1331">
        <v>204837873</v>
      </c>
      <c r="J1331">
        <v>234213572</v>
      </c>
      <c r="K1331">
        <v>234091531</v>
      </c>
      <c r="L1331">
        <v>87873529</v>
      </c>
      <c r="M1331">
        <v>-915133</v>
      </c>
      <c r="N1331">
        <v>80450767</v>
      </c>
      <c r="O1331">
        <v>19246293</v>
      </c>
      <c r="P1331">
        <v>231</v>
      </c>
      <c r="Q1331" t="s">
        <v>2963</v>
      </c>
    </row>
    <row r="1332" spans="1:17" x14ac:dyDescent="0.3">
      <c r="A1332" t="s">
        <v>17</v>
      </c>
      <c r="B1332" t="str">
        <f>"600292"</f>
        <v>600292</v>
      </c>
      <c r="C1332" t="s">
        <v>2964</v>
      </c>
      <c r="D1332" t="s">
        <v>634</v>
      </c>
      <c r="F1332">
        <v>540394467</v>
      </c>
      <c r="G1332">
        <v>89203288</v>
      </c>
      <c r="H1332">
        <v>428735178</v>
      </c>
      <c r="I1332">
        <v>251373908</v>
      </c>
      <c r="J1332">
        <v>-61458735</v>
      </c>
      <c r="K1332">
        <v>147486097</v>
      </c>
      <c r="L1332">
        <v>493875477</v>
      </c>
      <c r="M1332">
        <v>-156612339</v>
      </c>
      <c r="N1332">
        <v>299993759</v>
      </c>
      <c r="O1332">
        <v>416706216</v>
      </c>
      <c r="P1332">
        <v>144</v>
      </c>
      <c r="Q1332" t="s">
        <v>2965</v>
      </c>
    </row>
    <row r="1333" spans="1:17" x14ac:dyDescent="0.3">
      <c r="A1333" t="s">
        <v>59</v>
      </c>
      <c r="B1333" t="str">
        <f>"002375"</f>
        <v>002375</v>
      </c>
      <c r="C1333" t="s">
        <v>2966</v>
      </c>
      <c r="D1333" t="s">
        <v>1150</v>
      </c>
      <c r="F1333">
        <v>244285708</v>
      </c>
      <c r="G1333">
        <v>554178600</v>
      </c>
      <c r="H1333">
        <v>428560352</v>
      </c>
      <c r="I1333">
        <v>-128310290</v>
      </c>
      <c r="J1333">
        <v>158819244</v>
      </c>
      <c r="K1333">
        <v>154258646</v>
      </c>
      <c r="L1333">
        <v>32930320</v>
      </c>
      <c r="M1333">
        <v>147924506</v>
      </c>
      <c r="N1333">
        <v>129627673</v>
      </c>
      <c r="O1333">
        <v>11665235</v>
      </c>
      <c r="P1333">
        <v>176</v>
      </c>
      <c r="Q1333" t="s">
        <v>2967</v>
      </c>
    </row>
    <row r="1334" spans="1:17" x14ac:dyDescent="0.3">
      <c r="A1334" t="s">
        <v>59</v>
      </c>
      <c r="B1334" t="str">
        <f>"200045"</f>
        <v>200045</v>
      </c>
      <c r="C1334" t="s">
        <v>2968</v>
      </c>
      <c r="F1334">
        <v>-5425539.1440000003</v>
      </c>
      <c r="G1334">
        <v>2290279.6313</v>
      </c>
      <c r="H1334">
        <v>428548564.99650002</v>
      </c>
      <c r="I1334">
        <v>-524272784.45850003</v>
      </c>
      <c r="J1334">
        <v>-34228146.1404</v>
      </c>
      <c r="K1334">
        <v>-61686196.949199997</v>
      </c>
      <c r="L1334">
        <v>47252017.649999999</v>
      </c>
      <c r="M1334">
        <v>-60896348.097599998</v>
      </c>
      <c r="N1334">
        <v>-239326978.23019999</v>
      </c>
      <c r="O1334">
        <v>-193101634.0652</v>
      </c>
      <c r="P1334">
        <v>6</v>
      </c>
      <c r="Q1334" t="s">
        <v>2969</v>
      </c>
    </row>
    <row r="1335" spans="1:17" x14ac:dyDescent="0.3">
      <c r="A1335" t="s">
        <v>59</v>
      </c>
      <c r="B1335" t="str">
        <f>"002014"</f>
        <v>002014</v>
      </c>
      <c r="C1335" t="s">
        <v>2970</v>
      </c>
      <c r="D1335" t="s">
        <v>1741</v>
      </c>
      <c r="F1335">
        <v>296233779</v>
      </c>
      <c r="G1335">
        <v>548623541</v>
      </c>
      <c r="H1335">
        <v>428432150</v>
      </c>
      <c r="I1335">
        <v>323833457</v>
      </c>
      <c r="J1335">
        <v>277299916</v>
      </c>
      <c r="K1335">
        <v>280628298</v>
      </c>
      <c r="L1335">
        <v>247696630</v>
      </c>
      <c r="M1335">
        <v>187818118</v>
      </c>
      <c r="N1335">
        <v>117520978</v>
      </c>
      <c r="O1335">
        <v>185638196</v>
      </c>
      <c r="P1335">
        <v>467</v>
      </c>
      <c r="Q1335" t="s">
        <v>2971</v>
      </c>
    </row>
    <row r="1336" spans="1:17" x14ac:dyDescent="0.3">
      <c r="A1336" t="s">
        <v>59</v>
      </c>
      <c r="B1336" t="str">
        <f>"300702"</f>
        <v>300702</v>
      </c>
      <c r="C1336" t="s">
        <v>2972</v>
      </c>
      <c r="D1336" t="s">
        <v>984</v>
      </c>
      <c r="F1336">
        <v>-262230037</v>
      </c>
      <c r="G1336">
        <v>622180520</v>
      </c>
      <c r="H1336">
        <v>427836939</v>
      </c>
      <c r="I1336">
        <v>78572393</v>
      </c>
      <c r="J1336">
        <v>88516870</v>
      </c>
      <c r="K1336">
        <v>164739557</v>
      </c>
      <c r="L1336">
        <v>14751417</v>
      </c>
      <c r="M1336">
        <v>80438316</v>
      </c>
      <c r="P1336">
        <v>411</v>
      </c>
      <c r="Q1336" t="s">
        <v>2973</v>
      </c>
    </row>
    <row r="1337" spans="1:17" x14ac:dyDescent="0.3">
      <c r="A1337" t="s">
        <v>17</v>
      </c>
      <c r="B1337" t="str">
        <f>"605009"</f>
        <v>605009</v>
      </c>
      <c r="C1337" t="s">
        <v>2974</v>
      </c>
      <c r="D1337" t="s">
        <v>1429</v>
      </c>
      <c r="F1337">
        <v>603376616</v>
      </c>
      <c r="G1337">
        <v>823609996</v>
      </c>
      <c r="H1337">
        <v>427825889</v>
      </c>
      <c r="I1337">
        <v>263721936</v>
      </c>
      <c r="J1337">
        <v>140086804</v>
      </c>
      <c r="P1337">
        <v>355</v>
      </c>
      <c r="Q1337" t="s">
        <v>2975</v>
      </c>
    </row>
    <row r="1338" spans="1:17" x14ac:dyDescent="0.3">
      <c r="A1338" t="s">
        <v>17</v>
      </c>
      <c r="B1338" t="str">
        <f>"603378"</f>
        <v>603378</v>
      </c>
      <c r="C1338" t="s">
        <v>2976</v>
      </c>
      <c r="D1338" t="s">
        <v>2977</v>
      </c>
      <c r="F1338">
        <v>-1025771980</v>
      </c>
      <c r="G1338">
        <v>253039722</v>
      </c>
      <c r="H1338">
        <v>426916173</v>
      </c>
      <c r="I1338">
        <v>79971240</v>
      </c>
      <c r="J1338">
        <v>-96661445</v>
      </c>
      <c r="K1338">
        <v>131063981</v>
      </c>
      <c r="L1338">
        <v>128534012</v>
      </c>
      <c r="M1338">
        <v>39270696</v>
      </c>
      <c r="P1338">
        <v>203</v>
      </c>
      <c r="Q1338" t="s">
        <v>2978</v>
      </c>
    </row>
    <row r="1339" spans="1:17" x14ac:dyDescent="0.3">
      <c r="A1339" t="s">
        <v>17</v>
      </c>
      <c r="B1339" t="str">
        <f>"603893"</f>
        <v>603893</v>
      </c>
      <c r="C1339" t="s">
        <v>2979</v>
      </c>
      <c r="D1339" t="s">
        <v>817</v>
      </c>
      <c r="F1339">
        <v>290371555</v>
      </c>
      <c r="G1339">
        <v>560479615</v>
      </c>
      <c r="H1339">
        <v>426701510</v>
      </c>
      <c r="I1339">
        <v>377111933</v>
      </c>
      <c r="J1339">
        <v>150279746</v>
      </c>
      <c r="K1339">
        <v>179461446</v>
      </c>
      <c r="P1339">
        <v>444</v>
      </c>
      <c r="Q1339" t="s">
        <v>2980</v>
      </c>
    </row>
    <row r="1340" spans="1:17" x14ac:dyDescent="0.3">
      <c r="A1340" t="s">
        <v>17</v>
      </c>
      <c r="B1340" t="str">
        <f>"600054"</f>
        <v>600054</v>
      </c>
      <c r="C1340" t="s">
        <v>2981</v>
      </c>
      <c r="D1340" t="s">
        <v>2982</v>
      </c>
      <c r="F1340">
        <v>93834094</v>
      </c>
      <c r="G1340">
        <v>-1035807</v>
      </c>
      <c r="H1340">
        <v>426133141</v>
      </c>
      <c r="I1340">
        <v>457620470</v>
      </c>
      <c r="J1340">
        <v>611385858</v>
      </c>
      <c r="K1340">
        <v>486973341</v>
      </c>
      <c r="L1340">
        <v>635203956</v>
      </c>
      <c r="M1340">
        <v>409080640</v>
      </c>
      <c r="N1340">
        <v>240721956</v>
      </c>
      <c r="O1340">
        <v>361327128</v>
      </c>
      <c r="P1340">
        <v>380</v>
      </c>
      <c r="Q1340" t="s">
        <v>2983</v>
      </c>
    </row>
    <row r="1341" spans="1:17" x14ac:dyDescent="0.3">
      <c r="A1341" t="s">
        <v>17</v>
      </c>
      <c r="B1341" t="str">
        <f>"603165"</f>
        <v>603165</v>
      </c>
      <c r="C1341" t="s">
        <v>2984</v>
      </c>
      <c r="D1341" t="s">
        <v>241</v>
      </c>
      <c r="F1341">
        <v>101520447</v>
      </c>
      <c r="G1341">
        <v>230023505</v>
      </c>
      <c r="H1341">
        <v>425819191</v>
      </c>
      <c r="I1341">
        <v>331994753</v>
      </c>
      <c r="J1341">
        <v>54774597</v>
      </c>
      <c r="K1341">
        <v>64361470</v>
      </c>
      <c r="L1341">
        <v>145650469</v>
      </c>
      <c r="M1341">
        <v>75150984</v>
      </c>
      <c r="N1341">
        <v>80013062</v>
      </c>
      <c r="P1341">
        <v>587</v>
      </c>
      <c r="Q1341" t="s">
        <v>2985</v>
      </c>
    </row>
    <row r="1342" spans="1:17" x14ac:dyDescent="0.3">
      <c r="A1342" t="s">
        <v>17</v>
      </c>
      <c r="B1342" t="str">
        <f>"600351"</f>
        <v>600351</v>
      </c>
      <c r="C1342" t="s">
        <v>2986</v>
      </c>
      <c r="D1342" t="s">
        <v>455</v>
      </c>
      <c r="F1342">
        <v>437503470</v>
      </c>
      <c r="G1342">
        <v>380960275</v>
      </c>
      <c r="H1342">
        <v>425169570</v>
      </c>
      <c r="I1342">
        <v>426601445</v>
      </c>
      <c r="J1342">
        <v>161726197</v>
      </c>
      <c r="K1342">
        <v>155954179</v>
      </c>
      <c r="L1342">
        <v>143466389</v>
      </c>
      <c r="M1342">
        <v>178626984</v>
      </c>
      <c r="N1342">
        <v>56801874</v>
      </c>
      <c r="O1342">
        <v>-96730916</v>
      </c>
      <c r="P1342">
        <v>234</v>
      </c>
      <c r="Q1342" t="s">
        <v>2987</v>
      </c>
    </row>
    <row r="1343" spans="1:17" x14ac:dyDescent="0.3">
      <c r="A1343" t="s">
        <v>17</v>
      </c>
      <c r="B1343" t="str">
        <f>"600469"</f>
        <v>600469</v>
      </c>
      <c r="C1343" t="s">
        <v>2988</v>
      </c>
      <c r="D1343" t="s">
        <v>767</v>
      </c>
      <c r="F1343">
        <v>247019864</v>
      </c>
      <c r="G1343">
        <v>439185000</v>
      </c>
      <c r="H1343">
        <v>424395058</v>
      </c>
      <c r="I1343">
        <v>353135827</v>
      </c>
      <c r="J1343">
        <v>-210167936</v>
      </c>
      <c r="K1343">
        <v>769657522</v>
      </c>
      <c r="L1343">
        <v>1091699108</v>
      </c>
      <c r="M1343">
        <v>868351326</v>
      </c>
      <c r="N1343">
        <v>312938098</v>
      </c>
      <c r="O1343">
        <v>700013004</v>
      </c>
      <c r="P1343">
        <v>99</v>
      </c>
      <c r="Q1343" t="s">
        <v>2989</v>
      </c>
    </row>
    <row r="1344" spans="1:17" x14ac:dyDescent="0.3">
      <c r="A1344" t="s">
        <v>17</v>
      </c>
      <c r="B1344" t="str">
        <f>"603129"</f>
        <v>603129</v>
      </c>
      <c r="C1344" t="s">
        <v>2990</v>
      </c>
      <c r="D1344" t="s">
        <v>1639</v>
      </c>
      <c r="F1344">
        <v>263723899</v>
      </c>
      <c r="G1344">
        <v>773855292</v>
      </c>
      <c r="H1344">
        <v>423563298</v>
      </c>
      <c r="I1344">
        <v>212569881</v>
      </c>
      <c r="J1344">
        <v>187546885</v>
      </c>
      <c r="K1344">
        <v>247135574</v>
      </c>
      <c r="L1344">
        <v>120189252</v>
      </c>
      <c r="M1344">
        <v>50789129</v>
      </c>
      <c r="P1344">
        <v>625</v>
      </c>
      <c r="Q1344" t="s">
        <v>2991</v>
      </c>
    </row>
    <row r="1345" spans="1:17" x14ac:dyDescent="0.3">
      <c r="A1345" t="s">
        <v>17</v>
      </c>
      <c r="B1345" t="str">
        <f>"603843"</f>
        <v>603843</v>
      </c>
      <c r="C1345" t="s">
        <v>2992</v>
      </c>
      <c r="D1345" t="s">
        <v>85</v>
      </c>
      <c r="F1345">
        <v>103744639</v>
      </c>
      <c r="G1345">
        <v>287390978</v>
      </c>
      <c r="H1345">
        <v>423233535</v>
      </c>
      <c r="I1345">
        <v>52228886</v>
      </c>
      <c r="J1345">
        <v>-486292439</v>
      </c>
      <c r="K1345">
        <v>120266206</v>
      </c>
      <c r="L1345">
        <v>-239704220</v>
      </c>
      <c r="M1345">
        <v>153759591</v>
      </c>
      <c r="N1345">
        <v>171846956</v>
      </c>
      <c r="P1345">
        <v>90</v>
      </c>
      <c r="Q1345" t="s">
        <v>2993</v>
      </c>
    </row>
    <row r="1346" spans="1:17" x14ac:dyDescent="0.3">
      <c r="A1346" t="s">
        <v>59</v>
      </c>
      <c r="B1346" t="str">
        <f>"002117"</f>
        <v>002117</v>
      </c>
      <c r="C1346" t="s">
        <v>2994</v>
      </c>
      <c r="D1346" t="s">
        <v>2995</v>
      </c>
      <c r="F1346">
        <v>191823247</v>
      </c>
      <c r="G1346">
        <v>261214969</v>
      </c>
      <c r="H1346">
        <v>423158918</v>
      </c>
      <c r="I1346">
        <v>315689156</v>
      </c>
      <c r="J1346">
        <v>325574526</v>
      </c>
      <c r="K1346">
        <v>192439493</v>
      </c>
      <c r="L1346">
        <v>296881673</v>
      </c>
      <c r="M1346">
        <v>307620031</v>
      </c>
      <c r="N1346">
        <v>242734310</v>
      </c>
      <c r="O1346">
        <v>210397502</v>
      </c>
      <c r="P1346">
        <v>392</v>
      </c>
      <c r="Q1346" t="s">
        <v>2996</v>
      </c>
    </row>
    <row r="1347" spans="1:17" x14ac:dyDescent="0.3">
      <c r="A1347" t="s">
        <v>59</v>
      </c>
      <c r="B1347" t="str">
        <f>"002442"</f>
        <v>002442</v>
      </c>
      <c r="C1347" t="s">
        <v>2997</v>
      </c>
      <c r="D1347" t="s">
        <v>2708</v>
      </c>
      <c r="F1347">
        <v>176198162</v>
      </c>
      <c r="G1347">
        <v>171289843</v>
      </c>
      <c r="H1347">
        <v>422868588</v>
      </c>
      <c r="I1347">
        <v>276409318</v>
      </c>
      <c r="J1347">
        <v>333886354</v>
      </c>
      <c r="K1347">
        <v>285963896</v>
      </c>
      <c r="L1347">
        <v>152949426</v>
      </c>
      <c r="M1347">
        <v>291120875</v>
      </c>
      <c r="N1347">
        <v>354669542</v>
      </c>
      <c r="O1347">
        <v>10533305</v>
      </c>
      <c r="P1347">
        <v>105</v>
      </c>
      <c r="Q1347" t="s">
        <v>2998</v>
      </c>
    </row>
    <row r="1348" spans="1:17" x14ac:dyDescent="0.3">
      <c r="A1348" t="s">
        <v>59</v>
      </c>
      <c r="B1348" t="str">
        <f>"002775"</f>
        <v>002775</v>
      </c>
      <c r="C1348" t="s">
        <v>2999</v>
      </c>
      <c r="D1348" t="s">
        <v>1489</v>
      </c>
      <c r="F1348">
        <v>-892605195</v>
      </c>
      <c r="G1348">
        <v>41560256</v>
      </c>
      <c r="H1348">
        <v>422363502</v>
      </c>
      <c r="I1348">
        <v>58584840</v>
      </c>
      <c r="J1348">
        <v>-32940701</v>
      </c>
      <c r="K1348">
        <v>145797072</v>
      </c>
      <c r="L1348">
        <v>-273787747</v>
      </c>
      <c r="M1348">
        <v>-69731601</v>
      </c>
      <c r="N1348">
        <v>-53557114</v>
      </c>
      <c r="O1348">
        <v>-76917106</v>
      </c>
      <c r="P1348">
        <v>218</v>
      </c>
      <c r="Q1348" t="s">
        <v>3000</v>
      </c>
    </row>
    <row r="1349" spans="1:17" x14ac:dyDescent="0.3">
      <c r="A1349" t="s">
        <v>17</v>
      </c>
      <c r="B1349" t="str">
        <f>"600629"</f>
        <v>600629</v>
      </c>
      <c r="C1349" t="s">
        <v>3001</v>
      </c>
      <c r="D1349" t="s">
        <v>2254</v>
      </c>
      <c r="F1349">
        <v>781454395</v>
      </c>
      <c r="G1349">
        <v>1216181779</v>
      </c>
      <c r="H1349">
        <v>421394365</v>
      </c>
      <c r="I1349">
        <v>338073329</v>
      </c>
      <c r="J1349">
        <v>407213954</v>
      </c>
      <c r="K1349">
        <v>174562407</v>
      </c>
      <c r="L1349">
        <v>208112539</v>
      </c>
      <c r="M1349">
        <v>25433084</v>
      </c>
      <c r="N1349">
        <v>-21269792</v>
      </c>
      <c r="O1349">
        <v>106866623</v>
      </c>
      <c r="P1349">
        <v>151</v>
      </c>
      <c r="Q1349" t="s">
        <v>3002</v>
      </c>
    </row>
    <row r="1350" spans="1:17" x14ac:dyDescent="0.3">
      <c r="A1350" t="s">
        <v>59</v>
      </c>
      <c r="B1350" t="str">
        <f>"002367"</f>
        <v>002367</v>
      </c>
      <c r="C1350" t="s">
        <v>3003</v>
      </c>
      <c r="D1350" t="s">
        <v>3004</v>
      </c>
      <c r="F1350">
        <v>251576967</v>
      </c>
      <c r="G1350">
        <v>791175461</v>
      </c>
      <c r="H1350">
        <v>421322220</v>
      </c>
      <c r="I1350">
        <v>352161229</v>
      </c>
      <c r="J1350">
        <v>289119352</v>
      </c>
      <c r="K1350">
        <v>359960684</v>
      </c>
      <c r="L1350">
        <v>187395187</v>
      </c>
      <c r="M1350">
        <v>562615240</v>
      </c>
      <c r="N1350">
        <v>328505570</v>
      </c>
      <c r="O1350">
        <v>253305963</v>
      </c>
      <c r="P1350">
        <v>388</v>
      </c>
      <c r="Q1350" t="s">
        <v>3005</v>
      </c>
    </row>
    <row r="1351" spans="1:17" x14ac:dyDescent="0.3">
      <c r="A1351" t="s">
        <v>17</v>
      </c>
      <c r="B1351" t="str">
        <f>"603358"</f>
        <v>603358</v>
      </c>
      <c r="C1351" t="s">
        <v>3006</v>
      </c>
      <c r="D1351" t="s">
        <v>1226</v>
      </c>
      <c r="F1351">
        <v>337264556</v>
      </c>
      <c r="G1351">
        <v>544994506</v>
      </c>
      <c r="H1351">
        <v>420649604</v>
      </c>
      <c r="I1351">
        <v>282658562</v>
      </c>
      <c r="J1351">
        <v>61878949</v>
      </c>
      <c r="K1351">
        <v>311179855</v>
      </c>
      <c r="L1351">
        <v>246442573</v>
      </c>
      <c r="M1351">
        <v>122083311</v>
      </c>
      <c r="N1351">
        <v>358368553</v>
      </c>
      <c r="P1351">
        <v>131</v>
      </c>
      <c r="Q1351" t="s">
        <v>3007</v>
      </c>
    </row>
    <row r="1352" spans="1:17" x14ac:dyDescent="0.3">
      <c r="A1352" t="s">
        <v>17</v>
      </c>
      <c r="B1352" t="str">
        <f>"603916"</f>
        <v>603916</v>
      </c>
      <c r="C1352" t="s">
        <v>3008</v>
      </c>
      <c r="D1352" t="s">
        <v>1252</v>
      </c>
      <c r="F1352">
        <v>335932747</v>
      </c>
      <c r="G1352">
        <v>333366723</v>
      </c>
      <c r="H1352">
        <v>419128936</v>
      </c>
      <c r="I1352">
        <v>-97766088</v>
      </c>
      <c r="J1352">
        <v>-121195583</v>
      </c>
      <c r="K1352">
        <v>154896054</v>
      </c>
      <c r="L1352">
        <v>75292427</v>
      </c>
      <c r="M1352">
        <v>44180501</v>
      </c>
      <c r="P1352">
        <v>273</v>
      </c>
      <c r="Q1352" t="s">
        <v>3009</v>
      </c>
    </row>
    <row r="1353" spans="1:17" x14ac:dyDescent="0.3">
      <c r="A1353" t="s">
        <v>17</v>
      </c>
      <c r="B1353" t="str">
        <f>"603650"</f>
        <v>603650</v>
      </c>
      <c r="C1353" t="s">
        <v>3010</v>
      </c>
      <c r="D1353" t="s">
        <v>3011</v>
      </c>
      <c r="F1353">
        <v>344716343</v>
      </c>
      <c r="G1353">
        <v>206965122</v>
      </c>
      <c r="H1353">
        <v>418777534</v>
      </c>
      <c r="I1353">
        <v>352040796</v>
      </c>
      <c r="J1353">
        <v>229299458</v>
      </c>
      <c r="K1353">
        <v>255374883</v>
      </c>
      <c r="L1353">
        <v>170319773</v>
      </c>
      <c r="P1353">
        <v>258</v>
      </c>
      <c r="Q1353" t="s">
        <v>3012</v>
      </c>
    </row>
    <row r="1354" spans="1:17" x14ac:dyDescent="0.3">
      <c r="A1354" t="s">
        <v>17</v>
      </c>
      <c r="B1354" t="str">
        <f>"600128"</f>
        <v>600128</v>
      </c>
      <c r="C1354" t="s">
        <v>3013</v>
      </c>
      <c r="D1354" t="s">
        <v>659</v>
      </c>
      <c r="F1354">
        <v>-185125593</v>
      </c>
      <c r="G1354">
        <v>365622705</v>
      </c>
      <c r="H1354">
        <v>417024862</v>
      </c>
      <c r="I1354">
        <v>86590920</v>
      </c>
      <c r="J1354">
        <v>-113426950</v>
      </c>
      <c r="K1354">
        <v>197191010</v>
      </c>
      <c r="L1354">
        <v>319864370</v>
      </c>
      <c r="M1354">
        <v>-214849965</v>
      </c>
      <c r="N1354">
        <v>17512856</v>
      </c>
      <c r="O1354">
        <v>80478711</v>
      </c>
      <c r="P1354">
        <v>77</v>
      </c>
      <c r="Q1354" t="s">
        <v>3014</v>
      </c>
    </row>
    <row r="1355" spans="1:17" x14ac:dyDescent="0.3">
      <c r="A1355" t="s">
        <v>17</v>
      </c>
      <c r="B1355" t="str">
        <f>"601933"</f>
        <v>601933</v>
      </c>
      <c r="C1355" t="s">
        <v>3015</v>
      </c>
      <c r="D1355" t="s">
        <v>1147</v>
      </c>
      <c r="F1355">
        <v>5826920929</v>
      </c>
      <c r="G1355">
        <v>6139709882</v>
      </c>
      <c r="H1355">
        <v>416328111</v>
      </c>
      <c r="I1355">
        <v>1760909317</v>
      </c>
      <c r="J1355">
        <v>2641028565</v>
      </c>
      <c r="K1355">
        <v>1928186576</v>
      </c>
      <c r="L1355">
        <v>1538355678</v>
      </c>
      <c r="M1355">
        <v>2016093844</v>
      </c>
      <c r="N1355">
        <v>1769278122</v>
      </c>
      <c r="O1355">
        <v>1832405302</v>
      </c>
      <c r="P1355">
        <v>2444</v>
      </c>
      <c r="Q1355" t="s">
        <v>3016</v>
      </c>
    </row>
    <row r="1356" spans="1:17" x14ac:dyDescent="0.3">
      <c r="A1356" t="s">
        <v>59</v>
      </c>
      <c r="B1356" t="str">
        <f>"002392"</f>
        <v>002392</v>
      </c>
      <c r="C1356" t="s">
        <v>3017</v>
      </c>
      <c r="D1356" t="s">
        <v>2517</v>
      </c>
      <c r="F1356">
        <v>-17086949</v>
      </c>
      <c r="G1356">
        <v>62733662</v>
      </c>
      <c r="H1356">
        <v>415967059</v>
      </c>
      <c r="I1356">
        <v>-40287828</v>
      </c>
      <c r="J1356">
        <v>80692444</v>
      </c>
      <c r="K1356">
        <v>43385618</v>
      </c>
      <c r="L1356">
        <v>-134143629</v>
      </c>
      <c r="M1356">
        <v>-15057837</v>
      </c>
      <c r="N1356">
        <v>164059867</v>
      </c>
      <c r="O1356">
        <v>46490176</v>
      </c>
      <c r="P1356">
        <v>142</v>
      </c>
      <c r="Q1356" t="s">
        <v>3018</v>
      </c>
    </row>
    <row r="1357" spans="1:17" x14ac:dyDescent="0.3">
      <c r="A1357" t="s">
        <v>17</v>
      </c>
      <c r="B1357" t="str">
        <f>"600718"</f>
        <v>600718</v>
      </c>
      <c r="C1357" t="s">
        <v>3019</v>
      </c>
      <c r="D1357" t="s">
        <v>1189</v>
      </c>
      <c r="F1357">
        <v>782735311</v>
      </c>
      <c r="G1357">
        <v>560084412</v>
      </c>
      <c r="H1357">
        <v>415681968</v>
      </c>
      <c r="I1357">
        <v>328552364</v>
      </c>
      <c r="J1357">
        <v>167745717</v>
      </c>
      <c r="K1357">
        <v>147252418</v>
      </c>
      <c r="L1357">
        <v>287460671</v>
      </c>
      <c r="M1357">
        <v>216362385</v>
      </c>
      <c r="N1357">
        <v>303851532</v>
      </c>
      <c r="O1357">
        <v>317235522</v>
      </c>
      <c r="P1357">
        <v>396</v>
      </c>
      <c r="Q1357" t="s">
        <v>3020</v>
      </c>
    </row>
    <row r="1358" spans="1:17" x14ac:dyDescent="0.3">
      <c r="A1358" t="s">
        <v>59</v>
      </c>
      <c r="B1358" t="str">
        <f>"000889"</f>
        <v>000889</v>
      </c>
      <c r="C1358" t="s">
        <v>3021</v>
      </c>
      <c r="D1358" t="s">
        <v>2057</v>
      </c>
      <c r="F1358">
        <v>-95330438</v>
      </c>
      <c r="G1358">
        <v>237474220</v>
      </c>
      <c r="H1358">
        <v>414811466</v>
      </c>
      <c r="I1358">
        <v>-89314795</v>
      </c>
      <c r="J1358">
        <v>43163323</v>
      </c>
      <c r="K1358">
        <v>148449113</v>
      </c>
      <c r="L1358">
        <v>140662778</v>
      </c>
      <c r="M1358">
        <v>195395844</v>
      </c>
      <c r="N1358">
        <v>122413825</v>
      </c>
      <c r="O1358">
        <v>176744411</v>
      </c>
      <c r="P1358">
        <v>157</v>
      </c>
      <c r="Q1358" t="s">
        <v>3022</v>
      </c>
    </row>
    <row r="1359" spans="1:17" x14ac:dyDescent="0.3">
      <c r="A1359" t="s">
        <v>17</v>
      </c>
      <c r="B1359" t="str">
        <f>"603797"</f>
        <v>603797</v>
      </c>
      <c r="C1359" t="s">
        <v>3023</v>
      </c>
      <c r="D1359" t="s">
        <v>669</v>
      </c>
      <c r="F1359">
        <v>-76215235</v>
      </c>
      <c r="G1359">
        <v>486331187</v>
      </c>
      <c r="H1359">
        <v>414281487</v>
      </c>
      <c r="I1359">
        <v>206395610</v>
      </c>
      <c r="J1359">
        <v>132597236</v>
      </c>
      <c r="K1359">
        <v>170651030</v>
      </c>
      <c r="L1359">
        <v>152431160</v>
      </c>
      <c r="M1359">
        <v>150375688</v>
      </c>
      <c r="P1359">
        <v>243</v>
      </c>
      <c r="Q1359" t="s">
        <v>3024</v>
      </c>
    </row>
    <row r="1360" spans="1:17" x14ac:dyDescent="0.3">
      <c r="A1360" t="s">
        <v>59</v>
      </c>
      <c r="B1360" t="str">
        <f>"300323"</f>
        <v>300323</v>
      </c>
      <c r="C1360" t="s">
        <v>3025</v>
      </c>
      <c r="D1360" t="s">
        <v>772</v>
      </c>
      <c r="F1360">
        <v>248825286</v>
      </c>
      <c r="G1360">
        <v>-110193930</v>
      </c>
      <c r="H1360">
        <v>414053151</v>
      </c>
      <c r="I1360">
        <v>691022673</v>
      </c>
      <c r="J1360">
        <v>513680989</v>
      </c>
      <c r="K1360">
        <v>316914766</v>
      </c>
      <c r="L1360">
        <v>-26095561</v>
      </c>
      <c r="M1360">
        <v>-129926871</v>
      </c>
      <c r="N1360">
        <v>71886838</v>
      </c>
      <c r="O1360">
        <v>103103278</v>
      </c>
      <c r="P1360">
        <v>293</v>
      </c>
      <c r="Q1360" t="s">
        <v>3026</v>
      </c>
    </row>
    <row r="1361" spans="1:17" x14ac:dyDescent="0.3">
      <c r="A1361" t="s">
        <v>59</v>
      </c>
      <c r="B1361" t="str">
        <f>"000988"</f>
        <v>000988</v>
      </c>
      <c r="C1361" t="s">
        <v>3027</v>
      </c>
      <c r="D1361" t="s">
        <v>975</v>
      </c>
      <c r="F1361">
        <v>86404359</v>
      </c>
      <c r="G1361">
        <v>374721544</v>
      </c>
      <c r="H1361">
        <v>413254823</v>
      </c>
      <c r="I1361">
        <v>46847128</v>
      </c>
      <c r="J1361">
        <v>98634785</v>
      </c>
      <c r="K1361">
        <v>294670524</v>
      </c>
      <c r="L1361">
        <v>203312139</v>
      </c>
      <c r="M1361">
        <v>179389577</v>
      </c>
      <c r="N1361">
        <v>88059043</v>
      </c>
      <c r="O1361">
        <v>-48887504</v>
      </c>
      <c r="P1361">
        <v>710</v>
      </c>
      <c r="Q1361" t="s">
        <v>3028</v>
      </c>
    </row>
    <row r="1362" spans="1:17" x14ac:dyDescent="0.3">
      <c r="A1362" t="s">
        <v>17</v>
      </c>
      <c r="B1362" t="str">
        <f>"603368"</f>
        <v>603368</v>
      </c>
      <c r="C1362" t="s">
        <v>3029</v>
      </c>
      <c r="D1362" t="s">
        <v>396</v>
      </c>
      <c r="F1362">
        <v>332878819</v>
      </c>
      <c r="G1362">
        <v>664685873</v>
      </c>
      <c r="H1362">
        <v>412912526</v>
      </c>
      <c r="I1362">
        <v>22300201</v>
      </c>
      <c r="J1362">
        <v>-332594497</v>
      </c>
      <c r="K1362">
        <v>108385117</v>
      </c>
      <c r="L1362">
        <v>-107245751</v>
      </c>
      <c r="M1362">
        <v>-132417589</v>
      </c>
      <c r="N1362">
        <v>22329801</v>
      </c>
      <c r="O1362">
        <v>60506318</v>
      </c>
      <c r="P1362">
        <v>532</v>
      </c>
      <c r="Q1362" t="s">
        <v>3030</v>
      </c>
    </row>
    <row r="1363" spans="1:17" x14ac:dyDescent="0.3">
      <c r="A1363" t="s">
        <v>59</v>
      </c>
      <c r="B1363" t="str">
        <f>"002545"</f>
        <v>002545</v>
      </c>
      <c r="C1363" t="s">
        <v>3031</v>
      </c>
      <c r="D1363" t="s">
        <v>1903</v>
      </c>
      <c r="F1363">
        <v>407592488</v>
      </c>
      <c r="G1363">
        <v>226517653</v>
      </c>
      <c r="H1363">
        <v>412842932</v>
      </c>
      <c r="I1363">
        <v>577086133</v>
      </c>
      <c r="J1363">
        <v>235109258</v>
      </c>
      <c r="K1363">
        <v>424205205</v>
      </c>
      <c r="L1363">
        <v>239894089</v>
      </c>
      <c r="M1363">
        <v>227287503</v>
      </c>
      <c r="N1363">
        <v>192607278</v>
      </c>
      <c r="O1363">
        <v>-60671462</v>
      </c>
      <c r="P1363">
        <v>138</v>
      </c>
      <c r="Q1363" t="s">
        <v>3032</v>
      </c>
    </row>
    <row r="1364" spans="1:17" x14ac:dyDescent="0.3">
      <c r="A1364" t="s">
        <v>17</v>
      </c>
      <c r="B1364" t="str">
        <f>"600590"</f>
        <v>600590</v>
      </c>
      <c r="C1364" t="s">
        <v>3033</v>
      </c>
      <c r="D1364" t="s">
        <v>494</v>
      </c>
      <c r="F1364">
        <v>-601228611</v>
      </c>
      <c r="G1364">
        <v>-260244566</v>
      </c>
      <c r="H1364">
        <v>412007653</v>
      </c>
      <c r="I1364">
        <v>16182835</v>
      </c>
      <c r="J1364">
        <v>-363571454</v>
      </c>
      <c r="K1364">
        <v>248043590</v>
      </c>
      <c r="L1364">
        <v>279055848</v>
      </c>
      <c r="M1364">
        <v>183151079</v>
      </c>
      <c r="N1364">
        <v>209615533</v>
      </c>
      <c r="O1364">
        <v>504929431</v>
      </c>
      <c r="P1364">
        <v>168</v>
      </c>
      <c r="Q1364" t="s">
        <v>3034</v>
      </c>
    </row>
    <row r="1365" spans="1:17" x14ac:dyDescent="0.3">
      <c r="A1365" t="s">
        <v>59</v>
      </c>
      <c r="B1365" t="str">
        <f>"002999"</f>
        <v>002999</v>
      </c>
      <c r="C1365" t="s">
        <v>3035</v>
      </c>
      <c r="D1365" t="s">
        <v>1317</v>
      </c>
      <c r="F1365">
        <v>618434776</v>
      </c>
      <c r="G1365">
        <v>774993276</v>
      </c>
      <c r="H1365">
        <v>411890765</v>
      </c>
      <c r="I1365">
        <v>-162887333</v>
      </c>
      <c r="J1365">
        <v>86195252</v>
      </c>
      <c r="P1365">
        <v>45</v>
      </c>
      <c r="Q1365" t="s">
        <v>3036</v>
      </c>
    </row>
    <row r="1366" spans="1:17" x14ac:dyDescent="0.3">
      <c r="A1366" t="s">
        <v>17</v>
      </c>
      <c r="B1366" t="str">
        <f>"600163"</f>
        <v>600163</v>
      </c>
      <c r="C1366" t="s">
        <v>3037</v>
      </c>
      <c r="D1366" t="s">
        <v>391</v>
      </c>
      <c r="F1366">
        <v>801610987</v>
      </c>
      <c r="G1366">
        <v>782723699</v>
      </c>
      <c r="H1366">
        <v>411004498</v>
      </c>
      <c r="I1366">
        <v>338831599</v>
      </c>
      <c r="J1366">
        <v>306938704</v>
      </c>
      <c r="K1366">
        <v>264694813</v>
      </c>
      <c r="L1366">
        <v>328871935</v>
      </c>
      <c r="M1366">
        <v>-46872025</v>
      </c>
      <c r="N1366">
        <v>-219541669</v>
      </c>
      <c r="O1366">
        <v>334947899</v>
      </c>
      <c r="P1366">
        <v>219</v>
      </c>
      <c r="Q1366" t="s">
        <v>3038</v>
      </c>
    </row>
    <row r="1367" spans="1:17" x14ac:dyDescent="0.3">
      <c r="A1367" t="s">
        <v>17</v>
      </c>
      <c r="B1367" t="str">
        <f>"601113"</f>
        <v>601113</v>
      </c>
      <c r="C1367" t="s">
        <v>3039</v>
      </c>
      <c r="D1367" t="s">
        <v>3040</v>
      </c>
      <c r="F1367">
        <v>335364478</v>
      </c>
      <c r="G1367">
        <v>572470768</v>
      </c>
      <c r="H1367">
        <v>410553561</v>
      </c>
      <c r="I1367">
        <v>323467463</v>
      </c>
      <c r="J1367">
        <v>185980591</v>
      </c>
      <c r="K1367">
        <v>265314466</v>
      </c>
      <c r="L1367">
        <v>221900614</v>
      </c>
      <c r="M1367">
        <v>-239637276</v>
      </c>
      <c r="N1367">
        <v>207737811</v>
      </c>
      <c r="O1367">
        <v>533684054</v>
      </c>
      <c r="P1367">
        <v>68</v>
      </c>
      <c r="Q1367" t="s">
        <v>3041</v>
      </c>
    </row>
    <row r="1368" spans="1:17" x14ac:dyDescent="0.3">
      <c r="A1368" t="s">
        <v>17</v>
      </c>
      <c r="B1368" t="str">
        <f>"605050"</f>
        <v>605050</v>
      </c>
      <c r="C1368" t="s">
        <v>3042</v>
      </c>
      <c r="D1368" t="s">
        <v>250</v>
      </c>
      <c r="F1368">
        <v>16985356</v>
      </c>
      <c r="G1368">
        <v>100307414</v>
      </c>
      <c r="H1368">
        <v>409790240</v>
      </c>
      <c r="I1368">
        <v>228969166</v>
      </c>
      <c r="J1368">
        <v>100717348</v>
      </c>
      <c r="K1368">
        <v>-60743931</v>
      </c>
      <c r="P1368">
        <v>37</v>
      </c>
      <c r="Q1368" t="s">
        <v>3043</v>
      </c>
    </row>
    <row r="1369" spans="1:17" x14ac:dyDescent="0.3">
      <c r="A1369" t="s">
        <v>59</v>
      </c>
      <c r="B1369" t="str">
        <f>"200030"</f>
        <v>200030</v>
      </c>
      <c r="C1369" t="s">
        <v>3044</v>
      </c>
      <c r="G1369">
        <v>708013927.41390002</v>
      </c>
      <c r="H1369">
        <v>409550432.00700003</v>
      </c>
      <c r="I1369">
        <v>389464399.81349999</v>
      </c>
      <c r="J1369">
        <v>555568892.98559999</v>
      </c>
      <c r="K1369">
        <v>670584165.38859999</v>
      </c>
      <c r="L1369">
        <v>398279296.58340001</v>
      </c>
      <c r="M1369">
        <v>449974291.96079999</v>
      </c>
      <c r="N1369">
        <v>-96007190.666099995</v>
      </c>
      <c r="O1369">
        <v>-3693445.0896000001</v>
      </c>
      <c r="P1369">
        <v>132</v>
      </c>
      <c r="Q1369" t="s">
        <v>3045</v>
      </c>
    </row>
    <row r="1370" spans="1:17" x14ac:dyDescent="0.3">
      <c r="A1370" t="s">
        <v>17</v>
      </c>
      <c r="B1370" t="str">
        <f>"600389"</f>
        <v>600389</v>
      </c>
      <c r="C1370" t="s">
        <v>3046</v>
      </c>
      <c r="D1370" t="s">
        <v>1356</v>
      </c>
      <c r="F1370">
        <v>993795033</v>
      </c>
      <c r="G1370">
        <v>707172746</v>
      </c>
      <c r="H1370">
        <v>409081588</v>
      </c>
      <c r="I1370">
        <v>310120481</v>
      </c>
      <c r="J1370">
        <v>515253811</v>
      </c>
      <c r="K1370">
        <v>348803084</v>
      </c>
      <c r="L1370">
        <v>226441484</v>
      </c>
      <c r="M1370">
        <v>417342781</v>
      </c>
      <c r="N1370">
        <v>641225422</v>
      </c>
      <c r="O1370">
        <v>453781189</v>
      </c>
      <c r="P1370">
        <v>426</v>
      </c>
      <c r="Q1370" t="s">
        <v>3047</v>
      </c>
    </row>
    <row r="1371" spans="1:17" x14ac:dyDescent="0.3">
      <c r="A1371" t="s">
        <v>59</v>
      </c>
      <c r="B1371" t="str">
        <f>"002036"</f>
        <v>002036</v>
      </c>
      <c r="C1371" t="s">
        <v>3048</v>
      </c>
      <c r="D1371" t="s">
        <v>692</v>
      </c>
      <c r="F1371">
        <v>550454615</v>
      </c>
      <c r="G1371">
        <v>-122219680</v>
      </c>
      <c r="H1371">
        <v>408791466</v>
      </c>
      <c r="I1371">
        <v>124594848</v>
      </c>
      <c r="J1371">
        <v>47139476</v>
      </c>
      <c r="K1371">
        <v>151894032</v>
      </c>
      <c r="L1371">
        <v>5643203</v>
      </c>
      <c r="M1371">
        <v>23217499</v>
      </c>
      <c r="N1371">
        <v>41611168</v>
      </c>
      <c r="O1371">
        <v>35087325</v>
      </c>
      <c r="P1371">
        <v>548</v>
      </c>
      <c r="Q1371" t="s">
        <v>3049</v>
      </c>
    </row>
    <row r="1372" spans="1:17" x14ac:dyDescent="0.3">
      <c r="A1372" t="s">
        <v>59</v>
      </c>
      <c r="B1372" t="str">
        <f>"002663"</f>
        <v>002663</v>
      </c>
      <c r="C1372" t="s">
        <v>3050</v>
      </c>
      <c r="D1372" t="s">
        <v>1489</v>
      </c>
      <c r="F1372">
        <v>175603475</v>
      </c>
      <c r="G1372">
        <v>-46069024</v>
      </c>
      <c r="H1372">
        <v>407161311</v>
      </c>
      <c r="I1372">
        <v>139962597</v>
      </c>
      <c r="J1372">
        <v>290047222</v>
      </c>
      <c r="K1372">
        <v>-65370402</v>
      </c>
      <c r="L1372">
        <v>-400559331</v>
      </c>
      <c r="M1372">
        <v>-166782395</v>
      </c>
      <c r="N1372">
        <v>-330771782</v>
      </c>
      <c r="O1372">
        <v>-257660751</v>
      </c>
      <c r="P1372">
        <v>95</v>
      </c>
      <c r="Q1372" t="s">
        <v>3051</v>
      </c>
    </row>
    <row r="1373" spans="1:17" x14ac:dyDescent="0.3">
      <c r="A1373" t="s">
        <v>17</v>
      </c>
      <c r="B1373" t="str">
        <f>"603111"</f>
        <v>603111</v>
      </c>
      <c r="C1373" t="s">
        <v>3052</v>
      </c>
      <c r="D1373" t="s">
        <v>165</v>
      </c>
      <c r="F1373">
        <v>474093672</v>
      </c>
      <c r="G1373">
        <v>586346769</v>
      </c>
      <c r="H1373">
        <v>406444245</v>
      </c>
      <c r="I1373">
        <v>-330332812</v>
      </c>
      <c r="J1373">
        <v>182428793</v>
      </c>
      <c r="K1373">
        <v>61523616</v>
      </c>
      <c r="L1373">
        <v>89401902</v>
      </c>
      <c r="M1373">
        <v>217162679</v>
      </c>
      <c r="N1373">
        <v>96352547</v>
      </c>
      <c r="O1373">
        <v>134899424</v>
      </c>
      <c r="P1373">
        <v>440</v>
      </c>
      <c r="Q1373" t="s">
        <v>3053</v>
      </c>
    </row>
    <row r="1374" spans="1:17" x14ac:dyDescent="0.3">
      <c r="A1374" t="s">
        <v>59</v>
      </c>
      <c r="B1374" t="str">
        <f>"002959"</f>
        <v>002959</v>
      </c>
      <c r="C1374" t="s">
        <v>3054</v>
      </c>
      <c r="D1374" t="s">
        <v>1173</v>
      </c>
      <c r="F1374">
        <v>171142939</v>
      </c>
      <c r="G1374">
        <v>1207509003</v>
      </c>
      <c r="H1374">
        <v>406398405</v>
      </c>
      <c r="I1374">
        <v>309706785</v>
      </c>
      <c r="J1374">
        <v>230687274</v>
      </c>
      <c r="K1374">
        <v>93450305</v>
      </c>
      <c r="P1374">
        <v>1479</v>
      </c>
      <c r="Q1374" t="s">
        <v>3055</v>
      </c>
    </row>
    <row r="1375" spans="1:17" x14ac:dyDescent="0.3">
      <c r="A1375" t="s">
        <v>17</v>
      </c>
      <c r="B1375" t="str">
        <f>"601878"</f>
        <v>601878</v>
      </c>
      <c r="C1375" t="s">
        <v>3056</v>
      </c>
      <c r="D1375" t="s">
        <v>75</v>
      </c>
      <c r="F1375">
        <v>1725699427</v>
      </c>
      <c r="G1375">
        <v>-911593027</v>
      </c>
      <c r="H1375">
        <v>406222689</v>
      </c>
      <c r="I1375">
        <v>-1827851564</v>
      </c>
      <c r="J1375">
        <v>-11007414537</v>
      </c>
      <c r="K1375">
        <v>-5891247387</v>
      </c>
      <c r="L1375">
        <v>3639972893</v>
      </c>
      <c r="M1375">
        <v>8235753856</v>
      </c>
      <c r="N1375">
        <v>-1330222047.53</v>
      </c>
      <c r="O1375">
        <v>-1183300276.0899999</v>
      </c>
      <c r="P1375">
        <v>842</v>
      </c>
      <c r="Q1375" t="s">
        <v>3057</v>
      </c>
    </row>
    <row r="1376" spans="1:17" x14ac:dyDescent="0.3">
      <c r="A1376" t="s">
        <v>59</v>
      </c>
      <c r="B1376" t="str">
        <f>"002287"</f>
        <v>002287</v>
      </c>
      <c r="C1376" t="s">
        <v>3058</v>
      </c>
      <c r="D1376" t="s">
        <v>455</v>
      </c>
      <c r="F1376">
        <v>1034917530</v>
      </c>
      <c r="G1376">
        <v>238651602</v>
      </c>
      <c r="H1376">
        <v>405951978</v>
      </c>
      <c r="I1376">
        <v>499396888</v>
      </c>
      <c r="J1376">
        <v>229827826</v>
      </c>
      <c r="K1376">
        <v>389201594</v>
      </c>
      <c r="L1376">
        <v>257812883</v>
      </c>
      <c r="M1376">
        <v>310947521</v>
      </c>
      <c r="N1376">
        <v>198479276</v>
      </c>
      <c r="O1376">
        <v>169672207</v>
      </c>
      <c r="P1376">
        <v>13304</v>
      </c>
      <c r="Q1376" t="s">
        <v>3059</v>
      </c>
    </row>
    <row r="1377" spans="1:17" x14ac:dyDescent="0.3">
      <c r="A1377" t="s">
        <v>17</v>
      </c>
      <c r="B1377" t="str">
        <f>"600201"</f>
        <v>600201</v>
      </c>
      <c r="C1377" t="s">
        <v>3060</v>
      </c>
      <c r="D1377" t="s">
        <v>3061</v>
      </c>
      <c r="F1377">
        <v>533084550</v>
      </c>
      <c r="G1377">
        <v>699612782</v>
      </c>
      <c r="H1377">
        <v>405242914</v>
      </c>
      <c r="I1377">
        <v>422460842</v>
      </c>
      <c r="J1377">
        <v>891439597</v>
      </c>
      <c r="K1377">
        <v>756123716</v>
      </c>
      <c r="L1377">
        <v>494320157</v>
      </c>
      <c r="M1377">
        <v>585186591</v>
      </c>
      <c r="N1377">
        <v>649339641</v>
      </c>
      <c r="O1377">
        <v>102946418</v>
      </c>
      <c r="P1377">
        <v>1764</v>
      </c>
      <c r="Q1377" t="s">
        <v>3062</v>
      </c>
    </row>
    <row r="1378" spans="1:17" x14ac:dyDescent="0.3">
      <c r="A1378" t="s">
        <v>59</v>
      </c>
      <c r="B1378" t="str">
        <f>"300894"</f>
        <v>300894</v>
      </c>
      <c r="C1378" t="s">
        <v>3063</v>
      </c>
      <c r="D1378" t="s">
        <v>1294</v>
      </c>
      <c r="F1378">
        <v>607006242</v>
      </c>
      <c r="G1378">
        <v>426734549</v>
      </c>
      <c r="H1378">
        <v>405044523</v>
      </c>
      <c r="I1378">
        <v>242200641</v>
      </c>
      <c r="J1378">
        <v>289731373</v>
      </c>
      <c r="K1378">
        <v>137300641</v>
      </c>
      <c r="P1378">
        <v>230</v>
      </c>
      <c r="Q1378" t="s">
        <v>3064</v>
      </c>
    </row>
    <row r="1379" spans="1:17" x14ac:dyDescent="0.3">
      <c r="A1379" t="s">
        <v>59</v>
      </c>
      <c r="B1379" t="str">
        <f>"002139"</f>
        <v>002139</v>
      </c>
      <c r="C1379" t="s">
        <v>3065</v>
      </c>
      <c r="D1379" t="s">
        <v>349</v>
      </c>
      <c r="F1379">
        <v>-224562546</v>
      </c>
      <c r="G1379">
        <v>647900708</v>
      </c>
      <c r="H1379">
        <v>404477700</v>
      </c>
      <c r="I1379">
        <v>240280589</v>
      </c>
      <c r="J1379">
        <v>206792362</v>
      </c>
      <c r="K1379">
        <v>187604434</v>
      </c>
      <c r="L1379">
        <v>144105364</v>
      </c>
      <c r="M1379">
        <v>110884946</v>
      </c>
      <c r="N1379">
        <v>92699009</v>
      </c>
      <c r="O1379">
        <v>110626468</v>
      </c>
      <c r="P1379">
        <v>919</v>
      </c>
      <c r="Q1379" t="s">
        <v>3066</v>
      </c>
    </row>
    <row r="1380" spans="1:17" x14ac:dyDescent="0.3">
      <c r="A1380" t="s">
        <v>17</v>
      </c>
      <c r="B1380" t="str">
        <f>"603018"</f>
        <v>603018</v>
      </c>
      <c r="C1380" t="s">
        <v>3067</v>
      </c>
      <c r="D1380" t="s">
        <v>2254</v>
      </c>
      <c r="F1380">
        <v>392055267</v>
      </c>
      <c r="G1380">
        <v>404209893</v>
      </c>
      <c r="H1380">
        <v>404258942</v>
      </c>
      <c r="I1380">
        <v>326711002</v>
      </c>
      <c r="J1380">
        <v>290290436</v>
      </c>
      <c r="K1380">
        <v>272484086</v>
      </c>
      <c r="L1380">
        <v>117714763</v>
      </c>
      <c r="M1380">
        <v>8471796</v>
      </c>
      <c r="N1380">
        <v>26782118</v>
      </c>
      <c r="O1380">
        <v>154454629</v>
      </c>
      <c r="P1380">
        <v>400</v>
      </c>
      <c r="Q1380" t="s">
        <v>3068</v>
      </c>
    </row>
    <row r="1381" spans="1:17" x14ac:dyDescent="0.3">
      <c r="A1381" t="s">
        <v>59</v>
      </c>
      <c r="B1381" t="str">
        <f>"002519"</f>
        <v>002519</v>
      </c>
      <c r="C1381" t="s">
        <v>3069</v>
      </c>
      <c r="D1381" t="s">
        <v>3070</v>
      </c>
      <c r="F1381">
        <v>-21231186</v>
      </c>
      <c r="G1381">
        <v>495246720</v>
      </c>
      <c r="H1381">
        <v>403602028</v>
      </c>
      <c r="I1381">
        <v>33517956</v>
      </c>
      <c r="J1381">
        <v>42243341</v>
      </c>
      <c r="K1381">
        <v>226713416</v>
      </c>
      <c r="L1381">
        <v>85629898</v>
      </c>
      <c r="M1381">
        <v>134132021</v>
      </c>
      <c r="N1381">
        <v>85215333</v>
      </c>
      <c r="O1381">
        <v>189282260</v>
      </c>
      <c r="P1381">
        <v>160</v>
      </c>
      <c r="Q1381" t="s">
        <v>3071</v>
      </c>
    </row>
    <row r="1382" spans="1:17" x14ac:dyDescent="0.3">
      <c r="A1382" t="s">
        <v>59</v>
      </c>
      <c r="B1382" t="str">
        <f>"002320"</f>
        <v>002320</v>
      </c>
      <c r="C1382" t="s">
        <v>3072</v>
      </c>
      <c r="D1382" t="s">
        <v>178</v>
      </c>
      <c r="F1382">
        <v>569017630</v>
      </c>
      <c r="G1382">
        <v>414488469</v>
      </c>
      <c r="H1382">
        <v>403045578</v>
      </c>
      <c r="I1382">
        <v>356534165</v>
      </c>
      <c r="J1382">
        <v>506059942</v>
      </c>
      <c r="K1382">
        <v>325214326</v>
      </c>
      <c r="L1382">
        <v>241899071</v>
      </c>
      <c r="M1382">
        <v>203717895</v>
      </c>
      <c r="N1382">
        <v>118917358</v>
      </c>
      <c r="O1382">
        <v>157639558</v>
      </c>
      <c r="P1382">
        <v>174</v>
      </c>
      <c r="Q1382" t="s">
        <v>3073</v>
      </c>
    </row>
    <row r="1383" spans="1:17" x14ac:dyDescent="0.3">
      <c r="A1383" t="s">
        <v>17</v>
      </c>
      <c r="B1383" t="str">
        <f>"603898"</f>
        <v>603898</v>
      </c>
      <c r="C1383" t="s">
        <v>3074</v>
      </c>
      <c r="D1383" t="s">
        <v>963</v>
      </c>
      <c r="F1383">
        <v>296101244</v>
      </c>
      <c r="G1383">
        <v>556099378</v>
      </c>
      <c r="H1383">
        <v>402667987</v>
      </c>
      <c r="I1383">
        <v>472170057</v>
      </c>
      <c r="J1383">
        <v>403355821</v>
      </c>
      <c r="K1383">
        <v>365029362</v>
      </c>
      <c r="L1383">
        <v>214459859</v>
      </c>
      <c r="M1383">
        <v>162999702</v>
      </c>
      <c r="N1383">
        <v>167187863</v>
      </c>
      <c r="O1383">
        <v>55552309</v>
      </c>
      <c r="P1383">
        <v>835</v>
      </c>
      <c r="Q1383" t="s">
        <v>3075</v>
      </c>
    </row>
    <row r="1384" spans="1:17" x14ac:dyDescent="0.3">
      <c r="A1384" t="s">
        <v>59</v>
      </c>
      <c r="B1384" t="str">
        <f>"000680"</f>
        <v>000680</v>
      </c>
      <c r="C1384" t="s">
        <v>3076</v>
      </c>
      <c r="D1384" t="s">
        <v>235</v>
      </c>
      <c r="F1384">
        <v>426511422</v>
      </c>
      <c r="G1384">
        <v>666640072</v>
      </c>
      <c r="H1384">
        <v>402212826</v>
      </c>
      <c r="I1384">
        <v>178959887</v>
      </c>
      <c r="J1384">
        <v>541030288</v>
      </c>
      <c r="K1384">
        <v>273150263</v>
      </c>
      <c r="L1384">
        <v>249741255</v>
      </c>
      <c r="M1384">
        <v>578116985</v>
      </c>
      <c r="N1384">
        <v>336889754</v>
      </c>
      <c r="O1384">
        <v>578879837</v>
      </c>
      <c r="P1384">
        <v>120</v>
      </c>
      <c r="Q1384" t="s">
        <v>3077</v>
      </c>
    </row>
    <row r="1385" spans="1:17" x14ac:dyDescent="0.3">
      <c r="A1385" t="s">
        <v>17</v>
      </c>
      <c r="B1385" t="str">
        <f>"603180"</f>
        <v>603180</v>
      </c>
      <c r="C1385" t="s">
        <v>3078</v>
      </c>
      <c r="D1385" t="s">
        <v>963</v>
      </c>
      <c r="F1385">
        <v>403376091</v>
      </c>
      <c r="G1385">
        <v>673089121</v>
      </c>
      <c r="H1385">
        <v>402125220</v>
      </c>
      <c r="I1385">
        <v>325384359</v>
      </c>
      <c r="J1385">
        <v>357384801</v>
      </c>
      <c r="K1385">
        <v>249093553</v>
      </c>
      <c r="L1385">
        <v>189053585</v>
      </c>
      <c r="M1385">
        <v>78948065</v>
      </c>
      <c r="P1385">
        <v>1304</v>
      </c>
      <c r="Q1385" t="s">
        <v>3079</v>
      </c>
    </row>
    <row r="1386" spans="1:17" x14ac:dyDescent="0.3">
      <c r="A1386" t="s">
        <v>17</v>
      </c>
      <c r="B1386" t="str">
        <f>"601222"</f>
        <v>601222</v>
      </c>
      <c r="C1386" t="s">
        <v>3080</v>
      </c>
      <c r="D1386" t="s">
        <v>1119</v>
      </c>
      <c r="F1386">
        <v>1055315101</v>
      </c>
      <c r="G1386">
        <v>1222536251</v>
      </c>
      <c r="H1386">
        <v>401986083</v>
      </c>
      <c r="I1386">
        <v>452239041</v>
      </c>
      <c r="J1386">
        <v>806223638</v>
      </c>
      <c r="K1386">
        <v>-365472796</v>
      </c>
      <c r="L1386">
        <v>276315404</v>
      </c>
      <c r="M1386">
        <v>33201010</v>
      </c>
      <c r="N1386">
        <v>245462071</v>
      </c>
      <c r="O1386">
        <v>158151812</v>
      </c>
      <c r="P1386">
        <v>556</v>
      </c>
      <c r="Q1386" t="s">
        <v>3081</v>
      </c>
    </row>
    <row r="1387" spans="1:17" x14ac:dyDescent="0.3">
      <c r="A1387" t="s">
        <v>17</v>
      </c>
      <c r="B1387" t="str">
        <f>"601956"</f>
        <v>601956</v>
      </c>
      <c r="C1387" t="s">
        <v>3082</v>
      </c>
      <c r="D1387" t="s">
        <v>1087</v>
      </c>
      <c r="F1387">
        <v>596268134</v>
      </c>
      <c r="G1387">
        <v>72862326</v>
      </c>
      <c r="H1387">
        <v>401930887</v>
      </c>
      <c r="P1387">
        <v>23</v>
      </c>
      <c r="Q1387" t="s">
        <v>3083</v>
      </c>
    </row>
    <row r="1388" spans="1:17" x14ac:dyDescent="0.3">
      <c r="A1388" t="s">
        <v>59</v>
      </c>
      <c r="B1388" t="str">
        <f>"002441"</f>
        <v>002441</v>
      </c>
      <c r="C1388" t="s">
        <v>3084</v>
      </c>
      <c r="D1388" t="s">
        <v>458</v>
      </c>
      <c r="F1388">
        <v>-144666354</v>
      </c>
      <c r="G1388">
        <v>951416606</v>
      </c>
      <c r="H1388">
        <v>401641065</v>
      </c>
      <c r="I1388">
        <v>-128306569</v>
      </c>
      <c r="J1388">
        <v>-33846882</v>
      </c>
      <c r="K1388">
        <v>336173499</v>
      </c>
      <c r="L1388">
        <v>30615973</v>
      </c>
      <c r="M1388">
        <v>118844746</v>
      </c>
      <c r="N1388">
        <v>-74512038</v>
      </c>
      <c r="O1388">
        <v>319886976</v>
      </c>
      <c r="P1388">
        <v>134</v>
      </c>
      <c r="Q1388" t="s">
        <v>3085</v>
      </c>
    </row>
    <row r="1389" spans="1:17" x14ac:dyDescent="0.3">
      <c r="A1389" t="s">
        <v>59</v>
      </c>
      <c r="B1389" t="str">
        <f>"002592"</f>
        <v>002592</v>
      </c>
      <c r="C1389" t="s">
        <v>3086</v>
      </c>
      <c r="D1389" t="s">
        <v>156</v>
      </c>
      <c r="F1389">
        <v>27719157</v>
      </c>
      <c r="G1389">
        <v>-204806576</v>
      </c>
      <c r="H1389">
        <v>401198542</v>
      </c>
      <c r="I1389">
        <v>94049611</v>
      </c>
      <c r="J1389">
        <v>54284718</v>
      </c>
      <c r="K1389">
        <v>132545894</v>
      </c>
      <c r="L1389">
        <v>81740802</v>
      </c>
      <c r="M1389">
        <v>146668073</v>
      </c>
      <c r="N1389">
        <v>80652394</v>
      </c>
      <c r="O1389">
        <v>89918615</v>
      </c>
      <c r="P1389">
        <v>76</v>
      </c>
      <c r="Q1389" t="s">
        <v>3087</v>
      </c>
    </row>
    <row r="1390" spans="1:17" x14ac:dyDescent="0.3">
      <c r="A1390" t="s">
        <v>17</v>
      </c>
      <c r="B1390" t="str">
        <f>"688106"</f>
        <v>688106</v>
      </c>
      <c r="C1390" t="s">
        <v>3088</v>
      </c>
      <c r="D1390" t="s">
        <v>2111</v>
      </c>
      <c r="F1390">
        <v>310689392</v>
      </c>
      <c r="G1390">
        <v>401616611</v>
      </c>
      <c r="H1390">
        <v>400025795</v>
      </c>
      <c r="I1390">
        <v>287515321</v>
      </c>
      <c r="J1390">
        <v>147895974</v>
      </c>
      <c r="K1390">
        <v>135928858</v>
      </c>
      <c r="P1390">
        <v>136</v>
      </c>
      <c r="Q1390" t="s">
        <v>3089</v>
      </c>
    </row>
    <row r="1391" spans="1:17" x14ac:dyDescent="0.3">
      <c r="A1391" t="s">
        <v>59</v>
      </c>
      <c r="B1391" t="str">
        <f>"002789"</f>
        <v>002789</v>
      </c>
      <c r="C1391" t="s">
        <v>3090</v>
      </c>
      <c r="D1391" t="s">
        <v>1150</v>
      </c>
      <c r="F1391">
        <v>-120110807</v>
      </c>
      <c r="G1391">
        <v>-341258441</v>
      </c>
      <c r="H1391">
        <v>399963045</v>
      </c>
      <c r="I1391">
        <v>62510733</v>
      </c>
      <c r="J1391">
        <v>61694825</v>
      </c>
      <c r="K1391">
        <v>-233147535</v>
      </c>
      <c r="L1391">
        <v>-139764031</v>
      </c>
      <c r="M1391">
        <v>-106548133</v>
      </c>
      <c r="N1391">
        <v>-170492982</v>
      </c>
      <c r="O1391">
        <v>52788245</v>
      </c>
      <c r="P1391">
        <v>57</v>
      </c>
      <c r="Q1391" t="s">
        <v>3091</v>
      </c>
    </row>
    <row r="1392" spans="1:17" x14ac:dyDescent="0.3">
      <c r="A1392" t="s">
        <v>59</v>
      </c>
      <c r="B1392" t="str">
        <f>"002743"</f>
        <v>002743</v>
      </c>
      <c r="C1392" t="s">
        <v>3092</v>
      </c>
      <c r="D1392" t="s">
        <v>1903</v>
      </c>
      <c r="F1392">
        <v>-631611676</v>
      </c>
      <c r="G1392">
        <v>213497382</v>
      </c>
      <c r="H1392">
        <v>399900143</v>
      </c>
      <c r="I1392">
        <v>328572919</v>
      </c>
      <c r="J1392">
        <v>-658531426</v>
      </c>
      <c r="K1392">
        <v>-546394598</v>
      </c>
      <c r="L1392">
        <v>111889415</v>
      </c>
      <c r="M1392">
        <v>-88756866</v>
      </c>
      <c r="N1392">
        <v>-214477539</v>
      </c>
      <c r="O1392">
        <v>37205638</v>
      </c>
      <c r="P1392">
        <v>77</v>
      </c>
      <c r="Q1392" t="s">
        <v>3093</v>
      </c>
    </row>
    <row r="1393" spans="1:17" x14ac:dyDescent="0.3">
      <c r="A1393" t="s">
        <v>17</v>
      </c>
      <c r="B1393" t="str">
        <f>"603737"</f>
        <v>603737</v>
      </c>
      <c r="C1393" t="s">
        <v>3094</v>
      </c>
      <c r="D1393" t="s">
        <v>2977</v>
      </c>
      <c r="F1393">
        <v>484554212</v>
      </c>
      <c r="G1393">
        <v>457353768</v>
      </c>
      <c r="H1393">
        <v>399892555</v>
      </c>
      <c r="I1393">
        <v>266731620</v>
      </c>
      <c r="J1393">
        <v>223423721</v>
      </c>
      <c r="K1393">
        <v>57524979</v>
      </c>
      <c r="L1393">
        <v>214212974</v>
      </c>
      <c r="M1393">
        <v>126566808</v>
      </c>
      <c r="N1393">
        <v>151443703</v>
      </c>
      <c r="P1393">
        <v>1048</v>
      </c>
      <c r="Q1393" t="s">
        <v>3095</v>
      </c>
    </row>
    <row r="1394" spans="1:17" x14ac:dyDescent="0.3">
      <c r="A1394" t="s">
        <v>17</v>
      </c>
      <c r="B1394" t="str">
        <f>"603086"</f>
        <v>603086</v>
      </c>
      <c r="C1394" t="s">
        <v>3096</v>
      </c>
      <c r="D1394" t="s">
        <v>1356</v>
      </c>
      <c r="F1394">
        <v>224108606</v>
      </c>
      <c r="G1394">
        <v>361385547</v>
      </c>
      <c r="H1394">
        <v>399562924</v>
      </c>
      <c r="I1394">
        <v>157396782</v>
      </c>
      <c r="J1394">
        <v>73143129</v>
      </c>
      <c r="K1394">
        <v>80080306</v>
      </c>
      <c r="L1394">
        <v>12569677</v>
      </c>
      <c r="M1394">
        <v>139006403</v>
      </c>
      <c r="P1394">
        <v>124</v>
      </c>
      <c r="Q1394" t="s">
        <v>3097</v>
      </c>
    </row>
    <row r="1395" spans="1:17" x14ac:dyDescent="0.3">
      <c r="A1395" t="s">
        <v>59</v>
      </c>
      <c r="B1395" t="str">
        <f>"002920"</f>
        <v>002920</v>
      </c>
      <c r="C1395" t="s">
        <v>3098</v>
      </c>
      <c r="D1395" t="s">
        <v>1528</v>
      </c>
      <c r="F1395">
        <v>842949892</v>
      </c>
      <c r="G1395">
        <v>439346781</v>
      </c>
      <c r="H1395">
        <v>399130355</v>
      </c>
      <c r="I1395">
        <v>735833607</v>
      </c>
      <c r="J1395">
        <v>646203029</v>
      </c>
      <c r="K1395">
        <v>557584549</v>
      </c>
      <c r="L1395">
        <v>247518516</v>
      </c>
      <c r="M1395">
        <v>189454642</v>
      </c>
      <c r="P1395">
        <v>688</v>
      </c>
      <c r="Q1395" t="s">
        <v>3099</v>
      </c>
    </row>
    <row r="1396" spans="1:17" x14ac:dyDescent="0.3">
      <c r="A1396" t="s">
        <v>17</v>
      </c>
      <c r="B1396" t="str">
        <f>"603889"</f>
        <v>603889</v>
      </c>
      <c r="C1396" t="s">
        <v>3100</v>
      </c>
      <c r="D1396" t="s">
        <v>3101</v>
      </c>
      <c r="F1396">
        <v>-120996155</v>
      </c>
      <c r="G1396">
        <v>301469704</v>
      </c>
      <c r="H1396">
        <v>398646454</v>
      </c>
      <c r="I1396">
        <v>-63616492</v>
      </c>
      <c r="J1396">
        <v>168988316</v>
      </c>
      <c r="K1396">
        <v>155854818</v>
      </c>
      <c r="L1396">
        <v>231446254</v>
      </c>
      <c r="M1396">
        <v>113443042</v>
      </c>
      <c r="N1396">
        <v>84208182</v>
      </c>
      <c r="O1396">
        <v>126850725</v>
      </c>
      <c r="P1396">
        <v>121</v>
      </c>
      <c r="Q1396" t="s">
        <v>3102</v>
      </c>
    </row>
    <row r="1397" spans="1:17" x14ac:dyDescent="0.3">
      <c r="A1397" t="s">
        <v>59</v>
      </c>
      <c r="B1397" t="str">
        <f>"301179"</f>
        <v>301179</v>
      </c>
      <c r="C1397" t="s">
        <v>3103</v>
      </c>
      <c r="D1397" t="s">
        <v>494</v>
      </c>
      <c r="F1397">
        <v>161306460</v>
      </c>
      <c r="G1397">
        <v>50397135</v>
      </c>
      <c r="H1397">
        <v>398538966</v>
      </c>
      <c r="I1397">
        <v>-41988508</v>
      </c>
      <c r="J1397">
        <v>65607614</v>
      </c>
      <c r="P1397">
        <v>17</v>
      </c>
      <c r="Q1397" t="s">
        <v>3104</v>
      </c>
    </row>
    <row r="1398" spans="1:17" x14ac:dyDescent="0.3">
      <c r="A1398" t="s">
        <v>17</v>
      </c>
      <c r="B1398" t="str">
        <f>"601606"</f>
        <v>601606</v>
      </c>
      <c r="C1398" t="s">
        <v>3105</v>
      </c>
      <c r="D1398" t="s">
        <v>606</v>
      </c>
      <c r="F1398">
        <v>63747391</v>
      </c>
      <c r="G1398">
        <v>-101418958</v>
      </c>
      <c r="H1398">
        <v>397646351</v>
      </c>
      <c r="I1398">
        <v>-80190219</v>
      </c>
      <c r="J1398">
        <v>67933423</v>
      </c>
      <c r="K1398">
        <v>133025620</v>
      </c>
      <c r="L1398">
        <v>242384677</v>
      </c>
      <c r="P1398">
        <v>180</v>
      </c>
      <c r="Q1398" t="s">
        <v>3106</v>
      </c>
    </row>
    <row r="1399" spans="1:17" x14ac:dyDescent="0.3">
      <c r="A1399" t="s">
        <v>59</v>
      </c>
      <c r="B1399" t="str">
        <f>"002090"</f>
        <v>002090</v>
      </c>
      <c r="C1399" t="s">
        <v>3107</v>
      </c>
      <c r="D1399" t="s">
        <v>494</v>
      </c>
      <c r="F1399">
        <v>38552807</v>
      </c>
      <c r="G1399">
        <v>242916145</v>
      </c>
      <c r="H1399">
        <v>397591275</v>
      </c>
      <c r="I1399">
        <v>81577800</v>
      </c>
      <c r="J1399">
        <v>-77678491</v>
      </c>
      <c r="K1399">
        <v>241558760</v>
      </c>
      <c r="L1399">
        <v>13921493</v>
      </c>
      <c r="M1399">
        <v>19637071</v>
      </c>
      <c r="N1399">
        <v>141242171</v>
      </c>
      <c r="O1399">
        <v>12704867</v>
      </c>
      <c r="P1399">
        <v>229</v>
      </c>
      <c r="Q1399" t="s">
        <v>3108</v>
      </c>
    </row>
    <row r="1400" spans="1:17" x14ac:dyDescent="0.3">
      <c r="A1400" t="s">
        <v>59</v>
      </c>
      <c r="B1400" t="str">
        <f>"000888"</f>
        <v>000888</v>
      </c>
      <c r="C1400" t="s">
        <v>3109</v>
      </c>
      <c r="D1400" t="s">
        <v>2982</v>
      </c>
      <c r="F1400">
        <v>196007384</v>
      </c>
      <c r="G1400">
        <v>-11821482</v>
      </c>
      <c r="H1400">
        <v>397499863</v>
      </c>
      <c r="I1400">
        <v>397587779</v>
      </c>
      <c r="J1400">
        <v>344579266</v>
      </c>
      <c r="K1400">
        <v>245641475</v>
      </c>
      <c r="L1400">
        <v>269264436</v>
      </c>
      <c r="M1400">
        <v>315846626</v>
      </c>
      <c r="N1400">
        <v>243920620</v>
      </c>
      <c r="O1400">
        <v>245793157</v>
      </c>
      <c r="P1400">
        <v>218</v>
      </c>
      <c r="Q1400" t="s">
        <v>3110</v>
      </c>
    </row>
    <row r="1401" spans="1:17" x14ac:dyDescent="0.3">
      <c r="A1401" t="s">
        <v>59</v>
      </c>
      <c r="B1401" t="str">
        <f>"300188"</f>
        <v>300188</v>
      </c>
      <c r="C1401" t="s">
        <v>3111</v>
      </c>
      <c r="D1401" t="s">
        <v>1528</v>
      </c>
      <c r="F1401">
        <v>59401259</v>
      </c>
      <c r="G1401">
        <v>297590222</v>
      </c>
      <c r="H1401">
        <v>396135919</v>
      </c>
      <c r="I1401">
        <v>71849255</v>
      </c>
      <c r="J1401">
        <v>199944188</v>
      </c>
      <c r="K1401">
        <v>344623649</v>
      </c>
      <c r="L1401">
        <v>181586164</v>
      </c>
      <c r="M1401">
        <v>173661157</v>
      </c>
      <c r="N1401">
        <v>48992020</v>
      </c>
      <c r="O1401">
        <v>26943447</v>
      </c>
      <c r="P1401">
        <v>557</v>
      </c>
      <c r="Q1401" t="s">
        <v>3112</v>
      </c>
    </row>
    <row r="1402" spans="1:17" x14ac:dyDescent="0.3">
      <c r="A1402" t="s">
        <v>59</v>
      </c>
      <c r="B1402" t="str">
        <f>"002154"</f>
        <v>002154</v>
      </c>
      <c r="C1402" t="s">
        <v>3113</v>
      </c>
      <c r="D1402" t="s">
        <v>646</v>
      </c>
      <c r="F1402">
        <v>619451108</v>
      </c>
      <c r="G1402">
        <v>718988995</v>
      </c>
      <c r="H1402">
        <v>395941312</v>
      </c>
      <c r="I1402">
        <v>348243503</v>
      </c>
      <c r="J1402">
        <v>451462195</v>
      </c>
      <c r="K1402">
        <v>277631330</v>
      </c>
      <c r="L1402">
        <v>307585774</v>
      </c>
      <c r="M1402">
        <v>382581681</v>
      </c>
      <c r="N1402">
        <v>-44528494</v>
      </c>
      <c r="O1402">
        <v>476762947</v>
      </c>
      <c r="P1402">
        <v>204</v>
      </c>
      <c r="Q1402" t="s">
        <v>3114</v>
      </c>
    </row>
    <row r="1403" spans="1:17" x14ac:dyDescent="0.3">
      <c r="A1403" t="s">
        <v>59</v>
      </c>
      <c r="B1403" t="str">
        <f>"002401"</f>
        <v>002401</v>
      </c>
      <c r="C1403" t="s">
        <v>3115</v>
      </c>
      <c r="D1403" t="s">
        <v>1189</v>
      </c>
      <c r="F1403">
        <v>182118893</v>
      </c>
      <c r="G1403">
        <v>240894708</v>
      </c>
      <c r="H1403">
        <v>395146017</v>
      </c>
      <c r="I1403">
        <v>167269306</v>
      </c>
      <c r="J1403">
        <v>142487334</v>
      </c>
      <c r="K1403">
        <v>351764717</v>
      </c>
      <c r="L1403">
        <v>169791800</v>
      </c>
      <c r="M1403">
        <v>-19828335</v>
      </c>
      <c r="N1403">
        <v>-45036936</v>
      </c>
      <c r="O1403">
        <v>40140697</v>
      </c>
      <c r="P1403">
        <v>152</v>
      </c>
      <c r="Q1403" t="s">
        <v>3116</v>
      </c>
    </row>
    <row r="1404" spans="1:17" x14ac:dyDescent="0.3">
      <c r="A1404" t="s">
        <v>59</v>
      </c>
      <c r="B1404" t="str">
        <f>"002905"</f>
        <v>002905</v>
      </c>
      <c r="C1404" t="s">
        <v>3117</v>
      </c>
      <c r="D1404" t="s">
        <v>1102</v>
      </c>
      <c r="F1404">
        <v>423729325</v>
      </c>
      <c r="G1404">
        <v>-80443518</v>
      </c>
      <c r="H1404">
        <v>394371689</v>
      </c>
      <c r="I1404">
        <v>166739089</v>
      </c>
      <c r="J1404">
        <v>410608123</v>
      </c>
      <c r="K1404">
        <v>440769842</v>
      </c>
      <c r="L1404">
        <v>599661408</v>
      </c>
      <c r="M1404">
        <v>577645973</v>
      </c>
      <c r="P1404">
        <v>133</v>
      </c>
      <c r="Q1404" t="s">
        <v>3118</v>
      </c>
    </row>
    <row r="1405" spans="1:17" x14ac:dyDescent="0.3">
      <c r="A1405" t="s">
        <v>17</v>
      </c>
      <c r="B1405" t="str">
        <f>"603363"</f>
        <v>603363</v>
      </c>
      <c r="C1405" t="s">
        <v>3119</v>
      </c>
      <c r="D1405" t="s">
        <v>1128</v>
      </c>
      <c r="F1405">
        <v>524291287</v>
      </c>
      <c r="G1405">
        <v>406022924</v>
      </c>
      <c r="H1405">
        <v>394159196</v>
      </c>
      <c r="I1405">
        <v>27261153</v>
      </c>
      <c r="J1405">
        <v>26775900</v>
      </c>
      <c r="K1405">
        <v>128952368</v>
      </c>
      <c r="L1405">
        <v>129237958</v>
      </c>
      <c r="M1405">
        <v>-33662510</v>
      </c>
      <c r="P1405">
        <v>310</v>
      </c>
      <c r="Q1405" t="s">
        <v>3120</v>
      </c>
    </row>
    <row r="1406" spans="1:17" x14ac:dyDescent="0.3">
      <c r="A1406" t="s">
        <v>59</v>
      </c>
      <c r="B1406" t="str">
        <f>"002845"</f>
        <v>002845</v>
      </c>
      <c r="C1406" t="s">
        <v>3121</v>
      </c>
      <c r="D1406" t="s">
        <v>139</v>
      </c>
      <c r="F1406">
        <v>936702371</v>
      </c>
      <c r="G1406">
        <v>76953356</v>
      </c>
      <c r="H1406">
        <v>393895669</v>
      </c>
      <c r="I1406">
        <v>416490441</v>
      </c>
      <c r="J1406">
        <v>66541386</v>
      </c>
      <c r="K1406">
        <v>-97112971</v>
      </c>
      <c r="L1406">
        <v>173991200</v>
      </c>
      <c r="M1406">
        <v>-54935751</v>
      </c>
      <c r="N1406">
        <v>64568419</v>
      </c>
      <c r="P1406">
        <v>222</v>
      </c>
      <c r="Q1406" t="s">
        <v>3122</v>
      </c>
    </row>
    <row r="1407" spans="1:17" x14ac:dyDescent="0.3">
      <c r="A1407" t="s">
        <v>17</v>
      </c>
      <c r="B1407" t="str">
        <f>"603871"</f>
        <v>603871</v>
      </c>
      <c r="C1407" t="s">
        <v>3123</v>
      </c>
      <c r="D1407" t="s">
        <v>677</v>
      </c>
      <c r="F1407">
        <v>-324809001</v>
      </c>
      <c r="G1407">
        <v>254166810</v>
      </c>
      <c r="H1407">
        <v>393477796</v>
      </c>
      <c r="I1407">
        <v>4289388</v>
      </c>
      <c r="J1407">
        <v>204756663</v>
      </c>
      <c r="K1407">
        <v>183435863</v>
      </c>
      <c r="L1407">
        <v>108991165</v>
      </c>
      <c r="M1407">
        <v>29681711</v>
      </c>
      <c r="P1407">
        <v>324</v>
      </c>
      <c r="Q1407" t="s">
        <v>3124</v>
      </c>
    </row>
    <row r="1408" spans="1:17" x14ac:dyDescent="0.3">
      <c r="A1408" t="s">
        <v>17</v>
      </c>
      <c r="B1408" t="str">
        <f>"600382"</f>
        <v>600382</v>
      </c>
      <c r="C1408" t="s">
        <v>3125</v>
      </c>
      <c r="D1408" t="s">
        <v>672</v>
      </c>
      <c r="F1408">
        <v>842366841</v>
      </c>
      <c r="G1408">
        <v>215390458</v>
      </c>
      <c r="H1408">
        <v>393405597</v>
      </c>
      <c r="I1408">
        <v>187302116</v>
      </c>
      <c r="J1408">
        <v>-632620834</v>
      </c>
      <c r="K1408">
        <v>-669823731</v>
      </c>
      <c r="L1408">
        <v>-1213421165</v>
      </c>
      <c r="M1408">
        <v>-395326301</v>
      </c>
      <c r="N1408">
        <v>-1191124</v>
      </c>
      <c r="O1408">
        <v>28579855</v>
      </c>
      <c r="P1408">
        <v>156</v>
      </c>
      <c r="Q1408" t="s">
        <v>3126</v>
      </c>
    </row>
    <row r="1409" spans="1:17" x14ac:dyDescent="0.3">
      <c r="A1409" t="s">
        <v>59</v>
      </c>
      <c r="B1409" t="str">
        <f>"000639"</f>
        <v>000639</v>
      </c>
      <c r="C1409" t="s">
        <v>3127</v>
      </c>
      <c r="D1409" t="s">
        <v>229</v>
      </c>
      <c r="F1409">
        <v>-176471602</v>
      </c>
      <c r="G1409">
        <v>702648968</v>
      </c>
      <c r="H1409">
        <v>393179863</v>
      </c>
      <c r="I1409">
        <v>1192994535</v>
      </c>
      <c r="J1409">
        <v>389651294</v>
      </c>
      <c r="K1409">
        <v>-147906282</v>
      </c>
      <c r="L1409">
        <v>136372441</v>
      </c>
      <c r="M1409">
        <v>196267996</v>
      </c>
      <c r="N1409">
        <v>326062204</v>
      </c>
      <c r="O1409">
        <v>379297498</v>
      </c>
      <c r="P1409">
        <v>328</v>
      </c>
      <c r="Q1409" t="s">
        <v>3128</v>
      </c>
    </row>
    <row r="1410" spans="1:17" x14ac:dyDescent="0.3">
      <c r="A1410" t="s">
        <v>59</v>
      </c>
      <c r="B1410" t="str">
        <f>"300709"</f>
        <v>300709</v>
      </c>
      <c r="C1410" t="s">
        <v>3129</v>
      </c>
      <c r="D1410" t="s">
        <v>349</v>
      </c>
      <c r="F1410">
        <v>187713609</v>
      </c>
      <c r="G1410">
        <v>-21109136</v>
      </c>
      <c r="H1410">
        <v>392150345</v>
      </c>
      <c r="I1410">
        <v>82404698</v>
      </c>
      <c r="J1410">
        <v>130126006</v>
      </c>
      <c r="K1410">
        <v>172732830</v>
      </c>
      <c r="L1410">
        <v>90531147</v>
      </c>
      <c r="M1410">
        <v>21519097</v>
      </c>
      <c r="P1410">
        <v>220</v>
      </c>
      <c r="Q1410" t="s">
        <v>3130</v>
      </c>
    </row>
    <row r="1411" spans="1:17" x14ac:dyDescent="0.3">
      <c r="A1411" t="s">
        <v>17</v>
      </c>
      <c r="B1411" t="str">
        <f>"603776"</f>
        <v>603776</v>
      </c>
      <c r="C1411" t="s">
        <v>3131</v>
      </c>
      <c r="D1411" t="s">
        <v>1639</v>
      </c>
      <c r="F1411">
        <v>157025836</v>
      </c>
      <c r="G1411">
        <v>352165839</v>
      </c>
      <c r="H1411">
        <v>392136581</v>
      </c>
      <c r="I1411">
        <v>296879429</v>
      </c>
      <c r="J1411">
        <v>341629384</v>
      </c>
      <c r="K1411">
        <v>203808909</v>
      </c>
      <c r="L1411">
        <v>209287770</v>
      </c>
      <c r="M1411">
        <v>207638980</v>
      </c>
      <c r="P1411">
        <v>189</v>
      </c>
      <c r="Q1411" t="s">
        <v>3132</v>
      </c>
    </row>
    <row r="1412" spans="1:17" x14ac:dyDescent="0.3">
      <c r="A1412" t="s">
        <v>59</v>
      </c>
      <c r="B1412" t="str">
        <f>"002216"</f>
        <v>002216</v>
      </c>
      <c r="C1412" t="s">
        <v>3133</v>
      </c>
      <c r="D1412" t="s">
        <v>2504</v>
      </c>
      <c r="F1412">
        <v>962653297</v>
      </c>
      <c r="G1412">
        <v>1267488352</v>
      </c>
      <c r="H1412">
        <v>391390358</v>
      </c>
      <c r="I1412">
        <v>489112667</v>
      </c>
      <c r="J1412">
        <v>351169217</v>
      </c>
      <c r="K1412">
        <v>336595750</v>
      </c>
      <c r="L1412">
        <v>52061258</v>
      </c>
      <c r="M1412">
        <v>142968002</v>
      </c>
      <c r="N1412">
        <v>161092542</v>
      </c>
      <c r="O1412">
        <v>302554323</v>
      </c>
      <c r="P1412">
        <v>1276</v>
      </c>
      <c r="Q1412" t="s">
        <v>3134</v>
      </c>
    </row>
    <row r="1413" spans="1:17" x14ac:dyDescent="0.3">
      <c r="A1413" t="s">
        <v>59</v>
      </c>
      <c r="B1413" t="str">
        <f>"000428"</f>
        <v>000428</v>
      </c>
      <c r="C1413" t="s">
        <v>3135</v>
      </c>
      <c r="D1413" t="s">
        <v>824</v>
      </c>
      <c r="F1413">
        <v>32806804</v>
      </c>
      <c r="G1413">
        <v>-61291572</v>
      </c>
      <c r="H1413">
        <v>391211420</v>
      </c>
      <c r="I1413">
        <v>137142824</v>
      </c>
      <c r="J1413">
        <v>186587000</v>
      </c>
      <c r="K1413">
        <v>102852055</v>
      </c>
      <c r="L1413">
        <v>183274574</v>
      </c>
      <c r="M1413">
        <v>115650697</v>
      </c>
      <c r="N1413">
        <v>214158491</v>
      </c>
      <c r="O1413">
        <v>402321315</v>
      </c>
      <c r="P1413">
        <v>104</v>
      </c>
      <c r="Q1413" t="s">
        <v>3136</v>
      </c>
    </row>
    <row r="1414" spans="1:17" x14ac:dyDescent="0.3">
      <c r="A1414" t="s">
        <v>59</v>
      </c>
      <c r="B1414" t="str">
        <f>"002228"</f>
        <v>002228</v>
      </c>
      <c r="C1414" t="s">
        <v>3137</v>
      </c>
      <c r="D1414" t="s">
        <v>1416</v>
      </c>
      <c r="F1414">
        <v>300069074</v>
      </c>
      <c r="G1414">
        <v>349534206</v>
      </c>
      <c r="H1414">
        <v>391068972</v>
      </c>
      <c r="I1414">
        <v>558051337</v>
      </c>
      <c r="J1414">
        <v>-228655576</v>
      </c>
      <c r="K1414">
        <v>348693844</v>
      </c>
      <c r="L1414">
        <v>160305342</v>
      </c>
      <c r="M1414">
        <v>319890373</v>
      </c>
      <c r="N1414">
        <v>124326587</v>
      </c>
      <c r="O1414">
        <v>55639463</v>
      </c>
      <c r="P1414">
        <v>290</v>
      </c>
      <c r="Q1414" t="s">
        <v>3138</v>
      </c>
    </row>
    <row r="1415" spans="1:17" x14ac:dyDescent="0.3">
      <c r="A1415" t="s">
        <v>59</v>
      </c>
      <c r="B1415" t="str">
        <f>"300317"</f>
        <v>300317</v>
      </c>
      <c r="C1415" t="s">
        <v>3139</v>
      </c>
      <c r="D1415" t="s">
        <v>1119</v>
      </c>
      <c r="F1415">
        <v>317680879</v>
      </c>
      <c r="G1415">
        <v>230463595</v>
      </c>
      <c r="H1415">
        <v>391020525</v>
      </c>
      <c r="I1415">
        <v>321773589</v>
      </c>
      <c r="J1415">
        <v>86200559</v>
      </c>
      <c r="K1415">
        <v>248877865</v>
      </c>
      <c r="L1415">
        <v>143022025</v>
      </c>
      <c r="M1415">
        <v>-38880060</v>
      </c>
      <c r="N1415">
        <v>30605332</v>
      </c>
      <c r="O1415">
        <v>-91518238</v>
      </c>
      <c r="P1415">
        <v>142</v>
      </c>
      <c r="Q1415" t="s">
        <v>3140</v>
      </c>
    </row>
    <row r="1416" spans="1:17" x14ac:dyDescent="0.3">
      <c r="A1416" t="s">
        <v>59</v>
      </c>
      <c r="B1416" t="str">
        <f>"300001"</f>
        <v>300001</v>
      </c>
      <c r="C1416" t="s">
        <v>3141</v>
      </c>
      <c r="D1416" t="s">
        <v>560</v>
      </c>
      <c r="F1416">
        <v>297125123</v>
      </c>
      <c r="G1416">
        <v>160070339</v>
      </c>
      <c r="H1416">
        <v>390043732</v>
      </c>
      <c r="I1416">
        <v>792038985</v>
      </c>
      <c r="J1416">
        <v>53856442</v>
      </c>
      <c r="K1416">
        <v>387408504</v>
      </c>
      <c r="L1416">
        <v>319001514</v>
      </c>
      <c r="M1416">
        <v>112513536</v>
      </c>
      <c r="N1416">
        <v>64238680</v>
      </c>
      <c r="O1416">
        <v>15333205</v>
      </c>
      <c r="P1416">
        <v>530</v>
      </c>
      <c r="Q1416" t="s">
        <v>3142</v>
      </c>
    </row>
    <row r="1417" spans="1:17" x14ac:dyDescent="0.3">
      <c r="A1417" t="s">
        <v>17</v>
      </c>
      <c r="B1417" t="str">
        <f>"603927"</f>
        <v>603927</v>
      </c>
      <c r="C1417" t="s">
        <v>3143</v>
      </c>
      <c r="D1417" t="s">
        <v>1528</v>
      </c>
      <c r="F1417">
        <v>341526880</v>
      </c>
      <c r="G1417">
        <v>745121810</v>
      </c>
      <c r="H1417">
        <v>389192578</v>
      </c>
      <c r="I1417">
        <v>566520834</v>
      </c>
      <c r="J1417">
        <v>251244110</v>
      </c>
      <c r="K1417">
        <v>410488755</v>
      </c>
      <c r="P1417">
        <v>821</v>
      </c>
      <c r="Q1417" t="s">
        <v>3144</v>
      </c>
    </row>
    <row r="1418" spans="1:17" x14ac:dyDescent="0.3">
      <c r="A1418" t="s">
        <v>17</v>
      </c>
      <c r="B1418" t="str">
        <f>"603995"</f>
        <v>603995</v>
      </c>
      <c r="C1418" t="s">
        <v>3145</v>
      </c>
      <c r="D1418" t="s">
        <v>330</v>
      </c>
      <c r="F1418">
        <v>825914624</v>
      </c>
      <c r="G1418">
        <v>762286151</v>
      </c>
      <c r="H1418">
        <v>388558496</v>
      </c>
      <c r="I1418">
        <v>815537110</v>
      </c>
      <c r="J1418">
        <v>499402192</v>
      </c>
      <c r="K1418">
        <v>189250541</v>
      </c>
      <c r="P1418">
        <v>128</v>
      </c>
      <c r="Q1418" t="s">
        <v>3146</v>
      </c>
    </row>
    <row r="1419" spans="1:17" x14ac:dyDescent="0.3">
      <c r="A1419" t="s">
        <v>59</v>
      </c>
      <c r="B1419" t="str">
        <f>"300708"</f>
        <v>300708</v>
      </c>
      <c r="C1419" t="s">
        <v>3147</v>
      </c>
      <c r="D1419" t="s">
        <v>772</v>
      </c>
      <c r="F1419">
        <v>465398314</v>
      </c>
      <c r="G1419">
        <v>232760752</v>
      </c>
      <c r="H1419">
        <v>387794663</v>
      </c>
      <c r="I1419">
        <v>354632384</v>
      </c>
      <c r="J1419">
        <v>128830109</v>
      </c>
      <c r="K1419">
        <v>125571547</v>
      </c>
      <c r="L1419">
        <v>17658801</v>
      </c>
      <c r="M1419">
        <v>74213174</v>
      </c>
      <c r="P1419">
        <v>164</v>
      </c>
      <c r="Q1419" t="s">
        <v>3148</v>
      </c>
    </row>
    <row r="1420" spans="1:17" x14ac:dyDescent="0.3">
      <c r="A1420" t="s">
        <v>59</v>
      </c>
      <c r="B1420" t="str">
        <f>"002526"</f>
        <v>002526</v>
      </c>
      <c r="C1420" t="s">
        <v>3149</v>
      </c>
      <c r="D1420" t="s">
        <v>741</v>
      </c>
      <c r="F1420">
        <v>32840457</v>
      </c>
      <c r="G1420">
        <v>386481957</v>
      </c>
      <c r="H1420">
        <v>387666631</v>
      </c>
      <c r="I1420">
        <v>189654401</v>
      </c>
      <c r="J1420">
        <v>156483966</v>
      </c>
      <c r="K1420">
        <v>139077067</v>
      </c>
      <c r="L1420">
        <v>100238445</v>
      </c>
      <c r="M1420">
        <v>-13762240</v>
      </c>
      <c r="N1420">
        <v>-56949711</v>
      </c>
      <c r="O1420">
        <v>37001340</v>
      </c>
      <c r="P1420">
        <v>103</v>
      </c>
      <c r="Q1420" t="s">
        <v>3150</v>
      </c>
    </row>
    <row r="1421" spans="1:17" x14ac:dyDescent="0.3">
      <c r="A1421" t="s">
        <v>59</v>
      </c>
      <c r="B1421" t="str">
        <f>"002425"</f>
        <v>002425</v>
      </c>
      <c r="C1421" t="s">
        <v>3151</v>
      </c>
      <c r="D1421" t="s">
        <v>689</v>
      </c>
      <c r="F1421">
        <v>300931960</v>
      </c>
      <c r="G1421">
        <v>348474804</v>
      </c>
      <c r="H1421">
        <v>387288734</v>
      </c>
      <c r="I1421">
        <v>137259288</v>
      </c>
      <c r="J1421">
        <v>199384045</v>
      </c>
      <c r="K1421">
        <v>350892342</v>
      </c>
      <c r="L1421">
        <v>61851814</v>
      </c>
      <c r="M1421">
        <v>81100449</v>
      </c>
      <c r="N1421">
        <v>97409369</v>
      </c>
      <c r="O1421">
        <v>22181144</v>
      </c>
      <c r="P1421">
        <v>257</v>
      </c>
      <c r="Q1421" t="s">
        <v>3152</v>
      </c>
    </row>
    <row r="1422" spans="1:17" x14ac:dyDescent="0.3">
      <c r="A1422" t="s">
        <v>17</v>
      </c>
      <c r="B1422" t="str">
        <f>"600117"</f>
        <v>600117</v>
      </c>
      <c r="C1422" t="s">
        <v>3153</v>
      </c>
      <c r="D1422" t="s">
        <v>330</v>
      </c>
      <c r="F1422">
        <v>1406273575</v>
      </c>
      <c r="G1422">
        <v>920048157</v>
      </c>
      <c r="H1422">
        <v>386633262</v>
      </c>
      <c r="I1422">
        <v>-236001495</v>
      </c>
      <c r="J1422">
        <v>416023212</v>
      </c>
      <c r="K1422">
        <v>-1856562068</v>
      </c>
      <c r="L1422">
        <v>-1195867945</v>
      </c>
      <c r="M1422">
        <v>-105339885</v>
      </c>
      <c r="N1422">
        <v>-184121604</v>
      </c>
      <c r="O1422">
        <v>-177460736</v>
      </c>
      <c r="P1422">
        <v>116</v>
      </c>
      <c r="Q1422" t="s">
        <v>3154</v>
      </c>
    </row>
    <row r="1423" spans="1:17" x14ac:dyDescent="0.3">
      <c r="A1423" t="s">
        <v>59</v>
      </c>
      <c r="B1423" t="str">
        <f>"300107"</f>
        <v>300107</v>
      </c>
      <c r="C1423" t="s">
        <v>3155</v>
      </c>
      <c r="D1423" t="s">
        <v>372</v>
      </c>
      <c r="F1423">
        <v>191719039</v>
      </c>
      <c r="G1423">
        <v>280205961</v>
      </c>
      <c r="H1423">
        <v>385097160</v>
      </c>
      <c r="I1423">
        <v>301907378</v>
      </c>
      <c r="J1423">
        <v>89863451</v>
      </c>
      <c r="K1423">
        <v>118036744</v>
      </c>
      <c r="L1423">
        <v>61867252</v>
      </c>
      <c r="M1423">
        <v>105069239</v>
      </c>
      <c r="N1423">
        <v>53424003</v>
      </c>
      <c r="O1423">
        <v>9997479</v>
      </c>
      <c r="P1423">
        <v>239</v>
      </c>
      <c r="Q1423" t="s">
        <v>3156</v>
      </c>
    </row>
    <row r="1424" spans="1:17" x14ac:dyDescent="0.3">
      <c r="A1424" t="s">
        <v>59</v>
      </c>
      <c r="B1424" t="str">
        <f>"000811"</f>
        <v>000811</v>
      </c>
      <c r="C1424" t="s">
        <v>3157</v>
      </c>
      <c r="D1424" t="s">
        <v>3158</v>
      </c>
      <c r="F1424">
        <v>460059669</v>
      </c>
      <c r="G1424">
        <v>529000354</v>
      </c>
      <c r="H1424">
        <v>384114482</v>
      </c>
      <c r="I1424">
        <v>313048893</v>
      </c>
      <c r="J1424">
        <v>76271294</v>
      </c>
      <c r="K1424">
        <v>264014945</v>
      </c>
      <c r="L1424">
        <v>289575343</v>
      </c>
      <c r="M1424">
        <v>171200132</v>
      </c>
      <c r="N1424">
        <v>81544669</v>
      </c>
      <c r="O1424">
        <v>150015947</v>
      </c>
      <c r="P1424">
        <v>224</v>
      </c>
      <c r="Q1424" t="s">
        <v>3159</v>
      </c>
    </row>
    <row r="1425" spans="1:17" x14ac:dyDescent="0.3">
      <c r="A1425" t="s">
        <v>59</v>
      </c>
      <c r="B1425" t="str">
        <f>"002069"</f>
        <v>002069</v>
      </c>
      <c r="C1425" t="s">
        <v>3160</v>
      </c>
      <c r="D1425" t="s">
        <v>2932</v>
      </c>
      <c r="F1425">
        <v>118477447</v>
      </c>
      <c r="G1425">
        <v>210851293</v>
      </c>
      <c r="H1425">
        <v>383920415</v>
      </c>
      <c r="I1425">
        <v>291428285</v>
      </c>
      <c r="J1425">
        <v>136477879</v>
      </c>
      <c r="K1425">
        <v>307584225</v>
      </c>
      <c r="L1425">
        <v>317707086</v>
      </c>
      <c r="M1425">
        <v>48192989</v>
      </c>
      <c r="N1425">
        <v>190811899</v>
      </c>
      <c r="O1425">
        <v>378450877</v>
      </c>
      <c r="P1425">
        <v>406</v>
      </c>
      <c r="Q1425" t="s">
        <v>3161</v>
      </c>
    </row>
    <row r="1426" spans="1:17" x14ac:dyDescent="0.3">
      <c r="A1426" t="s">
        <v>59</v>
      </c>
      <c r="B1426" t="str">
        <f>"300119"</f>
        <v>300119</v>
      </c>
      <c r="C1426" t="s">
        <v>3162</v>
      </c>
      <c r="D1426" t="s">
        <v>3061</v>
      </c>
      <c r="F1426">
        <v>382628909</v>
      </c>
      <c r="G1426">
        <v>388439471</v>
      </c>
      <c r="H1426">
        <v>383608950</v>
      </c>
      <c r="I1426">
        <v>174881770</v>
      </c>
      <c r="J1426">
        <v>107573523</v>
      </c>
      <c r="K1426">
        <v>207668427</v>
      </c>
      <c r="L1426">
        <v>225265709</v>
      </c>
      <c r="M1426">
        <v>128370937</v>
      </c>
      <c r="N1426">
        <v>88684157</v>
      </c>
      <c r="O1426">
        <v>89918332</v>
      </c>
      <c r="P1426">
        <v>388</v>
      </c>
      <c r="Q1426" t="s">
        <v>3163</v>
      </c>
    </row>
    <row r="1427" spans="1:17" x14ac:dyDescent="0.3">
      <c r="A1427" t="s">
        <v>59</v>
      </c>
      <c r="B1427" t="str">
        <f>"300866"</f>
        <v>300866</v>
      </c>
      <c r="C1427" t="s">
        <v>3164</v>
      </c>
      <c r="D1427" t="s">
        <v>563</v>
      </c>
      <c r="F1427">
        <v>449042614</v>
      </c>
      <c r="G1427">
        <v>187801106</v>
      </c>
      <c r="H1427">
        <v>383415813</v>
      </c>
      <c r="I1427">
        <v>347871458</v>
      </c>
      <c r="J1427">
        <v>97230866</v>
      </c>
      <c r="K1427">
        <v>221425206</v>
      </c>
      <c r="P1427">
        <v>311</v>
      </c>
      <c r="Q1427" t="s">
        <v>3165</v>
      </c>
    </row>
    <row r="1428" spans="1:17" x14ac:dyDescent="0.3">
      <c r="A1428" t="s">
        <v>17</v>
      </c>
      <c r="B1428" t="str">
        <f>"605358"</f>
        <v>605358</v>
      </c>
      <c r="C1428" t="s">
        <v>3166</v>
      </c>
      <c r="D1428" t="s">
        <v>874</v>
      </c>
      <c r="F1428">
        <v>437528596</v>
      </c>
      <c r="G1428">
        <v>309973402</v>
      </c>
      <c r="H1428">
        <v>383330123</v>
      </c>
      <c r="I1428">
        <v>373643787</v>
      </c>
      <c r="J1428">
        <v>94961517</v>
      </c>
      <c r="P1428">
        <v>289</v>
      </c>
      <c r="Q1428" t="s">
        <v>3167</v>
      </c>
    </row>
    <row r="1429" spans="1:17" x14ac:dyDescent="0.3">
      <c r="A1429" t="s">
        <v>59</v>
      </c>
      <c r="B1429" t="str">
        <f>"000045"</f>
        <v>000045</v>
      </c>
      <c r="C1429" t="s">
        <v>3168</v>
      </c>
      <c r="D1429" t="s">
        <v>139</v>
      </c>
      <c r="F1429">
        <v>-4436980</v>
      </c>
      <c r="G1429">
        <v>1930933</v>
      </c>
      <c r="H1429">
        <v>383145789</v>
      </c>
      <c r="I1429">
        <v>-460494321</v>
      </c>
      <c r="J1429">
        <v>-28518702</v>
      </c>
      <c r="K1429">
        <v>-55264466</v>
      </c>
      <c r="L1429">
        <v>39584500</v>
      </c>
      <c r="M1429">
        <v>-48701494</v>
      </c>
      <c r="N1429">
        <v>-186726206</v>
      </c>
      <c r="O1429">
        <v>-155151562</v>
      </c>
      <c r="P1429">
        <v>86</v>
      </c>
      <c r="Q1429" t="s">
        <v>3169</v>
      </c>
    </row>
    <row r="1430" spans="1:17" x14ac:dyDescent="0.3">
      <c r="A1430" t="s">
        <v>17</v>
      </c>
      <c r="B1430" t="str">
        <f>"600982"</f>
        <v>600982</v>
      </c>
      <c r="C1430" t="s">
        <v>3170</v>
      </c>
      <c r="D1430" t="s">
        <v>1238</v>
      </c>
      <c r="F1430">
        <v>93634285</v>
      </c>
      <c r="G1430">
        <v>363631248</v>
      </c>
      <c r="H1430">
        <v>382975012</v>
      </c>
      <c r="I1430">
        <v>17919925</v>
      </c>
      <c r="J1430">
        <v>186632442</v>
      </c>
      <c r="K1430">
        <v>-63753938</v>
      </c>
      <c r="L1430">
        <v>140563813</v>
      </c>
      <c r="M1430">
        <v>19806934</v>
      </c>
      <c r="N1430">
        <v>196707385</v>
      </c>
      <c r="O1430">
        <v>79365977</v>
      </c>
      <c r="P1430">
        <v>135</v>
      </c>
      <c r="Q1430" t="s">
        <v>3171</v>
      </c>
    </row>
    <row r="1431" spans="1:17" x14ac:dyDescent="0.3">
      <c r="A1431" t="s">
        <v>17</v>
      </c>
      <c r="B1431" t="str">
        <f>"600131"</f>
        <v>600131</v>
      </c>
      <c r="C1431" t="s">
        <v>3172</v>
      </c>
      <c r="D1431" t="s">
        <v>1189</v>
      </c>
      <c r="F1431">
        <v>618847936</v>
      </c>
      <c r="G1431">
        <v>500493985</v>
      </c>
      <c r="H1431">
        <v>382911224</v>
      </c>
      <c r="I1431">
        <v>263719811</v>
      </c>
      <c r="J1431">
        <v>153138110</v>
      </c>
      <c r="K1431">
        <v>223910828</v>
      </c>
      <c r="L1431">
        <v>153909731</v>
      </c>
      <c r="M1431">
        <v>173432453</v>
      </c>
      <c r="N1431">
        <v>153985046</v>
      </c>
      <c r="O1431">
        <v>195363207</v>
      </c>
      <c r="P1431">
        <v>209</v>
      </c>
      <c r="Q1431" t="s">
        <v>3173</v>
      </c>
    </row>
    <row r="1432" spans="1:17" x14ac:dyDescent="0.3">
      <c r="A1432" t="s">
        <v>59</v>
      </c>
      <c r="B1432" t="str">
        <f>"002326"</f>
        <v>002326</v>
      </c>
      <c r="C1432" t="s">
        <v>3174</v>
      </c>
      <c r="D1432" t="s">
        <v>1095</v>
      </c>
      <c r="F1432">
        <v>576003356</v>
      </c>
      <c r="G1432">
        <v>345147877</v>
      </c>
      <c r="H1432">
        <v>382071954</v>
      </c>
      <c r="I1432">
        <v>719671411</v>
      </c>
      <c r="J1432">
        <v>19570676</v>
      </c>
      <c r="K1432">
        <v>84232460</v>
      </c>
      <c r="L1432">
        <v>66258151</v>
      </c>
      <c r="M1432">
        <v>166637110</v>
      </c>
      <c r="N1432">
        <v>22253631</v>
      </c>
      <c r="O1432">
        <v>99803863</v>
      </c>
      <c r="P1432">
        <v>298</v>
      </c>
      <c r="Q1432" t="s">
        <v>3175</v>
      </c>
    </row>
    <row r="1433" spans="1:17" x14ac:dyDescent="0.3">
      <c r="A1433" t="s">
        <v>59</v>
      </c>
      <c r="B1433" t="str">
        <f>"000799"</f>
        <v>000799</v>
      </c>
      <c r="C1433" t="s">
        <v>3176</v>
      </c>
      <c r="D1433" t="s">
        <v>67</v>
      </c>
      <c r="F1433">
        <v>1564671059</v>
      </c>
      <c r="G1433">
        <v>950153032</v>
      </c>
      <c r="H1433">
        <v>381909590</v>
      </c>
      <c r="I1433">
        <v>212256717</v>
      </c>
      <c r="J1433">
        <v>225121908</v>
      </c>
      <c r="K1433">
        <v>219307865</v>
      </c>
      <c r="L1433">
        <v>230665056</v>
      </c>
      <c r="M1433">
        <v>-65653630</v>
      </c>
      <c r="N1433">
        <v>-468045018</v>
      </c>
      <c r="O1433">
        <v>217929901</v>
      </c>
      <c r="P1433">
        <v>1661</v>
      </c>
      <c r="Q1433" t="s">
        <v>3177</v>
      </c>
    </row>
    <row r="1434" spans="1:17" x14ac:dyDescent="0.3">
      <c r="A1434" t="s">
        <v>17</v>
      </c>
      <c r="B1434" t="str">
        <f>"600559"</f>
        <v>600559</v>
      </c>
      <c r="C1434" t="s">
        <v>3178</v>
      </c>
      <c r="D1434" t="s">
        <v>67</v>
      </c>
      <c r="F1434">
        <v>1126257403</v>
      </c>
      <c r="G1434">
        <v>550430836</v>
      </c>
      <c r="H1434">
        <v>381909400</v>
      </c>
      <c r="I1434">
        <v>448554717</v>
      </c>
      <c r="J1434">
        <v>-154534402</v>
      </c>
      <c r="K1434">
        <v>797119797</v>
      </c>
      <c r="L1434">
        <v>335746543</v>
      </c>
      <c r="M1434">
        <v>8913019</v>
      </c>
      <c r="N1434">
        <v>-14687579</v>
      </c>
      <c r="O1434">
        <v>-42350612</v>
      </c>
      <c r="P1434">
        <v>881</v>
      </c>
      <c r="Q1434" t="s">
        <v>3179</v>
      </c>
    </row>
    <row r="1435" spans="1:17" x14ac:dyDescent="0.3">
      <c r="A1435" t="s">
        <v>59</v>
      </c>
      <c r="B1435" t="str">
        <f>"300918"</f>
        <v>300918</v>
      </c>
      <c r="C1435" t="s">
        <v>3180</v>
      </c>
      <c r="D1435" t="s">
        <v>3101</v>
      </c>
      <c r="F1435">
        <v>251730586</v>
      </c>
      <c r="G1435">
        <v>369914482</v>
      </c>
      <c r="H1435">
        <v>381758317</v>
      </c>
      <c r="I1435">
        <v>194356845</v>
      </c>
      <c r="J1435">
        <v>14058996</v>
      </c>
      <c r="K1435">
        <v>17171192</v>
      </c>
      <c r="P1435">
        <v>38</v>
      </c>
      <c r="Q1435" t="s">
        <v>3181</v>
      </c>
    </row>
    <row r="1436" spans="1:17" x14ac:dyDescent="0.3">
      <c r="A1436" t="s">
        <v>17</v>
      </c>
      <c r="B1436" t="str">
        <f>"600101"</f>
        <v>600101</v>
      </c>
      <c r="C1436" t="s">
        <v>3182</v>
      </c>
      <c r="D1436" t="s">
        <v>682</v>
      </c>
      <c r="F1436">
        <v>217318618</v>
      </c>
      <c r="G1436">
        <v>165258082</v>
      </c>
      <c r="H1436">
        <v>381644444</v>
      </c>
      <c r="I1436">
        <v>79541703</v>
      </c>
      <c r="J1436">
        <v>306567445</v>
      </c>
      <c r="K1436">
        <v>168606417</v>
      </c>
      <c r="L1436">
        <v>206029133</v>
      </c>
      <c r="M1436">
        <v>182142170</v>
      </c>
      <c r="N1436">
        <v>160517515</v>
      </c>
      <c r="O1436">
        <v>198687049</v>
      </c>
      <c r="P1436">
        <v>123</v>
      </c>
      <c r="Q1436" t="s">
        <v>3183</v>
      </c>
    </row>
    <row r="1437" spans="1:17" x14ac:dyDescent="0.3">
      <c r="A1437" t="s">
        <v>17</v>
      </c>
      <c r="B1437" t="str">
        <f>"603897"</f>
        <v>603897</v>
      </c>
      <c r="C1437" t="s">
        <v>3184</v>
      </c>
      <c r="D1437" t="s">
        <v>1065</v>
      </c>
      <c r="F1437">
        <v>-359476985</v>
      </c>
      <c r="G1437">
        <v>249374384</v>
      </c>
      <c r="H1437">
        <v>380865194</v>
      </c>
      <c r="I1437">
        <v>-370952440</v>
      </c>
      <c r="J1437">
        <v>70664711</v>
      </c>
      <c r="K1437">
        <v>52452574</v>
      </c>
      <c r="L1437">
        <v>358977709</v>
      </c>
      <c r="P1437">
        <v>137</v>
      </c>
      <c r="Q1437" t="s">
        <v>3185</v>
      </c>
    </row>
    <row r="1438" spans="1:17" x14ac:dyDescent="0.3">
      <c r="A1438" t="s">
        <v>17</v>
      </c>
      <c r="B1438" t="str">
        <f>"605117"</f>
        <v>605117</v>
      </c>
      <c r="C1438" t="s">
        <v>3186</v>
      </c>
      <c r="D1438" t="s">
        <v>1087</v>
      </c>
      <c r="F1438">
        <v>796608179</v>
      </c>
      <c r="G1438">
        <v>453676565</v>
      </c>
      <c r="H1438">
        <v>380755872</v>
      </c>
      <c r="I1438">
        <v>166209530</v>
      </c>
      <c r="J1438">
        <v>76826195</v>
      </c>
      <c r="P1438">
        <v>141</v>
      </c>
      <c r="Q1438" t="s">
        <v>3187</v>
      </c>
    </row>
    <row r="1439" spans="1:17" x14ac:dyDescent="0.3">
      <c r="A1439" t="s">
        <v>59</v>
      </c>
      <c r="B1439" t="str">
        <f>"002661"</f>
        <v>002661</v>
      </c>
      <c r="C1439" t="s">
        <v>3188</v>
      </c>
      <c r="D1439" t="s">
        <v>623</v>
      </c>
      <c r="F1439">
        <v>354097563</v>
      </c>
      <c r="G1439">
        <v>410895890</v>
      </c>
      <c r="H1439">
        <v>380738266</v>
      </c>
      <c r="I1439">
        <v>223198666</v>
      </c>
      <c r="J1439">
        <v>-26373973</v>
      </c>
      <c r="K1439">
        <v>27168565</v>
      </c>
      <c r="L1439">
        <v>142106432</v>
      </c>
      <c r="M1439">
        <v>61327375</v>
      </c>
      <c r="N1439">
        <v>57994294</v>
      </c>
      <c r="O1439">
        <v>108910890</v>
      </c>
      <c r="P1439">
        <v>511</v>
      </c>
      <c r="Q1439" t="s">
        <v>3189</v>
      </c>
    </row>
    <row r="1440" spans="1:17" x14ac:dyDescent="0.3">
      <c r="A1440" t="s">
        <v>59</v>
      </c>
      <c r="B1440" t="str">
        <f>"301219"</f>
        <v>301219</v>
      </c>
      <c r="C1440" t="s">
        <v>3190</v>
      </c>
      <c r="F1440">
        <v>338990816</v>
      </c>
      <c r="G1440">
        <v>-48727759</v>
      </c>
      <c r="H1440">
        <v>380066709</v>
      </c>
      <c r="I1440">
        <v>743426</v>
      </c>
      <c r="J1440">
        <v>7964485</v>
      </c>
      <c r="P1440">
        <v>8</v>
      </c>
      <c r="Q1440" t="s">
        <v>3191</v>
      </c>
    </row>
    <row r="1441" spans="1:17" x14ac:dyDescent="0.3">
      <c r="A1441" t="s">
        <v>17</v>
      </c>
      <c r="B1441" t="str">
        <f>"603613"</f>
        <v>603613</v>
      </c>
      <c r="C1441" t="s">
        <v>3192</v>
      </c>
      <c r="D1441" t="s">
        <v>3193</v>
      </c>
      <c r="F1441">
        <v>271224641</v>
      </c>
      <c r="G1441">
        <v>776737609</v>
      </c>
      <c r="H1441">
        <v>379722775</v>
      </c>
      <c r="I1441">
        <v>77304674</v>
      </c>
      <c r="J1441">
        <v>-87948795</v>
      </c>
      <c r="K1441">
        <v>-67506309</v>
      </c>
      <c r="P1441">
        <v>827</v>
      </c>
      <c r="Q1441" t="s">
        <v>3194</v>
      </c>
    </row>
    <row r="1442" spans="1:17" x14ac:dyDescent="0.3">
      <c r="A1442" t="s">
        <v>59</v>
      </c>
      <c r="B1442" t="str">
        <f>"000623"</f>
        <v>000623</v>
      </c>
      <c r="C1442" t="s">
        <v>3195</v>
      </c>
      <c r="D1442" t="s">
        <v>592</v>
      </c>
      <c r="F1442">
        <v>324846060</v>
      </c>
      <c r="G1442">
        <v>390408760</v>
      </c>
      <c r="H1442">
        <v>379456902</v>
      </c>
      <c r="I1442">
        <v>347635222</v>
      </c>
      <c r="J1442">
        <v>256485970</v>
      </c>
      <c r="K1442">
        <v>333812958</v>
      </c>
      <c r="L1442">
        <v>388032365</v>
      </c>
      <c r="M1442">
        <v>288827751</v>
      </c>
      <c r="N1442">
        <v>201217820</v>
      </c>
      <c r="O1442">
        <v>272401616</v>
      </c>
      <c r="P1442">
        <v>671</v>
      </c>
      <c r="Q1442" t="s">
        <v>3196</v>
      </c>
    </row>
    <row r="1443" spans="1:17" x14ac:dyDescent="0.3">
      <c r="A1443" t="s">
        <v>59</v>
      </c>
      <c r="B1443" t="str">
        <f>"300196"</f>
        <v>300196</v>
      </c>
      <c r="C1443" t="s">
        <v>3197</v>
      </c>
      <c r="D1443" t="s">
        <v>736</v>
      </c>
      <c r="F1443">
        <v>598002891</v>
      </c>
      <c r="G1443">
        <v>433361680</v>
      </c>
      <c r="H1443">
        <v>379119772</v>
      </c>
      <c r="I1443">
        <v>194512324</v>
      </c>
      <c r="J1443">
        <v>377712375</v>
      </c>
      <c r="K1443">
        <v>329253974</v>
      </c>
      <c r="L1443">
        <v>295429633</v>
      </c>
      <c r="M1443">
        <v>136624873</v>
      </c>
      <c r="N1443">
        <v>118708407</v>
      </c>
      <c r="O1443">
        <v>172689075</v>
      </c>
      <c r="P1443">
        <v>232</v>
      </c>
      <c r="Q1443" t="s">
        <v>3198</v>
      </c>
    </row>
    <row r="1444" spans="1:17" x14ac:dyDescent="0.3">
      <c r="A1444" t="s">
        <v>17</v>
      </c>
      <c r="B1444" t="str">
        <f>"600059"</f>
        <v>600059</v>
      </c>
      <c r="C1444" t="s">
        <v>3199</v>
      </c>
      <c r="D1444" t="s">
        <v>1964</v>
      </c>
      <c r="F1444">
        <v>196947592</v>
      </c>
      <c r="G1444">
        <v>157568513</v>
      </c>
      <c r="H1444">
        <v>378965798</v>
      </c>
      <c r="I1444">
        <v>290517785</v>
      </c>
      <c r="J1444">
        <v>320865741</v>
      </c>
      <c r="K1444">
        <v>217862332</v>
      </c>
      <c r="L1444">
        <v>56590995</v>
      </c>
      <c r="M1444">
        <v>-69556608</v>
      </c>
      <c r="N1444">
        <v>72690651</v>
      </c>
      <c r="O1444">
        <v>71841961</v>
      </c>
      <c r="P1444">
        <v>323</v>
      </c>
      <c r="Q1444" t="s">
        <v>3200</v>
      </c>
    </row>
    <row r="1445" spans="1:17" x14ac:dyDescent="0.3">
      <c r="A1445" t="s">
        <v>59</v>
      </c>
      <c r="B1445" t="str">
        <f>"002246"</f>
        <v>002246</v>
      </c>
      <c r="C1445" t="s">
        <v>3201</v>
      </c>
      <c r="D1445" t="s">
        <v>1986</v>
      </c>
      <c r="F1445">
        <v>234305462</v>
      </c>
      <c r="G1445">
        <v>421772730</v>
      </c>
      <c r="H1445">
        <v>378947315</v>
      </c>
      <c r="I1445">
        <v>133513389</v>
      </c>
      <c r="J1445">
        <v>205529732</v>
      </c>
      <c r="K1445">
        <v>13928425</v>
      </c>
      <c r="L1445">
        <v>84783692</v>
      </c>
      <c r="M1445">
        <v>157061161</v>
      </c>
      <c r="N1445">
        <v>511550</v>
      </c>
      <c r="O1445">
        <v>22717130</v>
      </c>
      <c r="P1445">
        <v>117</v>
      </c>
      <c r="Q1445" t="s">
        <v>3202</v>
      </c>
    </row>
    <row r="1446" spans="1:17" x14ac:dyDescent="0.3">
      <c r="A1446" t="s">
        <v>17</v>
      </c>
      <c r="B1446" t="str">
        <f>"900934"</f>
        <v>900934</v>
      </c>
      <c r="C1446" t="s">
        <v>3203</v>
      </c>
      <c r="G1446">
        <v>23186688.283799998</v>
      </c>
      <c r="H1446">
        <v>378805039.01639998</v>
      </c>
      <c r="I1446">
        <v>511111688.9964</v>
      </c>
      <c r="J1446">
        <v>499474142.36159998</v>
      </c>
      <c r="K1446">
        <v>328604655.31199998</v>
      </c>
      <c r="L1446">
        <v>173136234.502</v>
      </c>
      <c r="M1446">
        <v>90147820.224800006</v>
      </c>
      <c r="N1446">
        <v>105585532.18080001</v>
      </c>
      <c r="O1446">
        <v>89184157.867500007</v>
      </c>
      <c r="P1446">
        <v>47</v>
      </c>
      <c r="Q1446" t="s">
        <v>3204</v>
      </c>
    </row>
    <row r="1447" spans="1:17" x14ac:dyDescent="0.3">
      <c r="A1447" t="s">
        <v>59</v>
      </c>
      <c r="B1447" t="str">
        <f>"300031"</f>
        <v>300031</v>
      </c>
      <c r="C1447" t="s">
        <v>3205</v>
      </c>
      <c r="D1447" t="s">
        <v>689</v>
      </c>
      <c r="F1447">
        <v>152358093</v>
      </c>
      <c r="G1447">
        <v>277767133</v>
      </c>
      <c r="H1447">
        <v>378539425</v>
      </c>
      <c r="I1447">
        <v>181166934</v>
      </c>
      <c r="J1447">
        <v>307635221</v>
      </c>
      <c r="K1447">
        <v>146328200</v>
      </c>
      <c r="L1447">
        <v>48094727</v>
      </c>
      <c r="M1447">
        <v>90466147</v>
      </c>
      <c r="N1447">
        <v>153363187</v>
      </c>
      <c r="O1447">
        <v>32190309</v>
      </c>
      <c r="P1447">
        <v>259</v>
      </c>
      <c r="Q1447" t="s">
        <v>3206</v>
      </c>
    </row>
    <row r="1448" spans="1:17" x14ac:dyDescent="0.3">
      <c r="A1448" t="s">
        <v>17</v>
      </c>
      <c r="B1448" t="str">
        <f>"603317"</f>
        <v>603317</v>
      </c>
      <c r="C1448" t="s">
        <v>3207</v>
      </c>
      <c r="D1448" t="s">
        <v>375</v>
      </c>
      <c r="F1448">
        <v>240353056</v>
      </c>
      <c r="G1448">
        <v>352789731</v>
      </c>
      <c r="H1448">
        <v>377957403</v>
      </c>
      <c r="I1448">
        <v>264939997</v>
      </c>
      <c r="J1448">
        <v>224660916</v>
      </c>
      <c r="K1448">
        <v>165269988</v>
      </c>
      <c r="P1448">
        <v>1436</v>
      </c>
      <c r="Q1448" t="s">
        <v>3208</v>
      </c>
    </row>
    <row r="1449" spans="1:17" x14ac:dyDescent="0.3">
      <c r="A1449" t="s">
        <v>17</v>
      </c>
      <c r="B1449" t="str">
        <f>"900923"</f>
        <v>900923</v>
      </c>
      <c r="C1449" t="s">
        <v>3209</v>
      </c>
      <c r="G1449">
        <v>680273293.54990005</v>
      </c>
      <c r="H1449">
        <v>376805011.10079998</v>
      </c>
      <c r="I1449">
        <v>261572885.15239999</v>
      </c>
      <c r="J1449">
        <v>327608009.93279999</v>
      </c>
      <c r="K1449">
        <v>242604091.296</v>
      </c>
      <c r="L1449">
        <v>246341540.83000001</v>
      </c>
      <c r="M1449">
        <v>327014143.98640001</v>
      </c>
      <c r="N1449">
        <v>634932146.27079999</v>
      </c>
      <c r="O1449">
        <v>268235870.72549999</v>
      </c>
      <c r="P1449">
        <v>26</v>
      </c>
      <c r="Q1449" t="s">
        <v>3210</v>
      </c>
    </row>
    <row r="1450" spans="1:17" x14ac:dyDescent="0.3">
      <c r="A1450" t="s">
        <v>59</v>
      </c>
      <c r="B1450" t="str">
        <f>"002536"</f>
        <v>002536</v>
      </c>
      <c r="C1450" t="s">
        <v>3211</v>
      </c>
      <c r="D1450" t="s">
        <v>156</v>
      </c>
      <c r="F1450">
        <v>82738486</v>
      </c>
      <c r="G1450">
        <v>123425048</v>
      </c>
      <c r="H1450">
        <v>376632638</v>
      </c>
      <c r="I1450">
        <v>220056906</v>
      </c>
      <c r="J1450">
        <v>112647207</v>
      </c>
      <c r="K1450">
        <v>69643715</v>
      </c>
      <c r="L1450">
        <v>84108930</v>
      </c>
      <c r="M1450">
        <v>84002910</v>
      </c>
      <c r="N1450">
        <v>64090666</v>
      </c>
      <c r="O1450">
        <v>45584332</v>
      </c>
      <c r="P1450">
        <v>254</v>
      </c>
      <c r="Q1450" t="s">
        <v>3212</v>
      </c>
    </row>
    <row r="1451" spans="1:17" x14ac:dyDescent="0.3">
      <c r="A1451" t="s">
        <v>59</v>
      </c>
      <c r="B1451" t="str">
        <f>"002427"</f>
        <v>002427</v>
      </c>
      <c r="C1451" t="s">
        <v>3213</v>
      </c>
      <c r="D1451" t="s">
        <v>1116</v>
      </c>
      <c r="F1451">
        <v>12341305</v>
      </c>
      <c r="G1451">
        <v>215331600</v>
      </c>
      <c r="H1451">
        <v>375275852</v>
      </c>
      <c r="I1451">
        <v>-395624596</v>
      </c>
      <c r="J1451">
        <v>335687320</v>
      </c>
      <c r="K1451">
        <v>384622492</v>
      </c>
      <c r="L1451">
        <v>284658867</v>
      </c>
      <c r="M1451">
        <v>429414939</v>
      </c>
      <c r="N1451">
        <v>-213098719</v>
      </c>
      <c r="O1451">
        <v>-94704836</v>
      </c>
      <c r="P1451">
        <v>82</v>
      </c>
      <c r="Q1451" t="s">
        <v>3214</v>
      </c>
    </row>
    <row r="1452" spans="1:17" x14ac:dyDescent="0.3">
      <c r="A1452" t="s">
        <v>59</v>
      </c>
      <c r="B1452" t="str">
        <f>"002435"</f>
        <v>002435</v>
      </c>
      <c r="C1452" t="s">
        <v>3215</v>
      </c>
      <c r="D1452" t="s">
        <v>592</v>
      </c>
      <c r="F1452">
        <v>294312913</v>
      </c>
      <c r="G1452">
        <v>383327305</v>
      </c>
      <c r="H1452">
        <v>374607179</v>
      </c>
      <c r="I1452">
        <v>286938465</v>
      </c>
      <c r="J1452">
        <v>483064875</v>
      </c>
      <c r="K1452">
        <v>637941764</v>
      </c>
      <c r="L1452">
        <v>11051807</v>
      </c>
      <c r="M1452">
        <v>42024185</v>
      </c>
      <c r="N1452">
        <v>2234917</v>
      </c>
      <c r="O1452">
        <v>189119563</v>
      </c>
      <c r="P1452">
        <v>139</v>
      </c>
      <c r="Q1452" t="s">
        <v>3216</v>
      </c>
    </row>
    <row r="1453" spans="1:17" x14ac:dyDescent="0.3">
      <c r="A1453" t="s">
        <v>59</v>
      </c>
      <c r="B1453" t="str">
        <f>"002391"</f>
        <v>002391</v>
      </c>
      <c r="C1453" t="s">
        <v>3217</v>
      </c>
      <c r="D1453" t="s">
        <v>1356</v>
      </c>
      <c r="F1453">
        <v>428704958</v>
      </c>
      <c r="G1453">
        <v>347133348</v>
      </c>
      <c r="H1453">
        <v>374438901</v>
      </c>
      <c r="I1453">
        <v>608574447</v>
      </c>
      <c r="J1453">
        <v>515069727</v>
      </c>
      <c r="K1453">
        <v>194177456</v>
      </c>
      <c r="L1453">
        <v>182576373</v>
      </c>
      <c r="M1453">
        <v>225446946</v>
      </c>
      <c r="N1453">
        <v>205124974</v>
      </c>
      <c r="O1453">
        <v>164152784</v>
      </c>
      <c r="P1453">
        <v>192</v>
      </c>
      <c r="Q1453" t="s">
        <v>3218</v>
      </c>
    </row>
    <row r="1454" spans="1:17" x14ac:dyDescent="0.3">
      <c r="A1454" t="s">
        <v>59</v>
      </c>
      <c r="B1454" t="str">
        <f>"000667"</f>
        <v>000667</v>
      </c>
      <c r="C1454" t="s">
        <v>3219</v>
      </c>
      <c r="D1454" t="s">
        <v>61</v>
      </c>
      <c r="F1454">
        <v>1544692180</v>
      </c>
      <c r="G1454">
        <v>73810657</v>
      </c>
      <c r="H1454">
        <v>374255785</v>
      </c>
      <c r="I1454">
        <v>710123351</v>
      </c>
      <c r="J1454">
        <v>-1032628725</v>
      </c>
      <c r="K1454">
        <v>3069520834</v>
      </c>
      <c r="L1454">
        <v>478533803</v>
      </c>
      <c r="M1454">
        <v>872793126</v>
      </c>
      <c r="N1454">
        <v>-485638134</v>
      </c>
      <c r="O1454">
        <v>-1884601176</v>
      </c>
      <c r="P1454">
        <v>169</v>
      </c>
      <c r="Q1454" t="s">
        <v>3220</v>
      </c>
    </row>
    <row r="1455" spans="1:17" x14ac:dyDescent="0.3">
      <c r="A1455" t="s">
        <v>59</v>
      </c>
      <c r="B1455" t="str">
        <f>"000731"</f>
        <v>000731</v>
      </c>
      <c r="C1455" t="s">
        <v>3221</v>
      </c>
      <c r="D1455" t="s">
        <v>2751</v>
      </c>
      <c r="F1455">
        <v>677381416</v>
      </c>
      <c r="G1455">
        <v>317660336</v>
      </c>
      <c r="H1455">
        <v>373969067</v>
      </c>
      <c r="I1455">
        <v>444282626</v>
      </c>
      <c r="J1455">
        <v>553603359</v>
      </c>
      <c r="K1455">
        <v>302451644</v>
      </c>
      <c r="L1455">
        <v>312799405</v>
      </c>
      <c r="M1455">
        <v>-28897226</v>
      </c>
      <c r="N1455">
        <v>167158967</v>
      </c>
      <c r="O1455">
        <v>335507224</v>
      </c>
      <c r="P1455">
        <v>127</v>
      </c>
      <c r="Q1455" t="s">
        <v>3222</v>
      </c>
    </row>
    <row r="1456" spans="1:17" x14ac:dyDescent="0.3">
      <c r="A1456" t="s">
        <v>17</v>
      </c>
      <c r="B1456" t="str">
        <f>"603366"</f>
        <v>603366</v>
      </c>
      <c r="C1456" t="s">
        <v>3223</v>
      </c>
      <c r="D1456" t="s">
        <v>1993</v>
      </c>
      <c r="F1456">
        <v>139424921</v>
      </c>
      <c r="G1456">
        <v>429790397</v>
      </c>
      <c r="H1456">
        <v>373375262</v>
      </c>
      <c r="I1456">
        <v>-30880859</v>
      </c>
      <c r="J1456">
        <v>99483675</v>
      </c>
      <c r="K1456">
        <v>199623434</v>
      </c>
      <c r="L1456">
        <v>499205419</v>
      </c>
      <c r="M1456">
        <v>120728255</v>
      </c>
      <c r="N1456">
        <v>308614181</v>
      </c>
      <c r="O1456">
        <v>597017049</v>
      </c>
      <c r="P1456">
        <v>121</v>
      </c>
      <c r="Q1456" t="s">
        <v>3224</v>
      </c>
    </row>
    <row r="1457" spans="1:17" x14ac:dyDescent="0.3">
      <c r="A1457" t="s">
        <v>59</v>
      </c>
      <c r="B1457" t="str">
        <f>"300090"</f>
        <v>300090</v>
      </c>
      <c r="C1457" t="s">
        <v>3225</v>
      </c>
      <c r="H1457">
        <v>372947542</v>
      </c>
      <c r="I1457">
        <v>546986585</v>
      </c>
      <c r="J1457">
        <v>-2106885839</v>
      </c>
      <c r="K1457">
        <v>-1607654635</v>
      </c>
      <c r="L1457">
        <v>-250628440</v>
      </c>
      <c r="M1457">
        <v>192126168</v>
      </c>
      <c r="N1457">
        <v>19738385</v>
      </c>
      <c r="O1457">
        <v>10103036</v>
      </c>
      <c r="P1457">
        <v>72</v>
      </c>
      <c r="Q1457" t="s">
        <v>3226</v>
      </c>
    </row>
    <row r="1458" spans="1:17" x14ac:dyDescent="0.3">
      <c r="A1458" t="s">
        <v>59</v>
      </c>
      <c r="B1458" t="str">
        <f>"301211"</f>
        <v>301211</v>
      </c>
      <c r="C1458" t="s">
        <v>3227</v>
      </c>
      <c r="D1458" t="s">
        <v>984</v>
      </c>
      <c r="F1458">
        <v>123984034</v>
      </c>
      <c r="G1458">
        <v>121672189</v>
      </c>
      <c r="H1458">
        <v>372325180</v>
      </c>
      <c r="I1458">
        <v>76181007</v>
      </c>
      <c r="J1458">
        <v>-65437918</v>
      </c>
      <c r="P1458">
        <v>14</v>
      </c>
      <c r="Q1458" t="s">
        <v>3228</v>
      </c>
    </row>
    <row r="1459" spans="1:17" x14ac:dyDescent="0.3">
      <c r="A1459" t="s">
        <v>59</v>
      </c>
      <c r="B1459" t="str">
        <f>"300373"</f>
        <v>300373</v>
      </c>
      <c r="C1459" t="s">
        <v>3229</v>
      </c>
      <c r="D1459" t="s">
        <v>3230</v>
      </c>
      <c r="F1459">
        <v>715123347</v>
      </c>
      <c r="G1459">
        <v>493747833</v>
      </c>
      <c r="H1459">
        <v>372084480</v>
      </c>
      <c r="I1459">
        <v>211830087</v>
      </c>
      <c r="J1459">
        <v>245392028</v>
      </c>
      <c r="K1459">
        <v>253501313</v>
      </c>
      <c r="L1459">
        <v>84431067</v>
      </c>
      <c r="M1459">
        <v>85073178</v>
      </c>
      <c r="N1459">
        <v>81001721</v>
      </c>
      <c r="O1459">
        <v>62919932</v>
      </c>
      <c r="P1459">
        <v>4305</v>
      </c>
      <c r="Q1459" t="s">
        <v>3231</v>
      </c>
    </row>
    <row r="1460" spans="1:17" x14ac:dyDescent="0.3">
      <c r="A1460" t="s">
        <v>17</v>
      </c>
      <c r="B1460" t="str">
        <f>"603611"</f>
        <v>603611</v>
      </c>
      <c r="C1460" t="s">
        <v>3232</v>
      </c>
      <c r="D1460" t="s">
        <v>235</v>
      </c>
      <c r="F1460">
        <v>231827177</v>
      </c>
      <c r="G1460">
        <v>266706124</v>
      </c>
      <c r="H1460">
        <v>371397174</v>
      </c>
      <c r="I1460">
        <v>294397616</v>
      </c>
      <c r="J1460">
        <v>72090643</v>
      </c>
      <c r="K1460">
        <v>144822502</v>
      </c>
      <c r="L1460">
        <v>146465534</v>
      </c>
      <c r="M1460">
        <v>152603184</v>
      </c>
      <c r="N1460">
        <v>60690570</v>
      </c>
      <c r="O1460">
        <v>105672639</v>
      </c>
      <c r="P1460">
        <v>315</v>
      </c>
      <c r="Q1460" t="s">
        <v>3233</v>
      </c>
    </row>
    <row r="1461" spans="1:17" x14ac:dyDescent="0.3">
      <c r="A1461" t="s">
        <v>17</v>
      </c>
      <c r="B1461" t="str">
        <f>"603919"</f>
        <v>603919</v>
      </c>
      <c r="C1461" t="s">
        <v>3234</v>
      </c>
      <c r="D1461" t="s">
        <v>67</v>
      </c>
      <c r="F1461">
        <v>279264285</v>
      </c>
      <c r="G1461">
        <v>337143809</v>
      </c>
      <c r="H1461">
        <v>370864385</v>
      </c>
      <c r="I1461">
        <v>86195940</v>
      </c>
      <c r="J1461">
        <v>107052972</v>
      </c>
      <c r="K1461">
        <v>389579174</v>
      </c>
      <c r="L1461">
        <v>282164837</v>
      </c>
      <c r="M1461">
        <v>230856623</v>
      </c>
      <c r="N1461">
        <v>124656749</v>
      </c>
      <c r="P1461">
        <v>446</v>
      </c>
      <c r="Q1461" t="s">
        <v>3235</v>
      </c>
    </row>
    <row r="1462" spans="1:17" x14ac:dyDescent="0.3">
      <c r="A1462" t="s">
        <v>17</v>
      </c>
      <c r="B1462" t="str">
        <f>"600836"</f>
        <v>600836</v>
      </c>
      <c r="C1462" t="s">
        <v>3236</v>
      </c>
      <c r="D1462" t="s">
        <v>2995</v>
      </c>
      <c r="F1462">
        <v>189172480</v>
      </c>
      <c r="G1462">
        <v>234408166</v>
      </c>
      <c r="H1462">
        <v>369337732</v>
      </c>
      <c r="I1462">
        <v>131135306</v>
      </c>
      <c r="J1462">
        <v>178615595</v>
      </c>
      <c r="K1462">
        <v>358978041</v>
      </c>
      <c r="L1462">
        <v>-505023833</v>
      </c>
      <c r="M1462">
        <v>267160552</v>
      </c>
      <c r="N1462">
        <v>289559126</v>
      </c>
      <c r="O1462">
        <v>129381491</v>
      </c>
      <c r="P1462">
        <v>70</v>
      </c>
      <c r="Q1462" t="s">
        <v>3237</v>
      </c>
    </row>
    <row r="1463" spans="1:17" x14ac:dyDescent="0.3">
      <c r="A1463" t="s">
        <v>17</v>
      </c>
      <c r="B1463" t="str">
        <f>"603339"</f>
        <v>603339</v>
      </c>
      <c r="C1463" t="s">
        <v>3238</v>
      </c>
      <c r="D1463" t="s">
        <v>3158</v>
      </c>
      <c r="F1463">
        <v>-102279837</v>
      </c>
      <c r="G1463">
        <v>239250742</v>
      </c>
      <c r="H1463">
        <v>369100908</v>
      </c>
      <c r="I1463">
        <v>22934668</v>
      </c>
      <c r="J1463">
        <v>234116848</v>
      </c>
      <c r="K1463">
        <v>133953170</v>
      </c>
      <c r="L1463">
        <v>172371234</v>
      </c>
      <c r="M1463">
        <v>122281951</v>
      </c>
      <c r="N1463">
        <v>178079331</v>
      </c>
      <c r="P1463">
        <v>163</v>
      </c>
      <c r="Q1463" t="s">
        <v>3239</v>
      </c>
    </row>
    <row r="1464" spans="1:17" x14ac:dyDescent="0.3">
      <c r="A1464" t="s">
        <v>17</v>
      </c>
      <c r="B1464" t="str">
        <f>"603098"</f>
        <v>603098</v>
      </c>
      <c r="C1464" t="s">
        <v>3240</v>
      </c>
      <c r="D1464" t="s">
        <v>1903</v>
      </c>
      <c r="F1464">
        <v>32967977</v>
      </c>
      <c r="G1464">
        <v>55085911</v>
      </c>
      <c r="H1464">
        <v>368020655</v>
      </c>
      <c r="I1464">
        <v>31230192</v>
      </c>
      <c r="J1464">
        <v>-156381479</v>
      </c>
      <c r="K1464">
        <v>60430552</v>
      </c>
      <c r="L1464">
        <v>88594536</v>
      </c>
      <c r="M1464">
        <v>18684882</v>
      </c>
      <c r="N1464">
        <v>-6839261</v>
      </c>
      <c r="P1464">
        <v>158</v>
      </c>
      <c r="Q1464" t="s">
        <v>3241</v>
      </c>
    </row>
    <row r="1465" spans="1:17" x14ac:dyDescent="0.3">
      <c r="A1465" t="s">
        <v>17</v>
      </c>
      <c r="B1465" t="str">
        <f>"603759"</f>
        <v>603759</v>
      </c>
      <c r="C1465" t="s">
        <v>3242</v>
      </c>
      <c r="D1465" t="s">
        <v>669</v>
      </c>
      <c r="F1465">
        <v>364489444</v>
      </c>
      <c r="G1465">
        <v>315588630</v>
      </c>
      <c r="H1465">
        <v>367279333</v>
      </c>
      <c r="I1465">
        <v>228526675</v>
      </c>
      <c r="J1465">
        <v>201090828</v>
      </c>
      <c r="P1465">
        <v>48</v>
      </c>
      <c r="Q1465" t="s">
        <v>3243</v>
      </c>
    </row>
    <row r="1466" spans="1:17" x14ac:dyDescent="0.3">
      <c r="A1466" t="s">
        <v>59</v>
      </c>
      <c r="B1466" t="str">
        <f>"300401"</f>
        <v>300401</v>
      </c>
      <c r="C1466" t="s">
        <v>3244</v>
      </c>
      <c r="D1466" t="s">
        <v>984</v>
      </c>
      <c r="F1466">
        <v>504029922</v>
      </c>
      <c r="G1466">
        <v>416571982</v>
      </c>
      <c r="H1466">
        <v>366536248</v>
      </c>
      <c r="I1466">
        <v>252735039</v>
      </c>
      <c r="J1466">
        <v>146743897</v>
      </c>
      <c r="K1466">
        <v>49266349</v>
      </c>
      <c r="L1466">
        <v>42519382</v>
      </c>
      <c r="M1466">
        <v>-11928521</v>
      </c>
      <c r="N1466">
        <v>65130292</v>
      </c>
      <c r="O1466">
        <v>41950514</v>
      </c>
      <c r="P1466">
        <v>476</v>
      </c>
      <c r="Q1466" t="s">
        <v>3245</v>
      </c>
    </row>
    <row r="1467" spans="1:17" x14ac:dyDescent="0.3">
      <c r="A1467" t="s">
        <v>59</v>
      </c>
      <c r="B1467" t="str">
        <f>"000030"</f>
        <v>000030</v>
      </c>
      <c r="C1467" t="s">
        <v>3246</v>
      </c>
      <c r="D1467" t="s">
        <v>156</v>
      </c>
      <c r="F1467">
        <v>1808365076</v>
      </c>
      <c r="G1467">
        <v>596925999</v>
      </c>
      <c r="H1467">
        <v>366160422</v>
      </c>
      <c r="I1467">
        <v>342085551</v>
      </c>
      <c r="J1467">
        <v>462896928</v>
      </c>
      <c r="K1467">
        <v>600774203</v>
      </c>
      <c r="L1467">
        <v>333651082</v>
      </c>
      <c r="M1467">
        <v>359864277</v>
      </c>
      <c r="N1467">
        <v>-74906133</v>
      </c>
      <c r="O1467">
        <v>-2967576</v>
      </c>
      <c r="P1467">
        <v>330</v>
      </c>
      <c r="Q1467" t="s">
        <v>3247</v>
      </c>
    </row>
    <row r="1468" spans="1:17" x14ac:dyDescent="0.3">
      <c r="A1468" t="s">
        <v>17</v>
      </c>
      <c r="B1468" t="str">
        <f>"600429"</f>
        <v>600429</v>
      </c>
      <c r="C1468" t="s">
        <v>3248</v>
      </c>
      <c r="D1468" t="s">
        <v>308</v>
      </c>
      <c r="F1468">
        <v>339507500</v>
      </c>
      <c r="G1468">
        <v>570844802</v>
      </c>
      <c r="H1468">
        <v>365908420</v>
      </c>
      <c r="I1468">
        <v>870919577</v>
      </c>
      <c r="J1468">
        <v>-24132575</v>
      </c>
      <c r="K1468">
        <v>374879224</v>
      </c>
      <c r="L1468">
        <v>430799717</v>
      </c>
      <c r="M1468">
        <v>69536052</v>
      </c>
      <c r="N1468">
        <v>-27202197</v>
      </c>
      <c r="O1468">
        <v>198917560</v>
      </c>
      <c r="P1468">
        <v>494</v>
      </c>
      <c r="Q1468" t="s">
        <v>3249</v>
      </c>
    </row>
    <row r="1469" spans="1:17" x14ac:dyDescent="0.3">
      <c r="A1469" t="s">
        <v>17</v>
      </c>
      <c r="B1469" t="str">
        <f>"601218"</f>
        <v>601218</v>
      </c>
      <c r="C1469" t="s">
        <v>3250</v>
      </c>
      <c r="D1469" t="s">
        <v>1525</v>
      </c>
      <c r="F1469">
        <v>105028728</v>
      </c>
      <c r="G1469">
        <v>729793593</v>
      </c>
      <c r="H1469">
        <v>365356750</v>
      </c>
      <c r="I1469">
        <v>82282973</v>
      </c>
      <c r="J1469">
        <v>66911220</v>
      </c>
      <c r="K1469">
        <v>366130986</v>
      </c>
      <c r="L1469">
        <v>256974652</v>
      </c>
      <c r="M1469">
        <v>320389155</v>
      </c>
      <c r="N1469">
        <v>203395041</v>
      </c>
      <c r="O1469">
        <v>-83965522</v>
      </c>
      <c r="P1469">
        <v>146</v>
      </c>
      <c r="Q1469" t="s">
        <v>3251</v>
      </c>
    </row>
    <row r="1470" spans="1:17" x14ac:dyDescent="0.3">
      <c r="A1470" t="s">
        <v>59</v>
      </c>
      <c r="B1470" t="str">
        <f>"300458"</f>
        <v>300458</v>
      </c>
      <c r="C1470" t="s">
        <v>3252</v>
      </c>
      <c r="D1470" t="s">
        <v>817</v>
      </c>
      <c r="F1470">
        <v>356785003</v>
      </c>
      <c r="G1470">
        <v>391938843</v>
      </c>
      <c r="H1470">
        <v>364930674</v>
      </c>
      <c r="I1470">
        <v>-69798481</v>
      </c>
      <c r="J1470">
        <v>92282899</v>
      </c>
      <c r="K1470">
        <v>77304871</v>
      </c>
      <c r="L1470">
        <v>272587238</v>
      </c>
      <c r="M1470">
        <v>325246127</v>
      </c>
      <c r="N1470">
        <v>429830991</v>
      </c>
      <c r="O1470">
        <v>438230507</v>
      </c>
      <c r="P1470">
        <v>561</v>
      </c>
      <c r="Q1470" t="s">
        <v>3253</v>
      </c>
    </row>
    <row r="1471" spans="1:17" x14ac:dyDescent="0.3">
      <c r="A1471" t="s">
        <v>17</v>
      </c>
      <c r="B1471" t="str">
        <f>"688363"</f>
        <v>688363</v>
      </c>
      <c r="C1471" t="s">
        <v>3254</v>
      </c>
      <c r="D1471" t="s">
        <v>3255</v>
      </c>
      <c r="F1471">
        <v>1276059648</v>
      </c>
      <c r="G1471">
        <v>705120693</v>
      </c>
      <c r="H1471">
        <v>364892136</v>
      </c>
      <c r="I1471">
        <v>442299698</v>
      </c>
      <c r="J1471">
        <v>343421107</v>
      </c>
      <c r="K1471">
        <v>241675252</v>
      </c>
      <c r="P1471">
        <v>1156</v>
      </c>
      <c r="Q1471" t="s">
        <v>3256</v>
      </c>
    </row>
    <row r="1472" spans="1:17" x14ac:dyDescent="0.3">
      <c r="A1472" t="s">
        <v>17</v>
      </c>
      <c r="B1472" t="str">
        <f>"600773"</f>
        <v>600773</v>
      </c>
      <c r="C1472" t="s">
        <v>3257</v>
      </c>
      <c r="D1472" t="s">
        <v>61</v>
      </c>
      <c r="F1472">
        <v>-265274229</v>
      </c>
      <c r="G1472">
        <v>774537450</v>
      </c>
      <c r="H1472">
        <v>364670371</v>
      </c>
      <c r="I1472">
        <v>-1030020409</v>
      </c>
      <c r="J1472">
        <v>183127763</v>
      </c>
      <c r="K1472">
        <v>-79186901</v>
      </c>
      <c r="L1472">
        <v>1197539976</v>
      </c>
      <c r="M1472">
        <v>2171966259</v>
      </c>
      <c r="N1472">
        <v>-57227341</v>
      </c>
      <c r="O1472">
        <v>-470588849</v>
      </c>
      <c r="P1472">
        <v>143</v>
      </c>
      <c r="Q1472" t="s">
        <v>3258</v>
      </c>
    </row>
    <row r="1473" spans="1:17" x14ac:dyDescent="0.3">
      <c r="A1473" t="s">
        <v>59</v>
      </c>
      <c r="B1473" t="str">
        <f>"300044"</f>
        <v>300044</v>
      </c>
      <c r="C1473" t="s">
        <v>3259</v>
      </c>
      <c r="D1473" t="s">
        <v>1189</v>
      </c>
      <c r="F1473">
        <v>408412286</v>
      </c>
      <c r="G1473">
        <v>24689960</v>
      </c>
      <c r="H1473">
        <v>363186135</v>
      </c>
      <c r="I1473">
        <v>39212720</v>
      </c>
      <c r="J1473">
        <v>-339031560</v>
      </c>
      <c r="K1473">
        <v>-79988568</v>
      </c>
      <c r="L1473">
        <v>135423380</v>
      </c>
      <c r="M1473">
        <v>1542822</v>
      </c>
      <c r="N1473">
        <v>2213245</v>
      </c>
      <c r="O1473">
        <v>57948430</v>
      </c>
      <c r="P1473">
        <v>289</v>
      </c>
      <c r="Q1473" t="s">
        <v>3260</v>
      </c>
    </row>
    <row r="1474" spans="1:17" x14ac:dyDescent="0.3">
      <c r="A1474" t="s">
        <v>17</v>
      </c>
      <c r="B1474" t="str">
        <f>"600594"</f>
        <v>600594</v>
      </c>
      <c r="C1474" t="s">
        <v>3261</v>
      </c>
      <c r="D1474" t="s">
        <v>455</v>
      </c>
      <c r="F1474">
        <v>934211133</v>
      </c>
      <c r="G1474">
        <v>366657366</v>
      </c>
      <c r="H1474">
        <v>362713743</v>
      </c>
      <c r="I1474">
        <v>214297431</v>
      </c>
      <c r="J1474">
        <v>681776509</v>
      </c>
      <c r="K1474">
        <v>380616140</v>
      </c>
      <c r="L1474">
        <v>573678659</v>
      </c>
      <c r="M1474">
        <v>541581197</v>
      </c>
      <c r="N1474">
        <v>577241280</v>
      </c>
      <c r="O1474">
        <v>288014258</v>
      </c>
      <c r="P1474">
        <v>312</v>
      </c>
      <c r="Q1474" t="s">
        <v>3262</v>
      </c>
    </row>
    <row r="1475" spans="1:17" x14ac:dyDescent="0.3">
      <c r="A1475" t="s">
        <v>17</v>
      </c>
      <c r="B1475" t="str">
        <f>"600491"</f>
        <v>600491</v>
      </c>
      <c r="C1475" t="s">
        <v>3263</v>
      </c>
      <c r="D1475" t="s">
        <v>503</v>
      </c>
      <c r="F1475">
        <v>-242476819</v>
      </c>
      <c r="G1475">
        <v>317733871</v>
      </c>
      <c r="H1475">
        <v>362198216</v>
      </c>
      <c r="I1475">
        <v>-1097988998</v>
      </c>
      <c r="J1475">
        <v>-415442945</v>
      </c>
      <c r="K1475">
        <v>1156759173</v>
      </c>
      <c r="L1475">
        <v>-507392116</v>
      </c>
      <c r="M1475">
        <v>-278702250</v>
      </c>
      <c r="N1475">
        <v>115558831</v>
      </c>
      <c r="O1475">
        <v>-260040562</v>
      </c>
      <c r="P1475">
        <v>116</v>
      </c>
      <c r="Q1475" t="s">
        <v>3264</v>
      </c>
    </row>
    <row r="1476" spans="1:17" x14ac:dyDescent="0.3">
      <c r="A1476" t="s">
        <v>17</v>
      </c>
      <c r="B1476" t="str">
        <f>"600789"</f>
        <v>600789</v>
      </c>
      <c r="C1476" t="s">
        <v>3265</v>
      </c>
      <c r="D1476" t="s">
        <v>592</v>
      </c>
      <c r="F1476">
        <v>149325527</v>
      </c>
      <c r="G1476">
        <v>234552378</v>
      </c>
      <c r="H1476">
        <v>361866734</v>
      </c>
      <c r="I1476">
        <v>351086185</v>
      </c>
      <c r="J1476">
        <v>275509823</v>
      </c>
      <c r="K1476">
        <v>296231760</v>
      </c>
      <c r="L1476">
        <v>78385704</v>
      </c>
      <c r="M1476">
        <v>108564469</v>
      </c>
      <c r="N1476">
        <v>256497339</v>
      </c>
      <c r="O1476">
        <v>115202033</v>
      </c>
      <c r="P1476">
        <v>245</v>
      </c>
      <c r="Q1476" t="s">
        <v>3266</v>
      </c>
    </row>
    <row r="1477" spans="1:17" x14ac:dyDescent="0.3">
      <c r="A1477" t="s">
        <v>17</v>
      </c>
      <c r="B1477" t="str">
        <f>"600155"</f>
        <v>600155</v>
      </c>
      <c r="C1477" t="s">
        <v>3267</v>
      </c>
      <c r="D1477" t="s">
        <v>75</v>
      </c>
      <c r="F1477">
        <v>2934054717</v>
      </c>
      <c r="G1477">
        <v>1792483673</v>
      </c>
      <c r="H1477">
        <v>361835433</v>
      </c>
      <c r="I1477">
        <v>-1496576691</v>
      </c>
      <c r="J1477">
        <v>-3717322402</v>
      </c>
      <c r="K1477">
        <v>-7364764463</v>
      </c>
      <c r="L1477">
        <v>-27714483</v>
      </c>
      <c r="M1477">
        <v>-118395070</v>
      </c>
      <c r="N1477">
        <v>-801784561</v>
      </c>
      <c r="O1477">
        <v>-18489454</v>
      </c>
      <c r="P1477">
        <v>630</v>
      </c>
      <c r="Q1477" t="s">
        <v>3268</v>
      </c>
    </row>
    <row r="1478" spans="1:17" x14ac:dyDescent="0.3">
      <c r="A1478" t="s">
        <v>59</v>
      </c>
      <c r="B1478" t="str">
        <f>"000631"</f>
        <v>000631</v>
      </c>
      <c r="C1478" t="s">
        <v>3269</v>
      </c>
      <c r="D1478" t="s">
        <v>61</v>
      </c>
      <c r="F1478">
        <v>1495496556</v>
      </c>
      <c r="G1478">
        <v>-1806263870</v>
      </c>
      <c r="H1478">
        <v>361106832</v>
      </c>
      <c r="I1478">
        <v>1456658251</v>
      </c>
      <c r="J1478">
        <v>1972328830</v>
      </c>
      <c r="K1478">
        <v>3304636077</v>
      </c>
      <c r="L1478">
        <v>3178284880</v>
      </c>
      <c r="M1478">
        <v>-376013697</v>
      </c>
      <c r="N1478">
        <v>-953619060</v>
      </c>
      <c r="O1478">
        <v>995376478</v>
      </c>
      <c r="P1478">
        <v>359</v>
      </c>
      <c r="Q1478" t="s">
        <v>3270</v>
      </c>
    </row>
    <row r="1479" spans="1:17" x14ac:dyDescent="0.3">
      <c r="A1479" t="s">
        <v>17</v>
      </c>
      <c r="B1479" t="str">
        <f>"603081"</f>
        <v>603081</v>
      </c>
      <c r="C1479" t="s">
        <v>3271</v>
      </c>
      <c r="D1479" t="s">
        <v>1150</v>
      </c>
      <c r="F1479">
        <v>-357724633</v>
      </c>
      <c r="G1479">
        <v>209427645</v>
      </c>
      <c r="H1479">
        <v>359719316</v>
      </c>
      <c r="I1479">
        <v>205519633</v>
      </c>
      <c r="J1479">
        <v>97133260</v>
      </c>
      <c r="K1479">
        <v>225769809</v>
      </c>
      <c r="L1479">
        <v>127946213</v>
      </c>
      <c r="M1479">
        <v>61377099</v>
      </c>
      <c r="P1479">
        <v>144</v>
      </c>
      <c r="Q1479" t="s">
        <v>3272</v>
      </c>
    </row>
    <row r="1480" spans="1:17" x14ac:dyDescent="0.3">
      <c r="A1480" t="s">
        <v>59</v>
      </c>
      <c r="B1480" t="str">
        <f>"002937"</f>
        <v>002937</v>
      </c>
      <c r="C1480" t="s">
        <v>3273</v>
      </c>
      <c r="D1480" t="s">
        <v>349</v>
      </c>
      <c r="F1480">
        <v>224769353</v>
      </c>
      <c r="G1480">
        <v>285412479</v>
      </c>
      <c r="H1480">
        <v>359628876</v>
      </c>
      <c r="I1480">
        <v>-232378051</v>
      </c>
      <c r="J1480">
        <v>77640316</v>
      </c>
      <c r="K1480">
        <v>89140894</v>
      </c>
      <c r="L1480">
        <v>91860667</v>
      </c>
      <c r="P1480">
        <v>209</v>
      </c>
      <c r="Q1480" t="s">
        <v>3274</v>
      </c>
    </row>
    <row r="1481" spans="1:17" x14ac:dyDescent="0.3">
      <c r="A1481" t="s">
        <v>17</v>
      </c>
      <c r="B1481" t="str">
        <f>"688065"</f>
        <v>688065</v>
      </c>
      <c r="C1481" t="s">
        <v>3275</v>
      </c>
      <c r="D1481" t="s">
        <v>1252</v>
      </c>
      <c r="F1481">
        <v>594183442</v>
      </c>
      <c r="G1481">
        <v>514964266</v>
      </c>
      <c r="H1481">
        <v>359618053</v>
      </c>
      <c r="I1481">
        <v>-10286687</v>
      </c>
      <c r="J1481">
        <v>53446082</v>
      </c>
      <c r="K1481">
        <v>-128671612</v>
      </c>
      <c r="P1481">
        <v>107</v>
      </c>
      <c r="Q1481" t="s">
        <v>3276</v>
      </c>
    </row>
    <row r="1482" spans="1:17" x14ac:dyDescent="0.3">
      <c r="A1482" t="s">
        <v>17</v>
      </c>
      <c r="B1482" t="str">
        <f>"601599"</f>
        <v>601599</v>
      </c>
      <c r="C1482" t="s">
        <v>3277</v>
      </c>
      <c r="D1482" t="s">
        <v>3101</v>
      </c>
      <c r="F1482">
        <v>452386712</v>
      </c>
      <c r="G1482">
        <v>-156043704</v>
      </c>
      <c r="H1482">
        <v>359534366</v>
      </c>
      <c r="I1482">
        <v>116526160</v>
      </c>
      <c r="J1482">
        <v>-397898273</v>
      </c>
      <c r="K1482">
        <v>-302272556</v>
      </c>
      <c r="L1482">
        <v>189273680</v>
      </c>
      <c r="M1482">
        <v>328026364</v>
      </c>
      <c r="N1482">
        <v>235694123</v>
      </c>
      <c r="O1482">
        <v>129115147</v>
      </c>
      <c r="P1482">
        <v>60</v>
      </c>
      <c r="Q1482" t="s">
        <v>3278</v>
      </c>
    </row>
    <row r="1483" spans="1:17" x14ac:dyDescent="0.3">
      <c r="A1483" t="s">
        <v>59</v>
      </c>
      <c r="B1483" t="str">
        <f>"002772"</f>
        <v>002772</v>
      </c>
      <c r="C1483" t="s">
        <v>3279</v>
      </c>
      <c r="D1483" t="s">
        <v>2476</v>
      </c>
      <c r="F1483">
        <v>-413681210</v>
      </c>
      <c r="G1483">
        <v>389318797</v>
      </c>
      <c r="H1483">
        <v>359149932</v>
      </c>
      <c r="I1483">
        <v>231792555</v>
      </c>
      <c r="J1483">
        <v>207336130</v>
      </c>
      <c r="K1483">
        <v>233392235</v>
      </c>
      <c r="L1483">
        <v>209431109</v>
      </c>
      <c r="M1483">
        <v>170310081</v>
      </c>
      <c r="N1483">
        <v>93028601</v>
      </c>
      <c r="O1483">
        <v>94555576</v>
      </c>
      <c r="P1483">
        <v>202</v>
      </c>
      <c r="Q1483" t="s">
        <v>3280</v>
      </c>
    </row>
    <row r="1484" spans="1:17" x14ac:dyDescent="0.3">
      <c r="A1484" t="s">
        <v>59</v>
      </c>
      <c r="B1484" t="str">
        <f>"000043"</f>
        <v>000043</v>
      </c>
      <c r="C1484" t="s">
        <v>3281</v>
      </c>
      <c r="H1484">
        <v>358910553</v>
      </c>
      <c r="I1484">
        <v>1281061555</v>
      </c>
      <c r="J1484">
        <v>2562518280</v>
      </c>
      <c r="K1484">
        <v>2337413115</v>
      </c>
      <c r="L1484">
        <v>539042535</v>
      </c>
      <c r="M1484">
        <v>-2675234235</v>
      </c>
      <c r="N1484">
        <v>-1370091497</v>
      </c>
      <c r="O1484">
        <v>-724371104</v>
      </c>
      <c r="P1484">
        <v>73</v>
      </c>
      <c r="Q1484" t="s">
        <v>3282</v>
      </c>
    </row>
    <row r="1485" spans="1:17" x14ac:dyDescent="0.3">
      <c r="A1485" t="s">
        <v>59</v>
      </c>
      <c r="B1485" t="str">
        <f>"001914"</f>
        <v>001914</v>
      </c>
      <c r="C1485" t="s">
        <v>3283</v>
      </c>
      <c r="D1485" t="s">
        <v>3284</v>
      </c>
      <c r="F1485">
        <v>702743678</v>
      </c>
      <c r="G1485">
        <v>989467897</v>
      </c>
      <c r="H1485">
        <v>358910553</v>
      </c>
      <c r="I1485">
        <v>1281061555</v>
      </c>
      <c r="J1485">
        <v>2562518280</v>
      </c>
      <c r="K1485">
        <v>2337413115</v>
      </c>
      <c r="L1485">
        <v>539042535</v>
      </c>
      <c r="M1485">
        <v>-2675234235</v>
      </c>
      <c r="N1485">
        <v>-1370091497</v>
      </c>
      <c r="O1485">
        <v>-724371104</v>
      </c>
      <c r="P1485">
        <v>264</v>
      </c>
      <c r="Q1485" t="s">
        <v>3285</v>
      </c>
    </row>
    <row r="1486" spans="1:17" x14ac:dyDescent="0.3">
      <c r="A1486" t="s">
        <v>17</v>
      </c>
      <c r="B1486" t="str">
        <f>"600133"</f>
        <v>600133</v>
      </c>
      <c r="C1486" t="s">
        <v>3286</v>
      </c>
      <c r="D1486" t="s">
        <v>85</v>
      </c>
      <c r="F1486">
        <v>668169369</v>
      </c>
      <c r="G1486">
        <v>2544231179</v>
      </c>
      <c r="H1486">
        <v>358561551</v>
      </c>
      <c r="I1486">
        <v>-202924368</v>
      </c>
      <c r="J1486">
        <v>1005222259</v>
      </c>
      <c r="K1486">
        <v>255779295</v>
      </c>
      <c r="L1486">
        <v>-603414466</v>
      </c>
      <c r="M1486">
        <v>-1661992963</v>
      </c>
      <c r="N1486">
        <v>-421351814</v>
      </c>
      <c r="O1486">
        <v>-643745653</v>
      </c>
      <c r="P1486">
        <v>192</v>
      </c>
      <c r="Q1486" t="s">
        <v>3287</v>
      </c>
    </row>
    <row r="1487" spans="1:17" x14ac:dyDescent="0.3">
      <c r="A1487" t="s">
        <v>17</v>
      </c>
      <c r="B1487" t="str">
        <f>"600723"</f>
        <v>600723</v>
      </c>
      <c r="C1487" t="s">
        <v>3288</v>
      </c>
      <c r="G1487">
        <v>-105702556</v>
      </c>
      <c r="H1487">
        <v>357456821</v>
      </c>
      <c r="I1487">
        <v>482885881</v>
      </c>
      <c r="J1487">
        <v>475084201</v>
      </c>
      <c r="K1487">
        <v>398098910</v>
      </c>
      <c r="L1487">
        <v>340485134</v>
      </c>
      <c r="M1487">
        <v>578104491</v>
      </c>
      <c r="N1487">
        <v>476574030</v>
      </c>
      <c r="O1487">
        <v>841891779</v>
      </c>
      <c r="P1487">
        <v>180</v>
      </c>
      <c r="Q1487" t="s">
        <v>3289</v>
      </c>
    </row>
    <row r="1488" spans="1:17" x14ac:dyDescent="0.3">
      <c r="A1488" t="s">
        <v>59</v>
      </c>
      <c r="B1488" t="str">
        <f>"301177"</f>
        <v>301177</v>
      </c>
      <c r="C1488" t="s">
        <v>3290</v>
      </c>
      <c r="D1488" t="s">
        <v>2025</v>
      </c>
      <c r="F1488">
        <v>1544212851</v>
      </c>
      <c r="G1488">
        <v>893551135</v>
      </c>
      <c r="H1488">
        <v>357439605</v>
      </c>
      <c r="I1488">
        <v>185245693</v>
      </c>
      <c r="J1488">
        <v>218681507</v>
      </c>
      <c r="P1488">
        <v>30</v>
      </c>
      <c r="Q1488" t="s">
        <v>3291</v>
      </c>
    </row>
    <row r="1489" spans="1:17" x14ac:dyDescent="0.3">
      <c r="A1489" t="s">
        <v>17</v>
      </c>
      <c r="B1489" t="str">
        <f>"600136"</f>
        <v>600136</v>
      </c>
      <c r="C1489" t="s">
        <v>3292</v>
      </c>
      <c r="D1489" t="s">
        <v>3293</v>
      </c>
      <c r="F1489">
        <v>130489307</v>
      </c>
      <c r="G1489">
        <v>481690289</v>
      </c>
      <c r="H1489">
        <v>357400618</v>
      </c>
      <c r="I1489">
        <v>216682062</v>
      </c>
      <c r="J1489">
        <v>-827298896</v>
      </c>
      <c r="K1489">
        <v>-318769606</v>
      </c>
      <c r="L1489">
        <v>-78318506</v>
      </c>
      <c r="M1489">
        <v>5372993</v>
      </c>
      <c r="N1489">
        <v>20042382</v>
      </c>
      <c r="O1489">
        <v>2515004</v>
      </c>
      <c r="P1489">
        <v>136</v>
      </c>
      <c r="Q1489" t="s">
        <v>3294</v>
      </c>
    </row>
    <row r="1490" spans="1:17" x14ac:dyDescent="0.3">
      <c r="A1490" t="s">
        <v>59</v>
      </c>
      <c r="B1490" t="str">
        <f>"002334"</f>
        <v>002334</v>
      </c>
      <c r="C1490" t="s">
        <v>3295</v>
      </c>
      <c r="D1490" t="s">
        <v>1426</v>
      </c>
      <c r="F1490">
        <v>143293629</v>
      </c>
      <c r="G1490">
        <v>364934609</v>
      </c>
      <c r="H1490">
        <v>356777130</v>
      </c>
      <c r="I1490">
        <v>-135495475</v>
      </c>
      <c r="J1490">
        <v>-96426293</v>
      </c>
      <c r="K1490">
        <v>-44477183</v>
      </c>
      <c r="L1490">
        <v>8992900</v>
      </c>
      <c r="M1490">
        <v>92428439</v>
      </c>
      <c r="N1490">
        <v>194680025</v>
      </c>
      <c r="O1490">
        <v>97957103</v>
      </c>
      <c r="P1490">
        <v>222</v>
      </c>
      <c r="Q1490" t="s">
        <v>3296</v>
      </c>
    </row>
    <row r="1491" spans="1:17" x14ac:dyDescent="0.3">
      <c r="A1491" t="s">
        <v>17</v>
      </c>
      <c r="B1491" t="str">
        <f>"600116"</f>
        <v>600116</v>
      </c>
      <c r="C1491" t="s">
        <v>3297</v>
      </c>
      <c r="D1491" t="s">
        <v>682</v>
      </c>
      <c r="F1491">
        <v>1314681953</v>
      </c>
      <c r="G1491">
        <v>907987992</v>
      </c>
      <c r="H1491">
        <v>356718841</v>
      </c>
      <c r="I1491">
        <v>431264840</v>
      </c>
      <c r="J1491">
        <v>348191764</v>
      </c>
      <c r="K1491">
        <v>434215087</v>
      </c>
      <c r="L1491">
        <v>381977259</v>
      </c>
      <c r="M1491">
        <v>356614165</v>
      </c>
      <c r="N1491">
        <v>338450696</v>
      </c>
      <c r="O1491">
        <v>196351244</v>
      </c>
      <c r="P1491">
        <v>236</v>
      </c>
      <c r="Q1491" t="s">
        <v>3298</v>
      </c>
    </row>
    <row r="1492" spans="1:17" x14ac:dyDescent="0.3">
      <c r="A1492" t="s">
        <v>59</v>
      </c>
      <c r="B1492" t="str">
        <f>"300183"</f>
        <v>300183</v>
      </c>
      <c r="C1492" t="s">
        <v>3299</v>
      </c>
      <c r="D1492" t="s">
        <v>1138</v>
      </c>
      <c r="F1492">
        <v>245161418</v>
      </c>
      <c r="G1492">
        <v>-1013699845</v>
      </c>
      <c r="H1492">
        <v>356471815</v>
      </c>
      <c r="I1492">
        <v>206783847</v>
      </c>
      <c r="J1492">
        <v>284146146</v>
      </c>
      <c r="K1492">
        <v>254086017</v>
      </c>
      <c r="L1492">
        <v>202517086</v>
      </c>
      <c r="M1492">
        <v>248823048</v>
      </c>
      <c r="N1492">
        <v>201153410</v>
      </c>
      <c r="O1492">
        <v>224021684</v>
      </c>
      <c r="P1492">
        <v>276</v>
      </c>
      <c r="Q1492" t="s">
        <v>3300</v>
      </c>
    </row>
    <row r="1493" spans="1:17" x14ac:dyDescent="0.3">
      <c r="A1493" t="s">
        <v>17</v>
      </c>
      <c r="B1493" t="str">
        <f>"603025"</f>
        <v>603025</v>
      </c>
      <c r="C1493" t="s">
        <v>3301</v>
      </c>
      <c r="D1493" t="s">
        <v>1426</v>
      </c>
      <c r="F1493">
        <v>254717435</v>
      </c>
      <c r="G1493">
        <v>94949990</v>
      </c>
      <c r="H1493">
        <v>355942186</v>
      </c>
      <c r="I1493">
        <v>303097619</v>
      </c>
      <c r="J1493">
        <v>213189056</v>
      </c>
      <c r="K1493">
        <v>243418864</v>
      </c>
      <c r="L1493">
        <v>214560863</v>
      </c>
      <c r="M1493">
        <v>255121402</v>
      </c>
      <c r="N1493">
        <v>233579701</v>
      </c>
      <c r="O1493">
        <v>255626800</v>
      </c>
      <c r="P1493">
        <v>434</v>
      </c>
      <c r="Q1493" t="s">
        <v>3302</v>
      </c>
    </row>
    <row r="1494" spans="1:17" x14ac:dyDescent="0.3">
      <c r="A1494" t="s">
        <v>17</v>
      </c>
      <c r="B1494" t="str">
        <f>"600797"</f>
        <v>600797</v>
      </c>
      <c r="C1494" t="s">
        <v>3303</v>
      </c>
      <c r="D1494" t="s">
        <v>1189</v>
      </c>
      <c r="F1494">
        <v>525933465</v>
      </c>
      <c r="G1494">
        <v>570384869</v>
      </c>
      <c r="H1494">
        <v>354407168</v>
      </c>
      <c r="I1494">
        <v>429860518</v>
      </c>
      <c r="J1494">
        <v>-61682040</v>
      </c>
      <c r="K1494">
        <v>81660943</v>
      </c>
      <c r="L1494">
        <v>33291967</v>
      </c>
      <c r="M1494">
        <v>79558179</v>
      </c>
      <c r="N1494">
        <v>208732781</v>
      </c>
      <c r="O1494">
        <v>-45127254</v>
      </c>
      <c r="P1494">
        <v>221</v>
      </c>
      <c r="Q1494" t="s">
        <v>3304</v>
      </c>
    </row>
    <row r="1495" spans="1:17" x14ac:dyDescent="0.3">
      <c r="A1495" t="s">
        <v>17</v>
      </c>
      <c r="B1495" t="str">
        <f>"600498"</f>
        <v>600498</v>
      </c>
      <c r="C1495" t="s">
        <v>3305</v>
      </c>
      <c r="D1495" t="s">
        <v>352</v>
      </c>
      <c r="F1495">
        <v>52428893</v>
      </c>
      <c r="G1495">
        <v>112575050</v>
      </c>
      <c r="H1495">
        <v>353671433</v>
      </c>
      <c r="I1495">
        <v>351121931</v>
      </c>
      <c r="J1495">
        <v>335999789</v>
      </c>
      <c r="K1495">
        <v>347839557</v>
      </c>
      <c r="L1495">
        <v>815040990</v>
      </c>
      <c r="M1495">
        <v>821065299</v>
      </c>
      <c r="N1495">
        <v>554484735</v>
      </c>
      <c r="O1495">
        <v>343275630</v>
      </c>
      <c r="P1495">
        <v>853</v>
      </c>
      <c r="Q1495" t="s">
        <v>3306</v>
      </c>
    </row>
    <row r="1496" spans="1:17" x14ac:dyDescent="0.3">
      <c r="A1496" t="s">
        <v>17</v>
      </c>
      <c r="B1496" t="str">
        <f>"603610"</f>
        <v>603610</v>
      </c>
      <c r="C1496" t="s">
        <v>3307</v>
      </c>
      <c r="D1496" t="s">
        <v>972</v>
      </c>
      <c r="F1496">
        <v>148554899</v>
      </c>
      <c r="G1496">
        <v>52920162</v>
      </c>
      <c r="H1496">
        <v>353328362</v>
      </c>
      <c r="I1496">
        <v>407318823</v>
      </c>
      <c r="J1496">
        <v>166216534</v>
      </c>
      <c r="K1496">
        <v>146539231</v>
      </c>
      <c r="P1496">
        <v>230</v>
      </c>
      <c r="Q1496" t="s">
        <v>3308</v>
      </c>
    </row>
    <row r="1497" spans="1:17" x14ac:dyDescent="0.3">
      <c r="A1497" t="s">
        <v>17</v>
      </c>
      <c r="B1497" t="str">
        <f>"605388"</f>
        <v>605388</v>
      </c>
      <c r="C1497" t="s">
        <v>3309</v>
      </c>
      <c r="D1497" t="s">
        <v>308</v>
      </c>
      <c r="F1497">
        <v>179878265</v>
      </c>
      <c r="G1497">
        <v>81721356</v>
      </c>
      <c r="H1497">
        <v>353242961</v>
      </c>
      <c r="I1497">
        <v>391638230</v>
      </c>
      <c r="J1497">
        <v>282316332</v>
      </c>
      <c r="P1497">
        <v>103</v>
      </c>
      <c r="Q1497" t="s">
        <v>3310</v>
      </c>
    </row>
    <row r="1498" spans="1:17" x14ac:dyDescent="0.3">
      <c r="A1498" t="s">
        <v>59</v>
      </c>
      <c r="B1498" t="str">
        <f>"002324"</f>
        <v>002324</v>
      </c>
      <c r="C1498" t="s">
        <v>3311</v>
      </c>
      <c r="D1498" t="s">
        <v>792</v>
      </c>
      <c r="F1498">
        <v>-136484708</v>
      </c>
      <c r="G1498">
        <v>413595841</v>
      </c>
      <c r="H1498">
        <v>353156141</v>
      </c>
      <c r="I1498">
        <v>193492616</v>
      </c>
      <c r="J1498">
        <v>-182995035</v>
      </c>
      <c r="K1498">
        <v>125767939</v>
      </c>
      <c r="L1498">
        <v>244645546</v>
      </c>
      <c r="M1498">
        <v>218249906</v>
      </c>
      <c r="N1498">
        <v>7930085</v>
      </c>
      <c r="O1498">
        <v>-63461466</v>
      </c>
      <c r="P1498">
        <v>212</v>
      </c>
      <c r="Q1498" t="s">
        <v>3312</v>
      </c>
    </row>
    <row r="1499" spans="1:17" x14ac:dyDescent="0.3">
      <c r="A1499" t="s">
        <v>59</v>
      </c>
      <c r="B1499" t="str">
        <f>"000592"</f>
        <v>000592</v>
      </c>
      <c r="C1499" t="s">
        <v>3313</v>
      </c>
      <c r="D1499" t="s">
        <v>3314</v>
      </c>
      <c r="F1499">
        <v>-31074742</v>
      </c>
      <c r="G1499">
        <v>-103718885</v>
      </c>
      <c r="H1499">
        <v>353011302</v>
      </c>
      <c r="I1499">
        <v>-639446760</v>
      </c>
      <c r="J1499">
        <v>24054271</v>
      </c>
      <c r="K1499">
        <v>-36986869</v>
      </c>
      <c r="L1499">
        <v>-215521186</v>
      </c>
      <c r="M1499">
        <v>-8881205</v>
      </c>
      <c r="N1499">
        <v>-70240402</v>
      </c>
      <c r="O1499">
        <v>78804943</v>
      </c>
      <c r="P1499">
        <v>150</v>
      </c>
      <c r="Q1499" t="s">
        <v>3315</v>
      </c>
    </row>
    <row r="1500" spans="1:17" x14ac:dyDescent="0.3">
      <c r="A1500" t="s">
        <v>17</v>
      </c>
      <c r="B1500" t="str">
        <f>"688728"</f>
        <v>688728</v>
      </c>
      <c r="C1500" t="s">
        <v>3316</v>
      </c>
      <c r="D1500" t="s">
        <v>817</v>
      </c>
      <c r="F1500">
        <v>439414067</v>
      </c>
      <c r="G1500">
        <v>-305712144</v>
      </c>
      <c r="H1500">
        <v>352797655</v>
      </c>
      <c r="I1500">
        <v>-168052684</v>
      </c>
      <c r="J1500">
        <v>-266605095</v>
      </c>
      <c r="P1500">
        <v>58</v>
      </c>
      <c r="Q1500" t="s">
        <v>3317</v>
      </c>
    </row>
    <row r="1501" spans="1:17" x14ac:dyDescent="0.3">
      <c r="A1501" t="s">
        <v>59</v>
      </c>
      <c r="B1501" t="str">
        <f>"300137"</f>
        <v>300137</v>
      </c>
      <c r="C1501" t="s">
        <v>3318</v>
      </c>
      <c r="D1501" t="s">
        <v>1337</v>
      </c>
      <c r="F1501">
        <v>116351600</v>
      </c>
      <c r="G1501">
        <v>158654603</v>
      </c>
      <c r="H1501">
        <v>352722392</v>
      </c>
      <c r="I1501">
        <v>-72263419</v>
      </c>
      <c r="J1501">
        <v>191412256</v>
      </c>
      <c r="K1501">
        <v>151805528</v>
      </c>
      <c r="L1501">
        <v>30378986</v>
      </c>
      <c r="M1501">
        <v>1121826</v>
      </c>
      <c r="N1501">
        <v>66488306</v>
      </c>
      <c r="O1501">
        <v>-12313573</v>
      </c>
      <c r="P1501">
        <v>253</v>
      </c>
      <c r="Q1501" t="s">
        <v>3319</v>
      </c>
    </row>
    <row r="1502" spans="1:17" x14ac:dyDescent="0.3">
      <c r="A1502" t="s">
        <v>59</v>
      </c>
      <c r="B1502" t="str">
        <f>"000597"</f>
        <v>000597</v>
      </c>
      <c r="C1502" t="s">
        <v>3320</v>
      </c>
      <c r="D1502" t="s">
        <v>592</v>
      </c>
      <c r="F1502">
        <v>746506484</v>
      </c>
      <c r="G1502">
        <v>570918423</v>
      </c>
      <c r="H1502">
        <v>352599584</v>
      </c>
      <c r="I1502">
        <v>285090647</v>
      </c>
      <c r="J1502">
        <v>-301199612</v>
      </c>
      <c r="K1502">
        <v>384514553</v>
      </c>
      <c r="L1502">
        <v>99700460</v>
      </c>
      <c r="M1502">
        <v>46990984</v>
      </c>
      <c r="N1502">
        <v>-266384700</v>
      </c>
      <c r="O1502">
        <v>86090005</v>
      </c>
      <c r="P1502">
        <v>131</v>
      </c>
      <c r="Q1502" t="s">
        <v>3321</v>
      </c>
    </row>
    <row r="1503" spans="1:17" x14ac:dyDescent="0.3">
      <c r="A1503" t="s">
        <v>59</v>
      </c>
      <c r="B1503" t="str">
        <f>"002698"</f>
        <v>002698</v>
      </c>
      <c r="C1503" t="s">
        <v>3322</v>
      </c>
      <c r="D1503" t="s">
        <v>3323</v>
      </c>
      <c r="F1503">
        <v>399773131</v>
      </c>
      <c r="G1503">
        <v>147006475</v>
      </c>
      <c r="H1503">
        <v>352391698</v>
      </c>
      <c r="I1503">
        <v>223747835</v>
      </c>
      <c r="J1503">
        <v>110997597</v>
      </c>
      <c r="K1503">
        <v>9004940</v>
      </c>
      <c r="L1503">
        <v>62341814</v>
      </c>
      <c r="M1503">
        <v>92284550</v>
      </c>
      <c r="N1503">
        <v>228340086</v>
      </c>
      <c r="O1503">
        <v>-15894583</v>
      </c>
      <c r="P1503">
        <v>271</v>
      </c>
      <c r="Q1503" t="s">
        <v>3324</v>
      </c>
    </row>
    <row r="1504" spans="1:17" x14ac:dyDescent="0.3">
      <c r="A1504" t="s">
        <v>59</v>
      </c>
      <c r="B1504" t="str">
        <f>"002833"</f>
        <v>002833</v>
      </c>
      <c r="C1504" t="s">
        <v>3325</v>
      </c>
      <c r="D1504" t="s">
        <v>1351</v>
      </c>
      <c r="F1504">
        <v>550644896</v>
      </c>
      <c r="G1504">
        <v>414171374</v>
      </c>
      <c r="H1504">
        <v>352139422</v>
      </c>
      <c r="I1504">
        <v>300052170</v>
      </c>
      <c r="J1504">
        <v>225933049</v>
      </c>
      <c r="K1504">
        <v>159299089</v>
      </c>
      <c r="L1504">
        <v>112619450</v>
      </c>
      <c r="M1504">
        <v>107180190</v>
      </c>
      <c r="N1504">
        <v>52545562</v>
      </c>
      <c r="P1504">
        <v>2869</v>
      </c>
      <c r="Q1504" t="s">
        <v>3326</v>
      </c>
    </row>
    <row r="1505" spans="1:17" x14ac:dyDescent="0.3">
      <c r="A1505" t="s">
        <v>59</v>
      </c>
      <c r="B1505" t="str">
        <f>"300861"</f>
        <v>300861</v>
      </c>
      <c r="C1505" t="s">
        <v>3327</v>
      </c>
      <c r="D1505" t="s">
        <v>1636</v>
      </c>
      <c r="F1505">
        <v>342895357</v>
      </c>
      <c r="G1505">
        <v>255888493</v>
      </c>
      <c r="H1505">
        <v>351607503</v>
      </c>
      <c r="I1505">
        <v>973483156</v>
      </c>
      <c r="J1505">
        <v>126512672</v>
      </c>
      <c r="K1505">
        <v>-46751800</v>
      </c>
      <c r="L1505">
        <v>-1696300</v>
      </c>
      <c r="P1505">
        <v>147</v>
      </c>
      <c r="Q1505" t="s">
        <v>3328</v>
      </c>
    </row>
    <row r="1506" spans="1:17" x14ac:dyDescent="0.3">
      <c r="A1506" t="s">
        <v>59</v>
      </c>
      <c r="B1506" t="str">
        <f>"300363"</f>
        <v>300363</v>
      </c>
      <c r="C1506" t="s">
        <v>3329</v>
      </c>
      <c r="D1506" t="s">
        <v>751</v>
      </c>
      <c r="F1506">
        <v>480173087</v>
      </c>
      <c r="G1506">
        <v>504374813</v>
      </c>
      <c r="H1506">
        <v>351373890</v>
      </c>
      <c r="I1506">
        <v>193617828</v>
      </c>
      <c r="J1506">
        <v>289458496</v>
      </c>
      <c r="K1506">
        <v>285331010</v>
      </c>
      <c r="L1506">
        <v>112313252</v>
      </c>
      <c r="M1506">
        <v>121921427</v>
      </c>
      <c r="N1506">
        <v>114053198</v>
      </c>
      <c r="O1506">
        <v>114209604</v>
      </c>
      <c r="P1506">
        <v>542</v>
      </c>
      <c r="Q1506" t="s">
        <v>3330</v>
      </c>
    </row>
    <row r="1507" spans="1:17" x14ac:dyDescent="0.3">
      <c r="A1507" t="s">
        <v>17</v>
      </c>
      <c r="B1507" t="str">
        <f>"603558"</f>
        <v>603558</v>
      </c>
      <c r="C1507" t="s">
        <v>3331</v>
      </c>
      <c r="D1507" t="s">
        <v>1090</v>
      </c>
      <c r="F1507">
        <v>270617334</v>
      </c>
      <c r="G1507">
        <v>259450931</v>
      </c>
      <c r="H1507">
        <v>350866740</v>
      </c>
      <c r="I1507">
        <v>257563652</v>
      </c>
      <c r="J1507">
        <v>116387791</v>
      </c>
      <c r="K1507">
        <v>66268793</v>
      </c>
      <c r="L1507">
        <v>99268727</v>
      </c>
      <c r="M1507">
        <v>102435381</v>
      </c>
      <c r="N1507">
        <v>98850991</v>
      </c>
      <c r="O1507">
        <v>65256604</v>
      </c>
      <c r="P1507">
        <v>136</v>
      </c>
      <c r="Q1507" t="s">
        <v>3332</v>
      </c>
    </row>
    <row r="1508" spans="1:17" x14ac:dyDescent="0.3">
      <c r="A1508" t="s">
        <v>59</v>
      </c>
      <c r="B1508" t="str">
        <f>"301051"</f>
        <v>301051</v>
      </c>
      <c r="C1508" t="s">
        <v>3333</v>
      </c>
      <c r="D1508" t="s">
        <v>349</v>
      </c>
      <c r="F1508">
        <v>326954064</v>
      </c>
      <c r="G1508">
        <v>113512989</v>
      </c>
      <c r="H1508">
        <v>350727583</v>
      </c>
      <c r="I1508">
        <v>144060444</v>
      </c>
      <c r="J1508">
        <v>18003722</v>
      </c>
      <c r="K1508">
        <v>24013652</v>
      </c>
      <c r="P1508">
        <v>18</v>
      </c>
      <c r="Q1508" t="s">
        <v>3334</v>
      </c>
    </row>
    <row r="1509" spans="1:17" x14ac:dyDescent="0.3">
      <c r="A1509" t="s">
        <v>59</v>
      </c>
      <c r="B1509" t="str">
        <f>"002457"</f>
        <v>002457</v>
      </c>
      <c r="C1509" t="s">
        <v>3335</v>
      </c>
      <c r="D1509" t="s">
        <v>1858</v>
      </c>
      <c r="F1509">
        <v>-135963294</v>
      </c>
      <c r="G1509">
        <v>100509801</v>
      </c>
      <c r="H1509">
        <v>350693853</v>
      </c>
      <c r="I1509">
        <v>-180970934</v>
      </c>
      <c r="J1509">
        <v>100743822</v>
      </c>
      <c r="K1509">
        <v>173009073</v>
      </c>
      <c r="L1509">
        <v>127333153</v>
      </c>
      <c r="M1509">
        <v>91980020</v>
      </c>
      <c r="N1509">
        <v>223050313</v>
      </c>
      <c r="O1509">
        <v>61833674</v>
      </c>
      <c r="P1509">
        <v>132</v>
      </c>
      <c r="Q1509" t="s">
        <v>3336</v>
      </c>
    </row>
    <row r="1510" spans="1:17" x14ac:dyDescent="0.3">
      <c r="A1510" t="s">
        <v>17</v>
      </c>
      <c r="B1510" t="str">
        <f>"688772"</f>
        <v>688772</v>
      </c>
      <c r="C1510" t="s">
        <v>3337</v>
      </c>
      <c r="D1510" t="s">
        <v>232</v>
      </c>
      <c r="F1510">
        <v>1988253395</v>
      </c>
      <c r="G1510">
        <v>1876221625</v>
      </c>
      <c r="H1510">
        <v>350347691</v>
      </c>
      <c r="I1510">
        <v>-195987422</v>
      </c>
      <c r="J1510">
        <v>-293082381</v>
      </c>
      <c r="P1510">
        <v>33</v>
      </c>
      <c r="Q1510" t="s">
        <v>3338</v>
      </c>
    </row>
    <row r="1511" spans="1:17" x14ac:dyDescent="0.3">
      <c r="A1511" t="s">
        <v>17</v>
      </c>
      <c r="B1511" t="str">
        <f>"600293"</f>
        <v>600293</v>
      </c>
      <c r="C1511" t="s">
        <v>3339</v>
      </c>
      <c r="D1511" t="s">
        <v>901</v>
      </c>
      <c r="F1511">
        <v>826828865</v>
      </c>
      <c r="G1511">
        <v>284157582</v>
      </c>
      <c r="H1511">
        <v>349970065</v>
      </c>
      <c r="I1511">
        <v>476555254</v>
      </c>
      <c r="J1511">
        <v>-221737317</v>
      </c>
      <c r="K1511">
        <v>-716137965</v>
      </c>
      <c r="L1511">
        <v>-9217343</v>
      </c>
      <c r="M1511">
        <v>-152468826</v>
      </c>
      <c r="N1511">
        <v>32046977</v>
      </c>
      <c r="O1511">
        <v>22287399</v>
      </c>
      <c r="P1511">
        <v>126</v>
      </c>
      <c r="Q1511" t="s">
        <v>3340</v>
      </c>
    </row>
    <row r="1512" spans="1:17" x14ac:dyDescent="0.3">
      <c r="A1512" t="s">
        <v>17</v>
      </c>
      <c r="B1512" t="str">
        <f>"603093"</f>
        <v>603093</v>
      </c>
      <c r="C1512" t="s">
        <v>3341</v>
      </c>
      <c r="D1512" t="s">
        <v>1233</v>
      </c>
      <c r="F1512">
        <v>4947531586</v>
      </c>
      <c r="G1512">
        <v>4983031137</v>
      </c>
      <c r="H1512">
        <v>349671861</v>
      </c>
      <c r="I1512">
        <v>-1540671193</v>
      </c>
      <c r="J1512">
        <v>-2693915760</v>
      </c>
      <c r="K1512">
        <v>503649761</v>
      </c>
      <c r="L1512">
        <v>2654292800</v>
      </c>
      <c r="M1512">
        <v>1431675549</v>
      </c>
      <c r="N1512">
        <v>533338300</v>
      </c>
      <c r="O1512">
        <v>419965100</v>
      </c>
      <c r="P1512">
        <v>84</v>
      </c>
      <c r="Q1512" t="s">
        <v>3342</v>
      </c>
    </row>
    <row r="1513" spans="1:17" x14ac:dyDescent="0.3">
      <c r="A1513" t="s">
        <v>59</v>
      </c>
      <c r="B1513" t="str">
        <f>"000899"</f>
        <v>000899</v>
      </c>
      <c r="C1513" t="s">
        <v>3343</v>
      </c>
      <c r="D1513" t="s">
        <v>98</v>
      </c>
      <c r="F1513">
        <v>243962745</v>
      </c>
      <c r="G1513">
        <v>507783804</v>
      </c>
      <c r="H1513">
        <v>349307114</v>
      </c>
      <c r="I1513">
        <v>307731543</v>
      </c>
      <c r="J1513">
        <v>384981400</v>
      </c>
      <c r="K1513">
        <v>371804408</v>
      </c>
      <c r="L1513">
        <v>957304925</v>
      </c>
      <c r="M1513">
        <v>782266777</v>
      </c>
      <c r="N1513">
        <v>772888518</v>
      </c>
      <c r="O1513">
        <v>923095234</v>
      </c>
      <c r="P1513">
        <v>174</v>
      </c>
      <c r="Q1513" t="s">
        <v>3344</v>
      </c>
    </row>
    <row r="1514" spans="1:17" x14ac:dyDescent="0.3">
      <c r="A1514" t="s">
        <v>17</v>
      </c>
      <c r="B1514" t="str">
        <f>"688366"</f>
        <v>688366</v>
      </c>
      <c r="C1514" t="s">
        <v>3345</v>
      </c>
      <c r="D1514" t="s">
        <v>1036</v>
      </c>
      <c r="F1514">
        <v>342286103</v>
      </c>
      <c r="G1514">
        <v>262073462</v>
      </c>
      <c r="H1514">
        <v>348910880</v>
      </c>
      <c r="I1514">
        <v>391287205</v>
      </c>
      <c r="J1514">
        <v>351262711</v>
      </c>
      <c r="K1514">
        <v>262610924</v>
      </c>
      <c r="P1514">
        <v>265</v>
      </c>
      <c r="Q1514" t="s">
        <v>3346</v>
      </c>
    </row>
    <row r="1515" spans="1:17" x14ac:dyDescent="0.3">
      <c r="A1515" t="s">
        <v>59</v>
      </c>
      <c r="B1515" t="str">
        <f>"002696"</f>
        <v>002696</v>
      </c>
      <c r="C1515" t="s">
        <v>3347</v>
      </c>
      <c r="D1515" t="s">
        <v>2932</v>
      </c>
      <c r="F1515">
        <v>-22261380</v>
      </c>
      <c r="G1515">
        <v>34734571</v>
      </c>
      <c r="H1515">
        <v>348630396</v>
      </c>
      <c r="I1515">
        <v>91955432</v>
      </c>
      <c r="J1515">
        <v>319831824</v>
      </c>
      <c r="K1515">
        <v>78422270</v>
      </c>
      <c r="L1515">
        <v>73221446</v>
      </c>
      <c r="M1515">
        <v>-34028362</v>
      </c>
      <c r="N1515">
        <v>100308138</v>
      </c>
      <c r="O1515">
        <v>52609576</v>
      </c>
      <c r="P1515">
        <v>93</v>
      </c>
      <c r="Q1515" t="s">
        <v>3348</v>
      </c>
    </row>
    <row r="1516" spans="1:17" x14ac:dyDescent="0.3">
      <c r="A1516" t="s">
        <v>59</v>
      </c>
      <c r="B1516" t="str">
        <f>"000756"</f>
        <v>000756</v>
      </c>
      <c r="C1516" t="s">
        <v>3349</v>
      </c>
      <c r="D1516" t="s">
        <v>984</v>
      </c>
      <c r="F1516">
        <v>259116960</v>
      </c>
      <c r="G1516">
        <v>420186808</v>
      </c>
      <c r="H1516">
        <v>348271406</v>
      </c>
      <c r="I1516">
        <v>344609119</v>
      </c>
      <c r="J1516">
        <v>389971809</v>
      </c>
      <c r="K1516">
        <v>439348333</v>
      </c>
      <c r="L1516">
        <v>348636176</v>
      </c>
      <c r="M1516">
        <v>346342064</v>
      </c>
      <c r="N1516">
        <v>92636930</v>
      </c>
      <c r="O1516">
        <v>37817990</v>
      </c>
      <c r="P1516">
        <v>218</v>
      </c>
      <c r="Q1516" t="s">
        <v>3350</v>
      </c>
    </row>
    <row r="1517" spans="1:17" x14ac:dyDescent="0.3">
      <c r="A1517" t="s">
        <v>59</v>
      </c>
      <c r="B1517" t="str">
        <f>"000925"</f>
        <v>000925</v>
      </c>
      <c r="C1517" t="s">
        <v>3351</v>
      </c>
      <c r="D1517" t="s">
        <v>165</v>
      </c>
      <c r="F1517">
        <v>337390992</v>
      </c>
      <c r="G1517">
        <v>42765219</v>
      </c>
      <c r="H1517">
        <v>347889427</v>
      </c>
      <c r="I1517">
        <v>155391606</v>
      </c>
      <c r="J1517">
        <v>23556242</v>
      </c>
      <c r="K1517">
        <v>-270044646</v>
      </c>
      <c r="L1517">
        <v>-139905438</v>
      </c>
      <c r="M1517">
        <v>265637612</v>
      </c>
      <c r="N1517">
        <v>196530487</v>
      </c>
      <c r="O1517">
        <v>79623847</v>
      </c>
      <c r="P1517">
        <v>188</v>
      </c>
      <c r="Q1517" t="s">
        <v>3352</v>
      </c>
    </row>
    <row r="1518" spans="1:17" x14ac:dyDescent="0.3">
      <c r="A1518" t="s">
        <v>17</v>
      </c>
      <c r="B1518" t="str">
        <f>"603166"</f>
        <v>603166</v>
      </c>
      <c r="C1518" t="s">
        <v>3353</v>
      </c>
      <c r="D1518" t="s">
        <v>156</v>
      </c>
      <c r="F1518">
        <v>322726572</v>
      </c>
      <c r="G1518">
        <v>272107985</v>
      </c>
      <c r="H1518">
        <v>347486955</v>
      </c>
      <c r="I1518">
        <v>314192905</v>
      </c>
      <c r="J1518">
        <v>8573935</v>
      </c>
      <c r="K1518">
        <v>246788284</v>
      </c>
      <c r="L1518">
        <v>163998303</v>
      </c>
      <c r="M1518">
        <v>148956409</v>
      </c>
      <c r="N1518">
        <v>263379450</v>
      </c>
      <c r="O1518">
        <v>104694751</v>
      </c>
      <c r="P1518">
        <v>141</v>
      </c>
      <c r="Q1518" t="s">
        <v>3354</v>
      </c>
    </row>
    <row r="1519" spans="1:17" x14ac:dyDescent="0.3">
      <c r="A1519" t="s">
        <v>59</v>
      </c>
      <c r="B1519" t="str">
        <f>"300073"</f>
        <v>300073</v>
      </c>
      <c r="C1519" t="s">
        <v>3355</v>
      </c>
      <c r="D1519" t="s">
        <v>1444</v>
      </c>
      <c r="F1519">
        <v>761388844</v>
      </c>
      <c r="G1519">
        <v>661007494</v>
      </c>
      <c r="H1519">
        <v>347419787</v>
      </c>
      <c r="I1519">
        <v>286067799</v>
      </c>
      <c r="J1519">
        <v>139999896</v>
      </c>
      <c r="K1519">
        <v>-71467504</v>
      </c>
      <c r="L1519">
        <v>10141955</v>
      </c>
      <c r="M1519">
        <v>-199399</v>
      </c>
      <c r="N1519">
        <v>-73234084</v>
      </c>
      <c r="O1519">
        <v>148403270</v>
      </c>
      <c r="P1519">
        <v>826</v>
      </c>
      <c r="Q1519" t="s">
        <v>3356</v>
      </c>
    </row>
    <row r="1520" spans="1:17" x14ac:dyDescent="0.3">
      <c r="A1520" t="s">
        <v>17</v>
      </c>
      <c r="B1520" t="str">
        <f>"603161"</f>
        <v>603161</v>
      </c>
      <c r="C1520" t="s">
        <v>3357</v>
      </c>
      <c r="D1520" t="s">
        <v>156</v>
      </c>
      <c r="F1520">
        <v>297872970</v>
      </c>
      <c r="G1520">
        <v>121521526</v>
      </c>
      <c r="H1520">
        <v>346734822</v>
      </c>
      <c r="I1520">
        <v>229391</v>
      </c>
      <c r="J1520">
        <v>410470</v>
      </c>
      <c r="K1520">
        <v>50859341</v>
      </c>
      <c r="L1520">
        <v>16543841</v>
      </c>
      <c r="M1520">
        <v>27023210</v>
      </c>
      <c r="P1520">
        <v>81</v>
      </c>
      <c r="Q1520" t="s">
        <v>3358</v>
      </c>
    </row>
    <row r="1521" spans="1:17" x14ac:dyDescent="0.3">
      <c r="A1521" t="s">
        <v>17</v>
      </c>
      <c r="B1521" t="str">
        <f>"600846"</f>
        <v>600846</v>
      </c>
      <c r="C1521" t="s">
        <v>3359</v>
      </c>
      <c r="D1521" t="s">
        <v>61</v>
      </c>
      <c r="F1521">
        <v>648718362</v>
      </c>
      <c r="G1521">
        <v>1593646980</v>
      </c>
      <c r="H1521">
        <v>346309320</v>
      </c>
      <c r="I1521">
        <v>3745041684</v>
      </c>
      <c r="J1521">
        <v>-52447130</v>
      </c>
      <c r="K1521">
        <v>1453906853</v>
      </c>
      <c r="L1521">
        <v>-1680792209</v>
      </c>
      <c r="M1521">
        <v>-109213569</v>
      </c>
      <c r="N1521">
        <v>1125041256</v>
      </c>
      <c r="O1521">
        <v>55028332</v>
      </c>
      <c r="P1521">
        <v>357</v>
      </c>
      <c r="Q1521" t="s">
        <v>3360</v>
      </c>
    </row>
    <row r="1522" spans="1:17" x14ac:dyDescent="0.3">
      <c r="A1522" t="s">
        <v>59</v>
      </c>
      <c r="B1522" t="str">
        <f>"300369"</f>
        <v>300369</v>
      </c>
      <c r="C1522" t="s">
        <v>3361</v>
      </c>
      <c r="D1522" t="s">
        <v>789</v>
      </c>
      <c r="F1522">
        <v>75871780</v>
      </c>
      <c r="G1522">
        <v>446115488</v>
      </c>
      <c r="H1522">
        <v>346015579</v>
      </c>
      <c r="I1522">
        <v>85480343</v>
      </c>
      <c r="J1522">
        <v>75891137</v>
      </c>
      <c r="K1522">
        <v>93622173</v>
      </c>
      <c r="L1522">
        <v>135334038</v>
      </c>
      <c r="M1522">
        <v>99048896</v>
      </c>
      <c r="N1522">
        <v>11765377</v>
      </c>
      <c r="O1522">
        <v>26317213</v>
      </c>
      <c r="P1522">
        <v>418</v>
      </c>
      <c r="Q1522" t="s">
        <v>3362</v>
      </c>
    </row>
    <row r="1523" spans="1:17" x14ac:dyDescent="0.3">
      <c r="A1523" t="s">
        <v>59</v>
      </c>
      <c r="B1523" t="str">
        <f>"002756"</f>
        <v>002756</v>
      </c>
      <c r="C1523" t="s">
        <v>3363</v>
      </c>
      <c r="D1523" t="s">
        <v>330</v>
      </c>
      <c r="F1523">
        <v>785652625</v>
      </c>
      <c r="G1523">
        <v>549000415</v>
      </c>
      <c r="H1523">
        <v>345222346</v>
      </c>
      <c r="I1523">
        <v>506730134</v>
      </c>
      <c r="J1523">
        <v>322464767</v>
      </c>
      <c r="K1523">
        <v>235292032</v>
      </c>
      <c r="L1523">
        <v>46358999</v>
      </c>
      <c r="M1523">
        <v>249712610</v>
      </c>
      <c r="N1523">
        <v>183069298</v>
      </c>
      <c r="O1523">
        <v>182440393</v>
      </c>
      <c r="P1523">
        <v>307</v>
      </c>
      <c r="Q1523" t="s">
        <v>3364</v>
      </c>
    </row>
    <row r="1524" spans="1:17" x14ac:dyDescent="0.3">
      <c r="A1524" t="s">
        <v>59</v>
      </c>
      <c r="B1524" t="str">
        <f>"002274"</f>
        <v>002274</v>
      </c>
      <c r="C1524" t="s">
        <v>3365</v>
      </c>
      <c r="D1524" t="s">
        <v>1317</v>
      </c>
      <c r="F1524">
        <v>1795885110</v>
      </c>
      <c r="G1524">
        <v>538874605</v>
      </c>
      <c r="H1524">
        <v>344657355</v>
      </c>
      <c r="I1524">
        <v>25985408</v>
      </c>
      <c r="J1524">
        <v>-41170654</v>
      </c>
      <c r="K1524">
        <v>374130613</v>
      </c>
      <c r="L1524">
        <v>170539009</v>
      </c>
      <c r="M1524">
        <v>223421407</v>
      </c>
      <c r="N1524">
        <v>374010070</v>
      </c>
      <c r="O1524">
        <v>-11448225</v>
      </c>
      <c r="P1524">
        <v>217</v>
      </c>
      <c r="Q1524" t="s">
        <v>3366</v>
      </c>
    </row>
    <row r="1525" spans="1:17" x14ac:dyDescent="0.3">
      <c r="A1525" t="s">
        <v>59</v>
      </c>
      <c r="B1525" t="str">
        <f>"000626"</f>
        <v>000626</v>
      </c>
      <c r="C1525" t="s">
        <v>3367</v>
      </c>
      <c r="D1525" t="s">
        <v>250</v>
      </c>
      <c r="F1525">
        <v>767587135</v>
      </c>
      <c r="G1525">
        <v>-340301495</v>
      </c>
      <c r="H1525">
        <v>344596357</v>
      </c>
      <c r="I1525">
        <v>-1081083319</v>
      </c>
      <c r="J1525">
        <v>-438234020</v>
      </c>
      <c r="K1525">
        <v>21596003</v>
      </c>
      <c r="L1525">
        <v>-696783456</v>
      </c>
      <c r="M1525">
        <v>-181384430</v>
      </c>
      <c r="N1525">
        <v>-161713672</v>
      </c>
      <c r="O1525">
        <v>4300607</v>
      </c>
      <c r="P1525">
        <v>125</v>
      </c>
      <c r="Q1525" t="s">
        <v>3368</v>
      </c>
    </row>
    <row r="1526" spans="1:17" x14ac:dyDescent="0.3">
      <c r="A1526" t="s">
        <v>17</v>
      </c>
      <c r="B1526" t="str">
        <f>"603601"</f>
        <v>603601</v>
      </c>
      <c r="C1526" t="s">
        <v>3369</v>
      </c>
      <c r="D1526" t="s">
        <v>736</v>
      </c>
      <c r="F1526">
        <v>148772679</v>
      </c>
      <c r="G1526">
        <v>291270329</v>
      </c>
      <c r="H1526">
        <v>344513801</v>
      </c>
      <c r="I1526">
        <v>70702071</v>
      </c>
      <c r="J1526">
        <v>33658539</v>
      </c>
      <c r="K1526">
        <v>61879903</v>
      </c>
      <c r="L1526">
        <v>51508017</v>
      </c>
      <c r="M1526">
        <v>42807389</v>
      </c>
      <c r="N1526">
        <v>18133595</v>
      </c>
      <c r="O1526">
        <v>22519951</v>
      </c>
      <c r="P1526">
        <v>500</v>
      </c>
      <c r="Q1526" t="s">
        <v>3370</v>
      </c>
    </row>
    <row r="1527" spans="1:17" x14ac:dyDescent="0.3">
      <c r="A1527" t="s">
        <v>59</v>
      </c>
      <c r="B1527" t="str">
        <f>"300185"</f>
        <v>300185</v>
      </c>
      <c r="C1527" t="s">
        <v>3371</v>
      </c>
      <c r="D1527" t="s">
        <v>1525</v>
      </c>
      <c r="F1527">
        <v>205287332</v>
      </c>
      <c r="G1527">
        <v>693546678</v>
      </c>
      <c r="H1527">
        <v>344508190</v>
      </c>
      <c r="I1527">
        <v>238542617</v>
      </c>
      <c r="J1527">
        <v>87336180</v>
      </c>
      <c r="K1527">
        <v>206143259</v>
      </c>
      <c r="L1527">
        <v>167308579</v>
      </c>
      <c r="M1527">
        <v>46421919</v>
      </c>
      <c r="N1527">
        <v>-88356882</v>
      </c>
      <c r="O1527">
        <v>75165730</v>
      </c>
      <c r="P1527">
        <v>201</v>
      </c>
      <c r="Q1527" t="s">
        <v>3372</v>
      </c>
    </row>
    <row r="1528" spans="1:17" x14ac:dyDescent="0.3">
      <c r="A1528" t="s">
        <v>17</v>
      </c>
      <c r="B1528" t="str">
        <f>"603801"</f>
        <v>603801</v>
      </c>
      <c r="C1528" t="s">
        <v>3373</v>
      </c>
      <c r="D1528" t="s">
        <v>963</v>
      </c>
      <c r="F1528">
        <v>496020770</v>
      </c>
      <c r="G1528">
        <v>649064563</v>
      </c>
      <c r="H1528">
        <v>344382382</v>
      </c>
      <c r="I1528">
        <v>369829472</v>
      </c>
      <c r="J1528">
        <v>396074322</v>
      </c>
      <c r="K1528">
        <v>297459862</v>
      </c>
      <c r="L1528">
        <v>160812390</v>
      </c>
      <c r="M1528">
        <v>168532035</v>
      </c>
      <c r="P1528">
        <v>768</v>
      </c>
      <c r="Q1528" t="s">
        <v>3374</v>
      </c>
    </row>
    <row r="1529" spans="1:17" x14ac:dyDescent="0.3">
      <c r="A1529" t="s">
        <v>17</v>
      </c>
      <c r="B1529" t="str">
        <f>"603626"</f>
        <v>603626</v>
      </c>
      <c r="C1529" t="s">
        <v>3375</v>
      </c>
      <c r="D1529" t="s">
        <v>349</v>
      </c>
      <c r="F1529">
        <v>321775017</v>
      </c>
      <c r="G1529">
        <v>107830405</v>
      </c>
      <c r="H1529">
        <v>343971210</v>
      </c>
      <c r="I1529">
        <v>328027017</v>
      </c>
      <c r="J1529">
        <v>174493528</v>
      </c>
      <c r="K1529">
        <v>400113246</v>
      </c>
      <c r="L1529">
        <v>101724234</v>
      </c>
      <c r="M1529">
        <v>35170399</v>
      </c>
      <c r="N1529">
        <v>37038238</v>
      </c>
      <c r="P1529">
        <v>173</v>
      </c>
      <c r="Q1529" t="s">
        <v>3376</v>
      </c>
    </row>
    <row r="1530" spans="1:17" x14ac:dyDescent="0.3">
      <c r="A1530" t="s">
        <v>17</v>
      </c>
      <c r="B1530" t="str">
        <f>"603719"</f>
        <v>603719</v>
      </c>
      <c r="C1530" t="s">
        <v>3377</v>
      </c>
      <c r="D1530" t="s">
        <v>2353</v>
      </c>
      <c r="F1530">
        <v>412174692</v>
      </c>
      <c r="G1530">
        <v>330206908</v>
      </c>
      <c r="H1530">
        <v>342192636</v>
      </c>
      <c r="I1530">
        <v>148171014</v>
      </c>
      <c r="J1530">
        <v>544309252</v>
      </c>
      <c r="K1530">
        <v>752832087</v>
      </c>
      <c r="P1530">
        <v>715</v>
      </c>
      <c r="Q1530" t="s">
        <v>3378</v>
      </c>
    </row>
    <row r="1531" spans="1:17" x14ac:dyDescent="0.3">
      <c r="A1531" t="s">
        <v>17</v>
      </c>
      <c r="B1531" t="str">
        <f>"603886"</f>
        <v>603886</v>
      </c>
      <c r="C1531" t="s">
        <v>3379</v>
      </c>
      <c r="D1531" t="s">
        <v>1868</v>
      </c>
      <c r="F1531">
        <v>652225740</v>
      </c>
      <c r="G1531">
        <v>482707980</v>
      </c>
      <c r="H1531">
        <v>341199525</v>
      </c>
      <c r="I1531">
        <v>365296420</v>
      </c>
      <c r="J1531">
        <v>324748215</v>
      </c>
      <c r="K1531">
        <v>285536687</v>
      </c>
      <c r="L1531">
        <v>290375692</v>
      </c>
      <c r="M1531">
        <v>218083264</v>
      </c>
      <c r="N1531">
        <v>224865460</v>
      </c>
      <c r="P1531">
        <v>3081</v>
      </c>
      <c r="Q1531" t="s">
        <v>3380</v>
      </c>
    </row>
    <row r="1532" spans="1:17" x14ac:dyDescent="0.3">
      <c r="A1532" t="s">
        <v>17</v>
      </c>
      <c r="B1532" t="str">
        <f>"605099"</f>
        <v>605099</v>
      </c>
      <c r="C1532" t="s">
        <v>3381</v>
      </c>
      <c r="D1532" t="s">
        <v>923</v>
      </c>
      <c r="F1532">
        <v>255649774</v>
      </c>
      <c r="G1532">
        <v>404546477</v>
      </c>
      <c r="H1532">
        <v>340840795</v>
      </c>
      <c r="I1532">
        <v>234496219</v>
      </c>
      <c r="J1532">
        <v>235897930</v>
      </c>
      <c r="P1532">
        <v>166</v>
      </c>
      <c r="Q1532" t="s">
        <v>3382</v>
      </c>
    </row>
    <row r="1533" spans="1:17" x14ac:dyDescent="0.3">
      <c r="A1533" t="s">
        <v>17</v>
      </c>
      <c r="B1533" t="str">
        <f>"603055"</f>
        <v>603055</v>
      </c>
      <c r="C1533" t="s">
        <v>3383</v>
      </c>
      <c r="D1533" t="s">
        <v>3101</v>
      </c>
      <c r="F1533">
        <v>353732920</v>
      </c>
      <c r="G1533">
        <v>486297138</v>
      </c>
      <c r="H1533">
        <v>340722763</v>
      </c>
      <c r="I1533">
        <v>288427305</v>
      </c>
      <c r="J1533">
        <v>465203589</v>
      </c>
      <c r="K1533">
        <v>799162894</v>
      </c>
      <c r="L1533">
        <v>472434056</v>
      </c>
      <c r="M1533">
        <v>214431908</v>
      </c>
      <c r="P1533">
        <v>145</v>
      </c>
      <c r="Q1533" t="s">
        <v>3384</v>
      </c>
    </row>
    <row r="1534" spans="1:17" x14ac:dyDescent="0.3">
      <c r="A1534" t="s">
        <v>17</v>
      </c>
      <c r="B1534" t="str">
        <f>"688099"</f>
        <v>688099</v>
      </c>
      <c r="C1534" t="s">
        <v>3385</v>
      </c>
      <c r="D1534" t="s">
        <v>817</v>
      </c>
      <c r="F1534">
        <v>576663560</v>
      </c>
      <c r="G1534">
        <v>927020384</v>
      </c>
      <c r="H1534">
        <v>340612819</v>
      </c>
      <c r="I1534">
        <v>185140814</v>
      </c>
      <c r="J1534">
        <v>176852874</v>
      </c>
      <c r="K1534">
        <v>71890975</v>
      </c>
      <c r="P1534">
        <v>301</v>
      </c>
      <c r="Q1534" t="s">
        <v>3386</v>
      </c>
    </row>
    <row r="1535" spans="1:17" x14ac:dyDescent="0.3">
      <c r="A1535" t="s">
        <v>59</v>
      </c>
      <c r="B1535" t="str">
        <f>"002483"</f>
        <v>002483</v>
      </c>
      <c r="C1535" t="s">
        <v>3387</v>
      </c>
      <c r="D1535" t="s">
        <v>741</v>
      </c>
      <c r="F1535">
        <v>327356547</v>
      </c>
      <c r="G1535">
        <v>303891549</v>
      </c>
      <c r="H1535">
        <v>340194528</v>
      </c>
      <c r="I1535">
        <v>34839911</v>
      </c>
      <c r="J1535">
        <v>31369662</v>
      </c>
      <c r="K1535">
        <v>236342609</v>
      </c>
      <c r="L1535">
        <v>41233396</v>
      </c>
      <c r="M1535">
        <v>-268457132</v>
      </c>
      <c r="N1535">
        <v>117952313</v>
      </c>
      <c r="O1535">
        <v>62796510</v>
      </c>
      <c r="P1535">
        <v>93</v>
      </c>
      <c r="Q1535" t="s">
        <v>3388</v>
      </c>
    </row>
    <row r="1536" spans="1:17" x14ac:dyDescent="0.3">
      <c r="A1536" t="s">
        <v>17</v>
      </c>
      <c r="B1536" t="str">
        <f>"600701"</f>
        <v>600701</v>
      </c>
      <c r="C1536" t="s">
        <v>3389</v>
      </c>
      <c r="G1536">
        <v>5454416</v>
      </c>
      <c r="H1536">
        <v>339435524</v>
      </c>
      <c r="I1536">
        <v>-37261350</v>
      </c>
      <c r="J1536">
        <v>-938380311</v>
      </c>
      <c r="K1536">
        <v>-74705174</v>
      </c>
      <c r="L1536">
        <v>380456256</v>
      </c>
      <c r="M1536">
        <v>241018460</v>
      </c>
      <c r="N1536">
        <v>42651757</v>
      </c>
      <c r="O1536">
        <v>159925061</v>
      </c>
      <c r="P1536">
        <v>55</v>
      </c>
      <c r="Q1536" t="s">
        <v>3390</v>
      </c>
    </row>
    <row r="1537" spans="1:17" x14ac:dyDescent="0.3">
      <c r="A1537" t="s">
        <v>59</v>
      </c>
      <c r="B1537" t="str">
        <f>"000688"</f>
        <v>000688</v>
      </c>
      <c r="C1537" t="s">
        <v>3391</v>
      </c>
      <c r="D1537" t="s">
        <v>856</v>
      </c>
      <c r="F1537">
        <v>404217277</v>
      </c>
      <c r="G1537">
        <v>263286310</v>
      </c>
      <c r="H1537">
        <v>339230431</v>
      </c>
      <c r="I1537">
        <v>477038391</v>
      </c>
      <c r="J1537">
        <v>508659900</v>
      </c>
      <c r="K1537">
        <v>413259927</v>
      </c>
      <c r="L1537">
        <v>193125720</v>
      </c>
      <c r="M1537">
        <v>299920695</v>
      </c>
      <c r="N1537">
        <v>215699766</v>
      </c>
      <c r="O1537">
        <v>-1488988</v>
      </c>
      <c r="P1537">
        <v>197</v>
      </c>
      <c r="Q1537" t="s">
        <v>3392</v>
      </c>
    </row>
    <row r="1538" spans="1:17" x14ac:dyDescent="0.3">
      <c r="A1538" t="s">
        <v>59</v>
      </c>
      <c r="B1538" t="str">
        <f>"002376"</f>
        <v>002376</v>
      </c>
      <c r="C1538" t="s">
        <v>3393</v>
      </c>
      <c r="D1538" t="s">
        <v>707</v>
      </c>
      <c r="F1538">
        <v>-145837034</v>
      </c>
      <c r="G1538">
        <v>165387433</v>
      </c>
      <c r="H1538">
        <v>338742404</v>
      </c>
      <c r="I1538">
        <v>170107617</v>
      </c>
      <c r="J1538">
        <v>422658732</v>
      </c>
      <c r="K1538">
        <v>182916256</v>
      </c>
      <c r="L1538">
        <v>287659838</v>
      </c>
      <c r="M1538">
        <v>177509575</v>
      </c>
      <c r="N1538">
        <v>58462314</v>
      </c>
      <c r="O1538">
        <v>103587983</v>
      </c>
      <c r="P1538">
        <v>298</v>
      </c>
      <c r="Q1538" t="s">
        <v>3394</v>
      </c>
    </row>
    <row r="1539" spans="1:17" x14ac:dyDescent="0.3">
      <c r="A1539" t="s">
        <v>59</v>
      </c>
      <c r="B1539" t="str">
        <f>"300166"</f>
        <v>300166</v>
      </c>
      <c r="C1539" t="s">
        <v>3395</v>
      </c>
      <c r="D1539" t="s">
        <v>1189</v>
      </c>
      <c r="F1539">
        <v>117025936</v>
      </c>
      <c r="G1539">
        <v>434173674</v>
      </c>
      <c r="H1539">
        <v>338386353</v>
      </c>
      <c r="I1539">
        <v>239249287</v>
      </c>
      <c r="J1539">
        <v>219048812</v>
      </c>
      <c r="K1539">
        <v>90226089</v>
      </c>
      <c r="L1539">
        <v>88388705</v>
      </c>
      <c r="M1539">
        <v>85786671</v>
      </c>
      <c r="N1539">
        <v>-42074120</v>
      </c>
      <c r="O1539">
        <v>-10781429</v>
      </c>
      <c r="P1539">
        <v>461</v>
      </c>
      <c r="Q1539" t="s">
        <v>3396</v>
      </c>
    </row>
    <row r="1540" spans="1:17" x14ac:dyDescent="0.3">
      <c r="A1540" t="s">
        <v>17</v>
      </c>
      <c r="B1540" t="str">
        <f>"600778"</f>
        <v>600778</v>
      </c>
      <c r="C1540" t="s">
        <v>3397</v>
      </c>
      <c r="D1540" t="s">
        <v>829</v>
      </c>
      <c r="F1540">
        <v>239671760</v>
      </c>
      <c r="G1540">
        <v>215488927</v>
      </c>
      <c r="H1540">
        <v>338266617</v>
      </c>
      <c r="I1540">
        <v>69502334</v>
      </c>
      <c r="J1540">
        <v>741271285</v>
      </c>
      <c r="K1540">
        <v>161157823</v>
      </c>
      <c r="L1540">
        <v>454915653</v>
      </c>
      <c r="M1540">
        <v>976752115</v>
      </c>
      <c r="N1540">
        <v>717145545</v>
      </c>
      <c r="O1540">
        <v>488068455</v>
      </c>
      <c r="P1540">
        <v>82</v>
      </c>
      <c r="Q1540" t="s">
        <v>3398</v>
      </c>
    </row>
    <row r="1541" spans="1:17" x14ac:dyDescent="0.3">
      <c r="A1541" t="s">
        <v>59</v>
      </c>
      <c r="B1541" t="str">
        <f>"002116"</f>
        <v>002116</v>
      </c>
      <c r="C1541" t="s">
        <v>3399</v>
      </c>
      <c r="D1541" t="s">
        <v>199</v>
      </c>
      <c r="F1541">
        <v>429463177</v>
      </c>
      <c r="G1541">
        <v>465568259</v>
      </c>
      <c r="H1541">
        <v>338231698</v>
      </c>
      <c r="I1541">
        <v>-28826642</v>
      </c>
      <c r="J1541">
        <v>4195277</v>
      </c>
      <c r="K1541">
        <v>417167926</v>
      </c>
      <c r="L1541">
        <v>504094807</v>
      </c>
      <c r="M1541">
        <v>128945881</v>
      </c>
      <c r="N1541">
        <v>396181119</v>
      </c>
      <c r="O1541">
        <v>52830790</v>
      </c>
      <c r="P1541">
        <v>176</v>
      </c>
      <c r="Q1541" t="s">
        <v>3400</v>
      </c>
    </row>
    <row r="1542" spans="1:17" x14ac:dyDescent="0.3">
      <c r="A1542" t="s">
        <v>59</v>
      </c>
      <c r="B1542" t="str">
        <f>"300497"</f>
        <v>300497</v>
      </c>
      <c r="C1542" t="s">
        <v>3401</v>
      </c>
      <c r="D1542" t="s">
        <v>984</v>
      </c>
      <c r="F1542">
        <v>72321556</v>
      </c>
      <c r="G1542">
        <v>382350651</v>
      </c>
      <c r="H1542">
        <v>337910974</v>
      </c>
      <c r="I1542">
        <v>175913935</v>
      </c>
      <c r="J1542">
        <v>210723308</v>
      </c>
      <c r="K1542">
        <v>188534195</v>
      </c>
      <c r="L1542">
        <v>74008651</v>
      </c>
      <c r="M1542">
        <v>31389547</v>
      </c>
      <c r="N1542">
        <v>57219001</v>
      </c>
      <c r="O1542">
        <v>63195805</v>
      </c>
      <c r="P1542">
        <v>4722</v>
      </c>
      <c r="Q1542" t="s">
        <v>3402</v>
      </c>
    </row>
    <row r="1543" spans="1:17" x14ac:dyDescent="0.3">
      <c r="A1543" t="s">
        <v>59</v>
      </c>
      <c r="B1543" t="str">
        <f>"002114"</f>
        <v>002114</v>
      </c>
      <c r="C1543" t="s">
        <v>3403</v>
      </c>
      <c r="D1543" t="s">
        <v>856</v>
      </c>
      <c r="F1543">
        <v>144351711</v>
      </c>
      <c r="G1543">
        <v>51373423</v>
      </c>
      <c r="H1543">
        <v>337662898</v>
      </c>
      <c r="I1543">
        <v>226538320</v>
      </c>
      <c r="J1543">
        <v>-11350132</v>
      </c>
      <c r="K1543">
        <v>184260494</v>
      </c>
      <c r="L1543">
        <v>-13607813</v>
      </c>
      <c r="M1543">
        <v>59613095</v>
      </c>
      <c r="N1543">
        <v>111490163</v>
      </c>
      <c r="O1543">
        <v>294908002</v>
      </c>
      <c r="P1543">
        <v>73</v>
      </c>
      <c r="Q1543" t="s">
        <v>3404</v>
      </c>
    </row>
    <row r="1544" spans="1:17" x14ac:dyDescent="0.3">
      <c r="A1544" t="s">
        <v>17</v>
      </c>
      <c r="B1544" t="str">
        <f>"605266"</f>
        <v>605266</v>
      </c>
      <c r="C1544" t="s">
        <v>3405</v>
      </c>
      <c r="D1544" t="s">
        <v>1183</v>
      </c>
      <c r="F1544">
        <v>744403408</v>
      </c>
      <c r="G1544">
        <v>316635616</v>
      </c>
      <c r="H1544">
        <v>337602602</v>
      </c>
      <c r="I1544">
        <v>193205004</v>
      </c>
      <c r="J1544">
        <v>205505149</v>
      </c>
      <c r="K1544">
        <v>145226919</v>
      </c>
      <c r="P1544">
        <v>105</v>
      </c>
      <c r="Q1544" t="s">
        <v>3406</v>
      </c>
    </row>
    <row r="1545" spans="1:17" x14ac:dyDescent="0.3">
      <c r="A1545" t="s">
        <v>59</v>
      </c>
      <c r="B1545" t="str">
        <f>"002859"</f>
        <v>002859</v>
      </c>
      <c r="C1545" t="s">
        <v>3407</v>
      </c>
      <c r="D1545" t="s">
        <v>595</v>
      </c>
      <c r="F1545">
        <v>416483868</v>
      </c>
      <c r="G1545">
        <v>250536521</v>
      </c>
      <c r="H1545">
        <v>337211520</v>
      </c>
      <c r="I1545">
        <v>168349675</v>
      </c>
      <c r="J1545">
        <v>108636864</v>
      </c>
      <c r="K1545">
        <v>82361941</v>
      </c>
      <c r="L1545">
        <v>111431838</v>
      </c>
      <c r="M1545">
        <v>61473605</v>
      </c>
      <c r="P1545">
        <v>2969</v>
      </c>
      <c r="Q1545" t="s">
        <v>3408</v>
      </c>
    </row>
    <row r="1546" spans="1:17" x14ac:dyDescent="0.3">
      <c r="A1546" t="s">
        <v>59</v>
      </c>
      <c r="B1546" t="str">
        <f>"200056"</f>
        <v>200056</v>
      </c>
      <c r="C1546" t="s">
        <v>3409</v>
      </c>
      <c r="G1546">
        <v>563886674.92030001</v>
      </c>
      <c r="H1546">
        <v>336653867.78299999</v>
      </c>
      <c r="I1546">
        <v>220336587.30599999</v>
      </c>
      <c r="J1546">
        <v>403367344.68800002</v>
      </c>
      <c r="K1546">
        <v>32122326.1818</v>
      </c>
      <c r="L1546">
        <v>176637153.4878</v>
      </c>
      <c r="M1546">
        <v>-471368844.77759999</v>
      </c>
      <c r="N1546">
        <v>-516862437.03149998</v>
      </c>
      <c r="O1546">
        <v>-182235981.095</v>
      </c>
      <c r="P1546">
        <v>13</v>
      </c>
      <c r="Q1546" t="s">
        <v>3410</v>
      </c>
    </row>
    <row r="1547" spans="1:17" x14ac:dyDescent="0.3">
      <c r="A1547" t="s">
        <v>59</v>
      </c>
      <c r="B1547" t="str">
        <f>"002433"</f>
        <v>002433</v>
      </c>
      <c r="C1547" t="s">
        <v>3411</v>
      </c>
      <c r="D1547" t="s">
        <v>455</v>
      </c>
      <c r="G1547">
        <v>-162211668</v>
      </c>
      <c r="H1547">
        <v>336247216</v>
      </c>
      <c r="I1547">
        <v>108271088</v>
      </c>
      <c r="J1547">
        <v>76955182</v>
      </c>
      <c r="K1547">
        <v>-116511000</v>
      </c>
      <c r="L1547">
        <v>-1271221783</v>
      </c>
      <c r="M1547">
        <v>-270648265</v>
      </c>
      <c r="N1547">
        <v>-141975731</v>
      </c>
      <c r="O1547">
        <v>61147482</v>
      </c>
      <c r="P1547">
        <v>235</v>
      </c>
      <c r="Q1547" t="s">
        <v>3412</v>
      </c>
    </row>
    <row r="1548" spans="1:17" x14ac:dyDescent="0.3">
      <c r="A1548" t="s">
        <v>59</v>
      </c>
      <c r="B1548" t="str">
        <f>"002328"</f>
        <v>002328</v>
      </c>
      <c r="C1548" t="s">
        <v>3413</v>
      </c>
      <c r="D1548" t="s">
        <v>1226</v>
      </c>
      <c r="F1548">
        <v>192635831</v>
      </c>
      <c r="G1548">
        <v>221505321</v>
      </c>
      <c r="H1548">
        <v>336167168</v>
      </c>
      <c r="I1548">
        <v>327065638</v>
      </c>
      <c r="J1548">
        <v>397769287</v>
      </c>
      <c r="K1548">
        <v>582752117</v>
      </c>
      <c r="L1548">
        <v>86680678</v>
      </c>
      <c r="M1548">
        <v>497378962</v>
      </c>
      <c r="N1548">
        <v>200247619</v>
      </c>
      <c r="O1548">
        <v>65731564</v>
      </c>
      <c r="P1548">
        <v>110</v>
      </c>
      <c r="Q1548" t="s">
        <v>3414</v>
      </c>
    </row>
    <row r="1549" spans="1:17" x14ac:dyDescent="0.3">
      <c r="A1549" t="s">
        <v>17</v>
      </c>
      <c r="B1549" t="str">
        <f>"603608"</f>
        <v>603608</v>
      </c>
      <c r="C1549" t="s">
        <v>3415</v>
      </c>
      <c r="D1549" t="s">
        <v>3416</v>
      </c>
      <c r="F1549">
        <v>-48243197</v>
      </c>
      <c r="G1549">
        <v>242091317</v>
      </c>
      <c r="H1549">
        <v>336011517</v>
      </c>
      <c r="I1549">
        <v>303741425</v>
      </c>
      <c r="J1549">
        <v>270090208</v>
      </c>
      <c r="K1549">
        <v>212441247</v>
      </c>
      <c r="L1549">
        <v>144651223</v>
      </c>
      <c r="M1549">
        <v>236261249</v>
      </c>
      <c r="N1549">
        <v>109031164</v>
      </c>
      <c r="O1549">
        <v>62894009</v>
      </c>
      <c r="P1549">
        <v>138</v>
      </c>
      <c r="Q1549" t="s">
        <v>3417</v>
      </c>
    </row>
    <row r="1550" spans="1:17" x14ac:dyDescent="0.3">
      <c r="A1550" t="s">
        <v>59</v>
      </c>
      <c r="B1550" t="str">
        <f>"002045"</f>
        <v>002045</v>
      </c>
      <c r="C1550" t="s">
        <v>3418</v>
      </c>
      <c r="D1550" t="s">
        <v>563</v>
      </c>
      <c r="F1550">
        <v>-128185410</v>
      </c>
      <c r="G1550">
        <v>534751520</v>
      </c>
      <c r="H1550">
        <v>334568239</v>
      </c>
      <c r="I1550">
        <v>139313550</v>
      </c>
      <c r="J1550">
        <v>133830925</v>
      </c>
      <c r="K1550">
        <v>186814627</v>
      </c>
      <c r="L1550">
        <v>174285587</v>
      </c>
      <c r="M1550">
        <v>139558673</v>
      </c>
      <c r="N1550">
        <v>232662546</v>
      </c>
      <c r="O1550">
        <v>134504242</v>
      </c>
      <c r="P1550">
        <v>216</v>
      </c>
      <c r="Q1550" t="s">
        <v>3419</v>
      </c>
    </row>
    <row r="1551" spans="1:17" x14ac:dyDescent="0.3">
      <c r="A1551" t="s">
        <v>59</v>
      </c>
      <c r="B1551" t="str">
        <f>"300039"</f>
        <v>300039</v>
      </c>
      <c r="C1551" t="s">
        <v>3420</v>
      </c>
      <c r="D1551" t="s">
        <v>455</v>
      </c>
      <c r="F1551">
        <v>126078156</v>
      </c>
      <c r="G1551">
        <v>250649879</v>
      </c>
      <c r="H1551">
        <v>334085297</v>
      </c>
      <c r="I1551">
        <v>262361431</v>
      </c>
      <c r="J1551">
        <v>245758441</v>
      </c>
      <c r="K1551">
        <v>314879061</v>
      </c>
      <c r="L1551">
        <v>327081937</v>
      </c>
      <c r="M1551">
        <v>282378515</v>
      </c>
      <c r="N1551">
        <v>270234671</v>
      </c>
      <c r="O1551">
        <v>243323768</v>
      </c>
      <c r="P1551">
        <v>223</v>
      </c>
      <c r="Q1551" t="s">
        <v>3421</v>
      </c>
    </row>
    <row r="1552" spans="1:17" x14ac:dyDescent="0.3">
      <c r="A1552" t="s">
        <v>59</v>
      </c>
      <c r="B1552" t="str">
        <f>"002832"</f>
        <v>002832</v>
      </c>
      <c r="C1552" t="s">
        <v>3422</v>
      </c>
      <c r="D1552" t="s">
        <v>646</v>
      </c>
      <c r="F1552">
        <v>897523638</v>
      </c>
      <c r="G1552">
        <v>636849599</v>
      </c>
      <c r="H1552">
        <v>333469114</v>
      </c>
      <c r="I1552">
        <v>170813835</v>
      </c>
      <c r="J1552">
        <v>126498306</v>
      </c>
      <c r="K1552">
        <v>104496913</v>
      </c>
      <c r="L1552">
        <v>138227434</v>
      </c>
      <c r="M1552">
        <v>117417486</v>
      </c>
      <c r="N1552">
        <v>102196645</v>
      </c>
      <c r="P1552">
        <v>636</v>
      </c>
      <c r="Q1552" t="s">
        <v>3423</v>
      </c>
    </row>
    <row r="1553" spans="1:17" x14ac:dyDescent="0.3">
      <c r="A1553" t="s">
        <v>59</v>
      </c>
      <c r="B1553" t="str">
        <f>"000913"</f>
        <v>000913</v>
      </c>
      <c r="C1553" t="s">
        <v>3424</v>
      </c>
      <c r="D1553" t="s">
        <v>1639</v>
      </c>
      <c r="F1553">
        <v>207487670</v>
      </c>
      <c r="G1553">
        <v>503025017</v>
      </c>
      <c r="H1553">
        <v>333065638</v>
      </c>
      <c r="I1553">
        <v>-54467391</v>
      </c>
      <c r="J1553">
        <v>126688699</v>
      </c>
      <c r="K1553">
        <v>254557618</v>
      </c>
      <c r="L1553">
        <v>165015416</v>
      </c>
      <c r="M1553">
        <v>-32312905</v>
      </c>
      <c r="N1553">
        <v>-37537902</v>
      </c>
      <c r="O1553">
        <v>169305587</v>
      </c>
      <c r="P1553">
        <v>176</v>
      </c>
      <c r="Q1553" t="s">
        <v>3425</v>
      </c>
    </row>
    <row r="1554" spans="1:17" x14ac:dyDescent="0.3">
      <c r="A1554" t="s">
        <v>59</v>
      </c>
      <c r="B1554" t="str">
        <f>"200505"</f>
        <v>200505</v>
      </c>
      <c r="C1554" t="s">
        <v>3426</v>
      </c>
      <c r="F1554">
        <v>773103140.47679996</v>
      </c>
      <c r="G1554">
        <v>-292422173.35100001</v>
      </c>
      <c r="H1554">
        <v>332604759.08899999</v>
      </c>
      <c r="I1554">
        <v>967915756.81350005</v>
      </c>
      <c r="J1554">
        <v>-1655685237.556</v>
      </c>
      <c r="K1554">
        <v>287884516.50300002</v>
      </c>
      <c r="L1554">
        <v>309884072.36250001</v>
      </c>
      <c r="M1554">
        <v>-304699608.93360001</v>
      </c>
      <c r="N1554">
        <v>-58620732.235100001</v>
      </c>
      <c r="O1554">
        <v>-75104392.564600006</v>
      </c>
      <c r="P1554">
        <v>16</v>
      </c>
      <c r="Q1554" t="s">
        <v>3427</v>
      </c>
    </row>
    <row r="1555" spans="1:17" x14ac:dyDescent="0.3">
      <c r="A1555" t="s">
        <v>59</v>
      </c>
      <c r="B1555" t="str">
        <f>"002037"</f>
        <v>002037</v>
      </c>
      <c r="C1555" t="s">
        <v>3428</v>
      </c>
      <c r="D1555" t="s">
        <v>1986</v>
      </c>
      <c r="F1555">
        <v>-37090717</v>
      </c>
      <c r="G1555">
        <v>491900015</v>
      </c>
      <c r="H1555">
        <v>332284552</v>
      </c>
      <c r="I1555">
        <v>-400211343</v>
      </c>
      <c r="J1555">
        <v>740249800</v>
      </c>
      <c r="K1555">
        <v>781728687</v>
      </c>
      <c r="L1555">
        <v>199957438</v>
      </c>
      <c r="M1555">
        <v>-595825685</v>
      </c>
      <c r="N1555">
        <v>-301746424</v>
      </c>
      <c r="O1555">
        <v>-265301546</v>
      </c>
      <c r="P1555">
        <v>81</v>
      </c>
      <c r="Q1555" t="s">
        <v>3429</v>
      </c>
    </row>
    <row r="1556" spans="1:17" x14ac:dyDescent="0.3">
      <c r="A1556" t="s">
        <v>59</v>
      </c>
      <c r="B1556" t="str">
        <f>"002409"</f>
        <v>002409</v>
      </c>
      <c r="C1556" t="s">
        <v>3430</v>
      </c>
      <c r="D1556" t="s">
        <v>874</v>
      </c>
      <c r="F1556">
        <v>320457983</v>
      </c>
      <c r="G1556">
        <v>196761130</v>
      </c>
      <c r="H1556">
        <v>332011231</v>
      </c>
      <c r="I1556">
        <v>249161579</v>
      </c>
      <c r="J1556">
        <v>5676821</v>
      </c>
      <c r="K1556">
        <v>70704836</v>
      </c>
      <c r="L1556">
        <v>120513004</v>
      </c>
      <c r="M1556">
        <v>168022048</v>
      </c>
      <c r="N1556">
        <v>-29866512</v>
      </c>
      <c r="O1556">
        <v>56870955</v>
      </c>
      <c r="P1556">
        <v>496</v>
      </c>
      <c r="Q1556" t="s">
        <v>3431</v>
      </c>
    </row>
    <row r="1557" spans="1:17" x14ac:dyDescent="0.3">
      <c r="A1557" t="s">
        <v>59</v>
      </c>
      <c r="B1557" t="str">
        <f>"300228"</f>
        <v>300228</v>
      </c>
      <c r="C1557" t="s">
        <v>3432</v>
      </c>
      <c r="D1557" t="s">
        <v>637</v>
      </c>
      <c r="F1557">
        <v>293088799</v>
      </c>
      <c r="G1557">
        <v>100412618</v>
      </c>
      <c r="H1557">
        <v>331896933</v>
      </c>
      <c r="I1557">
        <v>259607930</v>
      </c>
      <c r="J1557">
        <v>19569884</v>
      </c>
      <c r="K1557">
        <v>-63584407</v>
      </c>
      <c r="L1557">
        <v>67063806</v>
      </c>
      <c r="M1557">
        <v>223474727</v>
      </c>
      <c r="N1557">
        <v>-135587556</v>
      </c>
      <c r="O1557">
        <v>155204361</v>
      </c>
      <c r="P1557">
        <v>128</v>
      </c>
      <c r="Q1557" t="s">
        <v>3433</v>
      </c>
    </row>
    <row r="1558" spans="1:17" x14ac:dyDescent="0.3">
      <c r="A1558" t="s">
        <v>17</v>
      </c>
      <c r="B1558" t="str">
        <f>"601127"</f>
        <v>601127</v>
      </c>
      <c r="C1558" t="s">
        <v>3434</v>
      </c>
      <c r="D1558" t="s">
        <v>57</v>
      </c>
      <c r="F1558">
        <v>-987448451</v>
      </c>
      <c r="G1558">
        <v>1087930057</v>
      </c>
      <c r="H1558">
        <v>331593793</v>
      </c>
      <c r="I1558">
        <v>1111350687</v>
      </c>
      <c r="J1558">
        <v>997184219</v>
      </c>
      <c r="K1558">
        <v>1145904173</v>
      </c>
      <c r="L1558">
        <v>391626442</v>
      </c>
      <c r="M1558">
        <v>396283875</v>
      </c>
      <c r="N1558">
        <v>106400246</v>
      </c>
      <c r="P1558">
        <v>476</v>
      </c>
      <c r="Q1558" t="s">
        <v>3435</v>
      </c>
    </row>
    <row r="1559" spans="1:17" x14ac:dyDescent="0.3">
      <c r="A1559" t="s">
        <v>59</v>
      </c>
      <c r="B1559" t="str">
        <f>"002706"</f>
        <v>002706</v>
      </c>
      <c r="C1559" t="s">
        <v>3436</v>
      </c>
      <c r="D1559" t="s">
        <v>458</v>
      </c>
      <c r="F1559">
        <v>382074234</v>
      </c>
      <c r="G1559">
        <v>633409825</v>
      </c>
      <c r="H1559">
        <v>331286520</v>
      </c>
      <c r="I1559">
        <v>261970952</v>
      </c>
      <c r="J1559">
        <v>171301937</v>
      </c>
      <c r="K1559">
        <v>222452685</v>
      </c>
      <c r="L1559">
        <v>167681179</v>
      </c>
      <c r="M1559">
        <v>83596292</v>
      </c>
      <c r="N1559">
        <v>45687230</v>
      </c>
      <c r="O1559">
        <v>88727802</v>
      </c>
      <c r="P1559">
        <v>761</v>
      </c>
      <c r="Q1559" t="s">
        <v>3437</v>
      </c>
    </row>
    <row r="1560" spans="1:17" x14ac:dyDescent="0.3">
      <c r="A1560" t="s">
        <v>59</v>
      </c>
      <c r="B1560" t="str">
        <f>"001201"</f>
        <v>001201</v>
      </c>
      <c r="C1560" t="s">
        <v>3438</v>
      </c>
      <c r="D1560" t="s">
        <v>196</v>
      </c>
      <c r="F1560">
        <v>144842324</v>
      </c>
      <c r="G1560">
        <v>615974334</v>
      </c>
      <c r="H1560">
        <v>331006464</v>
      </c>
      <c r="I1560">
        <v>9556176</v>
      </c>
      <c r="J1560">
        <v>97882404</v>
      </c>
      <c r="P1560">
        <v>61</v>
      </c>
      <c r="Q1560" t="s">
        <v>3439</v>
      </c>
    </row>
    <row r="1561" spans="1:17" x14ac:dyDescent="0.3">
      <c r="A1561" t="s">
        <v>17</v>
      </c>
      <c r="B1561" t="str">
        <f>"603788"</f>
        <v>603788</v>
      </c>
      <c r="C1561" t="s">
        <v>3440</v>
      </c>
      <c r="D1561" t="s">
        <v>156</v>
      </c>
      <c r="F1561">
        <v>160258055</v>
      </c>
      <c r="G1561">
        <v>176935692</v>
      </c>
      <c r="H1561">
        <v>330937199</v>
      </c>
      <c r="I1561">
        <v>246353885</v>
      </c>
      <c r="J1561">
        <v>105028048</v>
      </c>
      <c r="K1561">
        <v>78781072</v>
      </c>
      <c r="L1561">
        <v>22535860</v>
      </c>
      <c r="M1561">
        <v>51839224</v>
      </c>
      <c r="N1561">
        <v>66586132</v>
      </c>
      <c r="O1561">
        <v>58104168</v>
      </c>
      <c r="P1561">
        <v>330</v>
      </c>
      <c r="Q1561" t="s">
        <v>3441</v>
      </c>
    </row>
    <row r="1562" spans="1:17" x14ac:dyDescent="0.3">
      <c r="A1562" t="s">
        <v>17</v>
      </c>
      <c r="B1562" t="str">
        <f>"601038"</f>
        <v>601038</v>
      </c>
      <c r="C1562" t="s">
        <v>3442</v>
      </c>
      <c r="D1562" t="s">
        <v>3443</v>
      </c>
      <c r="F1562">
        <v>582279759</v>
      </c>
      <c r="G1562">
        <v>1248778258</v>
      </c>
      <c r="H1562">
        <v>330731670</v>
      </c>
      <c r="I1562">
        <v>-384397748</v>
      </c>
      <c r="J1562">
        <v>-556313932</v>
      </c>
      <c r="K1562">
        <v>2093174716</v>
      </c>
      <c r="L1562">
        <v>637795720</v>
      </c>
      <c r="M1562">
        <v>74866398</v>
      </c>
      <c r="N1562">
        <v>-131904553</v>
      </c>
      <c r="O1562">
        <v>555132845</v>
      </c>
      <c r="P1562">
        <v>179</v>
      </c>
      <c r="Q1562" t="s">
        <v>3444</v>
      </c>
    </row>
    <row r="1563" spans="1:17" x14ac:dyDescent="0.3">
      <c r="A1563" t="s">
        <v>59</v>
      </c>
      <c r="B1563" t="str">
        <f>"002451"</f>
        <v>002451</v>
      </c>
      <c r="C1563" t="s">
        <v>3445</v>
      </c>
      <c r="D1563" t="s">
        <v>1065</v>
      </c>
      <c r="F1563">
        <v>-408422893</v>
      </c>
      <c r="G1563">
        <v>-30911347</v>
      </c>
      <c r="H1563">
        <v>330262333</v>
      </c>
      <c r="I1563">
        <v>64592885</v>
      </c>
      <c r="J1563">
        <v>80986082</v>
      </c>
      <c r="K1563">
        <v>-12233442</v>
      </c>
      <c r="L1563">
        <v>-43956791</v>
      </c>
      <c r="M1563">
        <v>-10464370</v>
      </c>
      <c r="N1563">
        <v>-89741570</v>
      </c>
      <c r="O1563">
        <v>-71691566</v>
      </c>
      <c r="P1563">
        <v>105</v>
      </c>
      <c r="Q1563" t="s">
        <v>3446</v>
      </c>
    </row>
    <row r="1564" spans="1:17" x14ac:dyDescent="0.3">
      <c r="A1564" t="s">
        <v>59</v>
      </c>
      <c r="B1564" t="str">
        <f>"002140"</f>
        <v>002140</v>
      </c>
      <c r="C1564" t="s">
        <v>3447</v>
      </c>
      <c r="D1564" t="s">
        <v>482</v>
      </c>
      <c r="F1564">
        <v>682998937</v>
      </c>
      <c r="G1564">
        <v>377588254</v>
      </c>
      <c r="H1564">
        <v>330257894</v>
      </c>
      <c r="I1564">
        <v>-432332349</v>
      </c>
      <c r="J1564">
        <v>397203839</v>
      </c>
      <c r="K1564">
        <v>191109844</v>
      </c>
      <c r="L1564">
        <v>-111173776</v>
      </c>
      <c r="M1564">
        <v>389717629</v>
      </c>
      <c r="N1564">
        <v>105325381</v>
      </c>
      <c r="O1564">
        <v>316129453</v>
      </c>
      <c r="P1564">
        <v>129</v>
      </c>
      <c r="Q1564" t="s">
        <v>3448</v>
      </c>
    </row>
    <row r="1565" spans="1:17" x14ac:dyDescent="0.3">
      <c r="A1565" t="s">
        <v>17</v>
      </c>
      <c r="B1565" t="str">
        <f>"600638"</f>
        <v>600638</v>
      </c>
      <c r="C1565" t="s">
        <v>3449</v>
      </c>
      <c r="D1565" t="s">
        <v>61</v>
      </c>
      <c r="F1565">
        <v>1614383137</v>
      </c>
      <c r="G1565">
        <v>1351771248</v>
      </c>
      <c r="H1565">
        <v>330241910</v>
      </c>
      <c r="I1565">
        <v>-621713263</v>
      </c>
      <c r="J1565">
        <v>-438158407</v>
      </c>
      <c r="K1565">
        <v>576560208</v>
      </c>
      <c r="L1565">
        <v>493507814</v>
      </c>
      <c r="M1565">
        <v>315654843</v>
      </c>
      <c r="N1565">
        <v>-331041151</v>
      </c>
      <c r="O1565">
        <v>359094240</v>
      </c>
      <c r="P1565">
        <v>106</v>
      </c>
      <c r="Q1565" t="s">
        <v>3450</v>
      </c>
    </row>
    <row r="1566" spans="1:17" x14ac:dyDescent="0.3">
      <c r="A1566" t="s">
        <v>59</v>
      </c>
      <c r="B1566" t="str">
        <f>"002414"</f>
        <v>002414</v>
      </c>
      <c r="C1566" t="s">
        <v>3451</v>
      </c>
      <c r="D1566" t="s">
        <v>1983</v>
      </c>
      <c r="F1566">
        <v>1206582418</v>
      </c>
      <c r="G1566">
        <v>-27356261</v>
      </c>
      <c r="H1566">
        <v>330008876</v>
      </c>
      <c r="I1566">
        <v>290728879</v>
      </c>
      <c r="J1566">
        <v>31835564</v>
      </c>
      <c r="K1566">
        <v>-123323214</v>
      </c>
      <c r="L1566">
        <v>53258852</v>
      </c>
      <c r="M1566">
        <v>-58480771</v>
      </c>
      <c r="N1566">
        <v>-39645349</v>
      </c>
      <c r="O1566">
        <v>-250717686</v>
      </c>
      <c r="P1566">
        <v>789</v>
      </c>
      <c r="Q1566" t="s">
        <v>3452</v>
      </c>
    </row>
    <row r="1567" spans="1:17" x14ac:dyDescent="0.3">
      <c r="A1567" t="s">
        <v>59</v>
      </c>
      <c r="B1567" t="str">
        <f>"002884"</f>
        <v>002884</v>
      </c>
      <c r="C1567" t="s">
        <v>3453</v>
      </c>
      <c r="D1567" t="s">
        <v>1838</v>
      </c>
      <c r="F1567">
        <v>274070743</v>
      </c>
      <c r="G1567">
        <v>277228604</v>
      </c>
      <c r="H1567">
        <v>329755417</v>
      </c>
      <c r="I1567">
        <v>196171289</v>
      </c>
      <c r="J1567">
        <v>123544113</v>
      </c>
      <c r="K1567">
        <v>150061251</v>
      </c>
      <c r="L1567">
        <v>169500953</v>
      </c>
      <c r="M1567">
        <v>96417286</v>
      </c>
      <c r="P1567">
        <v>995</v>
      </c>
      <c r="Q1567" t="s">
        <v>3454</v>
      </c>
    </row>
    <row r="1568" spans="1:17" x14ac:dyDescent="0.3">
      <c r="A1568" t="s">
        <v>59</v>
      </c>
      <c r="B1568" t="str">
        <f>"300677"</f>
        <v>300677</v>
      </c>
      <c r="C1568" t="s">
        <v>3455</v>
      </c>
      <c r="D1568" t="s">
        <v>1036</v>
      </c>
      <c r="F1568">
        <v>8680078255</v>
      </c>
      <c r="G1568">
        <v>8590492246</v>
      </c>
      <c r="H1568">
        <v>329690320</v>
      </c>
      <c r="I1568">
        <v>185778015</v>
      </c>
      <c r="J1568">
        <v>247484532</v>
      </c>
      <c r="K1568">
        <v>78461245</v>
      </c>
      <c r="L1568">
        <v>76291018</v>
      </c>
      <c r="M1568">
        <v>77277194</v>
      </c>
      <c r="P1568">
        <v>1821</v>
      </c>
      <c r="Q1568" t="s">
        <v>3456</v>
      </c>
    </row>
    <row r="1569" spans="1:17" x14ac:dyDescent="0.3">
      <c r="A1569" t="s">
        <v>59</v>
      </c>
      <c r="B1569" t="str">
        <f>"002109"</f>
        <v>002109</v>
      </c>
      <c r="C1569" t="s">
        <v>3457</v>
      </c>
      <c r="D1569" t="s">
        <v>1507</v>
      </c>
      <c r="F1569">
        <v>679614415</v>
      </c>
      <c r="G1569">
        <v>606994083</v>
      </c>
      <c r="H1569">
        <v>329687728</v>
      </c>
      <c r="I1569">
        <v>488412762</v>
      </c>
      <c r="J1569">
        <v>486646317</v>
      </c>
      <c r="K1569">
        <v>213391065</v>
      </c>
      <c r="L1569">
        <v>8098400</v>
      </c>
      <c r="M1569">
        <v>-84524174</v>
      </c>
      <c r="N1569">
        <v>45686038</v>
      </c>
      <c r="O1569">
        <v>143000431</v>
      </c>
      <c r="P1569">
        <v>138</v>
      </c>
      <c r="Q1569" t="s">
        <v>3458</v>
      </c>
    </row>
    <row r="1570" spans="1:17" x14ac:dyDescent="0.3">
      <c r="A1570" t="s">
        <v>17</v>
      </c>
      <c r="B1570" t="str">
        <f>"600856"</f>
        <v>600856</v>
      </c>
      <c r="C1570" t="s">
        <v>3459</v>
      </c>
      <c r="D1570" t="s">
        <v>536</v>
      </c>
      <c r="F1570">
        <v>176941365</v>
      </c>
      <c r="G1570">
        <v>69156219</v>
      </c>
      <c r="H1570">
        <v>328104508</v>
      </c>
      <c r="I1570">
        <v>241617901</v>
      </c>
      <c r="J1570">
        <v>691888485</v>
      </c>
      <c r="K1570">
        <v>347607714</v>
      </c>
      <c r="L1570">
        <v>71876283</v>
      </c>
      <c r="M1570">
        <v>24253817</v>
      </c>
      <c r="N1570">
        <v>49789796</v>
      </c>
      <c r="O1570">
        <v>55671017</v>
      </c>
      <c r="P1570">
        <v>129</v>
      </c>
      <c r="Q1570" t="s">
        <v>3460</v>
      </c>
    </row>
    <row r="1571" spans="1:17" x14ac:dyDescent="0.3">
      <c r="A1571" t="s">
        <v>59</v>
      </c>
      <c r="B1571" t="str">
        <f>"002978"</f>
        <v>002978</v>
      </c>
      <c r="C1571" t="s">
        <v>3461</v>
      </c>
      <c r="D1571" t="s">
        <v>987</v>
      </c>
      <c r="F1571">
        <v>1143344141</v>
      </c>
      <c r="G1571">
        <v>976787030</v>
      </c>
      <c r="H1571">
        <v>328055560</v>
      </c>
      <c r="I1571">
        <v>654701113</v>
      </c>
      <c r="J1571">
        <v>405657018</v>
      </c>
      <c r="P1571">
        <v>229</v>
      </c>
      <c r="Q1571" t="s">
        <v>3462</v>
      </c>
    </row>
    <row r="1572" spans="1:17" x14ac:dyDescent="0.3">
      <c r="A1572" t="s">
        <v>59</v>
      </c>
      <c r="B1572" t="str">
        <f>"002029"</f>
        <v>002029</v>
      </c>
      <c r="C1572" t="s">
        <v>3463</v>
      </c>
      <c r="D1572" t="s">
        <v>646</v>
      </c>
      <c r="F1572">
        <v>544613445</v>
      </c>
      <c r="G1572">
        <v>580937241</v>
      </c>
      <c r="H1572">
        <v>327558408</v>
      </c>
      <c r="I1572">
        <v>304600317</v>
      </c>
      <c r="J1572">
        <v>650608263</v>
      </c>
      <c r="K1572">
        <v>589260348</v>
      </c>
      <c r="L1572">
        <v>640989934</v>
      </c>
      <c r="M1572">
        <v>766877429</v>
      </c>
      <c r="N1572">
        <v>683208818</v>
      </c>
      <c r="O1572">
        <v>438171047</v>
      </c>
      <c r="P1572">
        <v>217</v>
      </c>
      <c r="Q1572" t="s">
        <v>3464</v>
      </c>
    </row>
    <row r="1573" spans="1:17" x14ac:dyDescent="0.3">
      <c r="A1573" t="s">
        <v>59</v>
      </c>
      <c r="B1573" t="str">
        <f>"002957"</f>
        <v>002957</v>
      </c>
      <c r="C1573" t="s">
        <v>3465</v>
      </c>
      <c r="D1573" t="s">
        <v>1426</v>
      </c>
      <c r="F1573">
        <v>42971056</v>
      </c>
      <c r="G1573">
        <v>200515596</v>
      </c>
      <c r="H1573">
        <v>327328644</v>
      </c>
      <c r="I1573">
        <v>280673815</v>
      </c>
      <c r="J1573">
        <v>128314552</v>
      </c>
      <c r="K1573">
        <v>472120968</v>
      </c>
      <c r="P1573">
        <v>182</v>
      </c>
      <c r="Q1573" t="s">
        <v>3466</v>
      </c>
    </row>
    <row r="1574" spans="1:17" x14ac:dyDescent="0.3">
      <c r="A1574" t="s">
        <v>59</v>
      </c>
      <c r="B1574" t="str">
        <f>"000901"</f>
        <v>000901</v>
      </c>
      <c r="C1574" t="s">
        <v>3467</v>
      </c>
      <c r="D1574" t="s">
        <v>1983</v>
      </c>
      <c r="F1574">
        <v>264818189</v>
      </c>
      <c r="G1574">
        <v>58365764</v>
      </c>
      <c r="H1574">
        <v>327272315</v>
      </c>
      <c r="I1574">
        <v>323042835</v>
      </c>
      <c r="J1574">
        <v>360859473</v>
      </c>
      <c r="K1574">
        <v>439871654</v>
      </c>
      <c r="L1574">
        <v>-28964197</v>
      </c>
      <c r="M1574">
        <v>-256157</v>
      </c>
      <c r="N1574">
        <v>-35899143</v>
      </c>
      <c r="O1574">
        <v>-66303482</v>
      </c>
      <c r="P1574">
        <v>224</v>
      </c>
      <c r="Q1574" t="s">
        <v>3468</v>
      </c>
    </row>
    <row r="1575" spans="1:17" x14ac:dyDescent="0.3">
      <c r="A1575" t="s">
        <v>17</v>
      </c>
      <c r="B1575" t="str">
        <f>"600129"</f>
        <v>600129</v>
      </c>
      <c r="C1575" t="s">
        <v>3469</v>
      </c>
      <c r="D1575" t="s">
        <v>455</v>
      </c>
      <c r="F1575">
        <v>558812796</v>
      </c>
      <c r="G1575">
        <v>749791289</v>
      </c>
      <c r="H1575">
        <v>327246057</v>
      </c>
      <c r="I1575">
        <v>104409864</v>
      </c>
      <c r="J1575">
        <v>-140307650</v>
      </c>
      <c r="K1575">
        <v>-105607736</v>
      </c>
      <c r="L1575">
        <v>-60238909</v>
      </c>
      <c r="M1575">
        <v>-276282120</v>
      </c>
      <c r="N1575">
        <v>-139449314</v>
      </c>
      <c r="O1575">
        <v>80079870</v>
      </c>
      <c r="P1575">
        <v>283</v>
      </c>
      <c r="Q1575" t="s">
        <v>3470</v>
      </c>
    </row>
    <row r="1576" spans="1:17" x14ac:dyDescent="0.3">
      <c r="A1576" t="s">
        <v>59</v>
      </c>
      <c r="B1576" t="str">
        <f>"002218"</f>
        <v>002218</v>
      </c>
      <c r="C1576" t="s">
        <v>3471</v>
      </c>
      <c r="D1576" t="s">
        <v>1340</v>
      </c>
      <c r="F1576">
        <v>159415732</v>
      </c>
      <c r="G1576">
        <v>394228789</v>
      </c>
      <c r="H1576">
        <v>327168640</v>
      </c>
      <c r="I1576">
        <v>67922876</v>
      </c>
      <c r="J1576">
        <v>45478924</v>
      </c>
      <c r="K1576">
        <v>32775249</v>
      </c>
      <c r="L1576">
        <v>38058551</v>
      </c>
      <c r="M1576">
        <v>142686411</v>
      </c>
      <c r="N1576">
        <v>-75558866</v>
      </c>
      <c r="O1576">
        <v>-6591744</v>
      </c>
      <c r="P1576">
        <v>218</v>
      </c>
      <c r="Q1576" t="s">
        <v>3472</v>
      </c>
    </row>
    <row r="1577" spans="1:17" x14ac:dyDescent="0.3">
      <c r="A1577" t="s">
        <v>17</v>
      </c>
      <c r="B1577" t="str">
        <f>"600110"</f>
        <v>600110</v>
      </c>
      <c r="C1577" t="s">
        <v>3473</v>
      </c>
      <c r="D1577" t="s">
        <v>259</v>
      </c>
      <c r="F1577">
        <v>1043332002</v>
      </c>
      <c r="G1577">
        <v>516531199</v>
      </c>
      <c r="H1577">
        <v>326897169</v>
      </c>
      <c r="I1577">
        <v>315108339</v>
      </c>
      <c r="J1577">
        <v>225248987</v>
      </c>
      <c r="K1577">
        <v>435698547</v>
      </c>
      <c r="L1577">
        <v>500115158</v>
      </c>
      <c r="M1577">
        <v>223715178</v>
      </c>
      <c r="N1577">
        <v>-224641255</v>
      </c>
      <c r="O1577">
        <v>-122532044</v>
      </c>
      <c r="P1577">
        <v>339</v>
      </c>
      <c r="Q1577" t="s">
        <v>3474</v>
      </c>
    </row>
    <row r="1578" spans="1:17" x14ac:dyDescent="0.3">
      <c r="A1578" t="s">
        <v>59</v>
      </c>
      <c r="B1578" t="str">
        <f>"002517"</f>
        <v>002517</v>
      </c>
      <c r="C1578" t="s">
        <v>3475</v>
      </c>
      <c r="D1578" t="s">
        <v>689</v>
      </c>
      <c r="F1578">
        <v>500681781</v>
      </c>
      <c r="G1578">
        <v>101360407</v>
      </c>
      <c r="H1578">
        <v>326671049</v>
      </c>
      <c r="I1578">
        <v>876256738</v>
      </c>
      <c r="J1578">
        <v>742733645</v>
      </c>
      <c r="K1578">
        <v>508255328</v>
      </c>
      <c r="L1578">
        <v>643292824</v>
      </c>
      <c r="M1578">
        <v>-7240770</v>
      </c>
      <c r="N1578">
        <v>13082330</v>
      </c>
      <c r="O1578">
        <v>76827916</v>
      </c>
      <c r="P1578">
        <v>289</v>
      </c>
      <c r="Q1578" t="s">
        <v>3476</v>
      </c>
    </row>
    <row r="1579" spans="1:17" x14ac:dyDescent="0.3">
      <c r="A1579" t="s">
        <v>17</v>
      </c>
      <c r="B1579" t="str">
        <f>"688553"</f>
        <v>688553</v>
      </c>
      <c r="C1579" t="s">
        <v>3477</v>
      </c>
      <c r="D1579" t="s">
        <v>592</v>
      </c>
      <c r="F1579">
        <v>446363322</v>
      </c>
      <c r="G1579">
        <v>387947751</v>
      </c>
      <c r="H1579">
        <v>326221012</v>
      </c>
      <c r="I1579">
        <v>129060257</v>
      </c>
      <c r="J1579">
        <v>-13163831</v>
      </c>
      <c r="P1579">
        <v>30</v>
      </c>
      <c r="Q1579" t="s">
        <v>3478</v>
      </c>
    </row>
    <row r="1580" spans="1:17" x14ac:dyDescent="0.3">
      <c r="A1580" t="s">
        <v>59</v>
      </c>
      <c r="B1580" t="str">
        <f>"002887"</f>
        <v>002887</v>
      </c>
      <c r="C1580" t="s">
        <v>3479</v>
      </c>
      <c r="D1580" t="s">
        <v>2700</v>
      </c>
      <c r="F1580">
        <v>98380875</v>
      </c>
      <c r="G1580">
        <v>282691602</v>
      </c>
      <c r="H1580">
        <v>326072318</v>
      </c>
      <c r="I1580">
        <v>-8853015</v>
      </c>
      <c r="J1580">
        <v>7776492</v>
      </c>
      <c r="K1580">
        <v>120995507</v>
      </c>
      <c r="L1580">
        <v>116298528</v>
      </c>
      <c r="M1580">
        <v>-23946915</v>
      </c>
      <c r="P1580">
        <v>167</v>
      </c>
      <c r="Q1580" t="s">
        <v>3480</v>
      </c>
    </row>
    <row r="1581" spans="1:17" x14ac:dyDescent="0.3">
      <c r="A1581" t="s">
        <v>59</v>
      </c>
      <c r="B1581" t="str">
        <f>"300007"</f>
        <v>300007</v>
      </c>
      <c r="C1581" t="s">
        <v>3481</v>
      </c>
      <c r="D1581" t="s">
        <v>2382</v>
      </c>
      <c r="F1581">
        <v>214325977</v>
      </c>
      <c r="G1581">
        <v>586121669</v>
      </c>
      <c r="H1581">
        <v>325594633</v>
      </c>
      <c r="I1581">
        <v>528663711</v>
      </c>
      <c r="J1581">
        <v>131246699</v>
      </c>
      <c r="K1581">
        <v>201439000</v>
      </c>
      <c r="L1581">
        <v>149242490</v>
      </c>
      <c r="M1581">
        <v>50930042</v>
      </c>
      <c r="N1581">
        <v>77876415</v>
      </c>
      <c r="O1581">
        <v>25437893</v>
      </c>
      <c r="P1581">
        <v>314</v>
      </c>
      <c r="Q1581" t="s">
        <v>3482</v>
      </c>
    </row>
    <row r="1582" spans="1:17" x14ac:dyDescent="0.3">
      <c r="A1582" t="s">
        <v>17</v>
      </c>
      <c r="B1582" t="str">
        <f>"603306"</f>
        <v>603306</v>
      </c>
      <c r="C1582" t="s">
        <v>3483</v>
      </c>
      <c r="D1582" t="s">
        <v>289</v>
      </c>
      <c r="F1582">
        <v>200199419</v>
      </c>
      <c r="G1582">
        <v>250732490</v>
      </c>
      <c r="H1582">
        <v>325510732</v>
      </c>
      <c r="I1582">
        <v>346254195</v>
      </c>
      <c r="J1582">
        <v>361534532</v>
      </c>
      <c r="K1582">
        <v>221243579</v>
      </c>
      <c r="L1582">
        <v>126892736</v>
      </c>
      <c r="M1582">
        <v>150090271</v>
      </c>
      <c r="N1582">
        <v>84572862</v>
      </c>
      <c r="O1582">
        <v>61529357</v>
      </c>
      <c r="P1582">
        <v>631</v>
      </c>
      <c r="Q1582" t="s">
        <v>3484</v>
      </c>
    </row>
    <row r="1583" spans="1:17" x14ac:dyDescent="0.3">
      <c r="A1583" t="s">
        <v>59</v>
      </c>
      <c r="B1583" t="str">
        <f>"002986"</f>
        <v>002986</v>
      </c>
      <c r="C1583" t="s">
        <v>3485</v>
      </c>
      <c r="D1583" t="s">
        <v>445</v>
      </c>
      <c r="F1583">
        <v>144714735</v>
      </c>
      <c r="G1583">
        <v>70232513</v>
      </c>
      <c r="H1583">
        <v>325229497</v>
      </c>
      <c r="I1583">
        <v>170643541</v>
      </c>
      <c r="J1583">
        <v>127566427</v>
      </c>
      <c r="P1583">
        <v>58</v>
      </c>
      <c r="Q1583" t="s">
        <v>3486</v>
      </c>
    </row>
    <row r="1584" spans="1:17" x14ac:dyDescent="0.3">
      <c r="A1584" t="s">
        <v>17</v>
      </c>
      <c r="B1584" t="str">
        <f>"688658"</f>
        <v>688658</v>
      </c>
      <c r="C1584" t="s">
        <v>3487</v>
      </c>
      <c r="D1584" t="s">
        <v>592</v>
      </c>
      <c r="F1584">
        <v>515238541</v>
      </c>
      <c r="G1584">
        <v>697664999</v>
      </c>
      <c r="H1584">
        <v>324936161</v>
      </c>
      <c r="I1584">
        <v>192701973</v>
      </c>
      <c r="J1584">
        <v>214805333</v>
      </c>
      <c r="P1584">
        <v>75</v>
      </c>
      <c r="Q1584" t="s">
        <v>3488</v>
      </c>
    </row>
    <row r="1585" spans="1:17" x14ac:dyDescent="0.3">
      <c r="A1585" t="s">
        <v>17</v>
      </c>
      <c r="B1585" t="str">
        <f>"600150"</f>
        <v>600150</v>
      </c>
      <c r="C1585" t="s">
        <v>3489</v>
      </c>
      <c r="D1585" t="s">
        <v>614</v>
      </c>
      <c r="F1585">
        <v>2024425691</v>
      </c>
      <c r="G1585">
        <v>973591058</v>
      </c>
      <c r="H1585">
        <v>324871436</v>
      </c>
      <c r="I1585">
        <v>2248897879</v>
      </c>
      <c r="J1585">
        <v>8075313283</v>
      </c>
      <c r="K1585">
        <v>-3961061746</v>
      </c>
      <c r="L1585">
        <v>-4073208965</v>
      </c>
      <c r="M1585">
        <v>-890342025</v>
      </c>
      <c r="N1585">
        <v>-2593093656</v>
      </c>
      <c r="O1585">
        <v>-3501807357</v>
      </c>
      <c r="P1585">
        <v>469</v>
      </c>
      <c r="Q1585" t="s">
        <v>3490</v>
      </c>
    </row>
    <row r="1586" spans="1:17" x14ac:dyDescent="0.3">
      <c r="A1586" t="s">
        <v>59</v>
      </c>
      <c r="B1586" t="str">
        <f>"300114"</f>
        <v>300114</v>
      </c>
      <c r="C1586" t="s">
        <v>3491</v>
      </c>
      <c r="D1586" t="s">
        <v>1983</v>
      </c>
      <c r="F1586">
        <v>-15435098</v>
      </c>
      <c r="G1586">
        <v>215903643</v>
      </c>
      <c r="H1586">
        <v>324078910</v>
      </c>
      <c r="I1586">
        <v>87308094</v>
      </c>
      <c r="J1586">
        <v>148418018</v>
      </c>
      <c r="K1586">
        <v>234069931</v>
      </c>
      <c r="L1586">
        <v>176965015</v>
      </c>
      <c r="M1586">
        <v>74378248</v>
      </c>
      <c r="N1586">
        <v>17005964</v>
      </c>
      <c r="O1586">
        <v>25205785</v>
      </c>
      <c r="P1586">
        <v>258</v>
      </c>
      <c r="Q1586" t="s">
        <v>3492</v>
      </c>
    </row>
    <row r="1587" spans="1:17" x14ac:dyDescent="0.3">
      <c r="A1587" t="s">
        <v>17</v>
      </c>
      <c r="B1587" t="str">
        <f>"688696"</f>
        <v>688696</v>
      </c>
      <c r="C1587" t="s">
        <v>3493</v>
      </c>
      <c r="D1587" t="s">
        <v>1131</v>
      </c>
      <c r="F1587">
        <v>536165740</v>
      </c>
      <c r="G1587">
        <v>185319269</v>
      </c>
      <c r="H1587">
        <v>323805821</v>
      </c>
      <c r="I1587">
        <v>-146795657</v>
      </c>
      <c r="J1587">
        <v>-26629922</v>
      </c>
      <c r="P1587">
        <v>150</v>
      </c>
      <c r="Q1587" t="s">
        <v>3494</v>
      </c>
    </row>
    <row r="1588" spans="1:17" x14ac:dyDescent="0.3">
      <c r="A1588" t="s">
        <v>17</v>
      </c>
      <c r="B1588" t="str">
        <f>"603208"</f>
        <v>603208</v>
      </c>
      <c r="C1588" t="s">
        <v>3495</v>
      </c>
      <c r="D1588" t="s">
        <v>963</v>
      </c>
      <c r="F1588">
        <v>-17857998</v>
      </c>
      <c r="G1588">
        <v>239260506</v>
      </c>
      <c r="H1588">
        <v>323665793</v>
      </c>
      <c r="I1588">
        <v>204498504</v>
      </c>
      <c r="J1588">
        <v>33243861</v>
      </c>
      <c r="K1588">
        <v>170276214</v>
      </c>
      <c r="L1588">
        <v>106729090</v>
      </c>
      <c r="M1588">
        <v>50965927</v>
      </c>
      <c r="N1588">
        <v>84907605</v>
      </c>
      <c r="P1588">
        <v>493</v>
      </c>
      <c r="Q1588" t="s">
        <v>3496</v>
      </c>
    </row>
    <row r="1589" spans="1:17" x14ac:dyDescent="0.3">
      <c r="A1589" t="s">
        <v>59</v>
      </c>
      <c r="B1589" t="str">
        <f>"300129"</f>
        <v>300129</v>
      </c>
      <c r="C1589" t="s">
        <v>3497</v>
      </c>
      <c r="D1589" t="s">
        <v>1525</v>
      </c>
      <c r="F1589">
        <v>-13421459</v>
      </c>
      <c r="G1589">
        <v>-72649936</v>
      </c>
      <c r="H1589">
        <v>323348461</v>
      </c>
      <c r="I1589">
        <v>209287877</v>
      </c>
      <c r="J1589">
        <v>70158789</v>
      </c>
      <c r="K1589">
        <v>188835292</v>
      </c>
      <c r="L1589">
        <v>62088541</v>
      </c>
      <c r="M1589">
        <v>72685901</v>
      </c>
      <c r="N1589">
        <v>65455314</v>
      </c>
      <c r="O1589">
        <v>66477420</v>
      </c>
      <c r="P1589">
        <v>183</v>
      </c>
      <c r="Q1589" t="s">
        <v>3498</v>
      </c>
    </row>
    <row r="1590" spans="1:17" x14ac:dyDescent="0.3">
      <c r="A1590" t="s">
        <v>17</v>
      </c>
      <c r="B1590" t="str">
        <f>"603686"</f>
        <v>603686</v>
      </c>
      <c r="C1590" t="s">
        <v>3499</v>
      </c>
      <c r="D1590" t="s">
        <v>1337</v>
      </c>
      <c r="F1590">
        <v>121474545</v>
      </c>
      <c r="G1590">
        <v>879844079</v>
      </c>
      <c r="H1590">
        <v>323180867</v>
      </c>
      <c r="I1590">
        <v>-355532623</v>
      </c>
      <c r="J1590">
        <v>289358270</v>
      </c>
      <c r="K1590">
        <v>295929140</v>
      </c>
      <c r="L1590">
        <v>224175153</v>
      </c>
      <c r="M1590">
        <v>38244249</v>
      </c>
      <c r="N1590">
        <v>78125778</v>
      </c>
      <c r="O1590">
        <v>56173869</v>
      </c>
      <c r="P1590">
        <v>760</v>
      </c>
      <c r="Q1590" t="s">
        <v>3500</v>
      </c>
    </row>
    <row r="1591" spans="1:17" x14ac:dyDescent="0.3">
      <c r="A1591" t="s">
        <v>59</v>
      </c>
      <c r="B1591" t="str">
        <f>"002055"</f>
        <v>002055</v>
      </c>
      <c r="C1591" t="s">
        <v>3501</v>
      </c>
      <c r="D1591" t="s">
        <v>349</v>
      </c>
      <c r="F1591">
        <v>436815577</v>
      </c>
      <c r="G1591">
        <v>-639581722</v>
      </c>
      <c r="H1591">
        <v>322489488</v>
      </c>
      <c r="I1591">
        <v>-250338695</v>
      </c>
      <c r="J1591">
        <v>-174081162</v>
      </c>
      <c r="K1591">
        <v>65050045</v>
      </c>
      <c r="L1591">
        <v>-84398800</v>
      </c>
      <c r="M1591">
        <v>89537285</v>
      </c>
      <c r="N1591">
        <v>90372887</v>
      </c>
      <c r="O1591">
        <v>111529025</v>
      </c>
      <c r="P1591">
        <v>245</v>
      </c>
      <c r="Q1591" t="s">
        <v>3502</v>
      </c>
    </row>
    <row r="1592" spans="1:17" x14ac:dyDescent="0.3">
      <c r="A1592" t="s">
        <v>17</v>
      </c>
      <c r="B1592" t="str">
        <f>"601366"</f>
        <v>601366</v>
      </c>
      <c r="C1592" t="s">
        <v>3503</v>
      </c>
      <c r="D1592" t="s">
        <v>829</v>
      </c>
      <c r="F1592">
        <v>629109501</v>
      </c>
      <c r="G1592">
        <v>573574108</v>
      </c>
      <c r="H1592">
        <v>322205450</v>
      </c>
      <c r="I1592">
        <v>21324185</v>
      </c>
      <c r="J1592">
        <v>937385039</v>
      </c>
      <c r="K1592">
        <v>926016079</v>
      </c>
      <c r="L1592">
        <v>740392606</v>
      </c>
      <c r="M1592">
        <v>526658159</v>
      </c>
      <c r="P1592">
        <v>132</v>
      </c>
      <c r="Q1592" t="s">
        <v>3504</v>
      </c>
    </row>
    <row r="1593" spans="1:17" x14ac:dyDescent="0.3">
      <c r="A1593" t="s">
        <v>17</v>
      </c>
      <c r="B1593" t="str">
        <f>"605377"</f>
        <v>605377</v>
      </c>
      <c r="C1593" t="s">
        <v>3505</v>
      </c>
      <c r="D1593" t="s">
        <v>2856</v>
      </c>
      <c r="F1593">
        <v>526960643</v>
      </c>
      <c r="G1593">
        <v>214864026</v>
      </c>
      <c r="H1593">
        <v>322169454</v>
      </c>
      <c r="I1593">
        <v>231658065</v>
      </c>
      <c r="J1593">
        <v>-196771046</v>
      </c>
      <c r="K1593">
        <v>-54720303</v>
      </c>
      <c r="P1593">
        <v>59</v>
      </c>
      <c r="Q1593" t="s">
        <v>3506</v>
      </c>
    </row>
    <row r="1594" spans="1:17" x14ac:dyDescent="0.3">
      <c r="A1594" t="s">
        <v>59</v>
      </c>
      <c r="B1594" t="str">
        <f>"002969"</f>
        <v>002969</v>
      </c>
      <c r="C1594" t="s">
        <v>3507</v>
      </c>
      <c r="D1594" t="s">
        <v>1328</v>
      </c>
      <c r="F1594">
        <v>318955503</v>
      </c>
      <c r="G1594">
        <v>175736617</v>
      </c>
      <c r="H1594">
        <v>321702561</v>
      </c>
      <c r="I1594">
        <v>530206571</v>
      </c>
      <c r="J1594">
        <v>318718130</v>
      </c>
      <c r="K1594">
        <v>467297109</v>
      </c>
      <c r="P1594">
        <v>78</v>
      </c>
      <c r="Q1594" t="s">
        <v>3508</v>
      </c>
    </row>
    <row r="1595" spans="1:17" x14ac:dyDescent="0.3">
      <c r="A1595" t="s">
        <v>59</v>
      </c>
      <c r="B1595" t="str">
        <f>"002389"</f>
        <v>002389</v>
      </c>
      <c r="C1595" t="s">
        <v>3509</v>
      </c>
      <c r="D1595" t="s">
        <v>448</v>
      </c>
      <c r="F1595">
        <v>38256699</v>
      </c>
      <c r="G1595">
        <v>410581556</v>
      </c>
      <c r="H1595">
        <v>321595319</v>
      </c>
      <c r="I1595">
        <v>-40721970</v>
      </c>
      <c r="J1595">
        <v>157287925</v>
      </c>
      <c r="K1595">
        <v>102829677</v>
      </c>
      <c r="L1595">
        <v>95698917</v>
      </c>
      <c r="M1595">
        <v>147132815</v>
      </c>
      <c r="N1595">
        <v>13566961</v>
      </c>
      <c r="O1595">
        <v>69413343</v>
      </c>
      <c r="P1595">
        <v>435</v>
      </c>
      <c r="Q1595" t="s">
        <v>3510</v>
      </c>
    </row>
    <row r="1596" spans="1:17" x14ac:dyDescent="0.3">
      <c r="A1596" t="s">
        <v>17</v>
      </c>
      <c r="B1596" t="str">
        <f>"688158"</f>
        <v>688158</v>
      </c>
      <c r="C1596" t="s">
        <v>3511</v>
      </c>
      <c r="D1596" t="s">
        <v>1189</v>
      </c>
      <c r="F1596">
        <v>120699126</v>
      </c>
      <c r="G1596">
        <v>386358235</v>
      </c>
      <c r="H1596">
        <v>321398046</v>
      </c>
      <c r="I1596">
        <v>446410548</v>
      </c>
      <c r="J1596">
        <v>193268266</v>
      </c>
      <c r="K1596">
        <v>87781086</v>
      </c>
      <c r="P1596">
        <v>104</v>
      </c>
      <c r="Q1596" t="s">
        <v>3512</v>
      </c>
    </row>
    <row r="1597" spans="1:17" x14ac:dyDescent="0.3">
      <c r="A1597" t="s">
        <v>59</v>
      </c>
      <c r="B1597" t="str">
        <f>"300340"</f>
        <v>300340</v>
      </c>
      <c r="C1597" t="s">
        <v>3513</v>
      </c>
      <c r="D1597" t="s">
        <v>1444</v>
      </c>
      <c r="F1597">
        <v>171960942</v>
      </c>
      <c r="G1597">
        <v>-128966067</v>
      </c>
      <c r="H1597">
        <v>321003368</v>
      </c>
      <c r="I1597">
        <v>41619765</v>
      </c>
      <c r="J1597">
        <v>-99758955</v>
      </c>
      <c r="K1597">
        <v>1778193</v>
      </c>
      <c r="L1597">
        <v>-62043869</v>
      </c>
      <c r="M1597">
        <v>-12032527</v>
      </c>
      <c r="N1597">
        <v>25771865</v>
      </c>
      <c r="O1597">
        <v>-44469859</v>
      </c>
      <c r="P1597">
        <v>96</v>
      </c>
      <c r="Q1597" t="s">
        <v>3514</v>
      </c>
    </row>
    <row r="1598" spans="1:17" x14ac:dyDescent="0.3">
      <c r="A1598" t="s">
        <v>59</v>
      </c>
      <c r="B1598" t="str">
        <f>"300768"</f>
        <v>300768</v>
      </c>
      <c r="C1598" t="s">
        <v>3515</v>
      </c>
      <c r="D1598" t="s">
        <v>789</v>
      </c>
      <c r="F1598">
        <v>298443943</v>
      </c>
      <c r="G1598">
        <v>285967960</v>
      </c>
      <c r="H1598">
        <v>320863718</v>
      </c>
      <c r="I1598">
        <v>222449524</v>
      </c>
      <c r="J1598">
        <v>175670811</v>
      </c>
      <c r="K1598">
        <v>91836709</v>
      </c>
      <c r="P1598">
        <v>240</v>
      </c>
      <c r="Q1598" t="s">
        <v>3516</v>
      </c>
    </row>
    <row r="1599" spans="1:17" x14ac:dyDescent="0.3">
      <c r="A1599" t="s">
        <v>59</v>
      </c>
      <c r="B1599" t="str">
        <f>"002135"</f>
        <v>002135</v>
      </c>
      <c r="C1599" t="s">
        <v>3517</v>
      </c>
      <c r="D1599" t="s">
        <v>1903</v>
      </c>
      <c r="F1599">
        <v>-440347622</v>
      </c>
      <c r="G1599">
        <v>444511172</v>
      </c>
      <c r="H1599">
        <v>320194745</v>
      </c>
      <c r="I1599">
        <v>-38698315</v>
      </c>
      <c r="J1599">
        <v>378991567</v>
      </c>
      <c r="K1599">
        <v>39636548</v>
      </c>
      <c r="L1599">
        <v>-103193322</v>
      </c>
      <c r="M1599">
        <v>261132962</v>
      </c>
      <c r="N1599">
        <v>336571837</v>
      </c>
      <c r="O1599">
        <v>-593159933</v>
      </c>
      <c r="P1599">
        <v>163</v>
      </c>
      <c r="Q1599" t="s">
        <v>3518</v>
      </c>
    </row>
    <row r="1600" spans="1:17" x14ac:dyDescent="0.3">
      <c r="A1600" t="s">
        <v>59</v>
      </c>
      <c r="B1600" t="str">
        <f>"002900"</f>
        <v>002900</v>
      </c>
      <c r="C1600" t="s">
        <v>3519</v>
      </c>
      <c r="D1600" t="s">
        <v>592</v>
      </c>
      <c r="F1600">
        <v>-12533852</v>
      </c>
      <c r="G1600">
        <v>-4507046</v>
      </c>
      <c r="H1600">
        <v>320140787</v>
      </c>
      <c r="I1600">
        <v>292457733</v>
      </c>
      <c r="J1600">
        <v>223458300</v>
      </c>
      <c r="K1600">
        <v>231183500</v>
      </c>
      <c r="L1600">
        <v>200849962</v>
      </c>
      <c r="M1600">
        <v>116310825</v>
      </c>
      <c r="P1600">
        <v>196</v>
      </c>
      <c r="Q1600" t="s">
        <v>3520</v>
      </c>
    </row>
    <row r="1601" spans="1:17" x14ac:dyDescent="0.3">
      <c r="A1601" t="s">
        <v>59</v>
      </c>
      <c r="B1601" t="str">
        <f>"002930"</f>
        <v>002930</v>
      </c>
      <c r="C1601" t="s">
        <v>3521</v>
      </c>
      <c r="D1601" t="s">
        <v>1734</v>
      </c>
      <c r="F1601">
        <v>779162950</v>
      </c>
      <c r="G1601">
        <v>585694244</v>
      </c>
      <c r="H1601">
        <v>320065296</v>
      </c>
      <c r="I1601">
        <v>15756702</v>
      </c>
      <c r="J1601">
        <v>230253624</v>
      </c>
      <c r="K1601">
        <v>250645537</v>
      </c>
      <c r="L1601">
        <v>222699482</v>
      </c>
      <c r="P1601">
        <v>160</v>
      </c>
      <c r="Q1601" t="s">
        <v>3522</v>
      </c>
    </row>
    <row r="1602" spans="1:17" x14ac:dyDescent="0.3">
      <c r="A1602" t="s">
        <v>17</v>
      </c>
      <c r="B1602" t="str">
        <f>"603689"</f>
        <v>603689</v>
      </c>
      <c r="C1602" t="s">
        <v>3523</v>
      </c>
      <c r="D1602" t="s">
        <v>883</v>
      </c>
      <c r="F1602">
        <v>472177240</v>
      </c>
      <c r="G1602">
        <v>531808825</v>
      </c>
      <c r="H1602">
        <v>319471040</v>
      </c>
      <c r="I1602">
        <v>243175365</v>
      </c>
      <c r="J1602">
        <v>188707616</v>
      </c>
      <c r="K1602">
        <v>221546242</v>
      </c>
      <c r="L1602">
        <v>96193204</v>
      </c>
      <c r="M1602">
        <v>186296209</v>
      </c>
      <c r="N1602">
        <v>150540306</v>
      </c>
      <c r="P1602">
        <v>117</v>
      </c>
      <c r="Q1602" t="s">
        <v>3524</v>
      </c>
    </row>
    <row r="1603" spans="1:17" x14ac:dyDescent="0.3">
      <c r="A1603" t="s">
        <v>17</v>
      </c>
      <c r="B1603" t="str">
        <f>"600356"</f>
        <v>600356</v>
      </c>
      <c r="C1603" t="s">
        <v>3525</v>
      </c>
      <c r="D1603" t="s">
        <v>2856</v>
      </c>
      <c r="F1603">
        <v>153226821</v>
      </c>
      <c r="G1603">
        <v>342606355</v>
      </c>
      <c r="H1603">
        <v>318867216</v>
      </c>
      <c r="I1603">
        <v>-91659057</v>
      </c>
      <c r="J1603">
        <v>306168981</v>
      </c>
      <c r="K1603">
        <v>313846092</v>
      </c>
      <c r="L1603">
        <v>391915271</v>
      </c>
      <c r="M1603">
        <v>276497990</v>
      </c>
      <c r="N1603">
        <v>176089961</v>
      </c>
      <c r="O1603">
        <v>184115853</v>
      </c>
      <c r="P1603">
        <v>116</v>
      </c>
      <c r="Q1603" t="s">
        <v>3526</v>
      </c>
    </row>
    <row r="1604" spans="1:17" x14ac:dyDescent="0.3">
      <c r="A1604" t="s">
        <v>59</v>
      </c>
      <c r="B1604" t="str">
        <f>"002512"</f>
        <v>002512</v>
      </c>
      <c r="C1604" t="s">
        <v>3527</v>
      </c>
      <c r="D1604" t="s">
        <v>707</v>
      </c>
      <c r="F1604">
        <v>366416158</v>
      </c>
      <c r="G1604">
        <v>-198808472</v>
      </c>
      <c r="H1604">
        <v>318550127</v>
      </c>
      <c r="I1604">
        <v>63871405</v>
      </c>
      <c r="J1604">
        <v>33938409</v>
      </c>
      <c r="K1604">
        <v>179011422</v>
      </c>
      <c r="L1604">
        <v>-209420753</v>
      </c>
      <c r="M1604">
        <v>-16987761</v>
      </c>
      <c r="N1604">
        <v>-124372464</v>
      </c>
      <c r="O1604">
        <v>62808950</v>
      </c>
      <c r="P1604">
        <v>162</v>
      </c>
      <c r="Q1604" t="s">
        <v>3528</v>
      </c>
    </row>
    <row r="1605" spans="1:17" x14ac:dyDescent="0.3">
      <c r="A1605" t="s">
        <v>17</v>
      </c>
      <c r="B1605" t="str">
        <f>"603996"</f>
        <v>603996</v>
      </c>
      <c r="C1605" t="s">
        <v>3529</v>
      </c>
      <c r="D1605" t="s">
        <v>563</v>
      </c>
      <c r="F1605">
        <v>-1593007</v>
      </c>
      <c r="G1605">
        <v>26986774</v>
      </c>
      <c r="H1605">
        <v>317571493</v>
      </c>
      <c r="I1605">
        <v>661727444</v>
      </c>
      <c r="J1605">
        <v>-708594067</v>
      </c>
      <c r="K1605">
        <v>-157593333</v>
      </c>
      <c r="L1605">
        <v>-168874030</v>
      </c>
      <c r="M1605">
        <v>-29857257</v>
      </c>
      <c r="N1605">
        <v>233945184</v>
      </c>
      <c r="O1605">
        <v>109667199</v>
      </c>
      <c r="P1605">
        <v>71</v>
      </c>
      <c r="Q1605" t="s">
        <v>3530</v>
      </c>
    </row>
    <row r="1606" spans="1:17" x14ac:dyDescent="0.3">
      <c r="A1606" t="s">
        <v>59</v>
      </c>
      <c r="B1606" t="str">
        <f>"002803"</f>
        <v>002803</v>
      </c>
      <c r="C1606" t="s">
        <v>3531</v>
      </c>
      <c r="D1606" t="s">
        <v>3040</v>
      </c>
      <c r="F1606">
        <v>235058262</v>
      </c>
      <c r="G1606">
        <v>539361382</v>
      </c>
      <c r="H1606">
        <v>317172141</v>
      </c>
      <c r="I1606">
        <v>256986154</v>
      </c>
      <c r="J1606">
        <v>-62984295</v>
      </c>
      <c r="K1606">
        <v>-7893874</v>
      </c>
      <c r="L1606">
        <v>55260002</v>
      </c>
      <c r="M1606">
        <v>15654982</v>
      </c>
      <c r="N1606">
        <v>35360244</v>
      </c>
      <c r="P1606">
        <v>601</v>
      </c>
      <c r="Q1606" t="s">
        <v>3532</v>
      </c>
    </row>
    <row r="1607" spans="1:17" x14ac:dyDescent="0.3">
      <c r="A1607" t="s">
        <v>59</v>
      </c>
      <c r="B1607" t="str">
        <f>"300602"</f>
        <v>300602</v>
      </c>
      <c r="C1607" t="s">
        <v>3533</v>
      </c>
      <c r="D1607" t="s">
        <v>349</v>
      </c>
      <c r="F1607">
        <v>-28026350</v>
      </c>
      <c r="G1607">
        <v>370542972</v>
      </c>
      <c r="H1607">
        <v>316795661</v>
      </c>
      <c r="I1607">
        <v>60961768</v>
      </c>
      <c r="J1607">
        <v>127272622</v>
      </c>
      <c r="K1607">
        <v>78249001</v>
      </c>
      <c r="L1607">
        <v>100325836</v>
      </c>
      <c r="M1607">
        <v>39060299</v>
      </c>
      <c r="N1607">
        <v>58692105</v>
      </c>
      <c r="P1607">
        <v>597</v>
      </c>
      <c r="Q1607" t="s">
        <v>3534</v>
      </c>
    </row>
    <row r="1608" spans="1:17" x14ac:dyDescent="0.3">
      <c r="A1608" t="s">
        <v>59</v>
      </c>
      <c r="B1608" t="str">
        <f>"002554"</f>
        <v>002554</v>
      </c>
      <c r="C1608" t="s">
        <v>3535</v>
      </c>
      <c r="D1608" t="s">
        <v>3536</v>
      </c>
      <c r="F1608">
        <v>223827391</v>
      </c>
      <c r="G1608">
        <v>-145682760</v>
      </c>
      <c r="H1608">
        <v>316407985</v>
      </c>
      <c r="I1608">
        <v>33997367</v>
      </c>
      <c r="J1608">
        <v>-152520513</v>
      </c>
      <c r="K1608">
        <v>13425438</v>
      </c>
      <c r="L1608">
        <v>15894688</v>
      </c>
      <c r="M1608">
        <v>106255644</v>
      </c>
      <c r="N1608">
        <v>-45423422</v>
      </c>
      <c r="O1608">
        <v>82098956</v>
      </c>
      <c r="P1608">
        <v>112</v>
      </c>
      <c r="Q1608" t="s">
        <v>3537</v>
      </c>
    </row>
    <row r="1609" spans="1:17" x14ac:dyDescent="0.3">
      <c r="A1609" t="s">
        <v>59</v>
      </c>
      <c r="B1609" t="str">
        <f>"002479"</f>
        <v>002479</v>
      </c>
      <c r="C1609" t="s">
        <v>3538</v>
      </c>
      <c r="D1609" t="s">
        <v>1238</v>
      </c>
      <c r="F1609">
        <v>635901336</v>
      </c>
      <c r="G1609">
        <v>369370054</v>
      </c>
      <c r="H1609">
        <v>315702341</v>
      </c>
      <c r="I1609">
        <v>456952628</v>
      </c>
      <c r="J1609">
        <v>472155275</v>
      </c>
      <c r="K1609">
        <v>563891049</v>
      </c>
      <c r="L1609">
        <v>226193706</v>
      </c>
      <c r="M1609">
        <v>401867769</v>
      </c>
      <c r="N1609">
        <v>567194545</v>
      </c>
      <c r="O1609">
        <v>193768396</v>
      </c>
      <c r="P1609">
        <v>158</v>
      </c>
      <c r="Q1609" t="s">
        <v>3539</v>
      </c>
    </row>
    <row r="1610" spans="1:17" x14ac:dyDescent="0.3">
      <c r="A1610" t="s">
        <v>59</v>
      </c>
      <c r="B1610" t="str">
        <f>"002284"</f>
        <v>002284</v>
      </c>
      <c r="C1610" t="s">
        <v>3540</v>
      </c>
      <c r="D1610" t="s">
        <v>156</v>
      </c>
      <c r="F1610">
        <v>469719855</v>
      </c>
      <c r="G1610">
        <v>519442394</v>
      </c>
      <c r="H1610">
        <v>315514463</v>
      </c>
      <c r="I1610">
        <v>486064370</v>
      </c>
      <c r="J1610">
        <v>198572582</v>
      </c>
      <c r="K1610">
        <v>219205360</v>
      </c>
      <c r="L1610">
        <v>264560084</v>
      </c>
      <c r="M1610">
        <v>230043676</v>
      </c>
      <c r="N1610">
        <v>252451687</v>
      </c>
      <c r="O1610">
        <v>210522960</v>
      </c>
      <c r="P1610">
        <v>197</v>
      </c>
      <c r="Q1610" t="s">
        <v>3541</v>
      </c>
    </row>
    <row r="1611" spans="1:17" x14ac:dyDescent="0.3">
      <c r="A1611" t="s">
        <v>59</v>
      </c>
      <c r="B1611" t="str">
        <f>"300765"</f>
        <v>300765</v>
      </c>
      <c r="C1611" t="s">
        <v>3542</v>
      </c>
      <c r="D1611" t="s">
        <v>984</v>
      </c>
      <c r="F1611">
        <v>170592336</v>
      </c>
      <c r="G1611">
        <v>349071664</v>
      </c>
      <c r="H1611">
        <v>315384186</v>
      </c>
      <c r="I1611">
        <v>159727620</v>
      </c>
      <c r="J1611">
        <v>1300210</v>
      </c>
      <c r="K1611">
        <v>137266731</v>
      </c>
      <c r="P1611">
        <v>173</v>
      </c>
      <c r="Q1611" t="s">
        <v>3543</v>
      </c>
    </row>
    <row r="1612" spans="1:17" x14ac:dyDescent="0.3">
      <c r="A1612" t="s">
        <v>17</v>
      </c>
      <c r="B1612" t="str">
        <f>"600470"</f>
        <v>600470</v>
      </c>
      <c r="C1612" t="s">
        <v>3544</v>
      </c>
      <c r="D1612" t="s">
        <v>533</v>
      </c>
      <c r="F1612">
        <v>476094971</v>
      </c>
      <c r="G1612">
        <v>143113139</v>
      </c>
      <c r="H1612">
        <v>315099368</v>
      </c>
      <c r="I1612">
        <v>63511593</v>
      </c>
      <c r="J1612">
        <v>162610501</v>
      </c>
      <c r="K1612">
        <v>565466910</v>
      </c>
      <c r="L1612">
        <v>165738450</v>
      </c>
      <c r="M1612">
        <v>588577421</v>
      </c>
      <c r="N1612">
        <v>-226347734</v>
      </c>
      <c r="O1612">
        <v>164594922</v>
      </c>
      <c r="P1612">
        <v>91</v>
      </c>
      <c r="Q1612" t="s">
        <v>3545</v>
      </c>
    </row>
    <row r="1613" spans="1:17" x14ac:dyDescent="0.3">
      <c r="A1613" t="s">
        <v>59</v>
      </c>
      <c r="B1613" t="str">
        <f>"002040"</f>
        <v>002040</v>
      </c>
      <c r="C1613" t="s">
        <v>3546</v>
      </c>
      <c r="D1613" t="s">
        <v>386</v>
      </c>
      <c r="F1613">
        <v>335103160</v>
      </c>
      <c r="G1613">
        <v>347035394</v>
      </c>
      <c r="H1613">
        <v>314608082</v>
      </c>
      <c r="I1613">
        <v>287968932</v>
      </c>
      <c r="J1613">
        <v>258132888</v>
      </c>
      <c r="K1613">
        <v>76191904</v>
      </c>
      <c r="L1613">
        <v>43061572</v>
      </c>
      <c r="M1613">
        <v>19132428</v>
      </c>
      <c r="N1613">
        <v>29714276</v>
      </c>
      <c r="O1613">
        <v>50038727</v>
      </c>
      <c r="P1613">
        <v>100</v>
      </c>
      <c r="Q1613" t="s">
        <v>3547</v>
      </c>
    </row>
    <row r="1614" spans="1:17" x14ac:dyDescent="0.3">
      <c r="A1614" t="s">
        <v>59</v>
      </c>
      <c r="B1614" t="str">
        <f>"000524"</f>
        <v>000524</v>
      </c>
      <c r="C1614" t="s">
        <v>3548</v>
      </c>
      <c r="D1614" t="s">
        <v>3549</v>
      </c>
      <c r="F1614">
        <v>-98940053</v>
      </c>
      <c r="G1614">
        <v>-427835844</v>
      </c>
      <c r="H1614">
        <v>314326777</v>
      </c>
      <c r="I1614">
        <v>247047437</v>
      </c>
      <c r="J1614">
        <v>510112834</v>
      </c>
      <c r="K1614">
        <v>42387077</v>
      </c>
      <c r="L1614">
        <v>54623579</v>
      </c>
      <c r="M1614">
        <v>49545333</v>
      </c>
      <c r="N1614">
        <v>54684956</v>
      </c>
      <c r="O1614">
        <v>89528540</v>
      </c>
      <c r="P1614">
        <v>156</v>
      </c>
      <c r="Q1614" t="s">
        <v>3550</v>
      </c>
    </row>
    <row r="1615" spans="1:17" x14ac:dyDescent="0.3">
      <c r="A1615" t="s">
        <v>59</v>
      </c>
      <c r="B1615" t="str">
        <f>"300443"</f>
        <v>300443</v>
      </c>
      <c r="C1615" t="s">
        <v>3551</v>
      </c>
      <c r="D1615" t="s">
        <v>1525</v>
      </c>
      <c r="F1615">
        <v>293800048</v>
      </c>
      <c r="G1615">
        <v>165056963</v>
      </c>
      <c r="H1615">
        <v>313496913</v>
      </c>
      <c r="I1615">
        <v>-142156904</v>
      </c>
      <c r="J1615">
        <v>202433398</v>
      </c>
      <c r="K1615">
        <v>232067863</v>
      </c>
      <c r="L1615">
        <v>79653882</v>
      </c>
      <c r="M1615">
        <v>62636526</v>
      </c>
      <c r="N1615">
        <v>-1204809</v>
      </c>
      <c r="O1615">
        <v>120098213</v>
      </c>
      <c r="P1615">
        <v>357</v>
      </c>
      <c r="Q1615" t="s">
        <v>3552</v>
      </c>
    </row>
    <row r="1616" spans="1:17" x14ac:dyDescent="0.3">
      <c r="A1616" t="s">
        <v>59</v>
      </c>
      <c r="B1616" t="str">
        <f>"002637"</f>
        <v>002637</v>
      </c>
      <c r="C1616" t="s">
        <v>3553</v>
      </c>
      <c r="D1616" t="s">
        <v>1252</v>
      </c>
      <c r="F1616">
        <v>180299185</v>
      </c>
      <c r="G1616">
        <v>504125370</v>
      </c>
      <c r="H1616">
        <v>313223025</v>
      </c>
      <c r="I1616">
        <v>563774729</v>
      </c>
      <c r="J1616">
        <v>189396566</v>
      </c>
      <c r="K1616">
        <v>-70065431</v>
      </c>
      <c r="L1616">
        <v>200933468</v>
      </c>
      <c r="M1616">
        <v>98091241</v>
      </c>
      <c r="N1616">
        <v>89968611</v>
      </c>
      <c r="O1616">
        <v>-91722001</v>
      </c>
      <c r="P1616">
        <v>145</v>
      </c>
      <c r="Q1616" t="s">
        <v>3554</v>
      </c>
    </row>
    <row r="1617" spans="1:17" x14ac:dyDescent="0.3">
      <c r="A1617" t="s">
        <v>59</v>
      </c>
      <c r="B1617" t="str">
        <f>"300788"</f>
        <v>300788</v>
      </c>
      <c r="C1617" t="s">
        <v>3555</v>
      </c>
      <c r="D1617" t="s">
        <v>914</v>
      </c>
      <c r="F1617">
        <v>284871196</v>
      </c>
      <c r="G1617">
        <v>322601161</v>
      </c>
      <c r="H1617">
        <v>313210724</v>
      </c>
      <c r="I1617">
        <v>233294193</v>
      </c>
      <c r="J1617">
        <v>135740799</v>
      </c>
      <c r="K1617">
        <v>113761565</v>
      </c>
      <c r="P1617">
        <v>347</v>
      </c>
      <c r="Q1617" t="s">
        <v>3556</v>
      </c>
    </row>
    <row r="1618" spans="1:17" x14ac:dyDescent="0.3">
      <c r="A1618" t="s">
        <v>59</v>
      </c>
      <c r="B1618" t="str">
        <f>"002837"</f>
        <v>002837</v>
      </c>
      <c r="C1618" t="s">
        <v>3557</v>
      </c>
      <c r="D1618" t="s">
        <v>1351</v>
      </c>
      <c r="F1618">
        <v>180279610</v>
      </c>
      <c r="G1618">
        <v>9740057</v>
      </c>
      <c r="H1618">
        <v>313104203</v>
      </c>
      <c r="I1618">
        <v>-218757078</v>
      </c>
      <c r="J1618">
        <v>-60585731</v>
      </c>
      <c r="K1618">
        <v>54814212</v>
      </c>
      <c r="L1618">
        <v>44489873</v>
      </c>
      <c r="M1618">
        <v>35639735</v>
      </c>
      <c r="N1618">
        <v>-2422935</v>
      </c>
      <c r="P1618">
        <v>396</v>
      </c>
      <c r="Q1618" t="s">
        <v>3558</v>
      </c>
    </row>
    <row r="1619" spans="1:17" x14ac:dyDescent="0.3">
      <c r="A1619" t="s">
        <v>59</v>
      </c>
      <c r="B1619" t="str">
        <f>"002951"</f>
        <v>002951</v>
      </c>
      <c r="C1619" t="s">
        <v>3559</v>
      </c>
      <c r="D1619" t="s">
        <v>1416</v>
      </c>
      <c r="F1619">
        <v>142521692</v>
      </c>
      <c r="G1619">
        <v>265426307</v>
      </c>
      <c r="H1619">
        <v>312960213</v>
      </c>
      <c r="I1619">
        <v>219977041</v>
      </c>
      <c r="J1619">
        <v>382748488</v>
      </c>
      <c r="K1619">
        <v>594277398</v>
      </c>
      <c r="P1619">
        <v>93</v>
      </c>
      <c r="Q1619" t="s">
        <v>3560</v>
      </c>
    </row>
    <row r="1620" spans="1:17" x14ac:dyDescent="0.3">
      <c r="A1620" t="s">
        <v>59</v>
      </c>
      <c r="B1620" t="str">
        <f>"002077"</f>
        <v>002077</v>
      </c>
      <c r="C1620" t="s">
        <v>3561</v>
      </c>
      <c r="D1620" t="s">
        <v>704</v>
      </c>
      <c r="F1620">
        <v>310540280</v>
      </c>
      <c r="G1620">
        <v>332770759</v>
      </c>
      <c r="H1620">
        <v>312588953</v>
      </c>
      <c r="I1620">
        <v>150747346</v>
      </c>
      <c r="J1620">
        <v>-57668430</v>
      </c>
      <c r="K1620">
        <v>74279498</v>
      </c>
      <c r="L1620">
        <v>318991276</v>
      </c>
      <c r="M1620">
        <v>66333179</v>
      </c>
      <c r="N1620">
        <v>-335226496</v>
      </c>
      <c r="O1620">
        <v>-450274326</v>
      </c>
      <c r="P1620">
        <v>125</v>
      </c>
      <c r="Q1620" t="s">
        <v>3562</v>
      </c>
    </row>
    <row r="1621" spans="1:17" x14ac:dyDescent="0.3">
      <c r="A1621" t="s">
        <v>59</v>
      </c>
      <c r="B1621" t="str">
        <f>"002283"</f>
        <v>002283</v>
      </c>
      <c r="C1621" t="s">
        <v>3563</v>
      </c>
      <c r="D1621" t="s">
        <v>156</v>
      </c>
      <c r="F1621">
        <v>1056791138</v>
      </c>
      <c r="G1621">
        <v>491412752</v>
      </c>
      <c r="H1621">
        <v>312496347</v>
      </c>
      <c r="I1621">
        <v>728810333</v>
      </c>
      <c r="J1621">
        <v>-91070061</v>
      </c>
      <c r="K1621">
        <v>381361726</v>
      </c>
      <c r="L1621">
        <v>486419950</v>
      </c>
      <c r="M1621">
        <v>409902565</v>
      </c>
      <c r="N1621">
        <v>191836954</v>
      </c>
      <c r="O1621">
        <v>133440847</v>
      </c>
      <c r="P1621">
        <v>202</v>
      </c>
      <c r="Q1621" t="s">
        <v>3564</v>
      </c>
    </row>
    <row r="1622" spans="1:17" x14ac:dyDescent="0.3">
      <c r="A1622" t="s">
        <v>17</v>
      </c>
      <c r="B1622" t="str">
        <f>"600981"</f>
        <v>600981</v>
      </c>
      <c r="C1622" t="s">
        <v>3565</v>
      </c>
      <c r="D1622" t="s">
        <v>659</v>
      </c>
      <c r="F1622">
        <v>420026584</v>
      </c>
      <c r="G1622">
        <v>400515377</v>
      </c>
      <c r="H1622">
        <v>312444440</v>
      </c>
      <c r="I1622">
        <v>345457311</v>
      </c>
      <c r="J1622">
        <v>1064891382</v>
      </c>
      <c r="K1622">
        <v>1072254513</v>
      </c>
      <c r="L1622">
        <v>-48250025</v>
      </c>
      <c r="M1622">
        <v>-327265557</v>
      </c>
      <c r="N1622">
        <v>263256960</v>
      </c>
      <c r="O1622">
        <v>-183575839</v>
      </c>
      <c r="P1622">
        <v>99</v>
      </c>
      <c r="Q1622" t="s">
        <v>3566</v>
      </c>
    </row>
    <row r="1623" spans="1:17" x14ac:dyDescent="0.3">
      <c r="A1623" t="s">
        <v>59</v>
      </c>
      <c r="B1623" t="str">
        <f>"300444"</f>
        <v>300444</v>
      </c>
      <c r="C1623" t="s">
        <v>3567</v>
      </c>
      <c r="D1623" t="s">
        <v>560</v>
      </c>
      <c r="F1623">
        <v>-272484102</v>
      </c>
      <c r="G1623">
        <v>157680529</v>
      </c>
      <c r="H1623">
        <v>312437720</v>
      </c>
      <c r="I1623">
        <v>54313666</v>
      </c>
      <c r="J1623">
        <v>36269457</v>
      </c>
      <c r="K1623">
        <v>62301780</v>
      </c>
      <c r="L1623">
        <v>18295071</v>
      </c>
      <c r="M1623">
        <v>48898231</v>
      </c>
      <c r="N1623">
        <v>38391848</v>
      </c>
      <c r="O1623">
        <v>18767119</v>
      </c>
      <c r="P1623">
        <v>101</v>
      </c>
      <c r="Q1623" t="s">
        <v>3568</v>
      </c>
    </row>
    <row r="1624" spans="1:17" x14ac:dyDescent="0.3">
      <c r="A1624" t="s">
        <v>17</v>
      </c>
      <c r="B1624" t="str">
        <f>"603258"</f>
        <v>603258</v>
      </c>
      <c r="C1624" t="s">
        <v>3569</v>
      </c>
      <c r="D1624" t="s">
        <v>689</v>
      </c>
      <c r="F1624">
        <v>317963935</v>
      </c>
      <c r="G1624">
        <v>560489241</v>
      </c>
      <c r="H1624">
        <v>312420620</v>
      </c>
      <c r="I1624">
        <v>69228629</v>
      </c>
      <c r="J1624">
        <v>108734036</v>
      </c>
      <c r="K1624">
        <v>308973300</v>
      </c>
      <c r="L1624">
        <v>217525689</v>
      </c>
      <c r="M1624">
        <v>340382719</v>
      </c>
      <c r="N1624">
        <v>353046351</v>
      </c>
      <c r="P1624">
        <v>770</v>
      </c>
      <c r="Q1624" t="s">
        <v>3570</v>
      </c>
    </row>
    <row r="1625" spans="1:17" x14ac:dyDescent="0.3">
      <c r="A1625" t="s">
        <v>17</v>
      </c>
      <c r="B1625" t="str">
        <f>"605005"</f>
        <v>605005</v>
      </c>
      <c r="C1625" t="s">
        <v>3571</v>
      </c>
      <c r="D1625" t="s">
        <v>575</v>
      </c>
      <c r="F1625">
        <v>123648692</v>
      </c>
      <c r="G1625">
        <v>252057151</v>
      </c>
      <c r="H1625">
        <v>311873549</v>
      </c>
      <c r="I1625">
        <v>228412431</v>
      </c>
      <c r="J1625">
        <v>85988178</v>
      </c>
      <c r="P1625">
        <v>62</v>
      </c>
      <c r="Q1625" t="s">
        <v>3572</v>
      </c>
    </row>
    <row r="1626" spans="1:17" x14ac:dyDescent="0.3">
      <c r="A1626" t="s">
        <v>59</v>
      </c>
      <c r="B1626" t="str">
        <f>"002599"</f>
        <v>002599</v>
      </c>
      <c r="C1626" t="s">
        <v>3573</v>
      </c>
      <c r="D1626" t="s">
        <v>2995</v>
      </c>
      <c r="F1626">
        <v>105475368</v>
      </c>
      <c r="G1626">
        <v>310406910</v>
      </c>
      <c r="H1626">
        <v>311089816</v>
      </c>
      <c r="I1626">
        <v>-40145178</v>
      </c>
      <c r="J1626">
        <v>-5399526</v>
      </c>
      <c r="K1626">
        <v>150211205</v>
      </c>
      <c r="L1626">
        <v>41297226</v>
      </c>
      <c r="M1626">
        <v>67980759</v>
      </c>
      <c r="N1626">
        <v>78881114</v>
      </c>
      <c r="O1626">
        <v>74842519</v>
      </c>
      <c r="P1626">
        <v>87</v>
      </c>
      <c r="Q1626" t="s">
        <v>3574</v>
      </c>
    </row>
    <row r="1627" spans="1:17" x14ac:dyDescent="0.3">
      <c r="A1627" t="s">
        <v>59</v>
      </c>
      <c r="B1627" t="str">
        <f>"002752"</f>
        <v>002752</v>
      </c>
      <c r="C1627" t="s">
        <v>3575</v>
      </c>
      <c r="D1627" t="s">
        <v>1328</v>
      </c>
      <c r="F1627">
        <v>-77142612</v>
      </c>
      <c r="G1627">
        <v>430149917</v>
      </c>
      <c r="H1627">
        <v>310827407</v>
      </c>
      <c r="I1627">
        <v>95008227</v>
      </c>
      <c r="J1627">
        <v>261606888</v>
      </c>
      <c r="K1627">
        <v>365059163</v>
      </c>
      <c r="L1627">
        <v>131878834</v>
      </c>
      <c r="M1627">
        <v>152131688</v>
      </c>
      <c r="N1627">
        <v>259883666</v>
      </c>
      <c r="O1627">
        <v>66016377</v>
      </c>
      <c r="P1627">
        <v>79</v>
      </c>
      <c r="Q1627" t="s">
        <v>3576</v>
      </c>
    </row>
    <row r="1628" spans="1:17" x14ac:dyDescent="0.3">
      <c r="A1628" t="s">
        <v>59</v>
      </c>
      <c r="B1628" t="str">
        <f>"301217"</f>
        <v>301217</v>
      </c>
      <c r="C1628" t="s">
        <v>3577</v>
      </c>
      <c r="F1628">
        <v>183957607</v>
      </c>
      <c r="G1628">
        <v>-202946415</v>
      </c>
      <c r="H1628">
        <v>310506946</v>
      </c>
      <c r="I1628">
        <v>256892131</v>
      </c>
      <c r="J1628">
        <v>-48152563</v>
      </c>
      <c r="P1628">
        <v>16</v>
      </c>
      <c r="Q1628" t="s">
        <v>3578</v>
      </c>
    </row>
    <row r="1629" spans="1:17" x14ac:dyDescent="0.3">
      <c r="A1629" t="s">
        <v>17</v>
      </c>
      <c r="B1629" t="str">
        <f>"605183"</f>
        <v>605183</v>
      </c>
      <c r="C1629" t="s">
        <v>3579</v>
      </c>
      <c r="D1629" t="s">
        <v>2708</v>
      </c>
      <c r="F1629">
        <v>284283631</v>
      </c>
      <c r="G1629">
        <v>270215534</v>
      </c>
      <c r="H1629">
        <v>310281660</v>
      </c>
      <c r="I1629">
        <v>226419448</v>
      </c>
      <c r="J1629">
        <v>244988840</v>
      </c>
      <c r="K1629">
        <v>267422670</v>
      </c>
      <c r="P1629">
        <v>63</v>
      </c>
      <c r="Q1629" t="s">
        <v>3580</v>
      </c>
    </row>
    <row r="1630" spans="1:17" x14ac:dyDescent="0.3">
      <c r="A1630" t="s">
        <v>59</v>
      </c>
      <c r="B1630" t="str">
        <f>"002023"</f>
        <v>002023</v>
      </c>
      <c r="C1630" t="s">
        <v>3581</v>
      </c>
      <c r="D1630" t="s">
        <v>448</v>
      </c>
      <c r="F1630">
        <v>317903120</v>
      </c>
      <c r="G1630">
        <v>235208182</v>
      </c>
      <c r="H1630">
        <v>309932486</v>
      </c>
      <c r="I1630">
        <v>206692700</v>
      </c>
      <c r="J1630">
        <v>33538796</v>
      </c>
      <c r="K1630">
        <v>51683874</v>
      </c>
      <c r="L1630">
        <v>-32233726</v>
      </c>
      <c r="M1630">
        <v>96510052</v>
      </c>
      <c r="N1630">
        <v>190231330</v>
      </c>
      <c r="O1630">
        <v>133352069</v>
      </c>
      <c r="P1630">
        <v>580</v>
      </c>
      <c r="Q1630" t="s">
        <v>3582</v>
      </c>
    </row>
    <row r="1631" spans="1:17" x14ac:dyDescent="0.3">
      <c r="A1631" t="s">
        <v>59</v>
      </c>
      <c r="B1631" t="str">
        <f>"300482"</f>
        <v>300482</v>
      </c>
      <c r="C1631" t="s">
        <v>3583</v>
      </c>
      <c r="D1631" t="s">
        <v>1953</v>
      </c>
      <c r="F1631">
        <v>664930291</v>
      </c>
      <c r="G1631">
        <v>1061837071</v>
      </c>
      <c r="H1631">
        <v>309860071</v>
      </c>
      <c r="I1631">
        <v>247609249</v>
      </c>
      <c r="J1631">
        <v>168850527</v>
      </c>
      <c r="K1631">
        <v>112007117</v>
      </c>
      <c r="L1631">
        <v>131814345</v>
      </c>
      <c r="M1631">
        <v>104470302</v>
      </c>
      <c r="N1631">
        <v>100913873</v>
      </c>
      <c r="O1631">
        <v>74836213</v>
      </c>
      <c r="P1631">
        <v>17071</v>
      </c>
      <c r="Q1631" t="s">
        <v>3584</v>
      </c>
    </row>
    <row r="1632" spans="1:17" x14ac:dyDescent="0.3">
      <c r="A1632" t="s">
        <v>59</v>
      </c>
      <c r="B1632" t="str">
        <f>"300625"</f>
        <v>300625</v>
      </c>
      <c r="C1632" t="s">
        <v>3585</v>
      </c>
      <c r="D1632" t="s">
        <v>1626</v>
      </c>
      <c r="F1632">
        <v>264051131</v>
      </c>
      <c r="G1632">
        <v>227626749</v>
      </c>
      <c r="H1632">
        <v>309834723</v>
      </c>
      <c r="I1632">
        <v>-70200619</v>
      </c>
      <c r="J1632">
        <v>51183046</v>
      </c>
      <c r="K1632">
        <v>222913961</v>
      </c>
      <c r="L1632">
        <v>350251263</v>
      </c>
      <c r="M1632">
        <v>106107737</v>
      </c>
      <c r="P1632">
        <v>137</v>
      </c>
      <c r="Q1632" t="s">
        <v>3586</v>
      </c>
    </row>
    <row r="1633" spans="1:17" x14ac:dyDescent="0.3">
      <c r="A1633" t="s">
        <v>59</v>
      </c>
      <c r="B1633" t="str">
        <f>"300896"</f>
        <v>300896</v>
      </c>
      <c r="C1633" t="s">
        <v>3587</v>
      </c>
      <c r="D1633" t="s">
        <v>3255</v>
      </c>
      <c r="F1633">
        <v>942779508</v>
      </c>
      <c r="G1633">
        <v>425677596</v>
      </c>
      <c r="H1633">
        <v>309715080</v>
      </c>
      <c r="I1633">
        <v>135496574</v>
      </c>
      <c r="J1633">
        <v>84158824</v>
      </c>
      <c r="K1633">
        <v>54997799</v>
      </c>
      <c r="P1633">
        <v>1332</v>
      </c>
      <c r="Q1633" t="s">
        <v>3588</v>
      </c>
    </row>
    <row r="1634" spans="1:17" x14ac:dyDescent="0.3">
      <c r="A1634" t="s">
        <v>59</v>
      </c>
      <c r="B1634" t="str">
        <f>"300110"</f>
        <v>300110</v>
      </c>
      <c r="C1634" t="s">
        <v>3589</v>
      </c>
      <c r="D1634" t="s">
        <v>592</v>
      </c>
      <c r="F1634">
        <v>-578520393</v>
      </c>
      <c r="G1634">
        <v>-10741420</v>
      </c>
      <c r="H1634">
        <v>309331524</v>
      </c>
      <c r="I1634">
        <v>254316028</v>
      </c>
      <c r="J1634">
        <v>211080360</v>
      </c>
      <c r="K1634">
        <v>181650110</v>
      </c>
      <c r="L1634">
        <v>18766955</v>
      </c>
      <c r="M1634">
        <v>65562086</v>
      </c>
      <c r="N1634">
        <v>39779061</v>
      </c>
      <c r="O1634">
        <v>99442784</v>
      </c>
      <c r="P1634">
        <v>126</v>
      </c>
      <c r="Q1634" t="s">
        <v>3590</v>
      </c>
    </row>
    <row r="1635" spans="1:17" x14ac:dyDescent="0.3">
      <c r="A1635" t="s">
        <v>17</v>
      </c>
      <c r="B1635" t="str">
        <f>"603533"</f>
        <v>603533</v>
      </c>
      <c r="C1635" t="s">
        <v>3591</v>
      </c>
      <c r="D1635" t="s">
        <v>3592</v>
      </c>
      <c r="F1635">
        <v>104116490</v>
      </c>
      <c r="G1635">
        <v>322901129</v>
      </c>
      <c r="H1635">
        <v>308800798</v>
      </c>
      <c r="I1635">
        <v>143359745</v>
      </c>
      <c r="J1635">
        <v>228070579</v>
      </c>
      <c r="K1635">
        <v>161663647</v>
      </c>
      <c r="L1635">
        <v>123432720</v>
      </c>
      <c r="M1635">
        <v>80664134</v>
      </c>
      <c r="P1635">
        <v>872</v>
      </c>
      <c r="Q1635" t="s">
        <v>3593</v>
      </c>
    </row>
    <row r="1636" spans="1:17" x14ac:dyDescent="0.3">
      <c r="A1636" t="s">
        <v>59</v>
      </c>
      <c r="B1636" t="str">
        <f>"001218"</f>
        <v>001218</v>
      </c>
      <c r="C1636" t="s">
        <v>3594</v>
      </c>
      <c r="D1636" t="s">
        <v>1252</v>
      </c>
      <c r="F1636">
        <v>167741260</v>
      </c>
      <c r="G1636">
        <v>217846054</v>
      </c>
      <c r="H1636">
        <v>308722438</v>
      </c>
      <c r="I1636">
        <v>-33652230</v>
      </c>
      <c r="J1636">
        <v>-273712100</v>
      </c>
      <c r="P1636">
        <v>15</v>
      </c>
      <c r="Q1636" t="s">
        <v>3595</v>
      </c>
    </row>
    <row r="1637" spans="1:17" x14ac:dyDescent="0.3">
      <c r="A1637" t="s">
        <v>59</v>
      </c>
      <c r="B1637" t="str">
        <f>"002398"</f>
        <v>002398</v>
      </c>
      <c r="C1637" t="s">
        <v>3596</v>
      </c>
      <c r="D1637" t="s">
        <v>1041</v>
      </c>
      <c r="F1637">
        <v>321576271</v>
      </c>
      <c r="G1637">
        <v>322325109</v>
      </c>
      <c r="H1637">
        <v>308300640</v>
      </c>
      <c r="I1637">
        <v>77893699</v>
      </c>
      <c r="J1637">
        <v>74700091</v>
      </c>
      <c r="K1637">
        <v>288148124</v>
      </c>
      <c r="L1637">
        <v>206560705</v>
      </c>
      <c r="M1637">
        <v>85961197</v>
      </c>
      <c r="N1637">
        <v>77636365</v>
      </c>
      <c r="O1637">
        <v>31448663</v>
      </c>
      <c r="P1637">
        <v>217</v>
      </c>
      <c r="Q1637" t="s">
        <v>3597</v>
      </c>
    </row>
    <row r="1638" spans="1:17" x14ac:dyDescent="0.3">
      <c r="A1638" t="s">
        <v>59</v>
      </c>
      <c r="B1638" t="str">
        <f>"300200"</f>
        <v>300200</v>
      </c>
      <c r="C1638" t="s">
        <v>3598</v>
      </c>
      <c r="D1638" t="s">
        <v>144</v>
      </c>
      <c r="F1638">
        <v>175859553</v>
      </c>
      <c r="G1638">
        <v>265477135</v>
      </c>
      <c r="H1638">
        <v>308149086</v>
      </c>
      <c r="I1638">
        <v>229346822</v>
      </c>
      <c r="J1638">
        <v>49331548</v>
      </c>
      <c r="K1638">
        <v>107779752</v>
      </c>
      <c r="L1638">
        <v>78018425</v>
      </c>
      <c r="M1638">
        <v>70942006</v>
      </c>
      <c r="N1638">
        <v>-9353544</v>
      </c>
      <c r="O1638">
        <v>-8398263</v>
      </c>
      <c r="P1638">
        <v>160</v>
      </c>
      <c r="Q1638" t="s">
        <v>3599</v>
      </c>
    </row>
    <row r="1639" spans="1:17" x14ac:dyDescent="0.3">
      <c r="A1639" t="s">
        <v>59</v>
      </c>
      <c r="B1639" t="str">
        <f>"002649"</f>
        <v>002649</v>
      </c>
      <c r="C1639" t="s">
        <v>3600</v>
      </c>
      <c r="D1639" t="s">
        <v>1189</v>
      </c>
      <c r="F1639">
        <v>396760307</v>
      </c>
      <c r="G1639">
        <v>585709550</v>
      </c>
      <c r="H1639">
        <v>307344339</v>
      </c>
      <c r="I1639">
        <v>147064761</v>
      </c>
      <c r="J1639">
        <v>169846752</v>
      </c>
      <c r="K1639">
        <v>178071039</v>
      </c>
      <c r="L1639">
        <v>183859610</v>
      </c>
      <c r="M1639">
        <v>234167539</v>
      </c>
      <c r="N1639">
        <v>105401770</v>
      </c>
      <c r="O1639">
        <v>99149258</v>
      </c>
      <c r="P1639">
        <v>273</v>
      </c>
      <c r="Q1639" t="s">
        <v>3601</v>
      </c>
    </row>
    <row r="1640" spans="1:17" x14ac:dyDescent="0.3">
      <c r="A1640" t="s">
        <v>59</v>
      </c>
      <c r="B1640" t="str">
        <f>"002182"</f>
        <v>002182</v>
      </c>
      <c r="C1640" t="s">
        <v>3602</v>
      </c>
      <c r="D1640" t="s">
        <v>987</v>
      </c>
      <c r="F1640">
        <v>56860592</v>
      </c>
      <c r="G1640">
        <v>528561760</v>
      </c>
      <c r="H1640">
        <v>307308732</v>
      </c>
      <c r="I1640">
        <v>90040742</v>
      </c>
      <c r="J1640">
        <v>310826115</v>
      </c>
      <c r="K1640">
        <v>121170620</v>
      </c>
      <c r="L1640">
        <v>242439905</v>
      </c>
      <c r="M1640">
        <v>336399668</v>
      </c>
      <c r="N1640">
        <v>11967868</v>
      </c>
      <c r="O1640">
        <v>87855136</v>
      </c>
      <c r="P1640">
        <v>372</v>
      </c>
      <c r="Q1640" t="s">
        <v>3603</v>
      </c>
    </row>
    <row r="1641" spans="1:17" x14ac:dyDescent="0.3">
      <c r="A1641" t="s">
        <v>59</v>
      </c>
      <c r="B1641" t="str">
        <f>"002100"</f>
        <v>002100</v>
      </c>
      <c r="C1641" t="s">
        <v>3604</v>
      </c>
      <c r="D1641" t="s">
        <v>1128</v>
      </c>
      <c r="F1641">
        <v>1532960476</v>
      </c>
      <c r="G1641">
        <v>-600857390</v>
      </c>
      <c r="H1641">
        <v>306979543</v>
      </c>
      <c r="I1641">
        <v>-1178441647</v>
      </c>
      <c r="J1641">
        <v>649327330</v>
      </c>
      <c r="K1641">
        <v>316051717</v>
      </c>
      <c r="L1641">
        <v>512185757</v>
      </c>
      <c r="M1641">
        <v>484605660</v>
      </c>
      <c r="N1641">
        <v>90606337</v>
      </c>
      <c r="O1641">
        <v>282804990</v>
      </c>
      <c r="P1641">
        <v>737</v>
      </c>
      <c r="Q1641" t="s">
        <v>3605</v>
      </c>
    </row>
    <row r="1642" spans="1:17" x14ac:dyDescent="0.3">
      <c r="A1642" t="s">
        <v>59</v>
      </c>
      <c r="B1642" t="str">
        <f>"002262"</f>
        <v>002262</v>
      </c>
      <c r="C1642" t="s">
        <v>3606</v>
      </c>
      <c r="D1642" t="s">
        <v>592</v>
      </c>
      <c r="F1642">
        <v>701117597</v>
      </c>
      <c r="G1642">
        <v>1248348649</v>
      </c>
      <c r="H1642">
        <v>305972856</v>
      </c>
      <c r="I1642">
        <v>404524743</v>
      </c>
      <c r="J1642">
        <v>452348798</v>
      </c>
      <c r="K1642">
        <v>277141381</v>
      </c>
      <c r="L1642">
        <v>204235004</v>
      </c>
      <c r="M1642">
        <v>160236858</v>
      </c>
      <c r="N1642">
        <v>194332053</v>
      </c>
      <c r="O1642">
        <v>154164159</v>
      </c>
      <c r="P1642">
        <v>51365</v>
      </c>
      <c r="Q1642" t="s">
        <v>3607</v>
      </c>
    </row>
    <row r="1643" spans="1:17" x14ac:dyDescent="0.3">
      <c r="A1643" t="s">
        <v>59</v>
      </c>
      <c r="B1643" t="str">
        <f>"000507"</f>
        <v>000507</v>
      </c>
      <c r="C1643" t="s">
        <v>3608</v>
      </c>
      <c r="D1643" t="s">
        <v>386</v>
      </c>
      <c r="F1643">
        <v>694440241</v>
      </c>
      <c r="G1643">
        <v>308425752</v>
      </c>
      <c r="H1643">
        <v>305400200</v>
      </c>
      <c r="I1643">
        <v>378612389</v>
      </c>
      <c r="J1643">
        <v>366239648</v>
      </c>
      <c r="K1643">
        <v>279360358</v>
      </c>
      <c r="L1643">
        <v>206544619</v>
      </c>
      <c r="M1643">
        <v>204675156</v>
      </c>
      <c r="N1643">
        <v>12840947</v>
      </c>
      <c r="O1643">
        <v>952991</v>
      </c>
      <c r="P1643">
        <v>185</v>
      </c>
      <c r="Q1643" t="s">
        <v>3609</v>
      </c>
    </row>
    <row r="1644" spans="1:17" x14ac:dyDescent="0.3">
      <c r="A1644" t="s">
        <v>17</v>
      </c>
      <c r="B1644" t="str">
        <f>"603848"</f>
        <v>603848</v>
      </c>
      <c r="C1644" t="s">
        <v>3610</v>
      </c>
      <c r="D1644" t="s">
        <v>972</v>
      </c>
      <c r="F1644">
        <v>207788245</v>
      </c>
      <c r="G1644">
        <v>148932506</v>
      </c>
      <c r="H1644">
        <v>305028874</v>
      </c>
      <c r="I1644">
        <v>285010147</v>
      </c>
      <c r="J1644">
        <v>299332871</v>
      </c>
      <c r="K1644">
        <v>141917418</v>
      </c>
      <c r="L1644">
        <v>164221841</v>
      </c>
      <c r="M1644">
        <v>156288187</v>
      </c>
      <c r="P1644">
        <v>415</v>
      </c>
      <c r="Q1644" t="s">
        <v>3611</v>
      </c>
    </row>
    <row r="1645" spans="1:17" x14ac:dyDescent="0.3">
      <c r="A1645" t="s">
        <v>17</v>
      </c>
      <c r="B1645" t="str">
        <f>"603855"</f>
        <v>603855</v>
      </c>
      <c r="C1645" t="s">
        <v>3612</v>
      </c>
      <c r="D1645" t="s">
        <v>1351</v>
      </c>
      <c r="F1645">
        <v>508681560</v>
      </c>
      <c r="G1645">
        <v>344010523</v>
      </c>
      <c r="H1645">
        <v>305028147</v>
      </c>
      <c r="I1645">
        <v>201230056</v>
      </c>
      <c r="J1645">
        <v>132986142</v>
      </c>
      <c r="K1645">
        <v>181825695</v>
      </c>
      <c r="L1645">
        <v>177596799</v>
      </c>
      <c r="M1645">
        <v>186523104</v>
      </c>
      <c r="P1645">
        <v>220</v>
      </c>
      <c r="Q1645" t="s">
        <v>3613</v>
      </c>
    </row>
    <row r="1646" spans="1:17" x14ac:dyDescent="0.3">
      <c r="A1646" t="s">
        <v>17</v>
      </c>
      <c r="B1646" t="str">
        <f>"600561"</f>
        <v>600561</v>
      </c>
      <c r="C1646" t="s">
        <v>3614</v>
      </c>
      <c r="D1646" t="s">
        <v>2487</v>
      </c>
      <c r="F1646">
        <v>432638309</v>
      </c>
      <c r="G1646">
        <v>214356380</v>
      </c>
      <c r="H1646">
        <v>304919914</v>
      </c>
      <c r="I1646">
        <v>281878598</v>
      </c>
      <c r="J1646">
        <v>425184347</v>
      </c>
      <c r="K1646">
        <v>411135263</v>
      </c>
      <c r="L1646">
        <v>376596556</v>
      </c>
      <c r="M1646">
        <v>391569406</v>
      </c>
      <c r="N1646">
        <v>374513461</v>
      </c>
      <c r="O1646">
        <v>289742756</v>
      </c>
      <c r="P1646">
        <v>59</v>
      </c>
      <c r="Q1646" t="s">
        <v>3615</v>
      </c>
    </row>
    <row r="1647" spans="1:17" x14ac:dyDescent="0.3">
      <c r="A1647" t="s">
        <v>59</v>
      </c>
      <c r="B1647" t="str">
        <f>"002993"</f>
        <v>002993</v>
      </c>
      <c r="C1647" t="s">
        <v>3616</v>
      </c>
      <c r="D1647" t="s">
        <v>349</v>
      </c>
      <c r="F1647">
        <v>357035941</v>
      </c>
      <c r="G1647">
        <v>641658470</v>
      </c>
      <c r="H1647">
        <v>304851014</v>
      </c>
      <c r="I1647">
        <v>138699687</v>
      </c>
      <c r="J1647">
        <v>123305183</v>
      </c>
      <c r="P1647">
        <v>145</v>
      </c>
      <c r="Q1647" t="s">
        <v>3617</v>
      </c>
    </row>
    <row r="1648" spans="1:17" x14ac:dyDescent="0.3">
      <c r="A1648" t="s">
        <v>59</v>
      </c>
      <c r="B1648" t="str">
        <f>"002671"</f>
        <v>002671</v>
      </c>
      <c r="C1648" t="s">
        <v>3618</v>
      </c>
      <c r="D1648" t="s">
        <v>1006</v>
      </c>
      <c r="F1648">
        <v>47897315</v>
      </c>
      <c r="G1648">
        <v>-248727976</v>
      </c>
      <c r="H1648">
        <v>304729533</v>
      </c>
      <c r="I1648">
        <v>135413768</v>
      </c>
      <c r="J1648">
        <v>13062099</v>
      </c>
      <c r="K1648">
        <v>164430484</v>
      </c>
      <c r="L1648">
        <v>-16816861</v>
      </c>
      <c r="M1648">
        <v>-141533333</v>
      </c>
      <c r="N1648">
        <v>209606236</v>
      </c>
      <c r="O1648">
        <v>-20364793</v>
      </c>
      <c r="P1648">
        <v>68</v>
      </c>
      <c r="Q1648" t="s">
        <v>3619</v>
      </c>
    </row>
    <row r="1649" spans="1:17" x14ac:dyDescent="0.3">
      <c r="A1649" t="s">
        <v>17</v>
      </c>
      <c r="B1649" t="str">
        <f>"603303"</f>
        <v>603303</v>
      </c>
      <c r="C1649" t="s">
        <v>3620</v>
      </c>
      <c r="D1649" t="s">
        <v>1626</v>
      </c>
      <c r="F1649">
        <v>-104438646</v>
      </c>
      <c r="G1649">
        <v>405267189</v>
      </c>
      <c r="H1649">
        <v>304432084</v>
      </c>
      <c r="I1649">
        <v>174891008</v>
      </c>
      <c r="J1649">
        <v>58583065</v>
      </c>
      <c r="K1649">
        <v>78607116</v>
      </c>
      <c r="L1649">
        <v>267088966</v>
      </c>
      <c r="M1649">
        <v>342896371</v>
      </c>
      <c r="P1649">
        <v>180</v>
      </c>
      <c r="Q1649" t="s">
        <v>3621</v>
      </c>
    </row>
    <row r="1650" spans="1:17" x14ac:dyDescent="0.3">
      <c r="A1650" t="s">
        <v>59</v>
      </c>
      <c r="B1650" t="str">
        <f>"002158"</f>
        <v>002158</v>
      </c>
      <c r="C1650" t="s">
        <v>3622</v>
      </c>
      <c r="D1650" t="s">
        <v>3158</v>
      </c>
      <c r="F1650">
        <v>634770622</v>
      </c>
      <c r="G1650">
        <v>361560503</v>
      </c>
      <c r="H1650">
        <v>304105286</v>
      </c>
      <c r="I1650">
        <v>96431851</v>
      </c>
      <c r="J1650">
        <v>276775765</v>
      </c>
      <c r="K1650">
        <v>207430838</v>
      </c>
      <c r="L1650">
        <v>196069487</v>
      </c>
      <c r="M1650">
        <v>210903876</v>
      </c>
      <c r="N1650">
        <v>211692414</v>
      </c>
      <c r="O1650">
        <v>157516270</v>
      </c>
      <c r="P1650">
        <v>478</v>
      </c>
      <c r="Q1650" t="s">
        <v>3623</v>
      </c>
    </row>
    <row r="1651" spans="1:17" x14ac:dyDescent="0.3">
      <c r="A1651" t="s">
        <v>17</v>
      </c>
      <c r="B1651" t="str">
        <f>"603332"</f>
        <v>603332</v>
      </c>
      <c r="C1651" t="s">
        <v>3624</v>
      </c>
      <c r="D1651" t="s">
        <v>1116</v>
      </c>
      <c r="F1651">
        <v>114114141</v>
      </c>
      <c r="G1651">
        <v>160626725</v>
      </c>
      <c r="H1651">
        <v>304073933</v>
      </c>
      <c r="I1651">
        <v>106545384</v>
      </c>
      <c r="J1651">
        <v>154742600</v>
      </c>
      <c r="K1651">
        <v>141044098</v>
      </c>
      <c r="L1651">
        <v>252689757</v>
      </c>
      <c r="P1651">
        <v>59</v>
      </c>
      <c r="Q1651" t="s">
        <v>3625</v>
      </c>
    </row>
    <row r="1652" spans="1:17" x14ac:dyDescent="0.3">
      <c r="A1652" t="s">
        <v>59</v>
      </c>
      <c r="B1652" t="str">
        <f>"002075"</f>
        <v>002075</v>
      </c>
      <c r="C1652" t="s">
        <v>3626</v>
      </c>
      <c r="D1652" t="s">
        <v>330</v>
      </c>
      <c r="F1652">
        <v>3070654574</v>
      </c>
      <c r="G1652">
        <v>1914651811</v>
      </c>
      <c r="H1652">
        <v>304024645</v>
      </c>
      <c r="I1652">
        <v>2560178917</v>
      </c>
      <c r="J1652">
        <v>1799841067</v>
      </c>
      <c r="K1652">
        <v>310776264</v>
      </c>
      <c r="L1652">
        <v>610200848</v>
      </c>
      <c r="M1652">
        <v>1515047059</v>
      </c>
      <c r="N1652">
        <v>-19461976</v>
      </c>
      <c r="O1652">
        <v>1170872548</v>
      </c>
      <c r="P1652">
        <v>281</v>
      </c>
      <c r="Q1652" t="s">
        <v>3627</v>
      </c>
    </row>
    <row r="1653" spans="1:17" x14ac:dyDescent="0.3">
      <c r="A1653" t="s">
        <v>17</v>
      </c>
      <c r="B1653" t="str">
        <f>"600602"</f>
        <v>600602</v>
      </c>
      <c r="C1653" t="s">
        <v>3628</v>
      </c>
      <c r="D1653" t="s">
        <v>1528</v>
      </c>
      <c r="F1653">
        <v>156133853</v>
      </c>
      <c r="G1653">
        <v>465306480</v>
      </c>
      <c r="H1653">
        <v>303825050</v>
      </c>
      <c r="I1653">
        <v>193103923</v>
      </c>
      <c r="J1653">
        <v>-42321356</v>
      </c>
      <c r="K1653">
        <v>87102587</v>
      </c>
      <c r="L1653">
        <v>-29547732</v>
      </c>
      <c r="M1653">
        <v>-67762384</v>
      </c>
      <c r="N1653">
        <v>-23206848</v>
      </c>
      <c r="O1653">
        <v>-78544371</v>
      </c>
      <c r="P1653">
        <v>136</v>
      </c>
      <c r="Q1653" t="s">
        <v>3629</v>
      </c>
    </row>
    <row r="1654" spans="1:17" x14ac:dyDescent="0.3">
      <c r="A1654" t="s">
        <v>59</v>
      </c>
      <c r="B1654" t="str">
        <f>"300252"</f>
        <v>300252</v>
      </c>
      <c r="C1654" t="s">
        <v>3630</v>
      </c>
      <c r="D1654" t="s">
        <v>1983</v>
      </c>
      <c r="F1654">
        <v>530729718</v>
      </c>
      <c r="G1654">
        <v>496589858</v>
      </c>
      <c r="H1654">
        <v>303278973</v>
      </c>
      <c r="I1654">
        <v>290494116</v>
      </c>
      <c r="J1654">
        <v>-362319789</v>
      </c>
      <c r="K1654">
        <v>180946510</v>
      </c>
      <c r="L1654">
        <v>138229099</v>
      </c>
      <c r="M1654">
        <v>45439746</v>
      </c>
      <c r="N1654">
        <v>-108585523</v>
      </c>
      <c r="O1654">
        <v>-35489270</v>
      </c>
      <c r="P1654">
        <v>217</v>
      </c>
      <c r="Q1654" t="s">
        <v>3631</v>
      </c>
    </row>
    <row r="1655" spans="1:17" x14ac:dyDescent="0.3">
      <c r="A1655" t="s">
        <v>59</v>
      </c>
      <c r="B1655" t="str">
        <f>"002982"</f>
        <v>002982</v>
      </c>
      <c r="C1655" t="s">
        <v>3632</v>
      </c>
      <c r="D1655" t="s">
        <v>470</v>
      </c>
      <c r="F1655">
        <v>113725324</v>
      </c>
      <c r="G1655">
        <v>161469619</v>
      </c>
      <c r="H1655">
        <v>302465000</v>
      </c>
      <c r="I1655">
        <v>183087649</v>
      </c>
      <c r="J1655">
        <v>66087886</v>
      </c>
      <c r="P1655">
        <v>131</v>
      </c>
      <c r="Q1655" t="s">
        <v>3633</v>
      </c>
    </row>
    <row r="1656" spans="1:17" x14ac:dyDescent="0.3">
      <c r="A1656" t="s">
        <v>59</v>
      </c>
      <c r="B1656" t="str">
        <f>"002065"</f>
        <v>002065</v>
      </c>
      <c r="C1656" t="s">
        <v>3634</v>
      </c>
      <c r="D1656" t="s">
        <v>1189</v>
      </c>
      <c r="F1656">
        <v>614274470</v>
      </c>
      <c r="G1656">
        <v>326030826</v>
      </c>
      <c r="H1656">
        <v>302404356</v>
      </c>
      <c r="I1656">
        <v>351460808</v>
      </c>
      <c r="J1656">
        <v>167677716</v>
      </c>
      <c r="K1656">
        <v>-501109930</v>
      </c>
      <c r="L1656">
        <v>-34556858</v>
      </c>
      <c r="M1656">
        <v>-15144074</v>
      </c>
      <c r="N1656">
        <v>313826255</v>
      </c>
      <c r="O1656">
        <v>166128815</v>
      </c>
      <c r="P1656">
        <v>942</v>
      </c>
      <c r="Q1656" t="s">
        <v>3635</v>
      </c>
    </row>
    <row r="1657" spans="1:17" x14ac:dyDescent="0.3">
      <c r="A1657" t="s">
        <v>17</v>
      </c>
      <c r="B1657" t="str">
        <f>"605018"</f>
        <v>605018</v>
      </c>
      <c r="C1657" t="s">
        <v>3636</v>
      </c>
      <c r="D1657" t="s">
        <v>1226</v>
      </c>
      <c r="F1657">
        <v>279505993</v>
      </c>
      <c r="G1657">
        <v>210615284</v>
      </c>
      <c r="H1657">
        <v>301321313</v>
      </c>
      <c r="I1657">
        <v>208190090</v>
      </c>
      <c r="J1657">
        <v>232434009</v>
      </c>
      <c r="P1657">
        <v>48</v>
      </c>
      <c r="Q1657" t="s">
        <v>3637</v>
      </c>
    </row>
    <row r="1658" spans="1:17" x14ac:dyDescent="0.3">
      <c r="A1658" t="s">
        <v>59</v>
      </c>
      <c r="B1658" t="str">
        <f>"300462"</f>
        <v>300462</v>
      </c>
      <c r="C1658" t="s">
        <v>3638</v>
      </c>
      <c r="D1658" t="s">
        <v>707</v>
      </c>
      <c r="F1658">
        <v>166325051</v>
      </c>
      <c r="G1658">
        <v>-98691562</v>
      </c>
      <c r="H1658">
        <v>301161995</v>
      </c>
      <c r="I1658">
        <v>60181725</v>
      </c>
      <c r="J1658">
        <v>9606862</v>
      </c>
      <c r="K1658">
        <v>6696052</v>
      </c>
      <c r="L1658">
        <v>-26709750</v>
      </c>
      <c r="M1658">
        <v>37437353</v>
      </c>
      <c r="N1658">
        <v>17744583</v>
      </c>
      <c r="O1658">
        <v>61308347</v>
      </c>
      <c r="P1658">
        <v>176</v>
      </c>
      <c r="Q1658" t="s">
        <v>3639</v>
      </c>
    </row>
    <row r="1659" spans="1:17" x14ac:dyDescent="0.3">
      <c r="A1659" t="s">
        <v>59</v>
      </c>
      <c r="B1659" t="str">
        <f>"000056"</f>
        <v>000056</v>
      </c>
      <c r="C1659" t="s">
        <v>3640</v>
      </c>
      <c r="D1659" t="s">
        <v>3284</v>
      </c>
      <c r="F1659">
        <v>408371501</v>
      </c>
      <c r="G1659">
        <v>475412423</v>
      </c>
      <c r="H1659">
        <v>300986918</v>
      </c>
      <c r="I1659">
        <v>193532356</v>
      </c>
      <c r="J1659">
        <v>336083440</v>
      </c>
      <c r="K1659">
        <v>28778289</v>
      </c>
      <c r="L1659">
        <v>147974494</v>
      </c>
      <c r="M1659">
        <v>-376974444</v>
      </c>
      <c r="N1659">
        <v>-403263195</v>
      </c>
      <c r="O1659">
        <v>-146421325</v>
      </c>
      <c r="P1659">
        <v>100</v>
      </c>
      <c r="Q1659" t="s">
        <v>3641</v>
      </c>
    </row>
    <row r="1660" spans="1:17" x14ac:dyDescent="0.3">
      <c r="A1660" t="s">
        <v>59</v>
      </c>
      <c r="B1660" t="str">
        <f>"300415"</f>
        <v>300415</v>
      </c>
      <c r="C1660" t="s">
        <v>3642</v>
      </c>
      <c r="D1660" t="s">
        <v>1351</v>
      </c>
      <c r="F1660">
        <v>316626093</v>
      </c>
      <c r="G1660">
        <v>542532935</v>
      </c>
      <c r="H1660">
        <v>300703253</v>
      </c>
      <c r="I1660">
        <v>153752999</v>
      </c>
      <c r="J1660">
        <v>145842415</v>
      </c>
      <c r="K1660">
        <v>229010345</v>
      </c>
      <c r="L1660">
        <v>44422468</v>
      </c>
      <c r="M1660">
        <v>31688713</v>
      </c>
      <c r="N1660">
        <v>44807245</v>
      </c>
      <c r="O1660">
        <v>40419979</v>
      </c>
      <c r="P1660">
        <v>547</v>
      </c>
      <c r="Q1660" t="s">
        <v>3643</v>
      </c>
    </row>
    <row r="1661" spans="1:17" x14ac:dyDescent="0.3">
      <c r="A1661" t="s">
        <v>59</v>
      </c>
      <c r="B1661" t="str">
        <f>"000158"</f>
        <v>000158</v>
      </c>
      <c r="C1661" t="s">
        <v>3644</v>
      </c>
      <c r="D1661" t="s">
        <v>1189</v>
      </c>
      <c r="F1661">
        <v>458701844</v>
      </c>
      <c r="G1661">
        <v>1006977494</v>
      </c>
      <c r="H1661">
        <v>300619464</v>
      </c>
      <c r="I1661">
        <v>867710335</v>
      </c>
      <c r="J1661">
        <v>382788194</v>
      </c>
      <c r="K1661">
        <v>436577039</v>
      </c>
      <c r="L1661">
        <v>-489098673</v>
      </c>
      <c r="M1661">
        <v>119395772</v>
      </c>
      <c r="N1661">
        <v>-55087772</v>
      </c>
      <c r="O1661">
        <v>-121172155</v>
      </c>
      <c r="P1661">
        <v>295</v>
      </c>
      <c r="Q1661" t="s">
        <v>3645</v>
      </c>
    </row>
    <row r="1662" spans="1:17" x14ac:dyDescent="0.3">
      <c r="A1662" t="s">
        <v>17</v>
      </c>
      <c r="B1662" t="str">
        <f>"603915"</f>
        <v>603915</v>
      </c>
      <c r="C1662" t="s">
        <v>3646</v>
      </c>
      <c r="D1662" t="s">
        <v>637</v>
      </c>
      <c r="F1662">
        <v>399340780</v>
      </c>
      <c r="G1662">
        <v>413261426</v>
      </c>
      <c r="H1662">
        <v>300220900</v>
      </c>
      <c r="I1662">
        <v>272089743</v>
      </c>
      <c r="J1662">
        <v>171635082</v>
      </c>
      <c r="K1662">
        <v>206653763</v>
      </c>
      <c r="P1662">
        <v>160</v>
      </c>
      <c r="Q1662" t="s">
        <v>3647</v>
      </c>
    </row>
    <row r="1663" spans="1:17" x14ac:dyDescent="0.3">
      <c r="A1663" t="s">
        <v>59</v>
      </c>
      <c r="B1663" t="str">
        <f>"300048"</f>
        <v>300048</v>
      </c>
      <c r="C1663" t="s">
        <v>3648</v>
      </c>
      <c r="D1663" t="s">
        <v>1426</v>
      </c>
      <c r="F1663">
        <v>222663878</v>
      </c>
      <c r="G1663">
        <v>133797289</v>
      </c>
      <c r="H1663">
        <v>299957674</v>
      </c>
      <c r="I1663">
        <v>118162716</v>
      </c>
      <c r="J1663">
        <v>-68272409</v>
      </c>
      <c r="K1663">
        <v>159344802</v>
      </c>
      <c r="L1663">
        <v>-23991869</v>
      </c>
      <c r="M1663">
        <v>5879112</v>
      </c>
      <c r="N1663">
        <v>-27768759</v>
      </c>
      <c r="O1663">
        <v>33320548</v>
      </c>
      <c r="P1663">
        <v>119</v>
      </c>
      <c r="Q1663" t="s">
        <v>3649</v>
      </c>
    </row>
    <row r="1664" spans="1:17" x14ac:dyDescent="0.3">
      <c r="A1664" t="s">
        <v>17</v>
      </c>
      <c r="B1664" t="str">
        <f>"600169"</f>
        <v>600169</v>
      </c>
      <c r="C1664" t="s">
        <v>3650</v>
      </c>
      <c r="D1664" t="s">
        <v>741</v>
      </c>
      <c r="F1664">
        <v>107943775</v>
      </c>
      <c r="G1664">
        <v>196996855</v>
      </c>
      <c r="H1664">
        <v>299879330</v>
      </c>
      <c r="I1664">
        <v>581015260</v>
      </c>
      <c r="J1664">
        <v>1093773663</v>
      </c>
      <c r="K1664">
        <v>-1673259531</v>
      </c>
      <c r="L1664">
        <v>-601764584</v>
      </c>
      <c r="M1664">
        <v>-1442215854</v>
      </c>
      <c r="N1664">
        <v>-827295661</v>
      </c>
      <c r="O1664">
        <v>-664922680</v>
      </c>
      <c r="P1664">
        <v>133</v>
      </c>
      <c r="Q1664" t="s">
        <v>3651</v>
      </c>
    </row>
    <row r="1665" spans="1:17" x14ac:dyDescent="0.3">
      <c r="A1665" t="s">
        <v>17</v>
      </c>
      <c r="B1665" t="str">
        <f>"600727"</f>
        <v>600727</v>
      </c>
      <c r="C1665" t="s">
        <v>3652</v>
      </c>
      <c r="D1665" t="s">
        <v>1029</v>
      </c>
      <c r="F1665">
        <v>184792553</v>
      </c>
      <c r="G1665">
        <v>565934283</v>
      </c>
      <c r="H1665">
        <v>299356665</v>
      </c>
      <c r="I1665">
        <v>171264281</v>
      </c>
      <c r="J1665">
        <v>168815654</v>
      </c>
      <c r="K1665">
        <v>268655139</v>
      </c>
      <c r="L1665">
        <v>18077721</v>
      </c>
      <c r="M1665">
        <v>155944260</v>
      </c>
      <c r="N1665">
        <v>79275286</v>
      </c>
      <c r="O1665">
        <v>94751828</v>
      </c>
      <c r="P1665">
        <v>138</v>
      </c>
      <c r="Q1665" t="s">
        <v>3653</v>
      </c>
    </row>
    <row r="1666" spans="1:17" x14ac:dyDescent="0.3">
      <c r="A1666" t="s">
        <v>59</v>
      </c>
      <c r="B1666" t="str">
        <f>"300978"</f>
        <v>300978</v>
      </c>
      <c r="C1666" t="s">
        <v>3654</v>
      </c>
      <c r="D1666" t="s">
        <v>289</v>
      </c>
      <c r="F1666">
        <v>125426314</v>
      </c>
      <c r="G1666">
        <v>284917921</v>
      </c>
      <c r="H1666">
        <v>298960661</v>
      </c>
      <c r="I1666">
        <v>243932703</v>
      </c>
      <c r="J1666">
        <v>121890547</v>
      </c>
      <c r="K1666">
        <v>85121761</v>
      </c>
      <c r="P1666">
        <v>37</v>
      </c>
      <c r="Q1666" t="s">
        <v>3655</v>
      </c>
    </row>
    <row r="1667" spans="1:17" x14ac:dyDescent="0.3">
      <c r="A1667" t="s">
        <v>59</v>
      </c>
      <c r="B1667" t="str">
        <f>"300389"</f>
        <v>300389</v>
      </c>
      <c r="C1667" t="s">
        <v>3656</v>
      </c>
      <c r="D1667" t="s">
        <v>772</v>
      </c>
      <c r="F1667">
        <v>226343914</v>
      </c>
      <c r="G1667">
        <v>-28229838</v>
      </c>
      <c r="H1667">
        <v>298517199</v>
      </c>
      <c r="I1667">
        <v>232576714</v>
      </c>
      <c r="J1667">
        <v>187161573</v>
      </c>
      <c r="K1667">
        <v>70864147</v>
      </c>
      <c r="L1667">
        <v>-23735808</v>
      </c>
      <c r="M1667">
        <v>187564512</v>
      </c>
      <c r="N1667">
        <v>169363741</v>
      </c>
      <c r="O1667">
        <v>128647719</v>
      </c>
      <c r="P1667">
        <v>198</v>
      </c>
      <c r="Q1667" t="s">
        <v>3657</v>
      </c>
    </row>
    <row r="1668" spans="1:17" x14ac:dyDescent="0.3">
      <c r="A1668" t="s">
        <v>17</v>
      </c>
      <c r="B1668" t="str">
        <f>"605179"</f>
        <v>605179</v>
      </c>
      <c r="C1668" t="s">
        <v>3658</v>
      </c>
      <c r="D1668" t="s">
        <v>308</v>
      </c>
      <c r="F1668">
        <v>371074775</v>
      </c>
      <c r="G1668">
        <v>210272255</v>
      </c>
      <c r="H1668">
        <v>297962808</v>
      </c>
      <c r="I1668">
        <v>265948325</v>
      </c>
      <c r="J1668">
        <v>230805556</v>
      </c>
      <c r="P1668">
        <v>84</v>
      </c>
      <c r="Q1668" t="s">
        <v>3659</v>
      </c>
    </row>
    <row r="1669" spans="1:17" x14ac:dyDescent="0.3">
      <c r="A1669" t="s">
        <v>59</v>
      </c>
      <c r="B1669" t="str">
        <f>"300287"</f>
        <v>300287</v>
      </c>
      <c r="C1669" t="s">
        <v>3660</v>
      </c>
      <c r="D1669" t="s">
        <v>1189</v>
      </c>
      <c r="F1669">
        <v>-32856417</v>
      </c>
      <c r="G1669">
        <v>136194529</v>
      </c>
      <c r="H1669">
        <v>297680471</v>
      </c>
      <c r="I1669">
        <v>-244491402</v>
      </c>
      <c r="J1669">
        <v>137022733</v>
      </c>
      <c r="K1669">
        <v>8825681</v>
      </c>
      <c r="L1669">
        <v>-35642261</v>
      </c>
      <c r="M1669">
        <v>-133632067</v>
      </c>
      <c r="N1669">
        <v>-114712977</v>
      </c>
      <c r="O1669">
        <v>-99862730</v>
      </c>
      <c r="P1669">
        <v>288</v>
      </c>
      <c r="Q1669" t="s">
        <v>3661</v>
      </c>
    </row>
    <row r="1670" spans="1:17" x14ac:dyDescent="0.3">
      <c r="A1670" t="s">
        <v>59</v>
      </c>
      <c r="B1670" t="str">
        <f>"000505"</f>
        <v>000505</v>
      </c>
      <c r="C1670" t="s">
        <v>3662</v>
      </c>
      <c r="D1670" t="s">
        <v>229</v>
      </c>
      <c r="F1670">
        <v>632240056</v>
      </c>
      <c r="G1670">
        <v>-246540910</v>
      </c>
      <c r="H1670">
        <v>297366794</v>
      </c>
      <c r="I1670">
        <v>850167551</v>
      </c>
      <c r="J1670">
        <v>-1379507780</v>
      </c>
      <c r="K1670">
        <v>257914815</v>
      </c>
      <c r="L1670">
        <v>259599625</v>
      </c>
      <c r="M1670">
        <v>-243681709</v>
      </c>
      <c r="N1670">
        <v>-45736703</v>
      </c>
      <c r="O1670">
        <v>-60344201</v>
      </c>
      <c r="P1670">
        <v>193</v>
      </c>
      <c r="Q1670" t="s">
        <v>3663</v>
      </c>
    </row>
    <row r="1671" spans="1:17" x14ac:dyDescent="0.3">
      <c r="A1671" t="s">
        <v>59</v>
      </c>
      <c r="B1671" t="str">
        <f>"300790"</f>
        <v>300790</v>
      </c>
      <c r="C1671" t="s">
        <v>3664</v>
      </c>
      <c r="D1671" t="s">
        <v>344</v>
      </c>
      <c r="F1671">
        <v>312676651</v>
      </c>
      <c r="G1671">
        <v>31970791</v>
      </c>
      <c r="H1671">
        <v>296805865</v>
      </c>
      <c r="I1671">
        <v>53418942</v>
      </c>
      <c r="J1671">
        <v>121130087</v>
      </c>
      <c r="K1671">
        <v>27907136</v>
      </c>
      <c r="P1671">
        <v>158</v>
      </c>
      <c r="Q1671" t="s">
        <v>3665</v>
      </c>
    </row>
    <row r="1672" spans="1:17" x14ac:dyDescent="0.3">
      <c r="A1672" t="s">
        <v>17</v>
      </c>
      <c r="B1672" t="str">
        <f>"603619"</f>
        <v>603619</v>
      </c>
      <c r="C1672" t="s">
        <v>3666</v>
      </c>
      <c r="D1672" t="s">
        <v>363</v>
      </c>
      <c r="F1672">
        <v>514659590</v>
      </c>
      <c r="G1672">
        <v>217762708</v>
      </c>
      <c r="H1672">
        <v>296615115</v>
      </c>
      <c r="I1672">
        <v>106444735</v>
      </c>
      <c r="J1672">
        <v>251669301</v>
      </c>
      <c r="K1672">
        <v>242350547</v>
      </c>
      <c r="L1672">
        <v>577419101</v>
      </c>
      <c r="M1672">
        <v>269736556</v>
      </c>
      <c r="P1672">
        <v>74</v>
      </c>
      <c r="Q1672" t="s">
        <v>3667</v>
      </c>
    </row>
    <row r="1673" spans="1:17" x14ac:dyDescent="0.3">
      <c r="A1673" t="s">
        <v>17</v>
      </c>
      <c r="B1673" t="str">
        <f>"603551"</f>
        <v>603551</v>
      </c>
      <c r="C1673" t="s">
        <v>3668</v>
      </c>
      <c r="D1673" t="s">
        <v>1993</v>
      </c>
      <c r="F1673">
        <v>244353654</v>
      </c>
      <c r="G1673">
        <v>252962656</v>
      </c>
      <c r="H1673">
        <v>295965304</v>
      </c>
      <c r="I1673">
        <v>268773669</v>
      </c>
      <c r="J1673">
        <v>265165381</v>
      </c>
      <c r="K1673">
        <v>334842292</v>
      </c>
      <c r="P1673">
        <v>116</v>
      </c>
      <c r="Q1673" t="s">
        <v>3669</v>
      </c>
    </row>
    <row r="1674" spans="1:17" x14ac:dyDescent="0.3">
      <c r="A1674" t="s">
        <v>59</v>
      </c>
      <c r="B1674" t="str">
        <f>"300194"</f>
        <v>300194</v>
      </c>
      <c r="C1674" t="s">
        <v>3670</v>
      </c>
      <c r="D1674" t="s">
        <v>592</v>
      </c>
      <c r="F1674">
        <v>257128840</v>
      </c>
      <c r="G1674">
        <v>162552888</v>
      </c>
      <c r="H1674">
        <v>295627587</v>
      </c>
      <c r="I1674">
        <v>267675483</v>
      </c>
      <c r="J1674">
        <v>453370240</v>
      </c>
      <c r="K1674">
        <v>374162616</v>
      </c>
      <c r="L1674">
        <v>161026698</v>
      </c>
      <c r="M1674">
        <v>-31268073</v>
      </c>
      <c r="N1674">
        <v>89610167</v>
      </c>
      <c r="O1674">
        <v>62766742</v>
      </c>
      <c r="P1674">
        <v>149</v>
      </c>
      <c r="Q1674" t="s">
        <v>3671</v>
      </c>
    </row>
    <row r="1675" spans="1:17" x14ac:dyDescent="0.3">
      <c r="A1675" t="s">
        <v>59</v>
      </c>
      <c r="B1675" t="str">
        <f>"300009"</f>
        <v>300009</v>
      </c>
      <c r="C1675" t="s">
        <v>3672</v>
      </c>
      <c r="D1675" t="s">
        <v>1062</v>
      </c>
      <c r="F1675">
        <v>592171626</v>
      </c>
      <c r="G1675">
        <v>464796377</v>
      </c>
      <c r="H1675">
        <v>295627532</v>
      </c>
      <c r="I1675">
        <v>287490591</v>
      </c>
      <c r="J1675">
        <v>280625014</v>
      </c>
      <c r="K1675">
        <v>258005073</v>
      </c>
      <c r="L1675">
        <v>118734165</v>
      </c>
      <c r="M1675">
        <v>108684215</v>
      </c>
      <c r="N1675">
        <v>53213032</v>
      </c>
      <c r="O1675">
        <v>53800825</v>
      </c>
      <c r="P1675">
        <v>840</v>
      </c>
      <c r="Q1675" t="s">
        <v>3673</v>
      </c>
    </row>
    <row r="1676" spans="1:17" x14ac:dyDescent="0.3">
      <c r="A1676" t="s">
        <v>59</v>
      </c>
      <c r="B1676" t="str">
        <f>"002322"</f>
        <v>002322</v>
      </c>
      <c r="C1676" t="s">
        <v>3674</v>
      </c>
      <c r="D1676" t="s">
        <v>1528</v>
      </c>
      <c r="F1676">
        <v>333146612</v>
      </c>
      <c r="G1676">
        <v>378303502</v>
      </c>
      <c r="H1676">
        <v>294437010</v>
      </c>
      <c r="I1676">
        <v>184465131</v>
      </c>
      <c r="J1676">
        <v>152120083</v>
      </c>
      <c r="K1676">
        <v>-9640001</v>
      </c>
      <c r="L1676">
        <v>155493434</v>
      </c>
      <c r="M1676">
        <v>165021169</v>
      </c>
      <c r="N1676">
        <v>126520938</v>
      </c>
      <c r="O1676">
        <v>26838327</v>
      </c>
      <c r="P1676">
        <v>180</v>
      </c>
      <c r="Q1676" t="s">
        <v>3675</v>
      </c>
    </row>
    <row r="1677" spans="1:17" x14ac:dyDescent="0.3">
      <c r="A1677" t="s">
        <v>59</v>
      </c>
      <c r="B1677" t="str">
        <f>"002189"</f>
        <v>002189</v>
      </c>
      <c r="C1677" t="s">
        <v>3676</v>
      </c>
      <c r="D1677" t="s">
        <v>1983</v>
      </c>
      <c r="F1677">
        <v>405467013</v>
      </c>
      <c r="G1677">
        <v>255778935</v>
      </c>
      <c r="H1677">
        <v>294368971</v>
      </c>
      <c r="I1677">
        <v>326631418</v>
      </c>
      <c r="J1677">
        <v>130678363</v>
      </c>
      <c r="K1677">
        <v>54675808</v>
      </c>
      <c r="L1677">
        <v>49659656</v>
      </c>
      <c r="M1677">
        <v>55371754</v>
      </c>
      <c r="N1677">
        <v>41481970</v>
      </c>
      <c r="O1677">
        <v>40243388</v>
      </c>
      <c r="P1677">
        <v>221</v>
      </c>
      <c r="Q1677" t="s">
        <v>3677</v>
      </c>
    </row>
    <row r="1678" spans="1:17" x14ac:dyDescent="0.3">
      <c r="A1678" t="s">
        <v>17</v>
      </c>
      <c r="B1678" t="str">
        <f>"601700"</f>
        <v>601700</v>
      </c>
      <c r="C1678" t="s">
        <v>3678</v>
      </c>
      <c r="D1678" t="s">
        <v>1065</v>
      </c>
      <c r="F1678">
        <v>38159944</v>
      </c>
      <c r="G1678">
        <v>-380310350</v>
      </c>
      <c r="H1678">
        <v>293829358</v>
      </c>
      <c r="I1678">
        <v>242617908</v>
      </c>
      <c r="J1678">
        <v>221364282</v>
      </c>
      <c r="K1678">
        <v>115351109</v>
      </c>
      <c r="L1678">
        <v>-59020370</v>
      </c>
      <c r="M1678">
        <v>220584068</v>
      </c>
      <c r="N1678">
        <v>-253032941</v>
      </c>
      <c r="O1678">
        <v>108042761</v>
      </c>
      <c r="P1678">
        <v>126</v>
      </c>
      <c r="Q1678" t="s">
        <v>3679</v>
      </c>
    </row>
    <row r="1679" spans="1:17" x14ac:dyDescent="0.3">
      <c r="A1679" t="s">
        <v>59</v>
      </c>
      <c r="B1679" t="str">
        <f>"002033"</f>
        <v>002033</v>
      </c>
      <c r="C1679" t="s">
        <v>3680</v>
      </c>
      <c r="D1679" t="s">
        <v>2982</v>
      </c>
      <c r="F1679">
        <v>1487648</v>
      </c>
      <c r="G1679">
        <v>161382645</v>
      </c>
      <c r="H1679">
        <v>293190041</v>
      </c>
      <c r="I1679">
        <v>307425829</v>
      </c>
      <c r="J1679">
        <v>300225049</v>
      </c>
      <c r="K1679">
        <v>343499955</v>
      </c>
      <c r="L1679">
        <v>405301511</v>
      </c>
      <c r="M1679">
        <v>303883679</v>
      </c>
      <c r="N1679">
        <v>286379914</v>
      </c>
      <c r="O1679">
        <v>273124805</v>
      </c>
      <c r="P1679">
        <v>278</v>
      </c>
      <c r="Q1679" t="s">
        <v>3681</v>
      </c>
    </row>
    <row r="1680" spans="1:17" x14ac:dyDescent="0.3">
      <c r="A1680" t="s">
        <v>59</v>
      </c>
      <c r="B1680" t="str">
        <f>"002462"</f>
        <v>002462</v>
      </c>
      <c r="C1680" t="s">
        <v>3682</v>
      </c>
      <c r="D1680" t="s">
        <v>396</v>
      </c>
      <c r="F1680">
        <v>913127423</v>
      </c>
      <c r="G1680">
        <v>1114869518</v>
      </c>
      <c r="H1680">
        <v>293114557</v>
      </c>
      <c r="I1680">
        <v>-291756509</v>
      </c>
      <c r="J1680">
        <v>-374038429</v>
      </c>
      <c r="K1680">
        <v>116304014</v>
      </c>
      <c r="L1680">
        <v>-310338779</v>
      </c>
      <c r="M1680">
        <v>-764459267</v>
      </c>
      <c r="N1680">
        <v>-312394792</v>
      </c>
      <c r="O1680">
        <v>-36890772</v>
      </c>
      <c r="P1680">
        <v>258</v>
      </c>
      <c r="Q1680" t="s">
        <v>3683</v>
      </c>
    </row>
    <row r="1681" spans="1:17" x14ac:dyDescent="0.3">
      <c r="A1681" t="s">
        <v>59</v>
      </c>
      <c r="B1681" t="str">
        <f>"300413"</f>
        <v>300413</v>
      </c>
      <c r="C1681" t="s">
        <v>3684</v>
      </c>
      <c r="D1681" t="s">
        <v>3685</v>
      </c>
      <c r="F1681">
        <v>561800882</v>
      </c>
      <c r="G1681">
        <v>580970353</v>
      </c>
      <c r="H1681">
        <v>292866711</v>
      </c>
      <c r="I1681">
        <v>-376920618</v>
      </c>
      <c r="J1681">
        <v>-60071337</v>
      </c>
      <c r="K1681">
        <v>-51103271</v>
      </c>
      <c r="L1681">
        <v>-20059157</v>
      </c>
      <c r="M1681">
        <v>106808896</v>
      </c>
      <c r="N1681">
        <v>245138445</v>
      </c>
      <c r="O1681">
        <v>207469267</v>
      </c>
      <c r="P1681">
        <v>1145</v>
      </c>
      <c r="Q1681" t="s">
        <v>3686</v>
      </c>
    </row>
    <row r="1682" spans="1:17" x14ac:dyDescent="0.3">
      <c r="A1682" t="s">
        <v>17</v>
      </c>
      <c r="B1682" t="str">
        <f>"603505"</f>
        <v>603505</v>
      </c>
      <c r="C1682" t="s">
        <v>3687</v>
      </c>
      <c r="D1682" t="s">
        <v>1095</v>
      </c>
      <c r="F1682">
        <v>342710309</v>
      </c>
      <c r="G1682">
        <v>341647138</v>
      </c>
      <c r="H1682">
        <v>292762605</v>
      </c>
      <c r="I1682">
        <v>117363168</v>
      </c>
      <c r="J1682">
        <v>-4448022</v>
      </c>
      <c r="K1682">
        <v>54618854</v>
      </c>
      <c r="L1682">
        <v>10204581</v>
      </c>
      <c r="M1682">
        <v>78664010</v>
      </c>
      <c r="P1682">
        <v>325</v>
      </c>
      <c r="Q1682" t="s">
        <v>3688</v>
      </c>
    </row>
    <row r="1683" spans="1:17" x14ac:dyDescent="0.3">
      <c r="A1683" t="s">
        <v>59</v>
      </c>
      <c r="B1683" t="str">
        <f>"000090"</f>
        <v>000090</v>
      </c>
      <c r="C1683" t="s">
        <v>3689</v>
      </c>
      <c r="D1683" t="s">
        <v>61</v>
      </c>
      <c r="F1683">
        <v>1071994238</v>
      </c>
      <c r="G1683">
        <v>-157583423</v>
      </c>
      <c r="H1683">
        <v>292417758</v>
      </c>
      <c r="I1683">
        <v>-492770051</v>
      </c>
      <c r="J1683">
        <v>-1574253818</v>
      </c>
      <c r="K1683">
        <v>-731080311</v>
      </c>
      <c r="L1683">
        <v>-2193141959</v>
      </c>
      <c r="M1683">
        <v>351220397</v>
      </c>
      <c r="N1683">
        <v>552740035</v>
      </c>
      <c r="O1683">
        <v>650716242</v>
      </c>
      <c r="P1683">
        <v>424</v>
      </c>
      <c r="Q1683" t="s">
        <v>3690</v>
      </c>
    </row>
    <row r="1684" spans="1:17" x14ac:dyDescent="0.3">
      <c r="A1684" t="s">
        <v>59</v>
      </c>
      <c r="B1684" t="str">
        <f>"002159"</f>
        <v>002159</v>
      </c>
      <c r="C1684" t="s">
        <v>3691</v>
      </c>
      <c r="D1684" t="s">
        <v>2982</v>
      </c>
      <c r="F1684">
        <v>95745843</v>
      </c>
      <c r="G1684">
        <v>135168556</v>
      </c>
      <c r="H1684">
        <v>292282573</v>
      </c>
      <c r="I1684">
        <v>248305222</v>
      </c>
      <c r="J1684">
        <v>164181041</v>
      </c>
      <c r="K1684">
        <v>38033911</v>
      </c>
      <c r="L1684">
        <v>29999286</v>
      </c>
      <c r="M1684">
        <v>95085352</v>
      </c>
      <c r="N1684">
        <v>39731384</v>
      </c>
      <c r="O1684">
        <v>72462257</v>
      </c>
      <c r="P1684">
        <v>119</v>
      </c>
      <c r="Q1684" t="s">
        <v>3692</v>
      </c>
    </row>
    <row r="1685" spans="1:17" x14ac:dyDescent="0.3">
      <c r="A1685" t="s">
        <v>59</v>
      </c>
      <c r="B1685" t="str">
        <f>"000571"</f>
        <v>000571</v>
      </c>
      <c r="C1685" t="s">
        <v>3693</v>
      </c>
      <c r="D1685" t="s">
        <v>54</v>
      </c>
      <c r="F1685">
        <v>345933704</v>
      </c>
      <c r="G1685">
        <v>137367956</v>
      </c>
      <c r="H1685">
        <v>292265640</v>
      </c>
      <c r="I1685">
        <v>-316994086</v>
      </c>
      <c r="J1685">
        <v>169455601</v>
      </c>
      <c r="K1685">
        <v>107817115</v>
      </c>
      <c r="L1685">
        <v>-138035574</v>
      </c>
      <c r="M1685">
        <v>-380136162</v>
      </c>
      <c r="N1685">
        <v>-66018629</v>
      </c>
      <c r="O1685">
        <v>129534855</v>
      </c>
      <c r="P1685">
        <v>72</v>
      </c>
      <c r="Q1685" t="s">
        <v>3694</v>
      </c>
    </row>
    <row r="1686" spans="1:17" x14ac:dyDescent="0.3">
      <c r="A1686" t="s">
        <v>59</v>
      </c>
      <c r="B1686" t="str">
        <f>"002855"</f>
        <v>002855</v>
      </c>
      <c r="C1686" t="s">
        <v>3695</v>
      </c>
      <c r="D1686" t="s">
        <v>349</v>
      </c>
      <c r="F1686">
        <v>191307517</v>
      </c>
      <c r="G1686">
        <v>298699336</v>
      </c>
      <c r="H1686">
        <v>292209235</v>
      </c>
      <c r="I1686">
        <v>202293530</v>
      </c>
      <c r="J1686">
        <v>-138602206</v>
      </c>
      <c r="K1686">
        <v>100725973</v>
      </c>
      <c r="L1686">
        <v>140463390</v>
      </c>
      <c r="M1686">
        <v>124773704</v>
      </c>
      <c r="P1686">
        <v>138</v>
      </c>
      <c r="Q1686" t="s">
        <v>3696</v>
      </c>
    </row>
    <row r="1687" spans="1:17" x14ac:dyDescent="0.3">
      <c r="A1687" t="s">
        <v>59</v>
      </c>
      <c r="B1687" t="str">
        <f>"300732"</f>
        <v>300732</v>
      </c>
      <c r="C1687" t="s">
        <v>3697</v>
      </c>
      <c r="D1687" t="s">
        <v>2254</v>
      </c>
      <c r="F1687">
        <v>65108843</v>
      </c>
      <c r="G1687">
        <v>273392171</v>
      </c>
      <c r="H1687">
        <v>292167104</v>
      </c>
      <c r="I1687">
        <v>-41438980</v>
      </c>
      <c r="J1687">
        <v>-6170216</v>
      </c>
      <c r="K1687">
        <v>84701034</v>
      </c>
      <c r="L1687">
        <v>23931472</v>
      </c>
      <c r="M1687">
        <v>26404267</v>
      </c>
      <c r="P1687">
        <v>151</v>
      </c>
      <c r="Q1687" t="s">
        <v>3698</v>
      </c>
    </row>
    <row r="1688" spans="1:17" x14ac:dyDescent="0.3">
      <c r="A1688" t="s">
        <v>17</v>
      </c>
      <c r="B1688" t="str">
        <f>"600882"</f>
        <v>600882</v>
      </c>
      <c r="C1688" t="s">
        <v>3699</v>
      </c>
      <c r="D1688" t="s">
        <v>308</v>
      </c>
      <c r="F1688">
        <v>437028199</v>
      </c>
      <c r="G1688">
        <v>267053447</v>
      </c>
      <c r="H1688">
        <v>292034715</v>
      </c>
      <c r="I1688">
        <v>86790941</v>
      </c>
      <c r="J1688">
        <v>-38596990</v>
      </c>
      <c r="K1688">
        <v>89963063</v>
      </c>
      <c r="L1688">
        <v>190548343</v>
      </c>
      <c r="M1688">
        <v>356324516</v>
      </c>
      <c r="N1688">
        <v>340074973</v>
      </c>
      <c r="O1688">
        <v>367392537</v>
      </c>
      <c r="P1688">
        <v>515</v>
      </c>
      <c r="Q1688" t="s">
        <v>3700</v>
      </c>
    </row>
    <row r="1689" spans="1:17" x14ac:dyDescent="0.3">
      <c r="A1689" t="s">
        <v>59</v>
      </c>
      <c r="B1689" t="str">
        <f>"300123"</f>
        <v>300123</v>
      </c>
      <c r="C1689" t="s">
        <v>3701</v>
      </c>
      <c r="D1689" t="s">
        <v>1983</v>
      </c>
      <c r="F1689">
        <v>-40076020</v>
      </c>
      <c r="G1689">
        <v>48269786</v>
      </c>
      <c r="H1689">
        <v>291936550</v>
      </c>
      <c r="I1689">
        <v>-254765309</v>
      </c>
      <c r="J1689">
        <v>-11326226</v>
      </c>
      <c r="K1689">
        <v>-311576</v>
      </c>
      <c r="L1689">
        <v>122804856</v>
      </c>
      <c r="M1689">
        <v>6392382</v>
      </c>
      <c r="N1689">
        <v>-68956713</v>
      </c>
      <c r="O1689">
        <v>26949354</v>
      </c>
      <c r="P1689">
        <v>232</v>
      </c>
      <c r="Q1689" t="s">
        <v>3702</v>
      </c>
    </row>
    <row r="1690" spans="1:17" x14ac:dyDescent="0.3">
      <c r="A1690" t="s">
        <v>59</v>
      </c>
      <c r="B1690" t="str">
        <f>"002098"</f>
        <v>002098</v>
      </c>
      <c r="C1690" t="s">
        <v>3703</v>
      </c>
      <c r="D1690" t="s">
        <v>2635</v>
      </c>
      <c r="F1690">
        <v>121841392</v>
      </c>
      <c r="G1690">
        <v>260672249</v>
      </c>
      <c r="H1690">
        <v>291577723</v>
      </c>
      <c r="I1690">
        <v>390427891</v>
      </c>
      <c r="J1690">
        <v>102887009</v>
      </c>
      <c r="K1690">
        <v>162875918</v>
      </c>
      <c r="L1690">
        <v>175412156</v>
      </c>
      <c r="M1690">
        <v>153961425</v>
      </c>
      <c r="N1690">
        <v>152747557</v>
      </c>
      <c r="O1690">
        <v>172745221</v>
      </c>
      <c r="P1690">
        <v>111</v>
      </c>
      <c r="Q1690" t="s">
        <v>3704</v>
      </c>
    </row>
    <row r="1691" spans="1:17" x14ac:dyDescent="0.3">
      <c r="A1691" t="s">
        <v>17</v>
      </c>
      <c r="B1691" t="str">
        <f>"605268"</f>
        <v>605268</v>
      </c>
      <c r="C1691" t="s">
        <v>3705</v>
      </c>
      <c r="D1691" t="s">
        <v>963</v>
      </c>
      <c r="F1691">
        <v>-104328143</v>
      </c>
      <c r="G1691">
        <v>355562451</v>
      </c>
      <c r="H1691">
        <v>291225360</v>
      </c>
      <c r="I1691">
        <v>150817031</v>
      </c>
      <c r="J1691">
        <v>263958946</v>
      </c>
      <c r="K1691">
        <v>204807100</v>
      </c>
      <c r="P1691">
        <v>60</v>
      </c>
      <c r="Q1691" t="s">
        <v>3706</v>
      </c>
    </row>
    <row r="1692" spans="1:17" x14ac:dyDescent="0.3">
      <c r="A1692" t="s">
        <v>59</v>
      </c>
      <c r="B1692" t="str">
        <f>"300396"</f>
        <v>300396</v>
      </c>
      <c r="C1692" t="s">
        <v>3707</v>
      </c>
      <c r="D1692" t="s">
        <v>1953</v>
      </c>
      <c r="F1692">
        <v>167412927</v>
      </c>
      <c r="G1692">
        <v>235647143</v>
      </c>
      <c r="H1692">
        <v>291102981</v>
      </c>
      <c r="I1692">
        <v>236304454</v>
      </c>
      <c r="J1692">
        <v>230957557</v>
      </c>
      <c r="K1692">
        <v>213738344</v>
      </c>
      <c r="L1692">
        <v>151978229</v>
      </c>
      <c r="M1692">
        <v>124170678</v>
      </c>
      <c r="N1692">
        <v>84881039</v>
      </c>
      <c r="O1692">
        <v>65416153</v>
      </c>
      <c r="P1692">
        <v>360</v>
      </c>
      <c r="Q1692" t="s">
        <v>3708</v>
      </c>
    </row>
    <row r="1693" spans="1:17" x14ac:dyDescent="0.3">
      <c r="A1693" t="s">
        <v>59</v>
      </c>
      <c r="B1693" t="str">
        <f>"000665"</f>
        <v>000665</v>
      </c>
      <c r="C1693" t="s">
        <v>3709</v>
      </c>
      <c r="D1693" t="s">
        <v>775</v>
      </c>
      <c r="F1693">
        <v>312511292</v>
      </c>
      <c r="G1693">
        <v>614376950</v>
      </c>
      <c r="H1693">
        <v>290194983</v>
      </c>
      <c r="I1693">
        <v>563234132</v>
      </c>
      <c r="J1693">
        <v>923889695</v>
      </c>
      <c r="K1693">
        <v>1053337270</v>
      </c>
      <c r="L1693">
        <v>1158557755</v>
      </c>
      <c r="M1693">
        <v>773719309</v>
      </c>
      <c r="N1693">
        <v>620070343</v>
      </c>
      <c r="O1693">
        <v>539582787</v>
      </c>
      <c r="P1693">
        <v>221</v>
      </c>
      <c r="Q1693" t="s">
        <v>3710</v>
      </c>
    </row>
    <row r="1694" spans="1:17" x14ac:dyDescent="0.3">
      <c r="A1694" t="s">
        <v>59</v>
      </c>
      <c r="B1694" t="str">
        <f>"002254"</f>
        <v>002254</v>
      </c>
      <c r="C1694" t="s">
        <v>3711</v>
      </c>
      <c r="D1694" t="s">
        <v>764</v>
      </c>
      <c r="F1694">
        <v>844957533</v>
      </c>
      <c r="G1694">
        <v>551134360</v>
      </c>
      <c r="H1694">
        <v>290174693</v>
      </c>
      <c r="I1694">
        <v>98391125</v>
      </c>
      <c r="J1694">
        <v>307378195</v>
      </c>
      <c r="K1694">
        <v>325799501</v>
      </c>
      <c r="L1694">
        <v>98490046</v>
      </c>
      <c r="M1694">
        <v>317915357</v>
      </c>
      <c r="N1694">
        <v>126664879</v>
      </c>
      <c r="O1694">
        <v>75786845</v>
      </c>
      <c r="P1694">
        <v>215</v>
      </c>
      <c r="Q1694" t="s">
        <v>3712</v>
      </c>
    </row>
    <row r="1695" spans="1:17" x14ac:dyDescent="0.3">
      <c r="A1695" t="s">
        <v>59</v>
      </c>
      <c r="B1695" t="str">
        <f>"000555"</f>
        <v>000555</v>
      </c>
      <c r="C1695" t="s">
        <v>3713</v>
      </c>
      <c r="D1695" t="s">
        <v>1189</v>
      </c>
      <c r="F1695">
        <v>371594043</v>
      </c>
      <c r="G1695">
        <v>321856743</v>
      </c>
      <c r="H1695">
        <v>289967552</v>
      </c>
      <c r="I1695">
        <v>237248165</v>
      </c>
      <c r="J1695">
        <v>343643406</v>
      </c>
      <c r="K1695">
        <v>564212436</v>
      </c>
      <c r="L1695">
        <v>78386639</v>
      </c>
      <c r="M1695">
        <v>503133543</v>
      </c>
      <c r="N1695">
        <v>161089588</v>
      </c>
      <c r="O1695">
        <v>-3449102</v>
      </c>
      <c r="P1695">
        <v>374</v>
      </c>
      <c r="Q1695" t="s">
        <v>3714</v>
      </c>
    </row>
    <row r="1696" spans="1:17" x14ac:dyDescent="0.3">
      <c r="A1696" t="s">
        <v>59</v>
      </c>
      <c r="B1696" t="str">
        <f>"300432"</f>
        <v>300432</v>
      </c>
      <c r="C1696" t="s">
        <v>3715</v>
      </c>
      <c r="D1696" t="s">
        <v>156</v>
      </c>
      <c r="F1696">
        <v>-84885057</v>
      </c>
      <c r="G1696">
        <v>445714123</v>
      </c>
      <c r="H1696">
        <v>289944715</v>
      </c>
      <c r="I1696">
        <v>-101394423</v>
      </c>
      <c r="J1696">
        <v>-210783010</v>
      </c>
      <c r="K1696">
        <v>184243486</v>
      </c>
      <c r="L1696">
        <v>74695958</v>
      </c>
      <c r="M1696">
        <v>113114811</v>
      </c>
      <c r="N1696">
        <v>83798741</v>
      </c>
      <c r="O1696">
        <v>58459641</v>
      </c>
      <c r="P1696">
        <v>304</v>
      </c>
      <c r="Q1696" t="s">
        <v>3716</v>
      </c>
    </row>
    <row r="1697" spans="1:17" x14ac:dyDescent="0.3">
      <c r="A1697" t="s">
        <v>59</v>
      </c>
      <c r="B1697" t="str">
        <f>"300769"</f>
        <v>300769</v>
      </c>
      <c r="C1697" t="s">
        <v>3717</v>
      </c>
      <c r="D1697" t="s">
        <v>1444</v>
      </c>
      <c r="F1697">
        <v>-644075077</v>
      </c>
      <c r="G1697">
        <v>95585896</v>
      </c>
      <c r="H1697">
        <v>288719811</v>
      </c>
      <c r="I1697">
        <v>167136670</v>
      </c>
      <c r="J1697">
        <v>-203115736</v>
      </c>
      <c r="K1697">
        <v>38582812</v>
      </c>
      <c r="P1697">
        <v>325</v>
      </c>
      <c r="Q1697" t="s">
        <v>3718</v>
      </c>
    </row>
    <row r="1698" spans="1:17" x14ac:dyDescent="0.3">
      <c r="A1698" t="s">
        <v>59</v>
      </c>
      <c r="B1698" t="str">
        <f>"002538"</f>
        <v>002538</v>
      </c>
      <c r="C1698" t="s">
        <v>3719</v>
      </c>
      <c r="D1698" t="s">
        <v>1317</v>
      </c>
      <c r="F1698">
        <v>21961575</v>
      </c>
      <c r="G1698">
        <v>1153660269</v>
      </c>
      <c r="H1698">
        <v>287052350</v>
      </c>
      <c r="I1698">
        <v>208925187</v>
      </c>
      <c r="J1698">
        <v>45075967</v>
      </c>
      <c r="K1698">
        <v>591435687</v>
      </c>
      <c r="L1698">
        <v>428188610</v>
      </c>
      <c r="M1698">
        <v>31840266</v>
      </c>
      <c r="N1698">
        <v>16131269</v>
      </c>
      <c r="O1698">
        <v>93503278</v>
      </c>
      <c r="P1698">
        <v>174</v>
      </c>
      <c r="Q1698" t="s">
        <v>3720</v>
      </c>
    </row>
    <row r="1699" spans="1:17" x14ac:dyDescent="0.3">
      <c r="A1699" t="s">
        <v>59</v>
      </c>
      <c r="B1699" t="str">
        <f>"002895"</f>
        <v>002895</v>
      </c>
      <c r="C1699" t="s">
        <v>3721</v>
      </c>
      <c r="D1699" t="s">
        <v>533</v>
      </c>
      <c r="F1699">
        <v>80474835</v>
      </c>
      <c r="G1699">
        <v>255651138</v>
      </c>
      <c r="H1699">
        <v>286830850</v>
      </c>
      <c r="I1699">
        <v>14021787</v>
      </c>
      <c r="J1699">
        <v>120550300</v>
      </c>
      <c r="K1699">
        <v>187658078</v>
      </c>
      <c r="L1699">
        <v>153093860</v>
      </c>
      <c r="M1699">
        <v>98146510</v>
      </c>
      <c r="P1699">
        <v>148</v>
      </c>
      <c r="Q1699" t="s">
        <v>3722</v>
      </c>
    </row>
    <row r="1700" spans="1:17" x14ac:dyDescent="0.3">
      <c r="A1700" t="s">
        <v>17</v>
      </c>
      <c r="B1700" t="str">
        <f>"603661"</f>
        <v>603661</v>
      </c>
      <c r="C1700" t="s">
        <v>3723</v>
      </c>
      <c r="D1700" t="s">
        <v>972</v>
      </c>
      <c r="F1700">
        <v>95964237</v>
      </c>
      <c r="G1700">
        <v>688304481</v>
      </c>
      <c r="H1700">
        <v>286223308</v>
      </c>
      <c r="I1700">
        <v>15506135</v>
      </c>
      <c r="J1700">
        <v>126775205</v>
      </c>
      <c r="K1700">
        <v>244827187</v>
      </c>
      <c r="L1700">
        <v>234127377</v>
      </c>
      <c r="M1700">
        <v>156894077</v>
      </c>
      <c r="P1700">
        <v>148</v>
      </c>
      <c r="Q1700" t="s">
        <v>3724</v>
      </c>
    </row>
    <row r="1701" spans="1:17" x14ac:dyDescent="0.3">
      <c r="A1701" t="s">
        <v>59</v>
      </c>
      <c r="B1701" t="str">
        <f>"002497"</f>
        <v>002497</v>
      </c>
      <c r="C1701" t="s">
        <v>3725</v>
      </c>
      <c r="D1701" t="s">
        <v>1986</v>
      </c>
      <c r="F1701">
        <v>630913491</v>
      </c>
      <c r="G1701">
        <v>529285430</v>
      </c>
      <c r="H1701">
        <v>286094435</v>
      </c>
      <c r="I1701">
        <v>210986837</v>
      </c>
      <c r="J1701">
        <v>181525602</v>
      </c>
      <c r="K1701">
        <v>85613668</v>
      </c>
      <c r="L1701">
        <v>229514055</v>
      </c>
      <c r="M1701">
        <v>197512869</v>
      </c>
      <c r="N1701">
        <v>243872103</v>
      </c>
      <c r="O1701">
        <v>214597238</v>
      </c>
      <c r="P1701">
        <v>481</v>
      </c>
      <c r="Q1701" t="s">
        <v>3726</v>
      </c>
    </row>
    <row r="1702" spans="1:17" x14ac:dyDescent="0.3">
      <c r="A1702" t="s">
        <v>17</v>
      </c>
      <c r="B1702" t="str">
        <f>"605011"</f>
        <v>605011</v>
      </c>
      <c r="C1702" t="s">
        <v>3727</v>
      </c>
      <c r="D1702" t="s">
        <v>1238</v>
      </c>
      <c r="F1702">
        <v>193956694</v>
      </c>
      <c r="G1702">
        <v>346341140</v>
      </c>
      <c r="H1702">
        <v>286084588</v>
      </c>
      <c r="I1702">
        <v>259628181</v>
      </c>
      <c r="J1702">
        <v>264077037</v>
      </c>
      <c r="P1702">
        <v>27</v>
      </c>
      <c r="Q1702" t="s">
        <v>3728</v>
      </c>
    </row>
    <row r="1703" spans="1:17" x14ac:dyDescent="0.3">
      <c r="A1703" t="s">
        <v>17</v>
      </c>
      <c r="B1703" t="str">
        <f>"603982"</f>
        <v>603982</v>
      </c>
      <c r="C1703" t="s">
        <v>3729</v>
      </c>
      <c r="D1703" t="s">
        <v>156</v>
      </c>
      <c r="F1703">
        <v>-105088856</v>
      </c>
      <c r="G1703">
        <v>212210865</v>
      </c>
      <c r="H1703">
        <v>285486801</v>
      </c>
      <c r="I1703">
        <v>18953034</v>
      </c>
      <c r="J1703">
        <v>21400487</v>
      </c>
      <c r="K1703">
        <v>88870948</v>
      </c>
      <c r="P1703">
        <v>122</v>
      </c>
      <c r="Q1703" t="s">
        <v>3730</v>
      </c>
    </row>
    <row r="1704" spans="1:17" x14ac:dyDescent="0.3">
      <c r="A1704" t="s">
        <v>59</v>
      </c>
      <c r="B1704" t="str">
        <f>"002349"</f>
        <v>002349</v>
      </c>
      <c r="C1704" t="s">
        <v>3731</v>
      </c>
      <c r="D1704" t="s">
        <v>455</v>
      </c>
      <c r="F1704">
        <v>305570855</v>
      </c>
      <c r="G1704">
        <v>328218387</v>
      </c>
      <c r="H1704">
        <v>285382130</v>
      </c>
      <c r="I1704">
        <v>83430076</v>
      </c>
      <c r="J1704">
        <v>75922624</v>
      </c>
      <c r="K1704">
        <v>343801743</v>
      </c>
      <c r="L1704">
        <v>-76011577</v>
      </c>
      <c r="M1704">
        <v>45701575</v>
      </c>
      <c r="N1704">
        <v>-54939839</v>
      </c>
      <c r="O1704">
        <v>77246691</v>
      </c>
      <c r="P1704">
        <v>194</v>
      </c>
      <c r="Q1704" t="s">
        <v>3732</v>
      </c>
    </row>
    <row r="1705" spans="1:17" x14ac:dyDescent="0.3">
      <c r="A1705" t="s">
        <v>17</v>
      </c>
      <c r="B1705" t="str">
        <f>"603968"</f>
        <v>603968</v>
      </c>
      <c r="C1705" t="s">
        <v>3733</v>
      </c>
      <c r="D1705" t="s">
        <v>853</v>
      </c>
      <c r="F1705">
        <v>164786305</v>
      </c>
      <c r="G1705">
        <v>311022909</v>
      </c>
      <c r="H1705">
        <v>285328017</v>
      </c>
      <c r="I1705">
        <v>230176173</v>
      </c>
      <c r="J1705">
        <v>168089961</v>
      </c>
      <c r="K1705">
        <v>196870832</v>
      </c>
      <c r="L1705">
        <v>168572099</v>
      </c>
      <c r="M1705">
        <v>145722141</v>
      </c>
      <c r="N1705">
        <v>114630747</v>
      </c>
      <c r="O1705">
        <v>148279461</v>
      </c>
      <c r="P1705">
        <v>244</v>
      </c>
      <c r="Q1705" t="s">
        <v>3734</v>
      </c>
    </row>
    <row r="1706" spans="1:17" x14ac:dyDescent="0.3">
      <c r="A1706" t="s">
        <v>17</v>
      </c>
      <c r="B1706" t="str">
        <f>"605169"</f>
        <v>605169</v>
      </c>
      <c r="C1706" t="s">
        <v>3735</v>
      </c>
      <c r="D1706" t="s">
        <v>883</v>
      </c>
      <c r="F1706">
        <v>266587777</v>
      </c>
      <c r="G1706">
        <v>174723229</v>
      </c>
      <c r="H1706">
        <v>284608322</v>
      </c>
      <c r="I1706">
        <v>222035825</v>
      </c>
      <c r="J1706">
        <v>142006990</v>
      </c>
      <c r="P1706">
        <v>62</v>
      </c>
      <c r="Q1706" t="s">
        <v>3736</v>
      </c>
    </row>
    <row r="1707" spans="1:17" x14ac:dyDescent="0.3">
      <c r="A1707" t="s">
        <v>59</v>
      </c>
      <c r="B1707" t="str">
        <f>"002781"</f>
        <v>002781</v>
      </c>
      <c r="C1707" t="s">
        <v>3737</v>
      </c>
      <c r="D1707" t="s">
        <v>1150</v>
      </c>
      <c r="F1707">
        <v>-289267152</v>
      </c>
      <c r="G1707">
        <v>-83536477</v>
      </c>
      <c r="H1707">
        <v>283864771</v>
      </c>
      <c r="I1707">
        <v>-248905077</v>
      </c>
      <c r="J1707">
        <v>-138887003</v>
      </c>
      <c r="K1707">
        <v>-523297636</v>
      </c>
      <c r="L1707">
        <v>-143141047</v>
      </c>
      <c r="M1707">
        <v>-117361846</v>
      </c>
      <c r="N1707">
        <v>7930907</v>
      </c>
      <c r="O1707">
        <v>80682166</v>
      </c>
      <c r="P1707">
        <v>68</v>
      </c>
      <c r="Q1707" t="s">
        <v>3738</v>
      </c>
    </row>
    <row r="1708" spans="1:17" x14ac:dyDescent="0.3">
      <c r="A1708" t="s">
        <v>17</v>
      </c>
      <c r="B1708" t="str">
        <f>"601018"</f>
        <v>601018</v>
      </c>
      <c r="C1708" t="s">
        <v>3739</v>
      </c>
      <c r="D1708" t="s">
        <v>386</v>
      </c>
      <c r="F1708">
        <v>8036381000</v>
      </c>
      <c r="G1708">
        <v>6265251000</v>
      </c>
      <c r="H1708">
        <v>283660000</v>
      </c>
      <c r="I1708">
        <v>10060107000</v>
      </c>
      <c r="J1708">
        <v>2833855000</v>
      </c>
      <c r="K1708">
        <v>4727730000</v>
      </c>
      <c r="L1708">
        <v>2565988000</v>
      </c>
      <c r="M1708">
        <v>2692877000</v>
      </c>
      <c r="N1708">
        <v>3325869000</v>
      </c>
      <c r="O1708">
        <v>796350000</v>
      </c>
      <c r="P1708">
        <v>335</v>
      </c>
      <c r="Q1708" t="s">
        <v>3740</v>
      </c>
    </row>
    <row r="1709" spans="1:17" x14ac:dyDescent="0.3">
      <c r="A1709" t="s">
        <v>17</v>
      </c>
      <c r="B1709" t="str">
        <f>"605066"</f>
        <v>605066</v>
      </c>
      <c r="C1709" t="s">
        <v>3741</v>
      </c>
      <c r="D1709" t="s">
        <v>458</v>
      </c>
      <c r="F1709">
        <v>47782879</v>
      </c>
      <c r="G1709">
        <v>175800114</v>
      </c>
      <c r="H1709">
        <v>283595893</v>
      </c>
      <c r="I1709">
        <v>86111377</v>
      </c>
      <c r="J1709">
        <v>210610752</v>
      </c>
      <c r="P1709">
        <v>54</v>
      </c>
      <c r="Q1709" t="s">
        <v>3742</v>
      </c>
    </row>
    <row r="1710" spans="1:17" x14ac:dyDescent="0.3">
      <c r="A1710" t="s">
        <v>59</v>
      </c>
      <c r="B1710" t="str">
        <f>"300280"</f>
        <v>300280</v>
      </c>
      <c r="C1710" t="s">
        <v>3743</v>
      </c>
      <c r="D1710" t="s">
        <v>662</v>
      </c>
      <c r="F1710">
        <v>69141273</v>
      </c>
      <c r="G1710">
        <v>289369924</v>
      </c>
      <c r="H1710">
        <v>283547335</v>
      </c>
      <c r="I1710">
        <v>-11267440</v>
      </c>
      <c r="J1710">
        <v>-28414404</v>
      </c>
      <c r="K1710">
        <v>33405244</v>
      </c>
      <c r="L1710">
        <v>51391109</v>
      </c>
      <c r="M1710">
        <v>40024060</v>
      </c>
      <c r="N1710">
        <v>22963636</v>
      </c>
      <c r="O1710">
        <v>4430764</v>
      </c>
      <c r="P1710">
        <v>144</v>
      </c>
      <c r="Q1710" t="s">
        <v>3744</v>
      </c>
    </row>
    <row r="1711" spans="1:17" x14ac:dyDescent="0.3">
      <c r="A1711" t="s">
        <v>17</v>
      </c>
      <c r="B1711" t="str">
        <f>"688121"</f>
        <v>688121</v>
      </c>
      <c r="C1711" t="s">
        <v>3745</v>
      </c>
      <c r="D1711" t="s">
        <v>741</v>
      </c>
      <c r="F1711">
        <v>-69978075</v>
      </c>
      <c r="G1711">
        <v>141269987</v>
      </c>
      <c r="H1711">
        <v>282998630</v>
      </c>
      <c r="I1711">
        <v>60495716</v>
      </c>
      <c r="J1711">
        <v>-25346625</v>
      </c>
      <c r="P1711">
        <v>24</v>
      </c>
      <c r="Q1711" t="s">
        <v>3746</v>
      </c>
    </row>
    <row r="1712" spans="1:17" x14ac:dyDescent="0.3">
      <c r="A1712" t="s">
        <v>59</v>
      </c>
      <c r="B1712" t="str">
        <f>"300660"</f>
        <v>300660</v>
      </c>
      <c r="C1712" t="s">
        <v>3747</v>
      </c>
      <c r="D1712" t="s">
        <v>1556</v>
      </c>
      <c r="F1712">
        <v>362829376</v>
      </c>
      <c r="G1712">
        <v>422473747</v>
      </c>
      <c r="H1712">
        <v>282927526</v>
      </c>
      <c r="I1712">
        <v>142213987</v>
      </c>
      <c r="J1712">
        <v>118017170</v>
      </c>
      <c r="K1712">
        <v>206391864</v>
      </c>
      <c r="L1712">
        <v>204514255</v>
      </c>
      <c r="M1712">
        <v>136805721</v>
      </c>
      <c r="P1712">
        <v>108</v>
      </c>
      <c r="Q1712" t="s">
        <v>3748</v>
      </c>
    </row>
    <row r="1713" spans="1:17" x14ac:dyDescent="0.3">
      <c r="A1713" t="s">
        <v>59</v>
      </c>
      <c r="B1713" t="str">
        <f>"000551"</f>
        <v>000551</v>
      </c>
      <c r="C1713" t="s">
        <v>3749</v>
      </c>
      <c r="D1713" t="s">
        <v>1337</v>
      </c>
      <c r="F1713">
        <v>268697234</v>
      </c>
      <c r="G1713">
        <v>206102445</v>
      </c>
      <c r="H1713">
        <v>282617265</v>
      </c>
      <c r="I1713">
        <v>250220874</v>
      </c>
      <c r="J1713">
        <v>173585129</v>
      </c>
      <c r="K1713">
        <v>200609512</v>
      </c>
      <c r="L1713">
        <v>148462350</v>
      </c>
      <c r="M1713">
        <v>90243667</v>
      </c>
      <c r="N1713">
        <v>209273783</v>
      </c>
      <c r="O1713">
        <v>113544538</v>
      </c>
      <c r="P1713">
        <v>122</v>
      </c>
      <c r="Q1713" t="s">
        <v>3750</v>
      </c>
    </row>
    <row r="1714" spans="1:17" x14ac:dyDescent="0.3">
      <c r="A1714" t="s">
        <v>59</v>
      </c>
      <c r="B1714" t="str">
        <f>"002688"</f>
        <v>002688</v>
      </c>
      <c r="C1714" t="s">
        <v>3751</v>
      </c>
      <c r="D1714" t="s">
        <v>3061</v>
      </c>
      <c r="F1714">
        <v>152978506</v>
      </c>
      <c r="G1714">
        <v>258079961</v>
      </c>
      <c r="H1714">
        <v>282185997</v>
      </c>
      <c r="I1714">
        <v>117174644</v>
      </c>
      <c r="J1714">
        <v>27253029</v>
      </c>
      <c r="K1714">
        <v>292411555</v>
      </c>
      <c r="L1714">
        <v>214966344</v>
      </c>
      <c r="M1714">
        <v>-58016151</v>
      </c>
      <c r="N1714">
        <v>148323144</v>
      </c>
      <c r="O1714">
        <v>88806100</v>
      </c>
      <c r="P1714">
        <v>167</v>
      </c>
      <c r="Q1714" t="s">
        <v>3752</v>
      </c>
    </row>
    <row r="1715" spans="1:17" x14ac:dyDescent="0.3">
      <c r="A1715" t="s">
        <v>17</v>
      </c>
      <c r="B1715" t="str">
        <f>"603128"</f>
        <v>603128</v>
      </c>
      <c r="C1715" t="s">
        <v>3753</v>
      </c>
      <c r="D1715" t="s">
        <v>677</v>
      </c>
      <c r="F1715">
        <v>256065447</v>
      </c>
      <c r="G1715">
        <v>754651087</v>
      </c>
      <c r="H1715">
        <v>281833789</v>
      </c>
      <c r="I1715">
        <v>139143420</v>
      </c>
      <c r="J1715">
        <v>414660321</v>
      </c>
      <c r="K1715">
        <v>436403535</v>
      </c>
      <c r="L1715">
        <v>273684135</v>
      </c>
      <c r="M1715">
        <v>234473187</v>
      </c>
      <c r="N1715">
        <v>-224625751</v>
      </c>
      <c r="O1715">
        <v>-172126317</v>
      </c>
      <c r="P1715">
        <v>273</v>
      </c>
      <c r="Q1715" t="s">
        <v>3754</v>
      </c>
    </row>
    <row r="1716" spans="1:17" x14ac:dyDescent="0.3">
      <c r="A1716" t="s">
        <v>59</v>
      </c>
      <c r="B1716" t="str">
        <f>"300205"</f>
        <v>300205</v>
      </c>
      <c r="C1716" t="s">
        <v>3755</v>
      </c>
      <c r="D1716" t="s">
        <v>1650</v>
      </c>
      <c r="F1716">
        <v>-254145612</v>
      </c>
      <c r="G1716">
        <v>248252928</v>
      </c>
      <c r="H1716">
        <v>281725738</v>
      </c>
      <c r="I1716">
        <v>-11194291</v>
      </c>
      <c r="J1716">
        <v>186347367</v>
      </c>
      <c r="K1716">
        <v>80588952</v>
      </c>
      <c r="L1716">
        <v>292113668</v>
      </c>
      <c r="M1716">
        <v>-108829372</v>
      </c>
      <c r="N1716">
        <v>3470333</v>
      </c>
      <c r="O1716">
        <v>-8263608</v>
      </c>
      <c r="P1716">
        <v>222</v>
      </c>
      <c r="Q1716" t="s">
        <v>3756</v>
      </c>
    </row>
    <row r="1717" spans="1:17" x14ac:dyDescent="0.3">
      <c r="A1717" t="s">
        <v>59</v>
      </c>
      <c r="B1717" t="str">
        <f>"002521"</f>
        <v>002521</v>
      </c>
      <c r="C1717" t="s">
        <v>3757</v>
      </c>
      <c r="D1717" t="s">
        <v>2856</v>
      </c>
      <c r="F1717">
        <v>254268930</v>
      </c>
      <c r="G1717">
        <v>468871056</v>
      </c>
      <c r="H1717">
        <v>281706729</v>
      </c>
      <c r="I1717">
        <v>324771588</v>
      </c>
      <c r="J1717">
        <v>-245900997</v>
      </c>
      <c r="K1717">
        <v>389445405</v>
      </c>
      <c r="L1717">
        <v>122938157</v>
      </c>
      <c r="M1717">
        <v>435579643</v>
      </c>
      <c r="N1717">
        <v>46692450</v>
      </c>
      <c r="O1717">
        <v>-176823013</v>
      </c>
      <c r="P1717">
        <v>132</v>
      </c>
      <c r="Q1717" t="s">
        <v>3758</v>
      </c>
    </row>
    <row r="1718" spans="1:17" x14ac:dyDescent="0.3">
      <c r="A1718" t="s">
        <v>59</v>
      </c>
      <c r="B1718" t="str">
        <f>"300068"</f>
        <v>300068</v>
      </c>
      <c r="C1718" t="s">
        <v>3759</v>
      </c>
      <c r="D1718" t="s">
        <v>1107</v>
      </c>
      <c r="F1718">
        <v>321928210</v>
      </c>
      <c r="G1718">
        <v>380524044</v>
      </c>
      <c r="H1718">
        <v>281533714</v>
      </c>
      <c r="I1718">
        <v>248056886</v>
      </c>
      <c r="J1718">
        <v>304154920</v>
      </c>
      <c r="K1718">
        <v>5184704</v>
      </c>
      <c r="L1718">
        <v>41828791</v>
      </c>
      <c r="M1718">
        <v>40224229</v>
      </c>
      <c r="N1718">
        <v>78284211</v>
      </c>
      <c r="O1718">
        <v>215173101</v>
      </c>
      <c r="P1718">
        <v>305</v>
      </c>
      <c r="Q1718" t="s">
        <v>3760</v>
      </c>
    </row>
    <row r="1719" spans="1:17" x14ac:dyDescent="0.3">
      <c r="A1719" t="s">
        <v>17</v>
      </c>
      <c r="B1719" t="str">
        <f>"600644"</f>
        <v>600644</v>
      </c>
      <c r="C1719" t="s">
        <v>3761</v>
      </c>
      <c r="D1719" t="s">
        <v>682</v>
      </c>
      <c r="F1719">
        <v>476572365</v>
      </c>
      <c r="G1719">
        <v>408424507</v>
      </c>
      <c r="H1719">
        <v>281509331</v>
      </c>
      <c r="I1719">
        <v>167720214</v>
      </c>
      <c r="J1719">
        <v>236940085</v>
      </c>
      <c r="K1719">
        <v>345847026</v>
      </c>
      <c r="L1719">
        <v>149109702</v>
      </c>
      <c r="M1719">
        <v>43940044</v>
      </c>
      <c r="N1719">
        <v>167273375</v>
      </c>
      <c r="O1719">
        <v>9045001</v>
      </c>
      <c r="P1719">
        <v>81</v>
      </c>
      <c r="Q1719" t="s">
        <v>3762</v>
      </c>
    </row>
    <row r="1720" spans="1:17" x14ac:dyDescent="0.3">
      <c r="A1720" t="s">
        <v>59</v>
      </c>
      <c r="B1720" t="str">
        <f>"002783"</f>
        <v>002783</v>
      </c>
      <c r="C1720" t="s">
        <v>3763</v>
      </c>
      <c r="D1720" t="s">
        <v>1986</v>
      </c>
      <c r="F1720">
        <v>9665681</v>
      </c>
      <c r="G1720">
        <v>98510126</v>
      </c>
      <c r="H1720">
        <v>281364398</v>
      </c>
      <c r="I1720">
        <v>236062276</v>
      </c>
      <c r="J1720">
        <v>156409132</v>
      </c>
      <c r="K1720">
        <v>145939930</v>
      </c>
      <c r="L1720">
        <v>197436353</v>
      </c>
      <c r="M1720">
        <v>115879489</v>
      </c>
      <c r="N1720">
        <v>164622624</v>
      </c>
      <c r="O1720">
        <v>181121861</v>
      </c>
      <c r="P1720">
        <v>112</v>
      </c>
      <c r="Q1720" t="s">
        <v>3764</v>
      </c>
    </row>
    <row r="1721" spans="1:17" x14ac:dyDescent="0.3">
      <c r="A1721" t="s">
        <v>17</v>
      </c>
      <c r="B1721" t="str">
        <f>"605077"</f>
        <v>605077</v>
      </c>
      <c r="C1721" t="s">
        <v>3765</v>
      </c>
      <c r="D1721" t="s">
        <v>853</v>
      </c>
      <c r="F1721">
        <v>264320636</v>
      </c>
      <c r="G1721">
        <v>335241828</v>
      </c>
      <c r="H1721">
        <v>281308013</v>
      </c>
      <c r="I1721">
        <v>140971644</v>
      </c>
      <c r="J1721">
        <v>80560663</v>
      </c>
      <c r="P1721">
        <v>88</v>
      </c>
      <c r="Q1721" t="s">
        <v>3766</v>
      </c>
    </row>
    <row r="1722" spans="1:17" x14ac:dyDescent="0.3">
      <c r="A1722" t="s">
        <v>59</v>
      </c>
      <c r="B1722" t="str">
        <f>"002611"</f>
        <v>002611</v>
      </c>
      <c r="C1722" t="s">
        <v>3767</v>
      </c>
      <c r="D1722" t="s">
        <v>3768</v>
      </c>
      <c r="F1722">
        <v>306659276</v>
      </c>
      <c r="G1722">
        <v>550996032</v>
      </c>
      <c r="H1722">
        <v>281297787</v>
      </c>
      <c r="I1722">
        <v>721724801</v>
      </c>
      <c r="J1722">
        <v>-95224885</v>
      </c>
      <c r="K1722">
        <v>281802686</v>
      </c>
      <c r="L1722">
        <v>117562300</v>
      </c>
      <c r="M1722">
        <v>42531913</v>
      </c>
      <c r="N1722">
        <v>63975174</v>
      </c>
      <c r="O1722">
        <v>53756323</v>
      </c>
      <c r="P1722">
        <v>208</v>
      </c>
      <c r="Q1722" t="s">
        <v>3769</v>
      </c>
    </row>
    <row r="1723" spans="1:17" x14ac:dyDescent="0.3">
      <c r="A1723" t="s">
        <v>59</v>
      </c>
      <c r="B1723" t="str">
        <f>"002292"</f>
        <v>002292</v>
      </c>
      <c r="C1723" t="s">
        <v>3770</v>
      </c>
      <c r="D1723" t="s">
        <v>1059</v>
      </c>
      <c r="F1723">
        <v>-41133785</v>
      </c>
      <c r="G1723">
        <v>124717181</v>
      </c>
      <c r="H1723">
        <v>280882168</v>
      </c>
      <c r="I1723">
        <v>73285213</v>
      </c>
      <c r="J1723">
        <v>151894515</v>
      </c>
      <c r="K1723">
        <v>185950956</v>
      </c>
      <c r="L1723">
        <v>-96615453</v>
      </c>
      <c r="M1723">
        <v>522773944</v>
      </c>
      <c r="N1723">
        <v>148408348</v>
      </c>
      <c r="O1723">
        <v>246195872</v>
      </c>
      <c r="P1723">
        <v>291</v>
      </c>
      <c r="Q1723" t="s">
        <v>3771</v>
      </c>
    </row>
    <row r="1724" spans="1:17" x14ac:dyDescent="0.3">
      <c r="A1724" t="s">
        <v>59</v>
      </c>
      <c r="B1724" t="str">
        <f>"300723"</f>
        <v>300723</v>
      </c>
      <c r="C1724" t="s">
        <v>3772</v>
      </c>
      <c r="D1724" t="s">
        <v>592</v>
      </c>
      <c r="F1724">
        <v>438100616</v>
      </c>
      <c r="G1724">
        <v>275221007</v>
      </c>
      <c r="H1724">
        <v>280649860</v>
      </c>
      <c r="I1724">
        <v>238599800</v>
      </c>
      <c r="J1724">
        <v>141348771</v>
      </c>
      <c r="K1724">
        <v>146008440</v>
      </c>
      <c r="L1724">
        <v>34549505</v>
      </c>
      <c r="M1724">
        <v>8741923</v>
      </c>
      <c r="P1724">
        <v>222</v>
      </c>
      <c r="Q1724" t="s">
        <v>3773</v>
      </c>
    </row>
    <row r="1725" spans="1:17" x14ac:dyDescent="0.3">
      <c r="A1725" t="s">
        <v>17</v>
      </c>
      <c r="B1725" t="str">
        <f>"688139"</f>
        <v>688139</v>
      </c>
      <c r="C1725" t="s">
        <v>3774</v>
      </c>
      <c r="D1725" t="s">
        <v>485</v>
      </c>
      <c r="F1725">
        <v>591798010</v>
      </c>
      <c r="G1725">
        <v>696619631</v>
      </c>
      <c r="H1725">
        <v>280486899</v>
      </c>
      <c r="I1725">
        <v>149001158</v>
      </c>
      <c r="J1725">
        <v>148322687</v>
      </c>
      <c r="K1725">
        <v>220720767</v>
      </c>
      <c r="P1725">
        <v>349</v>
      </c>
      <c r="Q1725" t="s">
        <v>3775</v>
      </c>
    </row>
    <row r="1726" spans="1:17" x14ac:dyDescent="0.3">
      <c r="A1726" t="s">
        <v>17</v>
      </c>
      <c r="B1726" t="str">
        <f>"600488"</f>
        <v>600488</v>
      </c>
      <c r="C1726" t="s">
        <v>3776</v>
      </c>
      <c r="D1726" t="s">
        <v>592</v>
      </c>
      <c r="F1726">
        <v>316889762</v>
      </c>
      <c r="G1726">
        <v>346884942</v>
      </c>
      <c r="H1726">
        <v>279368979</v>
      </c>
      <c r="I1726">
        <v>189265815</v>
      </c>
      <c r="J1726">
        <v>-8145039</v>
      </c>
      <c r="K1726">
        <v>63320331</v>
      </c>
      <c r="L1726">
        <v>129501813</v>
      </c>
      <c r="M1726">
        <v>178763590</v>
      </c>
      <c r="N1726">
        <v>84554190</v>
      </c>
      <c r="O1726">
        <v>13227624</v>
      </c>
      <c r="P1726">
        <v>98</v>
      </c>
      <c r="Q1726" t="s">
        <v>3777</v>
      </c>
    </row>
    <row r="1727" spans="1:17" x14ac:dyDescent="0.3">
      <c r="A1727" t="s">
        <v>59</v>
      </c>
      <c r="B1727" t="str">
        <f>"002560"</f>
        <v>002560</v>
      </c>
      <c r="C1727" t="s">
        <v>3778</v>
      </c>
      <c r="D1727" t="s">
        <v>1065</v>
      </c>
      <c r="F1727">
        <v>-164742781</v>
      </c>
      <c r="G1727">
        <v>41199585</v>
      </c>
      <c r="H1727">
        <v>279246886</v>
      </c>
      <c r="I1727">
        <v>13994624</v>
      </c>
      <c r="J1727">
        <v>-139376468</v>
      </c>
      <c r="K1727">
        <v>-14877407</v>
      </c>
      <c r="L1727">
        <v>26116901</v>
      </c>
      <c r="M1727">
        <v>61651700</v>
      </c>
      <c r="N1727">
        <v>-8032515</v>
      </c>
      <c r="O1727">
        <v>-397005372</v>
      </c>
      <c r="P1727">
        <v>138</v>
      </c>
      <c r="Q1727" t="s">
        <v>3779</v>
      </c>
    </row>
    <row r="1728" spans="1:17" x14ac:dyDescent="0.3">
      <c r="A1728" t="s">
        <v>59</v>
      </c>
      <c r="B1728" t="str">
        <f>"300346"</f>
        <v>300346</v>
      </c>
      <c r="C1728" t="s">
        <v>3780</v>
      </c>
      <c r="D1728" t="s">
        <v>2111</v>
      </c>
      <c r="F1728">
        <v>261962821</v>
      </c>
      <c r="G1728">
        <v>127535710</v>
      </c>
      <c r="H1728">
        <v>278637204</v>
      </c>
      <c r="I1728">
        <v>129826445</v>
      </c>
      <c r="J1728">
        <v>22522855</v>
      </c>
      <c r="K1728">
        <v>33063478</v>
      </c>
      <c r="L1728">
        <v>27488312</v>
      </c>
      <c r="M1728">
        <v>44720334</v>
      </c>
      <c r="N1728">
        <v>14715851</v>
      </c>
      <c r="O1728">
        <v>-8653200</v>
      </c>
      <c r="P1728">
        <v>447</v>
      </c>
      <c r="Q1728" t="s">
        <v>3781</v>
      </c>
    </row>
    <row r="1729" spans="1:17" x14ac:dyDescent="0.3">
      <c r="A1729" t="s">
        <v>17</v>
      </c>
      <c r="B1729" t="str">
        <f>"600929"</f>
        <v>600929</v>
      </c>
      <c r="C1729" t="s">
        <v>3782</v>
      </c>
      <c r="D1729" t="s">
        <v>1241</v>
      </c>
      <c r="F1729">
        <v>600401403</v>
      </c>
      <c r="G1729">
        <v>219014769</v>
      </c>
      <c r="H1729">
        <v>278563522</v>
      </c>
      <c r="I1729">
        <v>283059835</v>
      </c>
      <c r="J1729">
        <v>174714358</v>
      </c>
      <c r="K1729">
        <v>317029909</v>
      </c>
      <c r="L1729">
        <v>404110003</v>
      </c>
      <c r="P1729">
        <v>133</v>
      </c>
      <c r="Q1729" t="s">
        <v>3783</v>
      </c>
    </row>
    <row r="1730" spans="1:17" x14ac:dyDescent="0.3">
      <c r="A1730" t="s">
        <v>59</v>
      </c>
      <c r="B1730" t="str">
        <f>"001308"</f>
        <v>001308</v>
      </c>
      <c r="C1730" t="s">
        <v>3784</v>
      </c>
      <c r="F1730">
        <v>678389371</v>
      </c>
      <c r="G1730">
        <v>359576885</v>
      </c>
      <c r="H1730">
        <v>278464919</v>
      </c>
      <c r="I1730">
        <v>236965743</v>
      </c>
      <c r="P1730">
        <v>5</v>
      </c>
      <c r="Q1730" t="s">
        <v>3785</v>
      </c>
    </row>
    <row r="1731" spans="1:17" x14ac:dyDescent="0.3">
      <c r="A1731" t="s">
        <v>59</v>
      </c>
      <c r="B1731" t="str">
        <f>"002184"</f>
        <v>002184</v>
      </c>
      <c r="C1731" t="s">
        <v>3786</v>
      </c>
      <c r="D1731" t="s">
        <v>1426</v>
      </c>
      <c r="F1731">
        <v>156170261</v>
      </c>
      <c r="G1731">
        <v>252924060</v>
      </c>
      <c r="H1731">
        <v>278012620</v>
      </c>
      <c r="I1731">
        <v>153265407</v>
      </c>
      <c r="J1731">
        <v>-24806240</v>
      </c>
      <c r="K1731">
        <v>-13559382</v>
      </c>
      <c r="L1731">
        <v>13072142</v>
      </c>
      <c r="M1731">
        <v>23045056</v>
      </c>
      <c r="N1731">
        <v>12540405</v>
      </c>
      <c r="O1731">
        <v>40938917</v>
      </c>
      <c r="P1731">
        <v>186</v>
      </c>
      <c r="Q1731" t="s">
        <v>3787</v>
      </c>
    </row>
    <row r="1732" spans="1:17" x14ac:dyDescent="0.3">
      <c r="A1732" t="s">
        <v>17</v>
      </c>
      <c r="B1732" t="str">
        <f>"600172"</f>
        <v>600172</v>
      </c>
      <c r="C1732" t="s">
        <v>3788</v>
      </c>
      <c r="D1732" t="s">
        <v>1636</v>
      </c>
      <c r="F1732">
        <v>978648583</v>
      </c>
      <c r="G1732">
        <v>429461583</v>
      </c>
      <c r="H1732">
        <v>277224616</v>
      </c>
      <c r="I1732">
        <v>292466751</v>
      </c>
      <c r="J1732">
        <v>15385094</v>
      </c>
      <c r="K1732">
        <v>208792558</v>
      </c>
      <c r="L1732">
        <v>475422426</v>
      </c>
      <c r="M1732">
        <v>427349338</v>
      </c>
      <c r="N1732">
        <v>443471694</v>
      </c>
      <c r="O1732">
        <v>380672734</v>
      </c>
      <c r="P1732">
        <v>325</v>
      </c>
      <c r="Q1732" t="s">
        <v>3789</v>
      </c>
    </row>
    <row r="1733" spans="1:17" x14ac:dyDescent="0.3">
      <c r="A1733" t="s">
        <v>59</v>
      </c>
      <c r="B1733" t="str">
        <f>"300113"</f>
        <v>300113</v>
      </c>
      <c r="C1733" t="s">
        <v>3790</v>
      </c>
      <c r="D1733" t="s">
        <v>689</v>
      </c>
      <c r="F1733">
        <v>272811600</v>
      </c>
      <c r="G1733">
        <v>-29071010</v>
      </c>
      <c r="H1733">
        <v>277070398</v>
      </c>
      <c r="I1733">
        <v>633342353</v>
      </c>
      <c r="J1733">
        <v>675928327</v>
      </c>
      <c r="K1733">
        <v>687531938</v>
      </c>
      <c r="L1733">
        <v>440828479</v>
      </c>
      <c r="M1733">
        <v>271691402</v>
      </c>
      <c r="N1733">
        <v>143403699</v>
      </c>
      <c r="O1733">
        <v>101483363</v>
      </c>
      <c r="P1733">
        <v>481</v>
      </c>
      <c r="Q1733" t="s">
        <v>3791</v>
      </c>
    </row>
    <row r="1734" spans="1:17" x14ac:dyDescent="0.3">
      <c r="A1734" t="s">
        <v>59</v>
      </c>
      <c r="B1734" t="str">
        <f>"000408"</f>
        <v>000408</v>
      </c>
      <c r="C1734" t="s">
        <v>3792</v>
      </c>
      <c r="D1734" t="s">
        <v>778</v>
      </c>
      <c r="F1734">
        <v>2035218392</v>
      </c>
      <c r="G1734">
        <v>-174468152</v>
      </c>
      <c r="H1734">
        <v>276995557</v>
      </c>
      <c r="I1734">
        <v>888042780</v>
      </c>
      <c r="J1734">
        <v>-66459865</v>
      </c>
      <c r="K1734">
        <v>402557363</v>
      </c>
      <c r="L1734">
        <v>12668086</v>
      </c>
      <c r="M1734">
        <v>639312</v>
      </c>
      <c r="N1734">
        <v>-3511562</v>
      </c>
      <c r="O1734">
        <v>11708769</v>
      </c>
      <c r="P1734">
        <v>188</v>
      </c>
      <c r="Q1734" t="s">
        <v>3793</v>
      </c>
    </row>
    <row r="1735" spans="1:17" x14ac:dyDescent="0.3">
      <c r="A1735" t="s">
        <v>59</v>
      </c>
      <c r="B1735" t="str">
        <f>"002614"</f>
        <v>002614</v>
      </c>
      <c r="C1735" t="s">
        <v>3794</v>
      </c>
      <c r="D1735" t="s">
        <v>2883</v>
      </c>
      <c r="F1735">
        <v>-17516935</v>
      </c>
      <c r="G1735">
        <v>714610948</v>
      </c>
      <c r="H1735">
        <v>276344951</v>
      </c>
      <c r="I1735">
        <v>475649343</v>
      </c>
      <c r="J1735">
        <v>302733835</v>
      </c>
      <c r="K1735">
        <v>119162504</v>
      </c>
      <c r="L1735">
        <v>141961366</v>
      </c>
      <c r="M1735">
        <v>142555667</v>
      </c>
      <c r="N1735">
        <v>228880186</v>
      </c>
      <c r="O1735">
        <v>48654754</v>
      </c>
      <c r="P1735">
        <v>525</v>
      </c>
      <c r="Q1735" t="s">
        <v>3795</v>
      </c>
    </row>
    <row r="1736" spans="1:17" x14ac:dyDescent="0.3">
      <c r="A1736" t="s">
        <v>59</v>
      </c>
      <c r="B1736" t="str">
        <f>"002697"</f>
        <v>002697</v>
      </c>
      <c r="C1736" t="s">
        <v>3796</v>
      </c>
      <c r="D1736" t="s">
        <v>1147</v>
      </c>
      <c r="F1736">
        <v>1036397064</v>
      </c>
      <c r="G1736">
        <v>494649969</v>
      </c>
      <c r="H1736">
        <v>275596691</v>
      </c>
      <c r="I1736">
        <v>661821298</v>
      </c>
      <c r="J1736">
        <v>479616364</v>
      </c>
      <c r="K1736">
        <v>272038777</v>
      </c>
      <c r="L1736">
        <v>195701564</v>
      </c>
      <c r="M1736">
        <v>279035948</v>
      </c>
      <c r="N1736">
        <v>278907988</v>
      </c>
      <c r="O1736">
        <v>188860312</v>
      </c>
      <c r="P1736">
        <v>503</v>
      </c>
      <c r="Q1736" t="s">
        <v>3797</v>
      </c>
    </row>
    <row r="1737" spans="1:17" x14ac:dyDescent="0.3">
      <c r="A1737" t="s">
        <v>17</v>
      </c>
      <c r="B1737" t="str">
        <f>"600229"</f>
        <v>600229</v>
      </c>
      <c r="C1737" t="s">
        <v>3798</v>
      </c>
      <c r="D1737" t="s">
        <v>914</v>
      </c>
      <c r="F1737">
        <v>444761473</v>
      </c>
      <c r="G1737">
        <v>315540315</v>
      </c>
      <c r="H1737">
        <v>275452304</v>
      </c>
      <c r="I1737">
        <v>327436223</v>
      </c>
      <c r="J1737">
        <v>211038582</v>
      </c>
      <c r="K1737">
        <v>359833267</v>
      </c>
      <c r="L1737">
        <v>291112880</v>
      </c>
      <c r="M1737">
        <v>148247550</v>
      </c>
      <c r="N1737">
        <v>331388273</v>
      </c>
      <c r="O1737">
        <v>40972912</v>
      </c>
      <c r="P1737">
        <v>174</v>
      </c>
      <c r="Q1737" t="s">
        <v>3799</v>
      </c>
    </row>
    <row r="1738" spans="1:17" x14ac:dyDescent="0.3">
      <c r="A1738" t="s">
        <v>59</v>
      </c>
      <c r="B1738" t="str">
        <f>"300595"</f>
        <v>300595</v>
      </c>
      <c r="C1738" t="s">
        <v>3800</v>
      </c>
      <c r="D1738" t="s">
        <v>1036</v>
      </c>
      <c r="F1738">
        <v>630094070</v>
      </c>
      <c r="G1738">
        <v>380935353</v>
      </c>
      <c r="H1738">
        <v>275365341</v>
      </c>
      <c r="I1738">
        <v>148522131</v>
      </c>
      <c r="J1738">
        <v>144709478</v>
      </c>
      <c r="K1738">
        <v>108802312</v>
      </c>
      <c r="L1738">
        <v>80232431</v>
      </c>
      <c r="M1738">
        <v>61909063</v>
      </c>
      <c r="N1738">
        <v>53374818</v>
      </c>
      <c r="P1738">
        <v>4330</v>
      </c>
      <c r="Q1738" t="s">
        <v>3801</v>
      </c>
    </row>
    <row r="1739" spans="1:17" x14ac:dyDescent="0.3">
      <c r="A1739" t="s">
        <v>59</v>
      </c>
      <c r="B1739" t="str">
        <f>"002902"</f>
        <v>002902</v>
      </c>
      <c r="C1739" t="s">
        <v>3802</v>
      </c>
      <c r="D1739" t="s">
        <v>352</v>
      </c>
      <c r="F1739">
        <v>83498905</v>
      </c>
      <c r="G1739">
        <v>24402986</v>
      </c>
      <c r="H1739">
        <v>275156933</v>
      </c>
      <c r="I1739">
        <v>-39784583</v>
      </c>
      <c r="J1739">
        <v>22731648</v>
      </c>
      <c r="K1739">
        <v>93322925</v>
      </c>
      <c r="L1739">
        <v>58274071</v>
      </c>
      <c r="M1739">
        <v>27303512</v>
      </c>
      <c r="P1739">
        <v>216</v>
      </c>
      <c r="Q1739" t="s">
        <v>3803</v>
      </c>
    </row>
    <row r="1740" spans="1:17" x14ac:dyDescent="0.3">
      <c r="A1740" t="s">
        <v>59</v>
      </c>
      <c r="B1740" t="str">
        <f>"301207"</f>
        <v>301207</v>
      </c>
      <c r="C1740" t="s">
        <v>3804</v>
      </c>
      <c r="F1740">
        <v>569328675</v>
      </c>
      <c r="G1740">
        <v>693711957</v>
      </c>
      <c r="H1740">
        <v>275040980</v>
      </c>
      <c r="I1740">
        <v>94456132</v>
      </c>
      <c r="J1740">
        <v>22171564</v>
      </c>
      <c r="P1740">
        <v>19</v>
      </c>
      <c r="Q1740" t="s">
        <v>3805</v>
      </c>
    </row>
    <row r="1741" spans="1:17" x14ac:dyDescent="0.3">
      <c r="A1741" t="s">
        <v>59</v>
      </c>
      <c r="B1741" t="str">
        <f>"300093"</f>
        <v>300093</v>
      </c>
      <c r="C1741" t="s">
        <v>3806</v>
      </c>
      <c r="D1741" t="s">
        <v>901</v>
      </c>
      <c r="F1741">
        <v>-36585614</v>
      </c>
      <c r="G1741">
        <v>-114739634</v>
      </c>
      <c r="H1741">
        <v>274898322</v>
      </c>
      <c r="I1741">
        <v>-206904661</v>
      </c>
      <c r="J1741">
        <v>252562891</v>
      </c>
      <c r="K1741">
        <v>50661145</v>
      </c>
      <c r="L1741">
        <v>63944035</v>
      </c>
      <c r="M1741">
        <v>128798923</v>
      </c>
      <c r="N1741">
        <v>30645103</v>
      </c>
      <c r="O1741">
        <v>182757494</v>
      </c>
      <c r="P1741">
        <v>80</v>
      </c>
      <c r="Q1741" t="s">
        <v>3807</v>
      </c>
    </row>
    <row r="1742" spans="1:17" x14ac:dyDescent="0.3">
      <c r="A1742" t="s">
        <v>17</v>
      </c>
      <c r="B1742" t="str">
        <f>"600481"</f>
        <v>600481</v>
      </c>
      <c r="C1742" t="s">
        <v>3808</v>
      </c>
      <c r="D1742" t="s">
        <v>3158</v>
      </c>
      <c r="F1742">
        <v>91821192</v>
      </c>
      <c r="G1742">
        <v>334183800</v>
      </c>
      <c r="H1742">
        <v>274776583</v>
      </c>
      <c r="I1742">
        <v>297797051</v>
      </c>
      <c r="J1742">
        <v>429448902</v>
      </c>
      <c r="K1742">
        <v>233371259</v>
      </c>
      <c r="L1742">
        <v>1098675260</v>
      </c>
      <c r="M1742">
        <v>863562218</v>
      </c>
      <c r="N1742">
        <v>779465321</v>
      </c>
      <c r="O1742">
        <v>422922754</v>
      </c>
      <c r="P1742">
        <v>185</v>
      </c>
      <c r="Q1742" t="s">
        <v>3809</v>
      </c>
    </row>
    <row r="1743" spans="1:17" x14ac:dyDescent="0.3">
      <c r="A1743" t="s">
        <v>59</v>
      </c>
      <c r="B1743" t="str">
        <f>"002096"</f>
        <v>002096</v>
      </c>
      <c r="C1743" t="s">
        <v>3810</v>
      </c>
      <c r="D1743" t="s">
        <v>1986</v>
      </c>
      <c r="F1743">
        <v>94785189</v>
      </c>
      <c r="G1743">
        <v>528763163</v>
      </c>
      <c r="H1743">
        <v>274496019</v>
      </c>
      <c r="I1743">
        <v>-79406839</v>
      </c>
      <c r="J1743">
        <v>-155713332</v>
      </c>
      <c r="K1743">
        <v>1478584</v>
      </c>
      <c r="L1743">
        <v>139094124</v>
      </c>
      <c r="M1743">
        <v>221656841</v>
      </c>
      <c r="N1743">
        <v>265557137</v>
      </c>
      <c r="O1743">
        <v>202358176</v>
      </c>
      <c r="P1743">
        <v>79</v>
      </c>
      <c r="Q1743" t="s">
        <v>3811</v>
      </c>
    </row>
    <row r="1744" spans="1:17" x14ac:dyDescent="0.3">
      <c r="A1744" t="s">
        <v>59</v>
      </c>
      <c r="B1744" t="str">
        <f>"300358"</f>
        <v>300358</v>
      </c>
      <c r="C1744" t="s">
        <v>3812</v>
      </c>
      <c r="D1744" t="s">
        <v>485</v>
      </c>
      <c r="F1744">
        <v>1600940447</v>
      </c>
      <c r="G1744">
        <v>926905368</v>
      </c>
      <c r="H1744">
        <v>274218846</v>
      </c>
      <c r="I1744">
        <v>204379285</v>
      </c>
      <c r="J1744">
        <v>160032607</v>
      </c>
      <c r="K1744">
        <v>-29939980</v>
      </c>
      <c r="L1744">
        <v>-32999461</v>
      </c>
      <c r="M1744">
        <v>-8686724</v>
      </c>
      <c r="N1744">
        <v>138893825</v>
      </c>
      <c r="O1744">
        <v>175879641</v>
      </c>
      <c r="P1744">
        <v>185</v>
      </c>
      <c r="Q1744" t="s">
        <v>3813</v>
      </c>
    </row>
    <row r="1745" spans="1:17" x14ac:dyDescent="0.3">
      <c r="A1745" t="s">
        <v>17</v>
      </c>
      <c r="B1745" t="str">
        <f>"601579"</f>
        <v>601579</v>
      </c>
      <c r="C1745" t="s">
        <v>3814</v>
      </c>
      <c r="D1745" t="s">
        <v>1964</v>
      </c>
      <c r="F1745">
        <v>276530134</v>
      </c>
      <c r="G1745">
        <v>245577561</v>
      </c>
      <c r="H1745">
        <v>273775336</v>
      </c>
      <c r="I1745">
        <v>232155442</v>
      </c>
      <c r="J1745">
        <v>266771743</v>
      </c>
      <c r="K1745">
        <v>305911537</v>
      </c>
      <c r="L1745">
        <v>108939207</v>
      </c>
      <c r="M1745">
        <v>83809426</v>
      </c>
      <c r="N1745">
        <v>139456702</v>
      </c>
      <c r="O1745">
        <v>155991090</v>
      </c>
      <c r="P1745">
        <v>186</v>
      </c>
      <c r="Q1745" t="s">
        <v>3815</v>
      </c>
    </row>
    <row r="1746" spans="1:17" x14ac:dyDescent="0.3">
      <c r="A1746" t="s">
        <v>59</v>
      </c>
      <c r="B1746" t="str">
        <f>"002369"</f>
        <v>002369</v>
      </c>
      <c r="C1746" t="s">
        <v>3816</v>
      </c>
      <c r="D1746" t="s">
        <v>349</v>
      </c>
      <c r="F1746">
        <v>106311774</v>
      </c>
      <c r="G1746">
        <v>302011677</v>
      </c>
      <c r="H1746">
        <v>273543574</v>
      </c>
      <c r="I1746">
        <v>84496456</v>
      </c>
      <c r="J1746">
        <v>43479991</v>
      </c>
      <c r="K1746">
        <v>263577529</v>
      </c>
      <c r="L1746">
        <v>333434584</v>
      </c>
      <c r="M1746">
        <v>4637317</v>
      </c>
      <c r="N1746">
        <v>33890278</v>
      </c>
      <c r="O1746">
        <v>62396033</v>
      </c>
      <c r="P1746">
        <v>179</v>
      </c>
      <c r="Q1746" t="s">
        <v>3817</v>
      </c>
    </row>
    <row r="1747" spans="1:17" x14ac:dyDescent="0.3">
      <c r="A1747" t="s">
        <v>59</v>
      </c>
      <c r="B1747" t="str">
        <f>"002796"</f>
        <v>002796</v>
      </c>
      <c r="C1747" t="s">
        <v>3818</v>
      </c>
      <c r="D1747" t="s">
        <v>3004</v>
      </c>
      <c r="F1747">
        <v>-80180954</v>
      </c>
      <c r="G1747">
        <v>40402387</v>
      </c>
      <c r="H1747">
        <v>273368138</v>
      </c>
      <c r="I1747">
        <v>-15882658</v>
      </c>
      <c r="J1747">
        <v>41846139</v>
      </c>
      <c r="K1747">
        <v>56595021</v>
      </c>
      <c r="L1747">
        <v>51099926</v>
      </c>
      <c r="M1747">
        <v>68840423</v>
      </c>
      <c r="N1747">
        <v>62587731</v>
      </c>
      <c r="P1747">
        <v>248</v>
      </c>
      <c r="Q1747" t="s">
        <v>3819</v>
      </c>
    </row>
    <row r="1748" spans="1:17" x14ac:dyDescent="0.3">
      <c r="A1748" t="s">
        <v>59</v>
      </c>
      <c r="B1748" t="str">
        <f>"002381"</f>
        <v>002381</v>
      </c>
      <c r="C1748" t="s">
        <v>3820</v>
      </c>
      <c r="D1748" t="s">
        <v>3821</v>
      </c>
      <c r="F1748">
        <v>148781010</v>
      </c>
      <c r="G1748">
        <v>366577824</v>
      </c>
      <c r="H1748">
        <v>273258126</v>
      </c>
      <c r="I1748">
        <v>147126870</v>
      </c>
      <c r="J1748">
        <v>100581579</v>
      </c>
      <c r="K1748">
        <v>22880730</v>
      </c>
      <c r="L1748">
        <v>153248262</v>
      </c>
      <c r="M1748">
        <v>158458446</v>
      </c>
      <c r="N1748">
        <v>103618896</v>
      </c>
      <c r="O1748">
        <v>77358363</v>
      </c>
      <c r="P1748">
        <v>276</v>
      </c>
      <c r="Q1748" t="s">
        <v>3822</v>
      </c>
    </row>
    <row r="1749" spans="1:17" x14ac:dyDescent="0.3">
      <c r="A1749" t="s">
        <v>59</v>
      </c>
      <c r="B1749" t="str">
        <f>"002950"</f>
        <v>002950</v>
      </c>
      <c r="C1749" t="s">
        <v>3823</v>
      </c>
      <c r="D1749" t="s">
        <v>1036</v>
      </c>
      <c r="F1749">
        <v>374852203</v>
      </c>
      <c r="G1749">
        <v>1436740714</v>
      </c>
      <c r="H1749">
        <v>273132385</v>
      </c>
      <c r="I1749">
        <v>3008664</v>
      </c>
      <c r="J1749">
        <v>197249685</v>
      </c>
      <c r="K1749">
        <v>472739463</v>
      </c>
      <c r="L1749">
        <v>217679151</v>
      </c>
      <c r="P1749">
        <v>1080</v>
      </c>
      <c r="Q1749" t="s">
        <v>3824</v>
      </c>
    </row>
    <row r="1750" spans="1:17" x14ac:dyDescent="0.3">
      <c r="A1750" t="s">
        <v>17</v>
      </c>
      <c r="B1750" t="str">
        <f>"603392"</f>
        <v>603392</v>
      </c>
      <c r="C1750" t="s">
        <v>3825</v>
      </c>
      <c r="D1750" t="s">
        <v>1953</v>
      </c>
      <c r="F1750">
        <v>1681947607</v>
      </c>
      <c r="G1750">
        <v>468206484</v>
      </c>
      <c r="H1750">
        <v>272680549</v>
      </c>
      <c r="I1750">
        <v>208307317</v>
      </c>
      <c r="J1750">
        <v>146969324</v>
      </c>
      <c r="P1750">
        <v>552</v>
      </c>
      <c r="Q1750" t="s">
        <v>3826</v>
      </c>
    </row>
    <row r="1751" spans="1:17" x14ac:dyDescent="0.3">
      <c r="A1751" t="s">
        <v>17</v>
      </c>
      <c r="B1751" t="str">
        <f>"688676"</f>
        <v>688676</v>
      </c>
      <c r="C1751" t="s">
        <v>3827</v>
      </c>
      <c r="D1751" t="s">
        <v>560</v>
      </c>
      <c r="F1751">
        <v>252868872</v>
      </c>
      <c r="G1751">
        <v>192199178</v>
      </c>
      <c r="H1751">
        <v>272531397</v>
      </c>
      <c r="I1751">
        <v>227821668</v>
      </c>
      <c r="J1751">
        <v>71931206</v>
      </c>
      <c r="P1751">
        <v>42</v>
      </c>
      <c r="Q1751" t="s">
        <v>3828</v>
      </c>
    </row>
    <row r="1752" spans="1:17" x14ac:dyDescent="0.3">
      <c r="A1752" t="s">
        <v>59</v>
      </c>
      <c r="B1752" t="str">
        <f>"002366"</f>
        <v>002366</v>
      </c>
      <c r="C1752" t="s">
        <v>3829</v>
      </c>
      <c r="D1752" t="s">
        <v>1746</v>
      </c>
      <c r="F1752">
        <v>68297415</v>
      </c>
      <c r="G1752">
        <v>63642942</v>
      </c>
      <c r="H1752">
        <v>272035699</v>
      </c>
      <c r="I1752">
        <v>329728251</v>
      </c>
      <c r="J1752">
        <v>-100787134</v>
      </c>
      <c r="K1752">
        <v>103778676</v>
      </c>
      <c r="L1752">
        <v>242056014</v>
      </c>
      <c r="M1752">
        <v>19804820</v>
      </c>
      <c r="N1752">
        <v>115037679</v>
      </c>
      <c r="O1752">
        <v>50113557</v>
      </c>
      <c r="P1752">
        <v>175</v>
      </c>
      <c r="Q1752" t="s">
        <v>3830</v>
      </c>
    </row>
    <row r="1753" spans="1:17" x14ac:dyDescent="0.3">
      <c r="A1753" t="s">
        <v>17</v>
      </c>
      <c r="B1753" t="str">
        <f>"600053"</f>
        <v>600053</v>
      </c>
      <c r="C1753" t="s">
        <v>3831</v>
      </c>
      <c r="D1753" t="s">
        <v>3832</v>
      </c>
      <c r="F1753">
        <v>33000620</v>
      </c>
      <c r="G1753">
        <v>-326083141</v>
      </c>
      <c r="H1753">
        <v>271148232</v>
      </c>
      <c r="I1753">
        <v>1501624330</v>
      </c>
      <c r="J1753">
        <v>-59252695</v>
      </c>
      <c r="K1753">
        <v>880550631</v>
      </c>
      <c r="L1753">
        <v>500646473</v>
      </c>
      <c r="M1753">
        <v>326521621</v>
      </c>
      <c r="N1753">
        <v>450996773</v>
      </c>
      <c r="O1753">
        <v>5337571</v>
      </c>
      <c r="P1753">
        <v>229</v>
      </c>
      <c r="Q1753" t="s">
        <v>3833</v>
      </c>
    </row>
    <row r="1754" spans="1:17" x14ac:dyDescent="0.3">
      <c r="A1754" t="s">
        <v>17</v>
      </c>
      <c r="B1754" t="str">
        <f>"601198"</f>
        <v>601198</v>
      </c>
      <c r="C1754" t="s">
        <v>3834</v>
      </c>
      <c r="D1754" t="s">
        <v>75</v>
      </c>
      <c r="F1754">
        <v>7305322012</v>
      </c>
      <c r="G1754">
        <v>5332619511</v>
      </c>
      <c r="H1754">
        <v>270799575</v>
      </c>
      <c r="I1754">
        <v>-959262375</v>
      </c>
      <c r="J1754">
        <v>-3480684061</v>
      </c>
      <c r="K1754">
        <v>-8663652176</v>
      </c>
      <c r="L1754">
        <v>1305037720</v>
      </c>
      <c r="M1754">
        <v>9281567371</v>
      </c>
      <c r="N1754">
        <v>-2650209873</v>
      </c>
      <c r="O1754">
        <v>156092190</v>
      </c>
      <c r="P1754">
        <v>814</v>
      </c>
      <c r="Q1754" t="s">
        <v>3835</v>
      </c>
    </row>
    <row r="1755" spans="1:17" x14ac:dyDescent="0.3">
      <c r="A1755" t="s">
        <v>59</v>
      </c>
      <c r="B1755" t="str">
        <f>"002757"</f>
        <v>002757</v>
      </c>
      <c r="C1755" t="s">
        <v>3836</v>
      </c>
      <c r="D1755" t="s">
        <v>1351</v>
      </c>
      <c r="F1755">
        <v>280155052</v>
      </c>
      <c r="G1755">
        <v>473656696</v>
      </c>
      <c r="H1755">
        <v>270231688</v>
      </c>
      <c r="I1755">
        <v>162870341</v>
      </c>
      <c r="J1755">
        <v>116327257</v>
      </c>
      <c r="K1755">
        <v>119473314</v>
      </c>
      <c r="L1755">
        <v>31608292</v>
      </c>
      <c r="M1755">
        <v>111820188</v>
      </c>
      <c r="N1755">
        <v>30140132</v>
      </c>
      <c r="O1755">
        <v>63735523</v>
      </c>
      <c r="P1755">
        <v>267</v>
      </c>
      <c r="Q1755" t="s">
        <v>3837</v>
      </c>
    </row>
    <row r="1756" spans="1:17" x14ac:dyDescent="0.3">
      <c r="A1756" t="s">
        <v>59</v>
      </c>
      <c r="B1756" t="str">
        <f>"301200"</f>
        <v>301200</v>
      </c>
      <c r="C1756" t="s">
        <v>3838</v>
      </c>
      <c r="F1756">
        <v>-243755808</v>
      </c>
      <c r="G1756">
        <v>-50971431</v>
      </c>
      <c r="H1756">
        <v>270119072</v>
      </c>
      <c r="I1756">
        <v>184986882</v>
      </c>
      <c r="P1756">
        <v>13</v>
      </c>
      <c r="Q1756" t="s">
        <v>3839</v>
      </c>
    </row>
    <row r="1757" spans="1:17" x14ac:dyDescent="0.3">
      <c r="A1757" t="s">
        <v>59</v>
      </c>
      <c r="B1757" t="str">
        <f>"300493"</f>
        <v>300493</v>
      </c>
      <c r="C1757" t="s">
        <v>3840</v>
      </c>
      <c r="D1757" t="s">
        <v>595</v>
      </c>
      <c r="F1757">
        <v>-106400903</v>
      </c>
      <c r="G1757">
        <v>87526527</v>
      </c>
      <c r="H1757">
        <v>269677211</v>
      </c>
      <c r="I1757">
        <v>-36568488</v>
      </c>
      <c r="J1757">
        <v>51661895</v>
      </c>
      <c r="K1757">
        <v>-250003990</v>
      </c>
      <c r="L1757">
        <v>-34203905</v>
      </c>
      <c r="M1757">
        <v>-4767201</v>
      </c>
      <c r="N1757">
        <v>76980188</v>
      </c>
      <c r="O1757">
        <v>14811445</v>
      </c>
      <c r="P1757">
        <v>187</v>
      </c>
      <c r="Q1757" t="s">
        <v>3841</v>
      </c>
    </row>
    <row r="1758" spans="1:17" x14ac:dyDescent="0.3">
      <c r="A1758" t="s">
        <v>17</v>
      </c>
      <c r="B1758" t="str">
        <f>"688505"</f>
        <v>688505</v>
      </c>
      <c r="C1758" t="s">
        <v>3842</v>
      </c>
      <c r="D1758" t="s">
        <v>592</v>
      </c>
      <c r="F1758">
        <v>268899775</v>
      </c>
      <c r="G1758">
        <v>113003294</v>
      </c>
      <c r="H1758">
        <v>269232612</v>
      </c>
      <c r="I1758">
        <v>179838115</v>
      </c>
      <c r="J1758">
        <v>48789738</v>
      </c>
      <c r="K1758">
        <v>144639778</v>
      </c>
      <c r="P1758">
        <v>69</v>
      </c>
      <c r="Q1758" t="s">
        <v>3843</v>
      </c>
    </row>
    <row r="1759" spans="1:17" x14ac:dyDescent="0.3">
      <c r="A1759" t="s">
        <v>59</v>
      </c>
      <c r="B1759" t="str">
        <f>"002527"</f>
        <v>002527</v>
      </c>
      <c r="C1759" t="s">
        <v>3844</v>
      </c>
      <c r="D1759" t="s">
        <v>3323</v>
      </c>
      <c r="F1759">
        <v>166498258</v>
      </c>
      <c r="G1759">
        <v>274202099</v>
      </c>
      <c r="H1759">
        <v>269084731</v>
      </c>
      <c r="I1759">
        <v>38226255</v>
      </c>
      <c r="J1759">
        <v>53197782</v>
      </c>
      <c r="K1759">
        <v>237202648</v>
      </c>
      <c r="L1759">
        <v>108105529</v>
      </c>
      <c r="M1759">
        <v>87472903</v>
      </c>
      <c r="N1759">
        <v>148325549</v>
      </c>
      <c r="O1759">
        <v>127170747</v>
      </c>
      <c r="P1759">
        <v>161</v>
      </c>
      <c r="Q1759" t="s">
        <v>3845</v>
      </c>
    </row>
    <row r="1760" spans="1:17" x14ac:dyDescent="0.3">
      <c r="A1760" t="s">
        <v>59</v>
      </c>
      <c r="B1760" t="str">
        <f>"002160"</f>
        <v>002160</v>
      </c>
      <c r="C1760" t="s">
        <v>3846</v>
      </c>
      <c r="D1760" t="s">
        <v>238</v>
      </c>
      <c r="F1760">
        <v>-77751891</v>
      </c>
      <c r="G1760">
        <v>187794985</v>
      </c>
      <c r="H1760">
        <v>269038873</v>
      </c>
      <c r="I1760">
        <v>-100663901</v>
      </c>
      <c r="J1760">
        <v>-253219806</v>
      </c>
      <c r="K1760">
        <v>-423008843</v>
      </c>
      <c r="L1760">
        <v>208641563</v>
      </c>
      <c r="M1760">
        <v>121901789</v>
      </c>
      <c r="N1760">
        <v>-49413562</v>
      </c>
      <c r="O1760">
        <v>249444767</v>
      </c>
      <c r="P1760">
        <v>166</v>
      </c>
      <c r="Q1760" t="s">
        <v>3847</v>
      </c>
    </row>
    <row r="1761" spans="1:17" x14ac:dyDescent="0.3">
      <c r="A1761" t="s">
        <v>59</v>
      </c>
      <c r="B1761" t="str">
        <f>"002105"</f>
        <v>002105</v>
      </c>
      <c r="C1761" t="s">
        <v>3848</v>
      </c>
      <c r="D1761" t="s">
        <v>1391</v>
      </c>
      <c r="F1761">
        <v>225894732</v>
      </c>
      <c r="G1761">
        <v>245710001</v>
      </c>
      <c r="H1761">
        <v>268840181</v>
      </c>
      <c r="I1761">
        <v>107627723</v>
      </c>
      <c r="J1761">
        <v>50671956</v>
      </c>
      <c r="K1761">
        <v>102536776</v>
      </c>
      <c r="L1761">
        <v>92761003</v>
      </c>
      <c r="M1761">
        <v>87655414</v>
      </c>
      <c r="N1761">
        <v>66350341</v>
      </c>
      <c r="O1761">
        <v>103122107</v>
      </c>
      <c r="P1761">
        <v>217</v>
      </c>
      <c r="Q1761" t="s">
        <v>3849</v>
      </c>
    </row>
    <row r="1762" spans="1:17" x14ac:dyDescent="0.3">
      <c r="A1762" t="s">
        <v>59</v>
      </c>
      <c r="B1762" t="str">
        <f>"300102"</f>
        <v>300102</v>
      </c>
      <c r="C1762" t="s">
        <v>3850</v>
      </c>
      <c r="D1762" t="s">
        <v>772</v>
      </c>
      <c r="F1762">
        <v>552012915</v>
      </c>
      <c r="G1762">
        <v>123810875</v>
      </c>
      <c r="H1762">
        <v>268778887</v>
      </c>
      <c r="I1762">
        <v>233606440</v>
      </c>
      <c r="J1762">
        <v>447725351</v>
      </c>
      <c r="K1762">
        <v>-71702529</v>
      </c>
      <c r="L1762">
        <v>-153172503</v>
      </c>
      <c r="M1762">
        <v>116467231</v>
      </c>
      <c r="N1762">
        <v>140207134</v>
      </c>
      <c r="O1762">
        <v>114760136</v>
      </c>
      <c r="P1762">
        <v>158</v>
      </c>
      <c r="Q1762" t="s">
        <v>3851</v>
      </c>
    </row>
    <row r="1763" spans="1:17" x14ac:dyDescent="0.3">
      <c r="A1763" t="s">
        <v>59</v>
      </c>
      <c r="B1763" t="str">
        <f>"002798"</f>
        <v>002798</v>
      </c>
      <c r="C1763" t="s">
        <v>3852</v>
      </c>
      <c r="D1763" t="s">
        <v>1791</v>
      </c>
      <c r="F1763">
        <v>-148051585</v>
      </c>
      <c r="G1763">
        <v>26668906</v>
      </c>
      <c r="H1763">
        <v>268714069</v>
      </c>
      <c r="I1763">
        <v>60661712</v>
      </c>
      <c r="J1763">
        <v>100678450</v>
      </c>
      <c r="K1763">
        <v>31333343</v>
      </c>
      <c r="L1763">
        <v>62135112</v>
      </c>
      <c r="M1763">
        <v>27177514</v>
      </c>
      <c r="N1763">
        <v>62951329</v>
      </c>
      <c r="P1763">
        <v>374</v>
      </c>
      <c r="Q1763" t="s">
        <v>3853</v>
      </c>
    </row>
    <row r="1764" spans="1:17" x14ac:dyDescent="0.3">
      <c r="A1764" t="s">
        <v>59</v>
      </c>
      <c r="B1764" t="str">
        <f>"002339"</f>
        <v>002339</v>
      </c>
      <c r="C1764" t="s">
        <v>3854</v>
      </c>
      <c r="D1764" t="s">
        <v>494</v>
      </c>
      <c r="F1764">
        <v>35552263</v>
      </c>
      <c r="G1764">
        <v>273226163</v>
      </c>
      <c r="H1764">
        <v>268588190</v>
      </c>
      <c r="I1764">
        <v>239232679</v>
      </c>
      <c r="J1764">
        <v>25983910</v>
      </c>
      <c r="K1764">
        <v>-166373669</v>
      </c>
      <c r="L1764">
        <v>-58211094</v>
      </c>
      <c r="M1764">
        <v>38265232</v>
      </c>
      <c r="N1764">
        <v>16736067</v>
      </c>
      <c r="O1764">
        <v>10708272</v>
      </c>
      <c r="P1764">
        <v>120</v>
      </c>
      <c r="Q1764" t="s">
        <v>3855</v>
      </c>
    </row>
    <row r="1765" spans="1:17" x14ac:dyDescent="0.3">
      <c r="A1765" t="s">
        <v>17</v>
      </c>
      <c r="B1765" t="str">
        <f>"603489"</f>
        <v>603489</v>
      </c>
      <c r="C1765" t="s">
        <v>3856</v>
      </c>
      <c r="D1765" t="s">
        <v>1556</v>
      </c>
      <c r="F1765">
        <v>334939790</v>
      </c>
      <c r="G1765">
        <v>231448220</v>
      </c>
      <c r="H1765">
        <v>268517692</v>
      </c>
      <c r="I1765">
        <v>218848554</v>
      </c>
      <c r="J1765">
        <v>123630430</v>
      </c>
      <c r="K1765">
        <v>77153349</v>
      </c>
      <c r="P1765">
        <v>490</v>
      </c>
      <c r="Q1765" t="s">
        <v>3857</v>
      </c>
    </row>
    <row r="1766" spans="1:17" x14ac:dyDescent="0.3">
      <c r="A1766" t="s">
        <v>17</v>
      </c>
      <c r="B1766" t="str">
        <f>"600255"</f>
        <v>600255</v>
      </c>
      <c r="C1766" t="s">
        <v>3858</v>
      </c>
      <c r="D1766" t="s">
        <v>2129</v>
      </c>
      <c r="F1766">
        <v>-141151849</v>
      </c>
      <c r="G1766">
        <v>42962753</v>
      </c>
      <c r="H1766">
        <v>268409824</v>
      </c>
      <c r="I1766">
        <v>118873910</v>
      </c>
      <c r="J1766">
        <v>157803389</v>
      </c>
      <c r="K1766">
        <v>131655589</v>
      </c>
      <c r="L1766">
        <v>-30452122</v>
      </c>
      <c r="M1766">
        <v>260847884</v>
      </c>
      <c r="N1766">
        <v>16542895</v>
      </c>
      <c r="O1766">
        <v>-118033933</v>
      </c>
      <c r="P1766">
        <v>82</v>
      </c>
      <c r="Q1766" t="s">
        <v>3859</v>
      </c>
    </row>
    <row r="1767" spans="1:17" x14ac:dyDescent="0.3">
      <c r="A1767" t="s">
        <v>59</v>
      </c>
      <c r="B1767" t="str">
        <f>"002393"</f>
        <v>002393</v>
      </c>
      <c r="C1767" t="s">
        <v>3860</v>
      </c>
      <c r="D1767" t="s">
        <v>592</v>
      </c>
      <c r="F1767">
        <v>196336647</v>
      </c>
      <c r="G1767">
        <v>76370096</v>
      </c>
      <c r="H1767">
        <v>268326346</v>
      </c>
      <c r="I1767">
        <v>162686710</v>
      </c>
      <c r="J1767">
        <v>179246599</v>
      </c>
      <c r="K1767">
        <v>173596261</v>
      </c>
      <c r="L1767">
        <v>198128640</v>
      </c>
      <c r="M1767">
        <v>72238880</v>
      </c>
      <c r="N1767">
        <v>289615406</v>
      </c>
      <c r="O1767">
        <v>250722783</v>
      </c>
      <c r="P1767">
        <v>153</v>
      </c>
      <c r="Q1767" t="s">
        <v>3861</v>
      </c>
    </row>
    <row r="1768" spans="1:17" x14ac:dyDescent="0.3">
      <c r="A1768" t="s">
        <v>59</v>
      </c>
      <c r="B1768" t="str">
        <f>"000949"</f>
        <v>000949</v>
      </c>
      <c r="C1768" t="s">
        <v>3862</v>
      </c>
      <c r="D1768" t="s">
        <v>764</v>
      </c>
      <c r="F1768">
        <v>1994649640</v>
      </c>
      <c r="G1768">
        <v>101905005</v>
      </c>
      <c r="H1768">
        <v>267710706</v>
      </c>
      <c r="I1768">
        <v>28067553</v>
      </c>
      <c r="J1768">
        <v>-224246311</v>
      </c>
      <c r="K1768">
        <v>613052061</v>
      </c>
      <c r="L1768">
        <v>335711996</v>
      </c>
      <c r="M1768">
        <v>558880969</v>
      </c>
      <c r="N1768">
        <v>-230594548</v>
      </c>
      <c r="O1768">
        <v>695282745</v>
      </c>
      <c r="P1768">
        <v>157</v>
      </c>
      <c r="Q1768" t="s">
        <v>3863</v>
      </c>
    </row>
    <row r="1769" spans="1:17" x14ac:dyDescent="0.3">
      <c r="A1769" t="s">
        <v>59</v>
      </c>
      <c r="B1769" t="str">
        <f>"002088"</f>
        <v>002088</v>
      </c>
      <c r="C1769" t="s">
        <v>3864</v>
      </c>
      <c r="D1769" t="s">
        <v>2517</v>
      </c>
      <c r="F1769">
        <v>525521668</v>
      </c>
      <c r="G1769">
        <v>447466279</v>
      </c>
      <c r="H1769">
        <v>267581712</v>
      </c>
      <c r="I1769">
        <v>231285922</v>
      </c>
      <c r="J1769">
        <v>426196310</v>
      </c>
      <c r="K1769">
        <v>355295760</v>
      </c>
      <c r="L1769">
        <v>160952996</v>
      </c>
      <c r="M1769">
        <v>69769266</v>
      </c>
      <c r="N1769">
        <v>58021734</v>
      </c>
      <c r="O1769">
        <v>127589378</v>
      </c>
      <c r="P1769">
        <v>407</v>
      </c>
      <c r="Q1769" t="s">
        <v>3865</v>
      </c>
    </row>
    <row r="1770" spans="1:17" x14ac:dyDescent="0.3">
      <c r="A1770" t="s">
        <v>17</v>
      </c>
      <c r="B1770" t="str">
        <f>"603992"</f>
        <v>603992</v>
      </c>
      <c r="C1770" t="s">
        <v>3866</v>
      </c>
      <c r="D1770" t="s">
        <v>2853</v>
      </c>
      <c r="F1770">
        <v>288252436</v>
      </c>
      <c r="G1770">
        <v>350734830</v>
      </c>
      <c r="H1770">
        <v>267353141</v>
      </c>
      <c r="I1770">
        <v>314717544</v>
      </c>
      <c r="J1770">
        <v>182096924</v>
      </c>
      <c r="K1770">
        <v>289074247</v>
      </c>
      <c r="P1770">
        <v>120</v>
      </c>
      <c r="Q1770" t="s">
        <v>3867</v>
      </c>
    </row>
    <row r="1771" spans="1:17" x14ac:dyDescent="0.3">
      <c r="A1771" t="s">
        <v>59</v>
      </c>
      <c r="B1771" t="str">
        <f>"000795"</f>
        <v>000795</v>
      </c>
      <c r="C1771" t="s">
        <v>3868</v>
      </c>
      <c r="D1771" t="s">
        <v>2132</v>
      </c>
      <c r="F1771">
        <v>-129650198</v>
      </c>
      <c r="G1771">
        <v>140028070</v>
      </c>
      <c r="H1771">
        <v>267268392</v>
      </c>
      <c r="I1771">
        <v>40696837</v>
      </c>
      <c r="J1771">
        <v>98806829</v>
      </c>
      <c r="K1771">
        <v>141057366</v>
      </c>
      <c r="L1771">
        <v>-195456665</v>
      </c>
      <c r="M1771">
        <v>11967336</v>
      </c>
      <c r="N1771">
        <v>-138369944</v>
      </c>
      <c r="O1771">
        <v>61444130</v>
      </c>
      <c r="P1771">
        <v>145</v>
      </c>
      <c r="Q1771" t="s">
        <v>3869</v>
      </c>
    </row>
    <row r="1772" spans="1:17" x14ac:dyDescent="0.3">
      <c r="A1772" t="s">
        <v>17</v>
      </c>
      <c r="B1772" t="str">
        <f>"600198"</f>
        <v>600198</v>
      </c>
      <c r="C1772" t="s">
        <v>3870</v>
      </c>
      <c r="D1772" t="s">
        <v>817</v>
      </c>
      <c r="F1772">
        <v>-296838174</v>
      </c>
      <c r="G1772">
        <v>29700506</v>
      </c>
      <c r="H1772">
        <v>266784767</v>
      </c>
      <c r="I1772">
        <v>194257471</v>
      </c>
      <c r="J1772">
        <v>-39763217</v>
      </c>
      <c r="K1772">
        <v>738600652</v>
      </c>
      <c r="L1772">
        <v>903569575</v>
      </c>
      <c r="M1772">
        <v>-587050504</v>
      </c>
      <c r="N1772">
        <v>-152053763</v>
      </c>
      <c r="O1772">
        <v>-116522637</v>
      </c>
      <c r="P1772">
        <v>286</v>
      </c>
      <c r="Q1772" t="s">
        <v>3871</v>
      </c>
    </row>
    <row r="1773" spans="1:17" x14ac:dyDescent="0.3">
      <c r="A1773" t="s">
        <v>59</v>
      </c>
      <c r="B1773" t="str">
        <f>"000922"</f>
        <v>000922</v>
      </c>
      <c r="C1773" t="s">
        <v>3872</v>
      </c>
      <c r="D1773" t="s">
        <v>1556</v>
      </c>
      <c r="F1773">
        <v>68281624</v>
      </c>
      <c r="G1773">
        <v>486984793</v>
      </c>
      <c r="H1773">
        <v>266669389</v>
      </c>
      <c r="I1773">
        <v>161700232</v>
      </c>
      <c r="J1773">
        <v>11701670</v>
      </c>
      <c r="K1773">
        <v>67825884</v>
      </c>
      <c r="L1773">
        <v>-35424730</v>
      </c>
      <c r="M1773">
        <v>-59010105</v>
      </c>
      <c r="N1773">
        <v>138833388</v>
      </c>
      <c r="O1773">
        <v>33226974</v>
      </c>
      <c r="P1773">
        <v>261</v>
      </c>
      <c r="Q1773" t="s">
        <v>3873</v>
      </c>
    </row>
    <row r="1774" spans="1:17" x14ac:dyDescent="0.3">
      <c r="A1774" t="s">
        <v>59</v>
      </c>
      <c r="B1774" t="str">
        <f>"002281"</f>
        <v>002281</v>
      </c>
      <c r="C1774" t="s">
        <v>3874</v>
      </c>
      <c r="D1774" t="s">
        <v>352</v>
      </c>
      <c r="F1774">
        <v>673155789</v>
      </c>
      <c r="G1774">
        <v>918991871</v>
      </c>
      <c r="H1774">
        <v>266116786</v>
      </c>
      <c r="I1774">
        <v>283432121</v>
      </c>
      <c r="J1774">
        <v>281126203</v>
      </c>
      <c r="K1774">
        <v>180937213</v>
      </c>
      <c r="L1774">
        <v>140374740</v>
      </c>
      <c r="M1774">
        <v>125589453</v>
      </c>
      <c r="N1774">
        <v>208731009</v>
      </c>
      <c r="O1774">
        <v>179399872</v>
      </c>
      <c r="P1774">
        <v>894</v>
      </c>
      <c r="Q1774" t="s">
        <v>3875</v>
      </c>
    </row>
    <row r="1775" spans="1:17" x14ac:dyDescent="0.3">
      <c r="A1775" t="s">
        <v>59</v>
      </c>
      <c r="B1775" t="str">
        <f>"301155"</f>
        <v>301155</v>
      </c>
      <c r="C1775" t="s">
        <v>3876</v>
      </c>
      <c r="D1775" t="s">
        <v>1525</v>
      </c>
      <c r="F1775">
        <v>702873957</v>
      </c>
      <c r="G1775">
        <v>58393045</v>
      </c>
      <c r="H1775">
        <v>266002883</v>
      </c>
      <c r="I1775">
        <v>39997203</v>
      </c>
      <c r="J1775">
        <v>-89388535</v>
      </c>
      <c r="P1775">
        <v>40</v>
      </c>
      <c r="Q1775" t="s">
        <v>3877</v>
      </c>
    </row>
    <row r="1776" spans="1:17" x14ac:dyDescent="0.3">
      <c r="A1776" t="s">
        <v>59</v>
      </c>
      <c r="B1776" t="str">
        <f>"002049"</f>
        <v>002049</v>
      </c>
      <c r="C1776" t="s">
        <v>3878</v>
      </c>
      <c r="D1776" t="s">
        <v>817</v>
      </c>
      <c r="F1776">
        <v>1192512798</v>
      </c>
      <c r="G1776">
        <v>417674626</v>
      </c>
      <c r="H1776">
        <v>265928884</v>
      </c>
      <c r="I1776">
        <v>318642794</v>
      </c>
      <c r="J1776">
        <v>584234715</v>
      </c>
      <c r="K1776">
        <v>129983022</v>
      </c>
      <c r="L1776">
        <v>403034480</v>
      </c>
      <c r="M1776">
        <v>253305547</v>
      </c>
      <c r="N1776">
        <v>232976027</v>
      </c>
      <c r="O1776">
        <v>124678174</v>
      </c>
      <c r="P1776">
        <v>4605</v>
      </c>
      <c r="Q1776" t="s">
        <v>3879</v>
      </c>
    </row>
    <row r="1777" spans="1:17" x14ac:dyDescent="0.3">
      <c r="A1777" t="s">
        <v>17</v>
      </c>
      <c r="B1777" t="str">
        <f>"603903"</f>
        <v>603903</v>
      </c>
      <c r="C1777" t="s">
        <v>3880</v>
      </c>
      <c r="D1777" t="s">
        <v>669</v>
      </c>
      <c r="F1777">
        <v>62787316</v>
      </c>
      <c r="G1777">
        <v>319165336</v>
      </c>
      <c r="H1777">
        <v>265768396</v>
      </c>
      <c r="I1777">
        <v>36876682</v>
      </c>
      <c r="J1777">
        <v>-153716523</v>
      </c>
      <c r="K1777">
        <v>97945685</v>
      </c>
      <c r="L1777">
        <v>-4608783</v>
      </c>
      <c r="M1777">
        <v>46209307</v>
      </c>
      <c r="P1777">
        <v>119</v>
      </c>
      <c r="Q1777" t="s">
        <v>3881</v>
      </c>
    </row>
    <row r="1778" spans="1:17" x14ac:dyDescent="0.3">
      <c r="A1778" t="s">
        <v>17</v>
      </c>
      <c r="B1778" t="str">
        <f>"603682"</f>
        <v>603682</v>
      </c>
      <c r="C1778" t="s">
        <v>3882</v>
      </c>
      <c r="D1778" t="s">
        <v>548</v>
      </c>
      <c r="F1778">
        <v>422171891</v>
      </c>
      <c r="G1778">
        <v>206626097</v>
      </c>
      <c r="H1778">
        <v>265401407</v>
      </c>
      <c r="I1778">
        <v>279594568</v>
      </c>
      <c r="J1778">
        <v>235031195</v>
      </c>
      <c r="K1778">
        <v>120140876</v>
      </c>
      <c r="P1778">
        <v>156</v>
      </c>
      <c r="Q1778" t="s">
        <v>3883</v>
      </c>
    </row>
    <row r="1779" spans="1:17" x14ac:dyDescent="0.3">
      <c r="A1779" t="s">
        <v>59</v>
      </c>
      <c r="B1779" t="str">
        <f>"002025"</f>
        <v>002025</v>
      </c>
      <c r="C1779" t="s">
        <v>3884</v>
      </c>
      <c r="D1779" t="s">
        <v>1983</v>
      </c>
      <c r="F1779">
        <v>833071532</v>
      </c>
      <c r="G1779">
        <v>67292445</v>
      </c>
      <c r="H1779">
        <v>265348927</v>
      </c>
      <c r="I1779">
        <v>121711832</v>
      </c>
      <c r="J1779">
        <v>185734076</v>
      </c>
      <c r="K1779">
        <v>241167895</v>
      </c>
      <c r="L1779">
        <v>411827096</v>
      </c>
      <c r="M1779">
        <v>135311424</v>
      </c>
      <c r="N1779">
        <v>107636724</v>
      </c>
      <c r="O1779">
        <v>112034485</v>
      </c>
      <c r="P1779">
        <v>468</v>
      </c>
      <c r="Q1779" t="s">
        <v>3885</v>
      </c>
    </row>
    <row r="1780" spans="1:17" x14ac:dyDescent="0.3">
      <c r="A1780" t="s">
        <v>59</v>
      </c>
      <c r="B1780" t="str">
        <f>"002763"</f>
        <v>002763</v>
      </c>
      <c r="C1780" t="s">
        <v>3886</v>
      </c>
      <c r="D1780" t="s">
        <v>3416</v>
      </c>
      <c r="F1780">
        <v>424297824</v>
      </c>
      <c r="G1780">
        <v>404333783</v>
      </c>
      <c r="H1780">
        <v>265288415</v>
      </c>
      <c r="I1780">
        <v>129749602</v>
      </c>
      <c r="J1780">
        <v>482331143</v>
      </c>
      <c r="K1780">
        <v>212710808</v>
      </c>
      <c r="L1780">
        <v>224800825</v>
      </c>
      <c r="M1780">
        <v>188339388</v>
      </c>
      <c r="N1780">
        <v>263570180</v>
      </c>
      <c r="O1780">
        <v>149648033</v>
      </c>
      <c r="P1780">
        <v>293</v>
      </c>
      <c r="Q1780" t="s">
        <v>3887</v>
      </c>
    </row>
    <row r="1781" spans="1:17" x14ac:dyDescent="0.3">
      <c r="A1781" t="s">
        <v>59</v>
      </c>
      <c r="B1781" t="str">
        <f>"300184"</f>
        <v>300184</v>
      </c>
      <c r="C1781" t="s">
        <v>3888</v>
      </c>
      <c r="D1781" t="s">
        <v>595</v>
      </c>
      <c r="F1781">
        <v>122907741</v>
      </c>
      <c r="G1781">
        <v>115347460</v>
      </c>
      <c r="H1781">
        <v>265240419</v>
      </c>
      <c r="I1781">
        <v>64033329</v>
      </c>
      <c r="J1781">
        <v>21038855</v>
      </c>
      <c r="K1781">
        <v>873391</v>
      </c>
      <c r="L1781">
        <v>-81269572</v>
      </c>
      <c r="M1781">
        <v>26531544</v>
      </c>
      <c r="N1781">
        <v>-16932252</v>
      </c>
      <c r="O1781">
        <v>3427166</v>
      </c>
      <c r="P1781">
        <v>252</v>
      </c>
      <c r="Q1781" t="s">
        <v>3889</v>
      </c>
    </row>
    <row r="1782" spans="1:17" x14ac:dyDescent="0.3">
      <c r="A1782" t="s">
        <v>59</v>
      </c>
      <c r="B1782" t="str">
        <f>"002532"</f>
        <v>002532</v>
      </c>
      <c r="C1782" t="s">
        <v>3890</v>
      </c>
      <c r="D1782" t="s">
        <v>238</v>
      </c>
      <c r="F1782">
        <v>1979145982</v>
      </c>
      <c r="G1782">
        <v>3097915687</v>
      </c>
      <c r="H1782">
        <v>265141160</v>
      </c>
      <c r="I1782">
        <v>152287161</v>
      </c>
      <c r="J1782">
        <v>109447626</v>
      </c>
      <c r="K1782">
        <v>244571149</v>
      </c>
      <c r="L1782">
        <v>107335830</v>
      </c>
      <c r="M1782">
        <v>188488404</v>
      </c>
      <c r="N1782">
        <v>132421111</v>
      </c>
      <c r="O1782">
        <v>155660414</v>
      </c>
      <c r="P1782">
        <v>424</v>
      </c>
      <c r="Q1782" t="s">
        <v>3891</v>
      </c>
    </row>
    <row r="1783" spans="1:17" x14ac:dyDescent="0.3">
      <c r="A1783" t="s">
        <v>59</v>
      </c>
      <c r="B1783" t="str">
        <f>"002912"</f>
        <v>002912</v>
      </c>
      <c r="C1783" t="s">
        <v>3892</v>
      </c>
      <c r="D1783" t="s">
        <v>707</v>
      </c>
      <c r="F1783">
        <v>-109986226</v>
      </c>
      <c r="G1783">
        <v>224534138</v>
      </c>
      <c r="H1783">
        <v>264067021</v>
      </c>
      <c r="I1783">
        <v>226135430</v>
      </c>
      <c r="J1783">
        <v>210355729</v>
      </c>
      <c r="K1783">
        <v>104613756</v>
      </c>
      <c r="L1783">
        <v>104152914</v>
      </c>
      <c r="M1783">
        <v>25551482</v>
      </c>
      <c r="P1783">
        <v>586</v>
      </c>
      <c r="Q1783" t="s">
        <v>3893</v>
      </c>
    </row>
    <row r="1784" spans="1:17" x14ac:dyDescent="0.3">
      <c r="A1784" t="s">
        <v>59</v>
      </c>
      <c r="B1784" t="str">
        <f>"300976"</f>
        <v>300976</v>
      </c>
      <c r="C1784" t="s">
        <v>3894</v>
      </c>
      <c r="D1784" t="s">
        <v>349</v>
      </c>
      <c r="F1784">
        <v>218872225</v>
      </c>
      <c r="G1784">
        <v>136612663</v>
      </c>
      <c r="H1784">
        <v>264064254</v>
      </c>
      <c r="I1784">
        <v>104610602</v>
      </c>
      <c r="J1784">
        <v>52279707</v>
      </c>
      <c r="P1784">
        <v>35</v>
      </c>
      <c r="Q1784" t="s">
        <v>3895</v>
      </c>
    </row>
    <row r="1785" spans="1:17" x14ac:dyDescent="0.3">
      <c r="A1785" t="s">
        <v>59</v>
      </c>
      <c r="B1785" t="str">
        <f>"300973"</f>
        <v>300973</v>
      </c>
      <c r="C1785" t="s">
        <v>3896</v>
      </c>
      <c r="D1785" t="s">
        <v>1868</v>
      </c>
      <c r="F1785">
        <v>291415028</v>
      </c>
      <c r="G1785">
        <v>285132152</v>
      </c>
      <c r="H1785">
        <v>263779935</v>
      </c>
      <c r="I1785">
        <v>108241418</v>
      </c>
      <c r="J1785">
        <v>117365825</v>
      </c>
      <c r="P1785">
        <v>140</v>
      </c>
      <c r="Q1785" t="s">
        <v>3897</v>
      </c>
    </row>
    <row r="1786" spans="1:17" x14ac:dyDescent="0.3">
      <c r="A1786" t="s">
        <v>17</v>
      </c>
      <c r="B1786" t="str">
        <f>"603586"</f>
        <v>603586</v>
      </c>
      <c r="C1786" t="s">
        <v>3898</v>
      </c>
      <c r="D1786" t="s">
        <v>156</v>
      </c>
      <c r="F1786">
        <v>82948478</v>
      </c>
      <c r="G1786">
        <v>351062498</v>
      </c>
      <c r="H1786">
        <v>263769216</v>
      </c>
      <c r="I1786">
        <v>106049787</v>
      </c>
      <c r="J1786">
        <v>250648186</v>
      </c>
      <c r="K1786">
        <v>262233596</v>
      </c>
      <c r="L1786">
        <v>340850493</v>
      </c>
      <c r="M1786">
        <v>200844788</v>
      </c>
      <c r="P1786">
        <v>109</v>
      </c>
      <c r="Q1786" t="s">
        <v>3899</v>
      </c>
    </row>
    <row r="1787" spans="1:17" x14ac:dyDescent="0.3">
      <c r="A1787" t="s">
        <v>17</v>
      </c>
      <c r="B1787" t="str">
        <f>"688183"</f>
        <v>688183</v>
      </c>
      <c r="C1787" t="s">
        <v>3900</v>
      </c>
      <c r="D1787" t="s">
        <v>539</v>
      </c>
      <c r="F1787">
        <v>421454568</v>
      </c>
      <c r="G1787">
        <v>838341928</v>
      </c>
      <c r="H1787">
        <v>262598089</v>
      </c>
      <c r="I1787">
        <v>319163688</v>
      </c>
      <c r="J1787">
        <v>210846911</v>
      </c>
      <c r="P1787">
        <v>41</v>
      </c>
      <c r="Q1787" t="s">
        <v>3901</v>
      </c>
    </row>
    <row r="1788" spans="1:17" x14ac:dyDescent="0.3">
      <c r="A1788" t="s">
        <v>17</v>
      </c>
      <c r="B1788" t="str">
        <f>"603590"</f>
        <v>603590</v>
      </c>
      <c r="C1788" t="s">
        <v>3902</v>
      </c>
      <c r="D1788" t="s">
        <v>1062</v>
      </c>
      <c r="F1788">
        <v>70912504</v>
      </c>
      <c r="G1788">
        <v>58405516</v>
      </c>
      <c r="H1788">
        <v>262004453</v>
      </c>
      <c r="I1788">
        <v>263108138</v>
      </c>
      <c r="J1788">
        <v>270486916</v>
      </c>
      <c r="K1788">
        <v>148260414</v>
      </c>
      <c r="L1788">
        <v>191804480</v>
      </c>
      <c r="P1788">
        <v>158</v>
      </c>
      <c r="Q1788" t="s">
        <v>3903</v>
      </c>
    </row>
    <row r="1789" spans="1:17" x14ac:dyDescent="0.3">
      <c r="A1789" t="s">
        <v>17</v>
      </c>
      <c r="B1789" t="str">
        <f>"600550"</f>
        <v>600550</v>
      </c>
      <c r="C1789" t="s">
        <v>3904</v>
      </c>
      <c r="D1789" t="s">
        <v>560</v>
      </c>
      <c r="F1789">
        <v>281107845</v>
      </c>
      <c r="G1789">
        <v>704621613</v>
      </c>
      <c r="H1789">
        <v>261814840</v>
      </c>
      <c r="I1789">
        <v>485963415</v>
      </c>
      <c r="J1789">
        <v>337141544</v>
      </c>
      <c r="K1789">
        <v>509942484</v>
      </c>
      <c r="L1789">
        <v>153263902</v>
      </c>
      <c r="M1789">
        <v>628517338</v>
      </c>
      <c r="N1789">
        <v>678432184</v>
      </c>
      <c r="O1789">
        <v>165447075</v>
      </c>
      <c r="P1789">
        <v>183</v>
      </c>
      <c r="Q1789" t="s">
        <v>3905</v>
      </c>
    </row>
    <row r="1790" spans="1:17" x14ac:dyDescent="0.3">
      <c r="A1790" t="s">
        <v>17</v>
      </c>
      <c r="B1790" t="str">
        <f>"603486"</f>
        <v>603486</v>
      </c>
      <c r="C1790" t="s">
        <v>3906</v>
      </c>
      <c r="D1790" t="s">
        <v>1543</v>
      </c>
      <c r="F1790">
        <v>1757292028</v>
      </c>
      <c r="G1790">
        <v>1196800836</v>
      </c>
      <c r="H1790">
        <v>261594219</v>
      </c>
      <c r="I1790">
        <v>15312862</v>
      </c>
      <c r="J1790">
        <v>485053877</v>
      </c>
      <c r="K1790">
        <v>291771651</v>
      </c>
      <c r="L1790">
        <v>492929090</v>
      </c>
      <c r="P1790">
        <v>833</v>
      </c>
      <c r="Q1790" t="s">
        <v>3907</v>
      </c>
    </row>
    <row r="1791" spans="1:17" x14ac:dyDescent="0.3">
      <c r="A1791" t="s">
        <v>59</v>
      </c>
      <c r="B1791" t="str">
        <f>"000088"</f>
        <v>000088</v>
      </c>
      <c r="C1791" t="s">
        <v>3908</v>
      </c>
      <c r="D1791" t="s">
        <v>386</v>
      </c>
      <c r="F1791">
        <v>323900436</v>
      </c>
      <c r="G1791">
        <v>273341019</v>
      </c>
      <c r="H1791">
        <v>259523795</v>
      </c>
      <c r="I1791">
        <v>100724317</v>
      </c>
      <c r="J1791">
        <v>99016883</v>
      </c>
      <c r="K1791">
        <v>55571005</v>
      </c>
      <c r="L1791">
        <v>15934743</v>
      </c>
      <c r="M1791">
        <v>117939046</v>
      </c>
      <c r="N1791">
        <v>107295926</v>
      </c>
      <c r="O1791">
        <v>98790811</v>
      </c>
      <c r="P1791">
        <v>170</v>
      </c>
      <c r="Q1791" t="s">
        <v>3909</v>
      </c>
    </row>
    <row r="1792" spans="1:17" x14ac:dyDescent="0.3">
      <c r="A1792" t="s">
        <v>59</v>
      </c>
      <c r="B1792" t="str">
        <f>"000733"</f>
        <v>000733</v>
      </c>
      <c r="C1792" t="s">
        <v>3910</v>
      </c>
      <c r="D1792" t="s">
        <v>1983</v>
      </c>
      <c r="F1792">
        <v>1335358875</v>
      </c>
      <c r="G1792">
        <v>-69239139</v>
      </c>
      <c r="H1792">
        <v>259506185</v>
      </c>
      <c r="I1792">
        <v>318131325</v>
      </c>
      <c r="J1792">
        <v>-546116374</v>
      </c>
      <c r="K1792">
        <v>167419202</v>
      </c>
      <c r="L1792">
        <v>354223203</v>
      </c>
      <c r="M1792">
        <v>78515287</v>
      </c>
      <c r="N1792">
        <v>85119467</v>
      </c>
      <c r="O1792">
        <v>22397030</v>
      </c>
      <c r="P1792">
        <v>490</v>
      </c>
      <c r="Q1792" t="s">
        <v>3911</v>
      </c>
    </row>
    <row r="1793" spans="1:17" x14ac:dyDescent="0.3">
      <c r="A1793" t="s">
        <v>17</v>
      </c>
      <c r="B1793" t="str">
        <f>"600879"</f>
        <v>600879</v>
      </c>
      <c r="C1793" t="s">
        <v>3912</v>
      </c>
      <c r="D1793" t="s">
        <v>1056</v>
      </c>
      <c r="F1793">
        <v>239119604</v>
      </c>
      <c r="G1793">
        <v>480747714</v>
      </c>
      <c r="H1793">
        <v>259277308</v>
      </c>
      <c r="I1793">
        <v>-103389512</v>
      </c>
      <c r="J1793">
        <v>-522555714</v>
      </c>
      <c r="K1793">
        <v>-251970839</v>
      </c>
      <c r="L1793">
        <v>69831371</v>
      </c>
      <c r="M1793">
        <v>122867583</v>
      </c>
      <c r="N1793">
        <v>10042491</v>
      </c>
      <c r="O1793">
        <v>-44079427</v>
      </c>
      <c r="P1793">
        <v>359</v>
      </c>
      <c r="Q1793" t="s">
        <v>3913</v>
      </c>
    </row>
    <row r="1794" spans="1:17" x14ac:dyDescent="0.3">
      <c r="A1794" t="s">
        <v>59</v>
      </c>
      <c r="B1794" t="str">
        <f>"300528"</f>
        <v>300528</v>
      </c>
      <c r="C1794" t="s">
        <v>3914</v>
      </c>
      <c r="D1794" t="s">
        <v>1102</v>
      </c>
      <c r="F1794">
        <v>219829446</v>
      </c>
      <c r="G1794">
        <v>239642267</v>
      </c>
      <c r="H1794">
        <v>259150519</v>
      </c>
      <c r="I1794">
        <v>-149202188</v>
      </c>
      <c r="J1794">
        <v>308815279</v>
      </c>
      <c r="K1794">
        <v>464328622</v>
      </c>
      <c r="L1794">
        <v>383582889</v>
      </c>
      <c r="M1794">
        <v>265027379</v>
      </c>
      <c r="N1794">
        <v>-143592576</v>
      </c>
      <c r="P1794">
        <v>81</v>
      </c>
      <c r="Q1794" t="s">
        <v>3915</v>
      </c>
    </row>
    <row r="1795" spans="1:17" x14ac:dyDescent="0.3">
      <c r="A1795" t="s">
        <v>59</v>
      </c>
      <c r="B1795" t="str">
        <f>"000809"</f>
        <v>000809</v>
      </c>
      <c r="C1795" t="s">
        <v>3916</v>
      </c>
      <c r="D1795" t="s">
        <v>61</v>
      </c>
      <c r="F1795">
        <v>58520365</v>
      </c>
      <c r="G1795">
        <v>198332200</v>
      </c>
      <c r="H1795">
        <v>259143937</v>
      </c>
      <c r="I1795">
        <v>211690678</v>
      </c>
      <c r="J1795">
        <v>677812384</v>
      </c>
      <c r="K1795">
        <v>-298849279</v>
      </c>
      <c r="L1795">
        <v>104625055</v>
      </c>
      <c r="M1795">
        <v>-788591639</v>
      </c>
      <c r="N1795">
        <v>-105138848</v>
      </c>
      <c r="O1795">
        <v>-90285860</v>
      </c>
      <c r="P1795">
        <v>72</v>
      </c>
      <c r="Q1795" t="s">
        <v>3917</v>
      </c>
    </row>
    <row r="1796" spans="1:17" x14ac:dyDescent="0.3">
      <c r="A1796" t="s">
        <v>59</v>
      </c>
      <c r="B1796" t="str">
        <f>"300263"</f>
        <v>300263</v>
      </c>
      <c r="C1796" t="s">
        <v>3918</v>
      </c>
      <c r="D1796" t="s">
        <v>1838</v>
      </c>
      <c r="F1796">
        <v>23516229</v>
      </c>
      <c r="G1796">
        <v>223153081</v>
      </c>
      <c r="H1796">
        <v>258352118</v>
      </c>
      <c r="I1796">
        <v>148604621</v>
      </c>
      <c r="J1796">
        <v>462323388</v>
      </c>
      <c r="K1796">
        <v>117486384</v>
      </c>
      <c r="L1796">
        <v>79059927</v>
      </c>
      <c r="M1796">
        <v>-200104991</v>
      </c>
      <c r="N1796">
        <v>9391841</v>
      </c>
      <c r="O1796">
        <v>13302712</v>
      </c>
      <c r="P1796">
        <v>232</v>
      </c>
      <c r="Q1796" t="s">
        <v>3919</v>
      </c>
    </row>
    <row r="1797" spans="1:17" x14ac:dyDescent="0.3">
      <c r="A1797" t="s">
        <v>17</v>
      </c>
      <c r="B1797" t="str">
        <f>"601566"</f>
        <v>601566</v>
      </c>
      <c r="C1797" t="s">
        <v>3920</v>
      </c>
      <c r="D1797" t="s">
        <v>646</v>
      </c>
      <c r="F1797">
        <v>200563568</v>
      </c>
      <c r="G1797">
        <v>259060472</v>
      </c>
      <c r="H1797">
        <v>257796256</v>
      </c>
      <c r="I1797">
        <v>445985973</v>
      </c>
      <c r="J1797">
        <v>496421030</v>
      </c>
      <c r="K1797">
        <v>447262194</v>
      </c>
      <c r="L1797">
        <v>540058342</v>
      </c>
      <c r="M1797">
        <v>473586367</v>
      </c>
      <c r="N1797">
        <v>558847261</v>
      </c>
      <c r="O1797">
        <v>559252794</v>
      </c>
      <c r="P1797">
        <v>426</v>
      </c>
      <c r="Q1797" t="s">
        <v>3921</v>
      </c>
    </row>
    <row r="1798" spans="1:17" x14ac:dyDescent="0.3">
      <c r="A1798" t="s">
        <v>17</v>
      </c>
      <c r="B1798" t="str">
        <f>"605500"</f>
        <v>605500</v>
      </c>
      <c r="C1798" t="s">
        <v>3922</v>
      </c>
      <c r="D1798" t="s">
        <v>241</v>
      </c>
      <c r="F1798">
        <v>104453271</v>
      </c>
      <c r="G1798">
        <v>235588709</v>
      </c>
      <c r="H1798">
        <v>257660593</v>
      </c>
      <c r="I1798">
        <v>284103505</v>
      </c>
      <c r="J1798">
        <v>160461855</v>
      </c>
      <c r="P1798">
        <v>37</v>
      </c>
      <c r="Q1798" t="s">
        <v>3923</v>
      </c>
    </row>
    <row r="1799" spans="1:17" x14ac:dyDescent="0.3">
      <c r="A1799" t="s">
        <v>17</v>
      </c>
      <c r="B1799" t="str">
        <f>"600605"</f>
        <v>600605</v>
      </c>
      <c r="C1799" t="s">
        <v>3924</v>
      </c>
      <c r="D1799" t="s">
        <v>548</v>
      </c>
      <c r="F1799">
        <v>-458049512</v>
      </c>
      <c r="G1799">
        <v>-639237024</v>
      </c>
      <c r="H1799">
        <v>257536690</v>
      </c>
      <c r="I1799">
        <v>467728986</v>
      </c>
      <c r="J1799">
        <v>29124189</v>
      </c>
      <c r="K1799">
        <v>39996940</v>
      </c>
      <c r="L1799">
        <v>16178322</v>
      </c>
      <c r="M1799">
        <v>145518719</v>
      </c>
      <c r="N1799">
        <v>-27415878</v>
      </c>
      <c r="O1799">
        <v>92645085</v>
      </c>
      <c r="P1799">
        <v>71</v>
      </c>
      <c r="Q1799" t="s">
        <v>3925</v>
      </c>
    </row>
    <row r="1800" spans="1:17" x14ac:dyDescent="0.3">
      <c r="A1800" t="s">
        <v>59</v>
      </c>
      <c r="B1800" t="str">
        <f>"300800"</f>
        <v>300800</v>
      </c>
      <c r="C1800" t="s">
        <v>3926</v>
      </c>
      <c r="D1800" t="s">
        <v>1337</v>
      </c>
      <c r="F1800">
        <v>102522398</v>
      </c>
      <c r="G1800">
        <v>227256588</v>
      </c>
      <c r="H1800">
        <v>256586243</v>
      </c>
      <c r="I1800">
        <v>107577948</v>
      </c>
      <c r="J1800">
        <v>118614035</v>
      </c>
      <c r="K1800">
        <v>73048041</v>
      </c>
      <c r="P1800">
        <v>362</v>
      </c>
      <c r="Q1800" t="s">
        <v>3927</v>
      </c>
    </row>
    <row r="1801" spans="1:17" x14ac:dyDescent="0.3">
      <c r="A1801" t="s">
        <v>59</v>
      </c>
      <c r="B1801" t="str">
        <f>"002224"</f>
        <v>002224</v>
      </c>
      <c r="C1801" t="s">
        <v>3928</v>
      </c>
      <c r="D1801" t="s">
        <v>3821</v>
      </c>
      <c r="F1801">
        <v>251610169</v>
      </c>
      <c r="G1801">
        <v>283139163</v>
      </c>
      <c r="H1801">
        <v>256420196</v>
      </c>
      <c r="I1801">
        <v>112906841</v>
      </c>
      <c r="J1801">
        <v>139430350</v>
      </c>
      <c r="K1801">
        <v>221586563</v>
      </c>
      <c r="L1801">
        <v>392023481</v>
      </c>
      <c r="M1801">
        <v>307752835</v>
      </c>
      <c r="N1801">
        <v>53842174</v>
      </c>
      <c r="O1801">
        <v>170924866</v>
      </c>
      <c r="P1801">
        <v>186</v>
      </c>
      <c r="Q1801" t="s">
        <v>3929</v>
      </c>
    </row>
    <row r="1802" spans="1:17" x14ac:dyDescent="0.3">
      <c r="A1802" t="s">
        <v>17</v>
      </c>
      <c r="B1802" t="str">
        <f>"603869"</f>
        <v>603869</v>
      </c>
      <c r="C1802" t="s">
        <v>3930</v>
      </c>
      <c r="D1802" t="s">
        <v>1189</v>
      </c>
      <c r="F1802">
        <v>734032683</v>
      </c>
      <c r="G1802">
        <v>606599664</v>
      </c>
      <c r="H1802">
        <v>256412958</v>
      </c>
      <c r="I1802">
        <v>-641149210</v>
      </c>
      <c r="J1802">
        <v>57561084</v>
      </c>
      <c r="K1802">
        <v>237235804</v>
      </c>
      <c r="L1802">
        <v>112262329</v>
      </c>
      <c r="M1802">
        <v>100170111</v>
      </c>
      <c r="N1802">
        <v>81930525</v>
      </c>
      <c r="O1802">
        <v>94962075</v>
      </c>
      <c r="P1802">
        <v>143</v>
      </c>
      <c r="Q1802" t="s">
        <v>3931</v>
      </c>
    </row>
    <row r="1803" spans="1:17" x14ac:dyDescent="0.3">
      <c r="A1803" t="s">
        <v>17</v>
      </c>
      <c r="B1803" t="str">
        <f>"603987"</f>
        <v>603987</v>
      </c>
      <c r="C1803" t="s">
        <v>3932</v>
      </c>
      <c r="D1803" t="s">
        <v>1036</v>
      </c>
      <c r="F1803">
        <v>408974766</v>
      </c>
      <c r="G1803">
        <v>403280238</v>
      </c>
      <c r="H1803">
        <v>256366254</v>
      </c>
      <c r="I1803">
        <v>314171055</v>
      </c>
      <c r="J1803">
        <v>183274071</v>
      </c>
      <c r="K1803">
        <v>234706657</v>
      </c>
      <c r="L1803">
        <v>147156169</v>
      </c>
      <c r="M1803">
        <v>124691799</v>
      </c>
      <c r="N1803">
        <v>146361358</v>
      </c>
      <c r="P1803">
        <v>266</v>
      </c>
      <c r="Q1803" t="s">
        <v>3933</v>
      </c>
    </row>
    <row r="1804" spans="1:17" x14ac:dyDescent="0.3">
      <c r="A1804" t="s">
        <v>17</v>
      </c>
      <c r="B1804" t="str">
        <f>"603519"</f>
        <v>603519</v>
      </c>
      <c r="C1804" t="s">
        <v>3934</v>
      </c>
      <c r="D1804" t="s">
        <v>1087</v>
      </c>
      <c r="F1804">
        <v>67626265</v>
      </c>
      <c r="G1804">
        <v>124730754</v>
      </c>
      <c r="H1804">
        <v>256299150</v>
      </c>
      <c r="I1804">
        <v>71463529</v>
      </c>
      <c r="J1804">
        <v>104530400</v>
      </c>
      <c r="K1804">
        <v>-28006307</v>
      </c>
      <c r="L1804">
        <v>50703309</v>
      </c>
      <c r="M1804">
        <v>26845895</v>
      </c>
      <c r="N1804">
        <v>36864983</v>
      </c>
      <c r="O1804">
        <v>20290902</v>
      </c>
      <c r="P1804">
        <v>148</v>
      </c>
      <c r="Q1804" t="s">
        <v>3935</v>
      </c>
    </row>
    <row r="1805" spans="1:17" x14ac:dyDescent="0.3">
      <c r="A1805" t="s">
        <v>59</v>
      </c>
      <c r="B1805" t="str">
        <f>"002165"</f>
        <v>002165</v>
      </c>
      <c r="C1805" t="s">
        <v>3936</v>
      </c>
      <c r="D1805" t="s">
        <v>144</v>
      </c>
      <c r="F1805">
        <v>326030842</v>
      </c>
      <c r="G1805">
        <v>-94913743</v>
      </c>
      <c r="H1805">
        <v>256238564</v>
      </c>
      <c r="I1805">
        <v>169405309</v>
      </c>
      <c r="J1805">
        <v>-75720494</v>
      </c>
      <c r="K1805">
        <v>116540973</v>
      </c>
      <c r="L1805">
        <v>193340928</v>
      </c>
      <c r="M1805">
        <v>235378347</v>
      </c>
      <c r="N1805">
        <v>105509472</v>
      </c>
      <c r="O1805">
        <v>214348235</v>
      </c>
      <c r="P1805">
        <v>100</v>
      </c>
      <c r="Q1805" t="s">
        <v>3937</v>
      </c>
    </row>
    <row r="1806" spans="1:17" x14ac:dyDescent="0.3">
      <c r="A1806" t="s">
        <v>59</v>
      </c>
      <c r="B1806" t="str">
        <f>"300049"</f>
        <v>300049</v>
      </c>
      <c r="C1806" t="s">
        <v>3938</v>
      </c>
      <c r="D1806" t="s">
        <v>485</v>
      </c>
      <c r="F1806">
        <v>208310759</v>
      </c>
      <c r="G1806">
        <v>200151631</v>
      </c>
      <c r="H1806">
        <v>256227192</v>
      </c>
      <c r="I1806">
        <v>78347686</v>
      </c>
      <c r="J1806">
        <v>126160834</v>
      </c>
      <c r="K1806">
        <v>148843877</v>
      </c>
      <c r="L1806">
        <v>158159639</v>
      </c>
      <c r="M1806">
        <v>50875669</v>
      </c>
      <c r="N1806">
        <v>28183172</v>
      </c>
      <c r="O1806">
        <v>85883732</v>
      </c>
      <c r="P1806">
        <v>144</v>
      </c>
      <c r="Q1806" t="s">
        <v>3939</v>
      </c>
    </row>
    <row r="1807" spans="1:17" x14ac:dyDescent="0.3">
      <c r="A1807" t="s">
        <v>17</v>
      </c>
      <c r="B1807" t="str">
        <f>"600072"</f>
        <v>600072</v>
      </c>
      <c r="C1807" t="s">
        <v>3940</v>
      </c>
      <c r="D1807" t="s">
        <v>614</v>
      </c>
      <c r="F1807">
        <v>327625964</v>
      </c>
      <c r="G1807">
        <v>656312068</v>
      </c>
      <c r="H1807">
        <v>256063315</v>
      </c>
      <c r="I1807">
        <v>-333901731</v>
      </c>
      <c r="J1807">
        <v>-1054616839</v>
      </c>
      <c r="K1807">
        <v>-702114914</v>
      </c>
      <c r="L1807">
        <v>83305967</v>
      </c>
      <c r="M1807">
        <v>-112114540</v>
      </c>
      <c r="N1807">
        <v>-54024726</v>
      </c>
      <c r="O1807">
        <v>-140095890</v>
      </c>
      <c r="P1807">
        <v>181</v>
      </c>
      <c r="Q1807" t="s">
        <v>3941</v>
      </c>
    </row>
    <row r="1808" spans="1:17" x14ac:dyDescent="0.3">
      <c r="A1808" t="s">
        <v>59</v>
      </c>
      <c r="B1808" t="str">
        <f>"002406"</f>
        <v>002406</v>
      </c>
      <c r="C1808" t="s">
        <v>3942</v>
      </c>
      <c r="D1808" t="s">
        <v>156</v>
      </c>
      <c r="F1808">
        <v>333425879</v>
      </c>
      <c r="G1808">
        <v>189087241</v>
      </c>
      <c r="H1808">
        <v>255729147</v>
      </c>
      <c r="I1808">
        <v>149975778</v>
      </c>
      <c r="J1808">
        <v>182012844</v>
      </c>
      <c r="K1808">
        <v>166153351</v>
      </c>
      <c r="L1808">
        <v>182431252</v>
      </c>
      <c r="M1808">
        <v>232431708</v>
      </c>
      <c r="N1808">
        <v>42919151</v>
      </c>
      <c r="O1808">
        <v>184496124</v>
      </c>
      <c r="P1808">
        <v>272</v>
      </c>
      <c r="Q1808" t="s">
        <v>3943</v>
      </c>
    </row>
    <row r="1809" spans="1:17" x14ac:dyDescent="0.3">
      <c r="A1809" t="s">
        <v>17</v>
      </c>
      <c r="B1809" t="str">
        <f>"603950"</f>
        <v>603950</v>
      </c>
      <c r="C1809" t="s">
        <v>3944</v>
      </c>
      <c r="D1809" t="s">
        <v>156</v>
      </c>
      <c r="F1809">
        <v>631382620</v>
      </c>
      <c r="G1809">
        <v>433995215</v>
      </c>
      <c r="H1809">
        <v>255610974</v>
      </c>
      <c r="I1809">
        <v>331077307</v>
      </c>
      <c r="J1809">
        <v>251582724</v>
      </c>
      <c r="P1809">
        <v>97</v>
      </c>
      <c r="Q1809" t="s">
        <v>3945</v>
      </c>
    </row>
    <row r="1810" spans="1:17" x14ac:dyDescent="0.3">
      <c r="A1810" t="s">
        <v>59</v>
      </c>
      <c r="B1810" t="str">
        <f>"300326"</f>
        <v>300326</v>
      </c>
      <c r="C1810" t="s">
        <v>3946</v>
      </c>
      <c r="D1810" t="s">
        <v>1036</v>
      </c>
      <c r="F1810">
        <v>378155561</v>
      </c>
      <c r="G1810">
        <v>284922008</v>
      </c>
      <c r="H1810">
        <v>255608625</v>
      </c>
      <c r="I1810">
        <v>95252512</v>
      </c>
      <c r="J1810">
        <v>146934350</v>
      </c>
      <c r="K1810">
        <v>130351712</v>
      </c>
      <c r="L1810">
        <v>111157487</v>
      </c>
      <c r="M1810">
        <v>71462771</v>
      </c>
      <c r="N1810">
        <v>33067412</v>
      </c>
      <c r="O1810">
        <v>51515604</v>
      </c>
      <c r="P1810">
        <v>854</v>
      </c>
      <c r="Q1810" t="s">
        <v>3947</v>
      </c>
    </row>
    <row r="1811" spans="1:17" x14ac:dyDescent="0.3">
      <c r="A1811" t="s">
        <v>59</v>
      </c>
      <c r="B1811" t="str">
        <f>"002513"</f>
        <v>002513</v>
      </c>
      <c r="C1811" t="s">
        <v>3948</v>
      </c>
      <c r="D1811" t="s">
        <v>1356</v>
      </c>
      <c r="F1811">
        <v>11796558</v>
      </c>
      <c r="G1811">
        <v>128305653</v>
      </c>
      <c r="H1811">
        <v>255079830</v>
      </c>
      <c r="I1811">
        <v>73297828</v>
      </c>
      <c r="J1811">
        <v>55327101</v>
      </c>
      <c r="K1811">
        <v>332907814</v>
      </c>
      <c r="L1811">
        <v>250843670</v>
      </c>
      <c r="M1811">
        <v>127973627</v>
      </c>
      <c r="N1811">
        <v>54682858</v>
      </c>
      <c r="O1811">
        <v>58878648</v>
      </c>
      <c r="P1811">
        <v>46</v>
      </c>
      <c r="Q1811" t="s">
        <v>3949</v>
      </c>
    </row>
    <row r="1812" spans="1:17" x14ac:dyDescent="0.3">
      <c r="A1812" t="s">
        <v>59</v>
      </c>
      <c r="B1812" t="str">
        <f>"300575"</f>
        <v>300575</v>
      </c>
      <c r="C1812" t="s">
        <v>3950</v>
      </c>
      <c r="D1812" t="s">
        <v>1356</v>
      </c>
      <c r="F1812">
        <v>140619643</v>
      </c>
      <c r="G1812">
        <v>320013996</v>
      </c>
      <c r="H1812">
        <v>254973691</v>
      </c>
      <c r="I1812">
        <v>280165159</v>
      </c>
      <c r="J1812">
        <v>160360359</v>
      </c>
      <c r="K1812">
        <v>104503258</v>
      </c>
      <c r="L1812">
        <v>66149477</v>
      </c>
      <c r="M1812">
        <v>86115812</v>
      </c>
      <c r="N1812">
        <v>104947279</v>
      </c>
      <c r="P1812">
        <v>187</v>
      </c>
      <c r="Q1812" t="s">
        <v>3951</v>
      </c>
    </row>
    <row r="1813" spans="1:17" x14ac:dyDescent="0.3">
      <c r="A1813" t="s">
        <v>59</v>
      </c>
      <c r="B1813" t="str">
        <f>"002724"</f>
        <v>002724</v>
      </c>
      <c r="C1813" t="s">
        <v>3952</v>
      </c>
      <c r="D1813" t="s">
        <v>595</v>
      </c>
      <c r="F1813">
        <v>214162986</v>
      </c>
      <c r="G1813">
        <v>299192255</v>
      </c>
      <c r="H1813">
        <v>254387126</v>
      </c>
      <c r="I1813">
        <v>120568771</v>
      </c>
      <c r="J1813">
        <v>153664643</v>
      </c>
      <c r="K1813">
        <v>95901403</v>
      </c>
      <c r="L1813">
        <v>106393640</v>
      </c>
      <c r="M1813">
        <v>198410055</v>
      </c>
      <c r="N1813">
        <v>204573432</v>
      </c>
      <c r="O1813">
        <v>148920097</v>
      </c>
      <c r="P1813">
        <v>139</v>
      </c>
      <c r="Q1813" t="s">
        <v>3953</v>
      </c>
    </row>
    <row r="1814" spans="1:17" x14ac:dyDescent="0.3">
      <c r="A1814" t="s">
        <v>59</v>
      </c>
      <c r="B1814" t="str">
        <f>"002823"</f>
        <v>002823</v>
      </c>
      <c r="C1814" t="s">
        <v>3954</v>
      </c>
      <c r="D1814" t="s">
        <v>1556</v>
      </c>
      <c r="F1814">
        <v>198723761</v>
      </c>
      <c r="G1814">
        <v>195474589</v>
      </c>
      <c r="H1814">
        <v>254358228</v>
      </c>
      <c r="I1814">
        <v>257395638</v>
      </c>
      <c r="J1814">
        <v>164886856</v>
      </c>
      <c r="K1814">
        <v>103622170</v>
      </c>
      <c r="L1814">
        <v>107823606</v>
      </c>
      <c r="M1814">
        <v>41753787</v>
      </c>
      <c r="N1814">
        <v>58562983</v>
      </c>
      <c r="P1814">
        <v>158</v>
      </c>
      <c r="Q1814" t="s">
        <v>3955</v>
      </c>
    </row>
    <row r="1815" spans="1:17" x14ac:dyDescent="0.3">
      <c r="A1815" t="s">
        <v>59</v>
      </c>
      <c r="B1815" t="str">
        <f>"002658"</f>
        <v>002658</v>
      </c>
      <c r="C1815" t="s">
        <v>3956</v>
      </c>
      <c r="D1815" t="s">
        <v>1337</v>
      </c>
      <c r="F1815">
        <v>234508491</v>
      </c>
      <c r="G1815">
        <v>241240530</v>
      </c>
      <c r="H1815">
        <v>254125169</v>
      </c>
      <c r="I1815">
        <v>138703101</v>
      </c>
      <c r="J1815">
        <v>249729648</v>
      </c>
      <c r="K1815">
        <v>153545227</v>
      </c>
      <c r="L1815">
        <v>115090006</v>
      </c>
      <c r="M1815">
        <v>51866300</v>
      </c>
      <c r="N1815">
        <v>6866854</v>
      </c>
      <c r="O1815">
        <v>-25401034</v>
      </c>
      <c r="P1815">
        <v>231</v>
      </c>
      <c r="Q1815" t="s">
        <v>3957</v>
      </c>
    </row>
    <row r="1816" spans="1:17" x14ac:dyDescent="0.3">
      <c r="A1816" t="s">
        <v>17</v>
      </c>
      <c r="B1816" t="str">
        <f>"688408"</f>
        <v>688408</v>
      </c>
      <c r="C1816" t="s">
        <v>3958</v>
      </c>
      <c r="D1816" t="s">
        <v>1340</v>
      </c>
      <c r="F1816">
        <v>123495122</v>
      </c>
      <c r="G1816">
        <v>407843044</v>
      </c>
      <c r="H1816">
        <v>253021813</v>
      </c>
      <c r="I1816">
        <v>100022498</v>
      </c>
      <c r="J1816">
        <v>118240785</v>
      </c>
      <c r="P1816">
        <v>114</v>
      </c>
      <c r="Q1816" t="s">
        <v>3959</v>
      </c>
    </row>
    <row r="1817" spans="1:17" x14ac:dyDescent="0.3">
      <c r="A1817" t="s">
        <v>17</v>
      </c>
      <c r="B1817" t="str">
        <f>"603466"</f>
        <v>603466</v>
      </c>
      <c r="C1817" t="s">
        <v>3960</v>
      </c>
      <c r="D1817" t="s">
        <v>3961</v>
      </c>
      <c r="F1817">
        <v>327728235</v>
      </c>
      <c r="G1817">
        <v>219207266</v>
      </c>
      <c r="H1817">
        <v>252765243</v>
      </c>
      <c r="I1817">
        <v>263773029</v>
      </c>
      <c r="J1817">
        <v>242293245</v>
      </c>
      <c r="K1817">
        <v>115085693</v>
      </c>
      <c r="L1817">
        <v>61085709</v>
      </c>
      <c r="M1817">
        <v>1973862</v>
      </c>
      <c r="P1817">
        <v>406</v>
      </c>
      <c r="Q1817" t="s">
        <v>3962</v>
      </c>
    </row>
    <row r="1818" spans="1:17" x14ac:dyDescent="0.3">
      <c r="A1818" t="s">
        <v>59</v>
      </c>
      <c r="B1818" t="str">
        <f>"002357"</f>
        <v>002357</v>
      </c>
      <c r="C1818" t="s">
        <v>3963</v>
      </c>
      <c r="D1818" t="s">
        <v>2487</v>
      </c>
      <c r="F1818">
        <v>97576441</v>
      </c>
      <c r="G1818">
        <v>106131338</v>
      </c>
      <c r="H1818">
        <v>252620664</v>
      </c>
      <c r="I1818">
        <v>172175118</v>
      </c>
      <c r="J1818">
        <v>209553796</v>
      </c>
      <c r="K1818">
        <v>237576837</v>
      </c>
      <c r="L1818">
        <v>296749729</v>
      </c>
      <c r="M1818">
        <v>191899527</v>
      </c>
      <c r="N1818">
        <v>207773109</v>
      </c>
      <c r="O1818">
        <v>208495776</v>
      </c>
      <c r="P1818">
        <v>102</v>
      </c>
      <c r="Q1818" t="s">
        <v>3964</v>
      </c>
    </row>
    <row r="1819" spans="1:17" x14ac:dyDescent="0.3">
      <c r="A1819" t="s">
        <v>17</v>
      </c>
      <c r="B1819" t="str">
        <f>"688029"</f>
        <v>688029</v>
      </c>
      <c r="C1819" t="s">
        <v>3965</v>
      </c>
      <c r="D1819" t="s">
        <v>1036</v>
      </c>
      <c r="F1819">
        <v>172886220</v>
      </c>
      <c r="G1819">
        <v>231272061</v>
      </c>
      <c r="H1819">
        <v>252490245</v>
      </c>
      <c r="I1819">
        <v>192324919</v>
      </c>
      <c r="J1819">
        <v>140476342</v>
      </c>
      <c r="K1819">
        <v>79977791</v>
      </c>
      <c r="P1819">
        <v>392</v>
      </c>
      <c r="Q1819" t="s">
        <v>3966</v>
      </c>
    </row>
    <row r="1820" spans="1:17" x14ac:dyDescent="0.3">
      <c r="A1820" t="s">
        <v>59</v>
      </c>
      <c r="B1820" t="str">
        <f>"001210"</f>
        <v>001210</v>
      </c>
      <c r="C1820" t="s">
        <v>3967</v>
      </c>
      <c r="D1820" t="s">
        <v>1238</v>
      </c>
      <c r="F1820">
        <v>193708187</v>
      </c>
      <c r="G1820">
        <v>180304045</v>
      </c>
      <c r="H1820">
        <v>251458636</v>
      </c>
      <c r="I1820">
        <v>225756811</v>
      </c>
      <c r="J1820">
        <v>137377312</v>
      </c>
      <c r="P1820">
        <v>27</v>
      </c>
      <c r="Q1820" t="s">
        <v>3968</v>
      </c>
    </row>
    <row r="1821" spans="1:17" x14ac:dyDescent="0.3">
      <c r="A1821" t="s">
        <v>17</v>
      </c>
      <c r="B1821" t="str">
        <f>"603337"</f>
        <v>603337</v>
      </c>
      <c r="C1821" t="s">
        <v>3969</v>
      </c>
      <c r="D1821" t="s">
        <v>3970</v>
      </c>
      <c r="F1821">
        <v>-197927230</v>
      </c>
      <c r="G1821">
        <v>914362169</v>
      </c>
      <c r="H1821">
        <v>251385627</v>
      </c>
      <c r="I1821">
        <v>-20825293</v>
      </c>
      <c r="J1821">
        <v>624935995</v>
      </c>
      <c r="K1821">
        <v>279968120</v>
      </c>
      <c r="L1821">
        <v>271686649</v>
      </c>
      <c r="M1821">
        <v>234346897</v>
      </c>
      <c r="N1821">
        <v>266642395</v>
      </c>
      <c r="P1821">
        <v>370</v>
      </c>
      <c r="Q1821" t="s">
        <v>3971</v>
      </c>
    </row>
    <row r="1822" spans="1:17" x14ac:dyDescent="0.3">
      <c r="A1822" t="s">
        <v>17</v>
      </c>
      <c r="B1822" t="str">
        <f>"689009"</f>
        <v>689009</v>
      </c>
      <c r="C1822" t="s">
        <v>3972</v>
      </c>
      <c r="D1822" t="s">
        <v>1391</v>
      </c>
      <c r="F1822">
        <v>-161451666</v>
      </c>
      <c r="G1822">
        <v>896345908</v>
      </c>
      <c r="H1822">
        <v>251275238</v>
      </c>
      <c r="I1822">
        <v>376606825</v>
      </c>
      <c r="J1822">
        <v>137476373</v>
      </c>
      <c r="K1822">
        <v>-45138491</v>
      </c>
      <c r="P1822">
        <v>114</v>
      </c>
      <c r="Q1822" t="s">
        <v>3973</v>
      </c>
    </row>
    <row r="1823" spans="1:17" x14ac:dyDescent="0.3">
      <c r="A1823" t="s">
        <v>59</v>
      </c>
      <c r="B1823" t="str">
        <f>"002317"</f>
        <v>002317</v>
      </c>
      <c r="C1823" t="s">
        <v>3974</v>
      </c>
      <c r="D1823" t="s">
        <v>455</v>
      </c>
      <c r="F1823">
        <v>622766288</v>
      </c>
      <c r="G1823">
        <v>138932207</v>
      </c>
      <c r="H1823">
        <v>251155767</v>
      </c>
      <c r="I1823">
        <v>326781984</v>
      </c>
      <c r="J1823">
        <v>369905149</v>
      </c>
      <c r="K1823">
        <v>338282194</v>
      </c>
      <c r="L1823">
        <v>192248391</v>
      </c>
      <c r="M1823">
        <v>100595091</v>
      </c>
      <c r="N1823">
        <v>110945083</v>
      </c>
      <c r="O1823">
        <v>142379371</v>
      </c>
      <c r="P1823">
        <v>344</v>
      </c>
      <c r="Q1823" t="s">
        <v>3975</v>
      </c>
    </row>
    <row r="1824" spans="1:17" x14ac:dyDescent="0.3">
      <c r="A1824" t="s">
        <v>17</v>
      </c>
      <c r="B1824" t="str">
        <f>"600970"</f>
        <v>600970</v>
      </c>
      <c r="C1824" t="s">
        <v>3976</v>
      </c>
      <c r="D1824" t="s">
        <v>2071</v>
      </c>
      <c r="F1824">
        <v>2213598525</v>
      </c>
      <c r="G1824">
        <v>1748635758</v>
      </c>
      <c r="H1824">
        <v>250831333</v>
      </c>
      <c r="I1824">
        <v>-1619612793</v>
      </c>
      <c r="J1824">
        <v>-1959519447</v>
      </c>
      <c r="K1824">
        <v>2399859002</v>
      </c>
      <c r="L1824">
        <v>1965217966</v>
      </c>
      <c r="M1824">
        <v>1399014949</v>
      </c>
      <c r="N1824">
        <v>-182514128</v>
      </c>
      <c r="O1824">
        <v>1140930261</v>
      </c>
      <c r="P1824">
        <v>853</v>
      </c>
      <c r="Q1824" t="s">
        <v>3977</v>
      </c>
    </row>
    <row r="1825" spans="1:17" x14ac:dyDescent="0.3">
      <c r="A1825" t="s">
        <v>17</v>
      </c>
      <c r="B1825" t="str">
        <f>"600855"</f>
        <v>600855</v>
      </c>
      <c r="C1825" t="s">
        <v>3978</v>
      </c>
      <c r="D1825" t="s">
        <v>707</v>
      </c>
      <c r="F1825">
        <v>-154119293</v>
      </c>
      <c r="G1825">
        <v>326326558</v>
      </c>
      <c r="H1825">
        <v>250181095</v>
      </c>
      <c r="I1825">
        <v>7575350</v>
      </c>
      <c r="J1825">
        <v>-83477702</v>
      </c>
      <c r="K1825">
        <v>88874909</v>
      </c>
      <c r="L1825">
        <v>90443744</v>
      </c>
      <c r="M1825">
        <v>102601713</v>
      </c>
      <c r="N1825">
        <v>41168238</v>
      </c>
      <c r="O1825">
        <v>-162502778</v>
      </c>
      <c r="P1825">
        <v>139</v>
      </c>
      <c r="Q1825" t="s">
        <v>3979</v>
      </c>
    </row>
    <row r="1826" spans="1:17" x14ac:dyDescent="0.3">
      <c r="A1826" t="s">
        <v>59</v>
      </c>
      <c r="B1826" t="str">
        <f>"300268"</f>
        <v>300268</v>
      </c>
      <c r="C1826" t="s">
        <v>3980</v>
      </c>
      <c r="D1826" t="s">
        <v>623</v>
      </c>
      <c r="F1826">
        <v>303886025</v>
      </c>
      <c r="G1826">
        <v>88606302</v>
      </c>
      <c r="H1826">
        <v>250082780</v>
      </c>
      <c r="I1826">
        <v>-185970828</v>
      </c>
      <c r="J1826">
        <v>-46874133</v>
      </c>
      <c r="K1826">
        <v>2730010</v>
      </c>
      <c r="L1826">
        <v>-15764176</v>
      </c>
      <c r="M1826">
        <v>35827066</v>
      </c>
      <c r="N1826">
        <v>127581570</v>
      </c>
      <c r="O1826">
        <v>27532744</v>
      </c>
      <c r="P1826">
        <v>87</v>
      </c>
      <c r="Q1826" t="s">
        <v>3981</v>
      </c>
    </row>
    <row r="1827" spans="1:17" x14ac:dyDescent="0.3">
      <c r="A1827" t="s">
        <v>59</v>
      </c>
      <c r="B1827" t="str">
        <f>"002738"</f>
        <v>002738</v>
      </c>
      <c r="C1827" t="s">
        <v>3982</v>
      </c>
      <c r="D1827" t="s">
        <v>987</v>
      </c>
      <c r="F1827">
        <v>654146181</v>
      </c>
      <c r="G1827">
        <v>232263311</v>
      </c>
      <c r="H1827">
        <v>250081933</v>
      </c>
      <c r="I1827">
        <v>14592734</v>
      </c>
      <c r="J1827">
        <v>6932002</v>
      </c>
      <c r="K1827">
        <v>-57056157</v>
      </c>
      <c r="L1827">
        <v>-55109735</v>
      </c>
      <c r="M1827">
        <v>-8765156</v>
      </c>
      <c r="N1827">
        <v>24968559</v>
      </c>
      <c r="O1827">
        <v>77446782</v>
      </c>
      <c r="P1827">
        <v>192</v>
      </c>
      <c r="Q1827" t="s">
        <v>3983</v>
      </c>
    </row>
    <row r="1828" spans="1:17" x14ac:dyDescent="0.3">
      <c r="A1828" t="s">
        <v>17</v>
      </c>
      <c r="B1828" t="str">
        <f>"603757"</f>
        <v>603757</v>
      </c>
      <c r="C1828" t="s">
        <v>3984</v>
      </c>
      <c r="D1828" t="s">
        <v>1838</v>
      </c>
      <c r="F1828">
        <v>162744977</v>
      </c>
      <c r="G1828">
        <v>155723113</v>
      </c>
      <c r="H1828">
        <v>250038452</v>
      </c>
      <c r="I1828">
        <v>138914025</v>
      </c>
      <c r="J1828">
        <v>145117719</v>
      </c>
      <c r="K1828">
        <v>120420213</v>
      </c>
      <c r="L1828">
        <v>85440954</v>
      </c>
      <c r="M1828">
        <v>71224993</v>
      </c>
      <c r="P1828">
        <v>523</v>
      </c>
      <c r="Q1828" t="s">
        <v>3985</v>
      </c>
    </row>
    <row r="1829" spans="1:17" x14ac:dyDescent="0.3">
      <c r="A1829" t="s">
        <v>59</v>
      </c>
      <c r="B1829" t="str">
        <f>"002733"</f>
        <v>002733</v>
      </c>
      <c r="C1829" t="s">
        <v>3986</v>
      </c>
      <c r="D1829" t="s">
        <v>1107</v>
      </c>
      <c r="F1829">
        <v>-106541417</v>
      </c>
      <c r="G1829">
        <v>138052966</v>
      </c>
      <c r="H1829">
        <v>249125131</v>
      </c>
      <c r="I1829">
        <v>258629511</v>
      </c>
      <c r="J1829">
        <v>-180548288</v>
      </c>
      <c r="K1829">
        <v>77578418</v>
      </c>
      <c r="L1829">
        <v>10551257</v>
      </c>
      <c r="M1829">
        <v>95892628</v>
      </c>
      <c r="N1829">
        <v>43066393</v>
      </c>
      <c r="O1829">
        <v>11132361</v>
      </c>
      <c r="P1829">
        <v>236</v>
      </c>
      <c r="Q1829" t="s">
        <v>3987</v>
      </c>
    </row>
    <row r="1830" spans="1:17" x14ac:dyDescent="0.3">
      <c r="A1830" t="s">
        <v>59</v>
      </c>
      <c r="B1830" t="str">
        <f>"002022"</f>
        <v>002022</v>
      </c>
      <c r="C1830" t="s">
        <v>3988</v>
      </c>
      <c r="D1830" t="s">
        <v>1953</v>
      </c>
      <c r="F1830">
        <v>775342174</v>
      </c>
      <c r="G1830">
        <v>1367198250</v>
      </c>
      <c r="H1830">
        <v>248872035</v>
      </c>
      <c r="I1830">
        <v>126790597</v>
      </c>
      <c r="J1830">
        <v>130713194</v>
      </c>
      <c r="K1830">
        <v>281252696</v>
      </c>
      <c r="L1830">
        <v>224298098</v>
      </c>
      <c r="M1830">
        <v>249638498</v>
      </c>
      <c r="N1830">
        <v>250221961</v>
      </c>
      <c r="O1830">
        <v>213743676</v>
      </c>
      <c r="P1830">
        <v>1024</v>
      </c>
      <c r="Q1830" t="s">
        <v>3989</v>
      </c>
    </row>
    <row r="1831" spans="1:17" x14ac:dyDescent="0.3">
      <c r="A1831" t="s">
        <v>17</v>
      </c>
      <c r="B1831" t="str">
        <f>"605108"</f>
        <v>605108</v>
      </c>
      <c r="C1831" t="s">
        <v>3990</v>
      </c>
      <c r="D1831" t="s">
        <v>3991</v>
      </c>
      <c r="F1831">
        <v>316228588</v>
      </c>
      <c r="G1831">
        <v>250665548</v>
      </c>
      <c r="H1831">
        <v>248769690</v>
      </c>
      <c r="I1831">
        <v>301196910</v>
      </c>
      <c r="J1831">
        <v>274462367</v>
      </c>
      <c r="P1831">
        <v>104</v>
      </c>
      <c r="Q1831" t="s">
        <v>3992</v>
      </c>
    </row>
    <row r="1832" spans="1:17" x14ac:dyDescent="0.3">
      <c r="A1832" t="s">
        <v>59</v>
      </c>
      <c r="B1832" t="str">
        <f>"000526"</f>
        <v>000526</v>
      </c>
      <c r="C1832" t="s">
        <v>3993</v>
      </c>
      <c r="D1832" t="s">
        <v>871</v>
      </c>
      <c r="F1832">
        <v>-86974234</v>
      </c>
      <c r="G1832">
        <v>167297921</v>
      </c>
      <c r="H1832">
        <v>248705082</v>
      </c>
      <c r="I1832">
        <v>243991593</v>
      </c>
      <c r="J1832">
        <v>355284520</v>
      </c>
      <c r="K1832">
        <v>86247695</v>
      </c>
      <c r="L1832">
        <v>3098888</v>
      </c>
      <c r="M1832">
        <v>12630358</v>
      </c>
      <c r="N1832">
        <v>-4447175</v>
      </c>
      <c r="O1832">
        <v>-5809581</v>
      </c>
      <c r="P1832">
        <v>201</v>
      </c>
      <c r="Q1832" t="s">
        <v>3994</v>
      </c>
    </row>
    <row r="1833" spans="1:17" x14ac:dyDescent="0.3">
      <c r="A1833" t="s">
        <v>17</v>
      </c>
      <c r="B1833" t="str">
        <f>"600182"</f>
        <v>600182</v>
      </c>
      <c r="C1833" t="s">
        <v>3995</v>
      </c>
      <c r="D1833" t="s">
        <v>767</v>
      </c>
      <c r="F1833">
        <v>310989372</v>
      </c>
      <c r="G1833">
        <v>395214216</v>
      </c>
      <c r="H1833">
        <v>247726640</v>
      </c>
      <c r="I1833">
        <v>342184434</v>
      </c>
      <c r="J1833">
        <v>190143502</v>
      </c>
      <c r="K1833">
        <v>680177556</v>
      </c>
      <c r="L1833">
        <v>633014989</v>
      </c>
      <c r="M1833">
        <v>1190379925</v>
      </c>
      <c r="N1833">
        <v>707929639</v>
      </c>
      <c r="O1833">
        <v>473665323</v>
      </c>
      <c r="P1833">
        <v>77</v>
      </c>
      <c r="Q1833" t="s">
        <v>3996</v>
      </c>
    </row>
    <row r="1834" spans="1:17" x14ac:dyDescent="0.3">
      <c r="A1834" t="s">
        <v>17</v>
      </c>
      <c r="B1834" t="str">
        <f>"603906"</f>
        <v>603906</v>
      </c>
      <c r="C1834" t="s">
        <v>3997</v>
      </c>
      <c r="D1834" t="s">
        <v>1252</v>
      </c>
      <c r="F1834">
        <v>-408571099</v>
      </c>
      <c r="G1834">
        <v>305464156</v>
      </c>
      <c r="H1834">
        <v>247468296</v>
      </c>
      <c r="I1834">
        <v>170222430</v>
      </c>
      <c r="J1834">
        <v>42682366</v>
      </c>
      <c r="K1834">
        <v>79478997</v>
      </c>
      <c r="L1834">
        <v>-3541478</v>
      </c>
      <c r="M1834">
        <v>52160164</v>
      </c>
      <c r="P1834">
        <v>185</v>
      </c>
      <c r="Q1834" t="s">
        <v>3998</v>
      </c>
    </row>
    <row r="1835" spans="1:17" x14ac:dyDescent="0.3">
      <c r="A1835" t="s">
        <v>59</v>
      </c>
      <c r="B1835" t="str">
        <f>"002169"</f>
        <v>002169</v>
      </c>
      <c r="C1835" t="s">
        <v>3999</v>
      </c>
      <c r="D1835" t="s">
        <v>494</v>
      </c>
      <c r="F1835">
        <v>717607</v>
      </c>
      <c r="G1835">
        <v>437951360</v>
      </c>
      <c r="H1835">
        <v>247126547</v>
      </c>
      <c r="I1835">
        <v>-185106635</v>
      </c>
      <c r="J1835">
        <v>-97929512</v>
      </c>
      <c r="K1835">
        <v>42871271</v>
      </c>
      <c r="L1835">
        <v>159671215</v>
      </c>
      <c r="M1835">
        <v>86058501</v>
      </c>
      <c r="N1835">
        <v>24280671</v>
      </c>
      <c r="O1835">
        <v>52528659</v>
      </c>
      <c r="P1835">
        <v>219</v>
      </c>
      <c r="Q1835" t="s">
        <v>4000</v>
      </c>
    </row>
    <row r="1836" spans="1:17" x14ac:dyDescent="0.3">
      <c r="A1836" t="s">
        <v>59</v>
      </c>
      <c r="B1836" t="str">
        <f>"002316"</f>
        <v>002316</v>
      </c>
      <c r="C1836" t="s">
        <v>4001</v>
      </c>
      <c r="D1836" t="s">
        <v>1629</v>
      </c>
      <c r="F1836">
        <v>-114797771</v>
      </c>
      <c r="G1836">
        <v>128014424</v>
      </c>
      <c r="H1836">
        <v>246929892</v>
      </c>
      <c r="I1836">
        <v>855808255</v>
      </c>
      <c r="J1836">
        <v>16260018</v>
      </c>
      <c r="K1836">
        <v>9527192</v>
      </c>
      <c r="L1836">
        <v>366502058</v>
      </c>
      <c r="M1836">
        <v>293311479</v>
      </c>
      <c r="N1836">
        <v>-265287919</v>
      </c>
      <c r="O1836">
        <v>68157238</v>
      </c>
      <c r="P1836">
        <v>229</v>
      </c>
      <c r="Q1836" t="s">
        <v>4002</v>
      </c>
    </row>
    <row r="1837" spans="1:17" x14ac:dyDescent="0.3">
      <c r="A1837" t="s">
        <v>59</v>
      </c>
      <c r="B1837" t="str">
        <f>"002559"</f>
        <v>002559</v>
      </c>
      <c r="C1837" t="s">
        <v>4003</v>
      </c>
      <c r="D1837" t="s">
        <v>2705</v>
      </c>
      <c r="F1837">
        <v>164717319</v>
      </c>
      <c r="G1837">
        <v>258696380</v>
      </c>
      <c r="H1837">
        <v>246900799</v>
      </c>
      <c r="I1837">
        <v>104286341</v>
      </c>
      <c r="J1837">
        <v>114360655</v>
      </c>
      <c r="K1837">
        <v>123889834</v>
      </c>
      <c r="L1837">
        <v>215388356</v>
      </c>
      <c r="M1837">
        <v>118812411</v>
      </c>
      <c r="N1837">
        <v>159987548</v>
      </c>
      <c r="O1837">
        <v>63135266</v>
      </c>
      <c r="P1837">
        <v>149</v>
      </c>
      <c r="Q1837" t="s">
        <v>4004</v>
      </c>
    </row>
    <row r="1838" spans="1:17" x14ac:dyDescent="0.3">
      <c r="A1838" t="s">
        <v>17</v>
      </c>
      <c r="B1838" t="str">
        <f>"603520"</f>
        <v>603520</v>
      </c>
      <c r="C1838" t="s">
        <v>4005</v>
      </c>
      <c r="D1838" t="s">
        <v>984</v>
      </c>
      <c r="F1838">
        <v>508839385</v>
      </c>
      <c r="G1838">
        <v>174479180</v>
      </c>
      <c r="H1838">
        <v>246768072</v>
      </c>
      <c r="I1838">
        <v>191835586</v>
      </c>
      <c r="J1838">
        <v>18104512</v>
      </c>
      <c r="K1838">
        <v>7679735</v>
      </c>
      <c r="L1838">
        <v>94879366</v>
      </c>
      <c r="M1838">
        <v>144000559</v>
      </c>
      <c r="N1838">
        <v>74993070</v>
      </c>
      <c r="O1838">
        <v>103342431</v>
      </c>
      <c r="P1838">
        <v>382</v>
      </c>
      <c r="Q1838" t="s">
        <v>4006</v>
      </c>
    </row>
    <row r="1839" spans="1:17" x14ac:dyDescent="0.3">
      <c r="A1839" t="s">
        <v>17</v>
      </c>
      <c r="B1839" t="str">
        <f>"603108"</f>
        <v>603108</v>
      </c>
      <c r="C1839" t="s">
        <v>4007</v>
      </c>
      <c r="D1839" t="s">
        <v>2312</v>
      </c>
      <c r="F1839">
        <v>371112690</v>
      </c>
      <c r="G1839">
        <v>323441186</v>
      </c>
      <c r="H1839">
        <v>246678614</v>
      </c>
      <c r="I1839">
        <v>538902961</v>
      </c>
      <c r="J1839">
        <v>-87852784</v>
      </c>
      <c r="K1839">
        <v>-125474687</v>
      </c>
      <c r="L1839">
        <v>-226686903</v>
      </c>
      <c r="M1839">
        <v>36114224</v>
      </c>
      <c r="N1839">
        <v>31623691</v>
      </c>
      <c r="O1839">
        <v>38700972</v>
      </c>
      <c r="P1839">
        <v>336</v>
      </c>
      <c r="Q1839" t="s">
        <v>4008</v>
      </c>
    </row>
    <row r="1840" spans="1:17" x14ac:dyDescent="0.3">
      <c r="A1840" t="s">
        <v>59</v>
      </c>
      <c r="B1840" t="str">
        <f>"301048"</f>
        <v>301048</v>
      </c>
      <c r="C1840" t="s">
        <v>4009</v>
      </c>
      <c r="D1840" t="s">
        <v>165</v>
      </c>
      <c r="F1840">
        <v>-325832679</v>
      </c>
      <c r="G1840">
        <v>272232133</v>
      </c>
      <c r="H1840">
        <v>246281493</v>
      </c>
      <c r="I1840">
        <v>-71441236</v>
      </c>
      <c r="J1840">
        <v>343261133</v>
      </c>
      <c r="P1840">
        <v>16</v>
      </c>
      <c r="Q1840" t="s">
        <v>4010</v>
      </c>
    </row>
    <row r="1841" spans="1:17" x14ac:dyDescent="0.3">
      <c r="A1841" t="s">
        <v>59</v>
      </c>
      <c r="B1841" t="str">
        <f>"002454"</f>
        <v>002454</v>
      </c>
      <c r="C1841" t="s">
        <v>4011</v>
      </c>
      <c r="D1841" t="s">
        <v>575</v>
      </c>
      <c r="F1841">
        <v>562787267</v>
      </c>
      <c r="G1841">
        <v>486472146</v>
      </c>
      <c r="H1841">
        <v>245903570</v>
      </c>
      <c r="I1841">
        <v>504646790</v>
      </c>
      <c r="J1841">
        <v>347633174</v>
      </c>
      <c r="K1841">
        <v>217592208</v>
      </c>
      <c r="L1841">
        <v>358906572</v>
      </c>
      <c r="M1841">
        <v>225187200</v>
      </c>
      <c r="N1841">
        <v>131725642</v>
      </c>
      <c r="O1841">
        <v>103611631</v>
      </c>
      <c r="P1841">
        <v>191</v>
      </c>
      <c r="Q1841" t="s">
        <v>4012</v>
      </c>
    </row>
    <row r="1842" spans="1:17" x14ac:dyDescent="0.3">
      <c r="A1842" t="s">
        <v>59</v>
      </c>
      <c r="B1842" t="str">
        <f>"002453"</f>
        <v>002453</v>
      </c>
      <c r="C1842" t="s">
        <v>4013</v>
      </c>
      <c r="D1842" t="s">
        <v>1252</v>
      </c>
      <c r="F1842">
        <v>195007448</v>
      </c>
      <c r="G1842">
        <v>192223518</v>
      </c>
      <c r="H1842">
        <v>245901045</v>
      </c>
      <c r="I1842">
        <v>214421287</v>
      </c>
      <c r="J1842">
        <v>186781891</v>
      </c>
      <c r="K1842">
        <v>-123441312</v>
      </c>
      <c r="L1842">
        <v>116201706</v>
      </c>
      <c r="M1842">
        <v>20979495</v>
      </c>
      <c r="N1842">
        <v>33850972</v>
      </c>
      <c r="O1842">
        <v>38634747</v>
      </c>
      <c r="P1842">
        <v>125</v>
      </c>
      <c r="Q1842" t="s">
        <v>4014</v>
      </c>
    </row>
    <row r="1843" spans="1:17" x14ac:dyDescent="0.3">
      <c r="A1843" t="s">
        <v>59</v>
      </c>
      <c r="B1843" t="str">
        <f>"300259"</f>
        <v>300259</v>
      </c>
      <c r="C1843" t="s">
        <v>4015</v>
      </c>
      <c r="D1843" t="s">
        <v>2382</v>
      </c>
      <c r="F1843">
        <v>220240151</v>
      </c>
      <c r="G1843">
        <v>294355757</v>
      </c>
      <c r="H1843">
        <v>245802760</v>
      </c>
      <c r="I1843">
        <v>134769057</v>
      </c>
      <c r="J1843">
        <v>74261921</v>
      </c>
      <c r="K1843">
        <v>137750958</v>
      </c>
      <c r="L1843">
        <v>46858382</v>
      </c>
      <c r="M1843">
        <v>109017966</v>
      </c>
      <c r="N1843">
        <v>105648718</v>
      </c>
      <c r="O1843">
        <v>68304062</v>
      </c>
      <c r="P1843">
        <v>360</v>
      </c>
      <c r="Q1843" t="s">
        <v>4016</v>
      </c>
    </row>
    <row r="1844" spans="1:17" x14ac:dyDescent="0.3">
      <c r="A1844" t="s">
        <v>59</v>
      </c>
      <c r="B1844" t="str">
        <f>"002579"</f>
        <v>002579</v>
      </c>
      <c r="C1844" t="s">
        <v>4017</v>
      </c>
      <c r="D1844" t="s">
        <v>539</v>
      </c>
      <c r="F1844">
        <v>249736711</v>
      </c>
      <c r="G1844">
        <v>272659864</v>
      </c>
      <c r="H1844">
        <v>245575190</v>
      </c>
      <c r="I1844">
        <v>133486948</v>
      </c>
      <c r="J1844">
        <v>39798308</v>
      </c>
      <c r="K1844">
        <v>-3906355</v>
      </c>
      <c r="L1844">
        <v>85533477</v>
      </c>
      <c r="M1844">
        <v>11698682</v>
      </c>
      <c r="N1844">
        <v>44486548</v>
      </c>
      <c r="O1844">
        <v>17341301</v>
      </c>
      <c r="P1844">
        <v>279</v>
      </c>
      <c r="Q1844" t="s">
        <v>4018</v>
      </c>
    </row>
    <row r="1845" spans="1:17" x14ac:dyDescent="0.3">
      <c r="A1845" t="s">
        <v>17</v>
      </c>
      <c r="B1845" t="str">
        <f>"603578"</f>
        <v>603578</v>
      </c>
      <c r="C1845" t="s">
        <v>4019</v>
      </c>
      <c r="D1845" t="s">
        <v>1087</v>
      </c>
      <c r="F1845">
        <v>16605944</v>
      </c>
      <c r="G1845">
        <v>30878833</v>
      </c>
      <c r="H1845">
        <v>245315676</v>
      </c>
      <c r="I1845">
        <v>-9783022</v>
      </c>
      <c r="J1845">
        <v>36407774</v>
      </c>
      <c r="K1845">
        <v>41768739</v>
      </c>
      <c r="L1845">
        <v>39742519</v>
      </c>
      <c r="M1845">
        <v>45802075</v>
      </c>
      <c r="P1845">
        <v>131</v>
      </c>
      <c r="Q1845" t="s">
        <v>4020</v>
      </c>
    </row>
    <row r="1846" spans="1:17" x14ac:dyDescent="0.3">
      <c r="A1846" t="s">
        <v>17</v>
      </c>
      <c r="B1846" t="str">
        <f>"600485"</f>
        <v>600485</v>
      </c>
      <c r="C1846" t="s">
        <v>4021</v>
      </c>
      <c r="G1846">
        <v>-44948431</v>
      </c>
      <c r="H1846">
        <v>244863733</v>
      </c>
      <c r="I1846">
        <v>-49523678</v>
      </c>
      <c r="J1846">
        <v>-744562864</v>
      </c>
      <c r="K1846">
        <v>-3718803673</v>
      </c>
      <c r="L1846">
        <v>-2013763024</v>
      </c>
      <c r="M1846">
        <v>879813113</v>
      </c>
      <c r="N1846">
        <v>95335374</v>
      </c>
      <c r="O1846">
        <v>22425228</v>
      </c>
      <c r="P1846">
        <v>124</v>
      </c>
      <c r="Q1846" t="s">
        <v>4022</v>
      </c>
    </row>
    <row r="1847" spans="1:17" x14ac:dyDescent="0.3">
      <c r="A1847" t="s">
        <v>59</v>
      </c>
      <c r="B1847" t="str">
        <f>"300192"</f>
        <v>300192</v>
      </c>
      <c r="C1847" t="s">
        <v>4023</v>
      </c>
      <c r="D1847" t="s">
        <v>871</v>
      </c>
      <c r="F1847">
        <v>143014711</v>
      </c>
      <c r="G1847">
        <v>152694495</v>
      </c>
      <c r="H1847">
        <v>244308120</v>
      </c>
      <c r="I1847">
        <v>286708426</v>
      </c>
      <c r="J1847">
        <v>26801766</v>
      </c>
      <c r="K1847">
        <v>58676483</v>
      </c>
      <c r="L1847">
        <v>46492634</v>
      </c>
      <c r="M1847">
        <v>42097582</v>
      </c>
      <c r="N1847">
        <v>18375016</v>
      </c>
      <c r="O1847">
        <v>15121135</v>
      </c>
      <c r="P1847">
        <v>182</v>
      </c>
      <c r="Q1847" t="s">
        <v>4024</v>
      </c>
    </row>
    <row r="1848" spans="1:17" x14ac:dyDescent="0.3">
      <c r="A1848" t="s">
        <v>17</v>
      </c>
      <c r="B1848" t="str">
        <f>"603511"</f>
        <v>603511</v>
      </c>
      <c r="C1848" t="s">
        <v>4025</v>
      </c>
      <c r="D1848" t="s">
        <v>3416</v>
      </c>
      <c r="F1848">
        <v>326622510</v>
      </c>
      <c r="G1848">
        <v>738223352</v>
      </c>
      <c r="H1848">
        <v>244053747</v>
      </c>
      <c r="I1848">
        <v>328414544</v>
      </c>
      <c r="J1848">
        <v>613931504</v>
      </c>
      <c r="P1848">
        <v>47</v>
      </c>
      <c r="Q1848" t="s">
        <v>4026</v>
      </c>
    </row>
    <row r="1849" spans="1:17" x14ac:dyDescent="0.3">
      <c r="A1849" t="s">
        <v>59</v>
      </c>
      <c r="B1849" t="str">
        <f>"000915"</f>
        <v>000915</v>
      </c>
      <c r="C1849" t="s">
        <v>4027</v>
      </c>
      <c r="D1849" t="s">
        <v>592</v>
      </c>
      <c r="F1849">
        <v>755852593</v>
      </c>
      <c r="G1849">
        <v>735551506</v>
      </c>
      <c r="H1849">
        <v>243541497</v>
      </c>
      <c r="I1849">
        <v>538562683</v>
      </c>
      <c r="J1849">
        <v>426108917</v>
      </c>
      <c r="K1849">
        <v>500913721</v>
      </c>
      <c r="L1849">
        <v>290236595</v>
      </c>
      <c r="M1849">
        <v>272411395</v>
      </c>
      <c r="N1849">
        <v>216052538</v>
      </c>
      <c r="O1849">
        <v>163484225</v>
      </c>
      <c r="P1849">
        <v>648</v>
      </c>
      <c r="Q1849" t="s">
        <v>4028</v>
      </c>
    </row>
    <row r="1850" spans="1:17" x14ac:dyDescent="0.3">
      <c r="A1850" t="s">
        <v>17</v>
      </c>
      <c r="B1850" t="str">
        <f>"605336"</f>
        <v>605336</v>
      </c>
      <c r="C1850" t="s">
        <v>4029</v>
      </c>
      <c r="D1850" t="s">
        <v>1294</v>
      </c>
      <c r="F1850">
        <v>177778025</v>
      </c>
      <c r="G1850">
        <v>173732730</v>
      </c>
      <c r="H1850">
        <v>243347051</v>
      </c>
      <c r="I1850">
        <v>157782836</v>
      </c>
      <c r="J1850">
        <v>150220961</v>
      </c>
      <c r="K1850">
        <v>182545118</v>
      </c>
      <c r="P1850">
        <v>141</v>
      </c>
      <c r="Q1850" t="s">
        <v>4030</v>
      </c>
    </row>
    <row r="1851" spans="1:17" x14ac:dyDescent="0.3">
      <c r="A1851" t="s">
        <v>59</v>
      </c>
      <c r="B1851" t="str">
        <f>"300374"</f>
        <v>300374</v>
      </c>
      <c r="C1851" t="s">
        <v>4031</v>
      </c>
      <c r="D1851" t="s">
        <v>2517</v>
      </c>
      <c r="F1851">
        <v>-79264352</v>
      </c>
      <c r="G1851">
        <v>-7059027</v>
      </c>
      <c r="H1851">
        <v>243307599</v>
      </c>
      <c r="I1851">
        <v>-278613234</v>
      </c>
      <c r="J1851">
        <v>-141395725</v>
      </c>
      <c r="K1851">
        <v>36076481</v>
      </c>
      <c r="L1851">
        <v>-60583593</v>
      </c>
      <c r="M1851">
        <v>52749915</v>
      </c>
      <c r="N1851">
        <v>101369803</v>
      </c>
      <c r="O1851">
        <v>-71921577</v>
      </c>
      <c r="P1851">
        <v>61</v>
      </c>
      <c r="Q1851" t="s">
        <v>4032</v>
      </c>
    </row>
    <row r="1852" spans="1:17" x14ac:dyDescent="0.3">
      <c r="A1852" t="s">
        <v>17</v>
      </c>
      <c r="B1852" t="str">
        <f>"600278"</f>
        <v>600278</v>
      </c>
      <c r="C1852" t="s">
        <v>4033</v>
      </c>
      <c r="D1852" t="s">
        <v>659</v>
      </c>
      <c r="F1852">
        <v>128474786</v>
      </c>
      <c r="G1852">
        <v>63331150</v>
      </c>
      <c r="H1852">
        <v>243050293</v>
      </c>
      <c r="I1852">
        <v>20585995</v>
      </c>
      <c r="J1852">
        <v>202458382</v>
      </c>
      <c r="K1852">
        <v>590897863</v>
      </c>
      <c r="L1852">
        <v>223376658</v>
      </c>
      <c r="M1852">
        <v>-243446613</v>
      </c>
      <c r="N1852">
        <v>356890963</v>
      </c>
      <c r="O1852">
        <v>208835143</v>
      </c>
      <c r="P1852">
        <v>90</v>
      </c>
      <c r="Q1852" t="s">
        <v>4034</v>
      </c>
    </row>
    <row r="1853" spans="1:17" x14ac:dyDescent="0.3">
      <c r="A1853" t="s">
        <v>17</v>
      </c>
      <c r="B1853" t="str">
        <f>"688007"</f>
        <v>688007</v>
      </c>
      <c r="C1853" t="s">
        <v>4035</v>
      </c>
      <c r="D1853" t="s">
        <v>563</v>
      </c>
      <c r="F1853">
        <v>58337227</v>
      </c>
      <c r="G1853">
        <v>52390430</v>
      </c>
      <c r="H1853">
        <v>243000904</v>
      </c>
      <c r="I1853">
        <v>117773454</v>
      </c>
      <c r="J1853">
        <v>-115179557</v>
      </c>
      <c r="K1853">
        <v>-42764266</v>
      </c>
      <c r="P1853">
        <v>123</v>
      </c>
      <c r="Q1853" t="s">
        <v>4036</v>
      </c>
    </row>
    <row r="1854" spans="1:17" x14ac:dyDescent="0.3">
      <c r="A1854" t="s">
        <v>59</v>
      </c>
      <c r="B1854" t="str">
        <f>"300599"</f>
        <v>300599</v>
      </c>
      <c r="C1854" t="s">
        <v>4037</v>
      </c>
      <c r="D1854" t="s">
        <v>1858</v>
      </c>
      <c r="F1854">
        <v>5339547</v>
      </c>
      <c r="G1854">
        <v>286224579</v>
      </c>
      <c r="H1854">
        <v>242571649</v>
      </c>
      <c r="I1854">
        <v>105989664</v>
      </c>
      <c r="J1854">
        <v>177627936</v>
      </c>
      <c r="K1854">
        <v>84624295</v>
      </c>
      <c r="L1854">
        <v>158215565</v>
      </c>
      <c r="M1854">
        <v>236926318</v>
      </c>
      <c r="N1854">
        <v>107796015</v>
      </c>
      <c r="P1854">
        <v>102</v>
      </c>
      <c r="Q1854" t="s">
        <v>4038</v>
      </c>
    </row>
    <row r="1855" spans="1:17" x14ac:dyDescent="0.3">
      <c r="A1855" t="s">
        <v>59</v>
      </c>
      <c r="B1855" t="str">
        <f>"002863"</f>
        <v>002863</v>
      </c>
      <c r="C1855" t="s">
        <v>4039</v>
      </c>
      <c r="D1855" t="s">
        <v>767</v>
      </c>
      <c r="F1855">
        <v>249405708</v>
      </c>
      <c r="G1855">
        <v>234428023</v>
      </c>
      <c r="H1855">
        <v>242260954</v>
      </c>
      <c r="I1855">
        <v>358486660</v>
      </c>
      <c r="J1855">
        <v>-180431260</v>
      </c>
      <c r="K1855">
        <v>163992427</v>
      </c>
      <c r="L1855">
        <v>258543912</v>
      </c>
      <c r="M1855">
        <v>111323614</v>
      </c>
      <c r="P1855">
        <v>104</v>
      </c>
      <c r="Q1855" t="s">
        <v>4040</v>
      </c>
    </row>
    <row r="1856" spans="1:17" x14ac:dyDescent="0.3">
      <c r="A1856" t="s">
        <v>17</v>
      </c>
      <c r="B1856" t="str">
        <f>"600645"</f>
        <v>600645</v>
      </c>
      <c r="C1856" t="s">
        <v>4041</v>
      </c>
      <c r="D1856" t="s">
        <v>1953</v>
      </c>
      <c r="F1856">
        <v>320957061</v>
      </c>
      <c r="G1856">
        <v>244354438</v>
      </c>
      <c r="H1856">
        <v>241490023</v>
      </c>
      <c r="I1856">
        <v>130081956</v>
      </c>
      <c r="J1856">
        <v>70269192</v>
      </c>
      <c r="K1856">
        <v>143667309</v>
      </c>
      <c r="L1856">
        <v>8174936</v>
      </c>
      <c r="M1856">
        <v>221454696</v>
      </c>
      <c r="N1856">
        <v>110722694</v>
      </c>
      <c r="O1856">
        <v>70409956</v>
      </c>
      <c r="P1856">
        <v>223</v>
      </c>
      <c r="Q1856" t="s">
        <v>4042</v>
      </c>
    </row>
    <row r="1857" spans="1:17" x14ac:dyDescent="0.3">
      <c r="A1857" t="s">
        <v>59</v>
      </c>
      <c r="B1857" t="str">
        <f>"300310"</f>
        <v>300310</v>
      </c>
      <c r="C1857" t="s">
        <v>4043</v>
      </c>
      <c r="D1857" t="s">
        <v>2057</v>
      </c>
      <c r="F1857">
        <v>102375838</v>
      </c>
      <c r="G1857">
        <v>68594330</v>
      </c>
      <c r="H1857">
        <v>241324300</v>
      </c>
      <c r="I1857">
        <v>-106155050</v>
      </c>
      <c r="J1857">
        <v>73931475</v>
      </c>
      <c r="K1857">
        <v>102438114</v>
      </c>
      <c r="L1857">
        <v>104455185</v>
      </c>
      <c r="M1857">
        <v>38110041</v>
      </c>
      <c r="N1857">
        <v>-69825657</v>
      </c>
      <c r="O1857">
        <v>-35284279</v>
      </c>
      <c r="P1857">
        <v>257</v>
      </c>
      <c r="Q1857" t="s">
        <v>4044</v>
      </c>
    </row>
    <row r="1858" spans="1:17" x14ac:dyDescent="0.3">
      <c r="A1858" t="s">
        <v>59</v>
      </c>
      <c r="B1858" t="str">
        <f>"000659"</f>
        <v>000659</v>
      </c>
      <c r="C1858" t="s">
        <v>4045</v>
      </c>
      <c r="D1858" t="s">
        <v>1741</v>
      </c>
      <c r="F1858">
        <v>250641350</v>
      </c>
      <c r="G1858">
        <v>238737272</v>
      </c>
      <c r="H1858">
        <v>241287670</v>
      </c>
      <c r="I1858">
        <v>250092617</v>
      </c>
      <c r="J1858">
        <v>288224540</v>
      </c>
      <c r="K1858">
        <v>259753524</v>
      </c>
      <c r="L1858">
        <v>352121082</v>
      </c>
      <c r="M1858">
        <v>595365764</v>
      </c>
      <c r="N1858">
        <v>303468809</v>
      </c>
      <c r="O1858">
        <v>623349191</v>
      </c>
      <c r="P1858">
        <v>77</v>
      </c>
      <c r="Q1858" t="s">
        <v>4046</v>
      </c>
    </row>
    <row r="1859" spans="1:17" x14ac:dyDescent="0.3">
      <c r="A1859" t="s">
        <v>17</v>
      </c>
      <c r="B1859" t="str">
        <f>"603030"</f>
        <v>603030</v>
      </c>
      <c r="C1859" t="s">
        <v>4047</v>
      </c>
      <c r="D1859" t="s">
        <v>1150</v>
      </c>
      <c r="F1859">
        <v>-249162093</v>
      </c>
      <c r="G1859">
        <v>297304891</v>
      </c>
      <c r="H1859">
        <v>241200309</v>
      </c>
      <c r="I1859">
        <v>192270207</v>
      </c>
      <c r="J1859">
        <v>-279012332</v>
      </c>
      <c r="K1859">
        <v>-290477764</v>
      </c>
      <c r="L1859">
        <v>-4679482</v>
      </c>
      <c r="M1859">
        <v>-58008660</v>
      </c>
      <c r="N1859">
        <v>-23721892</v>
      </c>
      <c r="O1859">
        <v>16365040</v>
      </c>
      <c r="P1859">
        <v>126</v>
      </c>
      <c r="Q1859" t="s">
        <v>4048</v>
      </c>
    </row>
    <row r="1860" spans="1:17" x14ac:dyDescent="0.3">
      <c r="A1860" t="s">
        <v>59</v>
      </c>
      <c r="B1860" t="str">
        <f>"000561"</f>
        <v>000561</v>
      </c>
      <c r="C1860" t="s">
        <v>4049</v>
      </c>
      <c r="D1860" t="s">
        <v>448</v>
      </c>
      <c r="F1860">
        <v>32344292</v>
      </c>
      <c r="G1860">
        <v>91427175</v>
      </c>
      <c r="H1860">
        <v>241113596</v>
      </c>
      <c r="I1860">
        <v>87900476</v>
      </c>
      <c r="J1860">
        <v>205727630</v>
      </c>
      <c r="K1860">
        <v>-28612932</v>
      </c>
      <c r="L1860">
        <v>147488774</v>
      </c>
      <c r="M1860">
        <v>40637428</v>
      </c>
      <c r="N1860">
        <v>88801043</v>
      </c>
      <c r="O1860">
        <v>-49030394</v>
      </c>
      <c r="P1860">
        <v>134</v>
      </c>
      <c r="Q1860" t="s">
        <v>4050</v>
      </c>
    </row>
    <row r="1861" spans="1:17" x14ac:dyDescent="0.3">
      <c r="A1861" t="s">
        <v>17</v>
      </c>
      <c r="B1861" t="str">
        <f>"603926"</f>
        <v>603926</v>
      </c>
      <c r="C1861" t="s">
        <v>4051</v>
      </c>
      <c r="D1861" t="s">
        <v>156</v>
      </c>
      <c r="F1861">
        <v>157401000</v>
      </c>
      <c r="G1861">
        <v>224415749</v>
      </c>
      <c r="H1861">
        <v>240837995</v>
      </c>
      <c r="I1861">
        <v>109280989</v>
      </c>
      <c r="J1861">
        <v>66726871</v>
      </c>
      <c r="K1861">
        <v>89844293</v>
      </c>
      <c r="L1861">
        <v>164149948</v>
      </c>
      <c r="M1861">
        <v>141252584</v>
      </c>
      <c r="P1861">
        <v>104</v>
      </c>
      <c r="Q1861" t="s">
        <v>4052</v>
      </c>
    </row>
    <row r="1862" spans="1:17" x14ac:dyDescent="0.3">
      <c r="A1862" t="s">
        <v>59</v>
      </c>
      <c r="B1862" t="str">
        <f>"002694"</f>
        <v>002694</v>
      </c>
      <c r="C1862" t="s">
        <v>4053</v>
      </c>
      <c r="D1862" t="s">
        <v>1858</v>
      </c>
      <c r="F1862">
        <v>12641171</v>
      </c>
      <c r="G1862">
        <v>204874547</v>
      </c>
      <c r="H1862">
        <v>240393658</v>
      </c>
      <c r="I1862">
        <v>136352974</v>
      </c>
      <c r="J1862">
        <v>205690005</v>
      </c>
      <c r="K1862">
        <v>120166656</v>
      </c>
      <c r="L1862">
        <v>169451742</v>
      </c>
      <c r="M1862">
        <v>-75557563</v>
      </c>
      <c r="N1862">
        <v>27991054</v>
      </c>
      <c r="O1862">
        <v>-14653162</v>
      </c>
      <c r="P1862">
        <v>71</v>
      </c>
      <c r="Q1862" t="s">
        <v>4054</v>
      </c>
    </row>
    <row r="1863" spans="1:17" x14ac:dyDescent="0.3">
      <c r="A1863" t="s">
        <v>59</v>
      </c>
      <c r="B1863" t="str">
        <f>"300319"</f>
        <v>300319</v>
      </c>
      <c r="C1863" t="s">
        <v>4055</v>
      </c>
      <c r="D1863" t="s">
        <v>1180</v>
      </c>
      <c r="F1863">
        <v>598875887</v>
      </c>
      <c r="G1863">
        <v>379306172</v>
      </c>
      <c r="H1863">
        <v>240321574</v>
      </c>
      <c r="I1863">
        <v>100128074</v>
      </c>
      <c r="J1863">
        <v>180274622</v>
      </c>
      <c r="K1863">
        <v>329786392</v>
      </c>
      <c r="L1863">
        <v>40129511</v>
      </c>
      <c r="M1863">
        <v>31541501</v>
      </c>
      <c r="N1863">
        <v>28862817</v>
      </c>
      <c r="O1863">
        <v>8603905</v>
      </c>
      <c r="P1863">
        <v>3161</v>
      </c>
      <c r="Q1863" t="s">
        <v>4056</v>
      </c>
    </row>
    <row r="1864" spans="1:17" x14ac:dyDescent="0.3">
      <c r="A1864" t="s">
        <v>17</v>
      </c>
      <c r="B1864" t="str">
        <f>"603360"</f>
        <v>603360</v>
      </c>
      <c r="C1864" t="s">
        <v>4057</v>
      </c>
      <c r="D1864" t="s">
        <v>1356</v>
      </c>
      <c r="F1864">
        <v>142025131</v>
      </c>
      <c r="G1864">
        <v>210615285</v>
      </c>
      <c r="H1864">
        <v>240066207</v>
      </c>
      <c r="I1864">
        <v>135131583</v>
      </c>
      <c r="J1864">
        <v>76038490</v>
      </c>
      <c r="K1864">
        <v>119767903</v>
      </c>
      <c r="L1864">
        <v>74035565</v>
      </c>
      <c r="M1864">
        <v>59513773</v>
      </c>
      <c r="N1864">
        <v>53842967</v>
      </c>
      <c r="P1864">
        <v>402</v>
      </c>
      <c r="Q1864" t="s">
        <v>4058</v>
      </c>
    </row>
    <row r="1865" spans="1:17" x14ac:dyDescent="0.3">
      <c r="A1865" t="s">
        <v>17</v>
      </c>
      <c r="B1865" t="str">
        <f>"688188"</f>
        <v>688188</v>
      </c>
      <c r="C1865" t="s">
        <v>4059</v>
      </c>
      <c r="D1865" t="s">
        <v>707</v>
      </c>
      <c r="F1865">
        <v>498734983</v>
      </c>
      <c r="G1865">
        <v>362468197</v>
      </c>
      <c r="H1865">
        <v>239899429</v>
      </c>
      <c r="I1865">
        <v>139382985</v>
      </c>
      <c r="J1865">
        <v>129139690</v>
      </c>
      <c r="K1865">
        <v>75876085</v>
      </c>
      <c r="P1865">
        <v>363</v>
      </c>
      <c r="Q1865" t="s">
        <v>4060</v>
      </c>
    </row>
    <row r="1866" spans="1:17" x14ac:dyDescent="0.3">
      <c r="A1866" t="s">
        <v>59</v>
      </c>
      <c r="B1866" t="str">
        <f>"002365"</f>
        <v>002365</v>
      </c>
      <c r="C1866" t="s">
        <v>4061</v>
      </c>
      <c r="D1866" t="s">
        <v>984</v>
      </c>
      <c r="F1866">
        <v>101810835</v>
      </c>
      <c r="G1866">
        <v>206662268</v>
      </c>
      <c r="H1866">
        <v>239545250</v>
      </c>
      <c r="I1866">
        <v>314023302</v>
      </c>
      <c r="J1866">
        <v>197318497</v>
      </c>
      <c r="K1866">
        <v>84534207</v>
      </c>
      <c r="L1866">
        <v>70606595</v>
      </c>
      <c r="M1866">
        <v>19263271</v>
      </c>
      <c r="N1866">
        <v>63648219</v>
      </c>
      <c r="O1866">
        <v>70749511</v>
      </c>
      <c r="P1866">
        <v>195</v>
      </c>
      <c r="Q1866" t="s">
        <v>4062</v>
      </c>
    </row>
    <row r="1867" spans="1:17" x14ac:dyDescent="0.3">
      <c r="A1867" t="s">
        <v>59</v>
      </c>
      <c r="B1867" t="str">
        <f>"002621"</f>
        <v>002621</v>
      </c>
      <c r="C1867" t="s">
        <v>4063</v>
      </c>
      <c r="D1867" t="s">
        <v>871</v>
      </c>
      <c r="F1867">
        <v>37804086</v>
      </c>
      <c r="G1867">
        <v>-71094323</v>
      </c>
      <c r="H1867">
        <v>239366825</v>
      </c>
      <c r="I1867">
        <v>179586446</v>
      </c>
      <c r="J1867">
        <v>31820217</v>
      </c>
      <c r="K1867">
        <v>-7886307</v>
      </c>
      <c r="L1867">
        <v>18065546</v>
      </c>
      <c r="M1867">
        <v>68983536</v>
      </c>
      <c r="N1867">
        <v>66295456</v>
      </c>
      <c r="O1867">
        <v>99822082</v>
      </c>
      <c r="P1867">
        <v>143</v>
      </c>
      <c r="Q1867" t="s">
        <v>4064</v>
      </c>
    </row>
    <row r="1868" spans="1:17" x14ac:dyDescent="0.3">
      <c r="A1868" t="s">
        <v>17</v>
      </c>
      <c r="B1868" t="str">
        <f>"601208"</f>
        <v>601208</v>
      </c>
      <c r="C1868" t="s">
        <v>4065</v>
      </c>
      <c r="D1868" t="s">
        <v>1674</v>
      </c>
      <c r="F1868">
        <v>-58509568</v>
      </c>
      <c r="G1868">
        <v>159691035</v>
      </c>
      <c r="H1868">
        <v>239304025</v>
      </c>
      <c r="I1868">
        <v>223738020</v>
      </c>
      <c r="J1868">
        <v>88330267</v>
      </c>
      <c r="K1868">
        <v>248112774</v>
      </c>
      <c r="L1868">
        <v>74924458</v>
      </c>
      <c r="M1868">
        <v>90089638</v>
      </c>
      <c r="N1868">
        <v>-53612258</v>
      </c>
      <c r="O1868">
        <v>226422044</v>
      </c>
      <c r="P1868">
        <v>3074</v>
      </c>
      <c r="Q1868" t="s">
        <v>4066</v>
      </c>
    </row>
    <row r="1869" spans="1:17" x14ac:dyDescent="0.3">
      <c r="A1869" t="s">
        <v>17</v>
      </c>
      <c r="B1869" t="str">
        <f>"600419"</f>
        <v>600419</v>
      </c>
      <c r="C1869" t="s">
        <v>4067</v>
      </c>
      <c r="D1869" t="s">
        <v>308</v>
      </c>
      <c r="F1869">
        <v>358779203</v>
      </c>
      <c r="G1869">
        <v>218115597</v>
      </c>
      <c r="H1869">
        <v>239228171</v>
      </c>
      <c r="I1869">
        <v>218539975</v>
      </c>
      <c r="J1869">
        <v>196861704</v>
      </c>
      <c r="K1869">
        <v>156666133</v>
      </c>
      <c r="L1869">
        <v>100656793</v>
      </c>
      <c r="M1869">
        <v>49243106</v>
      </c>
      <c r="N1869">
        <v>-11659817</v>
      </c>
      <c r="O1869">
        <v>283352</v>
      </c>
      <c r="P1869">
        <v>626</v>
      </c>
      <c r="Q1869" t="s">
        <v>4068</v>
      </c>
    </row>
    <row r="1870" spans="1:17" x14ac:dyDescent="0.3">
      <c r="A1870" t="s">
        <v>59</v>
      </c>
      <c r="B1870" t="str">
        <f>"300427"</f>
        <v>300427</v>
      </c>
      <c r="C1870" t="s">
        <v>4069</v>
      </c>
      <c r="D1870" t="s">
        <v>494</v>
      </c>
      <c r="F1870">
        <v>231164732</v>
      </c>
      <c r="G1870">
        <v>333243740</v>
      </c>
      <c r="H1870">
        <v>239123476</v>
      </c>
      <c r="I1870">
        <v>37257450</v>
      </c>
      <c r="J1870">
        <v>293321817</v>
      </c>
      <c r="K1870">
        <v>130539761</v>
      </c>
      <c r="L1870">
        <v>42473127</v>
      </c>
      <c r="M1870">
        <v>16764282</v>
      </c>
      <c r="N1870">
        <v>24470372</v>
      </c>
      <c r="O1870">
        <v>59220018</v>
      </c>
      <c r="P1870">
        <v>249</v>
      </c>
      <c r="Q1870" t="s">
        <v>4070</v>
      </c>
    </row>
    <row r="1871" spans="1:17" x14ac:dyDescent="0.3">
      <c r="A1871" t="s">
        <v>59</v>
      </c>
      <c r="B1871" t="str">
        <f>"300473"</f>
        <v>300473</v>
      </c>
      <c r="C1871" t="s">
        <v>4071</v>
      </c>
      <c r="D1871" t="s">
        <v>1226</v>
      </c>
      <c r="F1871">
        <v>39340870</v>
      </c>
      <c r="G1871">
        <v>319511468</v>
      </c>
      <c r="H1871">
        <v>239063950</v>
      </c>
      <c r="I1871">
        <v>123846364</v>
      </c>
      <c r="J1871">
        <v>41785862</v>
      </c>
      <c r="K1871">
        <v>198221087</v>
      </c>
      <c r="L1871">
        <v>160908380</v>
      </c>
      <c r="M1871">
        <v>138801363</v>
      </c>
      <c r="N1871">
        <v>130129859</v>
      </c>
      <c r="O1871">
        <v>133831576</v>
      </c>
      <c r="P1871">
        <v>142</v>
      </c>
      <c r="Q1871" t="s">
        <v>4072</v>
      </c>
    </row>
    <row r="1872" spans="1:17" x14ac:dyDescent="0.3">
      <c r="A1872" t="s">
        <v>17</v>
      </c>
      <c r="B1872" t="str">
        <f>"600894"</f>
        <v>600894</v>
      </c>
      <c r="C1872" t="s">
        <v>4073</v>
      </c>
      <c r="D1872" t="s">
        <v>3004</v>
      </c>
      <c r="F1872">
        <v>18065217</v>
      </c>
      <c r="G1872">
        <v>414114544</v>
      </c>
      <c r="H1872">
        <v>238952385</v>
      </c>
      <c r="I1872">
        <v>273941047</v>
      </c>
      <c r="J1872">
        <v>424678704</v>
      </c>
      <c r="K1872">
        <v>662515596</v>
      </c>
      <c r="L1872">
        <v>2089708220</v>
      </c>
      <c r="M1872">
        <v>281221861</v>
      </c>
      <c r="N1872">
        <v>370086840</v>
      </c>
      <c r="O1872">
        <v>475446564</v>
      </c>
      <c r="P1872">
        <v>394</v>
      </c>
      <c r="Q1872" t="s">
        <v>4074</v>
      </c>
    </row>
    <row r="1873" spans="1:17" x14ac:dyDescent="0.3">
      <c r="A1873" t="s">
        <v>59</v>
      </c>
      <c r="B1873" t="str">
        <f>"300378"</f>
        <v>300378</v>
      </c>
      <c r="C1873" t="s">
        <v>4075</v>
      </c>
      <c r="D1873" t="s">
        <v>789</v>
      </c>
      <c r="F1873">
        <v>316704327</v>
      </c>
      <c r="G1873">
        <v>225803254</v>
      </c>
      <c r="H1873">
        <v>238653687</v>
      </c>
      <c r="I1873">
        <v>128349183</v>
      </c>
      <c r="J1873">
        <v>225237074</v>
      </c>
      <c r="K1873">
        <v>102346304</v>
      </c>
      <c r="L1873">
        <v>125748770</v>
      </c>
      <c r="M1873">
        <v>-889568</v>
      </c>
      <c r="N1873">
        <v>42054539</v>
      </c>
      <c r="O1873">
        <v>43255776</v>
      </c>
      <c r="P1873">
        <v>195</v>
      </c>
      <c r="Q1873" t="s">
        <v>4076</v>
      </c>
    </row>
    <row r="1874" spans="1:17" x14ac:dyDescent="0.3">
      <c r="A1874" t="s">
        <v>17</v>
      </c>
      <c r="B1874" t="str">
        <f>"603096"</f>
        <v>603096</v>
      </c>
      <c r="C1874" t="s">
        <v>4077</v>
      </c>
      <c r="D1874" t="s">
        <v>914</v>
      </c>
      <c r="F1874">
        <v>183457887</v>
      </c>
      <c r="G1874">
        <v>196800703</v>
      </c>
      <c r="H1874">
        <v>238321057</v>
      </c>
      <c r="I1874">
        <v>-17205526</v>
      </c>
      <c r="J1874">
        <v>122330977</v>
      </c>
      <c r="K1874">
        <v>148880751</v>
      </c>
      <c r="L1874">
        <v>223590429</v>
      </c>
      <c r="M1874">
        <v>5652476</v>
      </c>
      <c r="P1874">
        <v>222</v>
      </c>
      <c r="Q1874" t="s">
        <v>4078</v>
      </c>
    </row>
    <row r="1875" spans="1:17" x14ac:dyDescent="0.3">
      <c r="A1875" t="s">
        <v>17</v>
      </c>
      <c r="B1875" t="str">
        <f>"603039"</f>
        <v>603039</v>
      </c>
      <c r="C1875" t="s">
        <v>4079</v>
      </c>
      <c r="D1875" t="s">
        <v>789</v>
      </c>
      <c r="F1875">
        <v>372444072</v>
      </c>
      <c r="G1875">
        <v>304919952</v>
      </c>
      <c r="H1875">
        <v>238072659</v>
      </c>
      <c r="I1875">
        <v>199749435</v>
      </c>
      <c r="J1875">
        <v>156566377</v>
      </c>
      <c r="K1875">
        <v>122819226</v>
      </c>
      <c r="L1875">
        <v>101674157</v>
      </c>
      <c r="M1875">
        <v>89033974</v>
      </c>
      <c r="N1875">
        <v>66098686</v>
      </c>
      <c r="P1875">
        <v>609</v>
      </c>
      <c r="Q1875" t="s">
        <v>4080</v>
      </c>
    </row>
    <row r="1876" spans="1:17" x14ac:dyDescent="0.3">
      <c r="A1876" t="s">
        <v>59</v>
      </c>
      <c r="B1876" t="str">
        <f>"300559"</f>
        <v>300559</v>
      </c>
      <c r="C1876" t="s">
        <v>4081</v>
      </c>
      <c r="D1876" t="s">
        <v>1528</v>
      </c>
      <c r="F1876">
        <v>80343844</v>
      </c>
      <c r="G1876">
        <v>117593654</v>
      </c>
      <c r="H1876">
        <v>237878187</v>
      </c>
      <c r="I1876">
        <v>91269379</v>
      </c>
      <c r="J1876">
        <v>87436221</v>
      </c>
      <c r="K1876">
        <v>67175955</v>
      </c>
      <c r="L1876">
        <v>54359762</v>
      </c>
      <c r="M1876">
        <v>65883707</v>
      </c>
      <c r="N1876">
        <v>50278339</v>
      </c>
      <c r="P1876">
        <v>369</v>
      </c>
      <c r="Q1876" t="s">
        <v>4082</v>
      </c>
    </row>
    <row r="1877" spans="1:17" x14ac:dyDescent="0.3">
      <c r="A1877" t="s">
        <v>59</v>
      </c>
      <c r="B1877" t="str">
        <f>"300570"</f>
        <v>300570</v>
      </c>
      <c r="C1877" t="s">
        <v>4083</v>
      </c>
      <c r="D1877" t="s">
        <v>352</v>
      </c>
      <c r="F1877">
        <v>69131951</v>
      </c>
      <c r="G1877">
        <v>4410430</v>
      </c>
      <c r="H1877">
        <v>236886458</v>
      </c>
      <c r="I1877">
        <v>41201029</v>
      </c>
      <c r="J1877">
        <v>133923749</v>
      </c>
      <c r="K1877">
        <v>156490044</v>
      </c>
      <c r="L1877">
        <v>128154285</v>
      </c>
      <c r="M1877">
        <v>59624015</v>
      </c>
      <c r="N1877">
        <v>99930025</v>
      </c>
      <c r="P1877">
        <v>229</v>
      </c>
      <c r="Q1877" t="s">
        <v>4084</v>
      </c>
    </row>
    <row r="1878" spans="1:17" x14ac:dyDescent="0.3">
      <c r="A1878" t="s">
        <v>59</v>
      </c>
      <c r="B1878" t="str">
        <f>"300160"</f>
        <v>300160</v>
      </c>
      <c r="C1878" t="s">
        <v>4085</v>
      </c>
      <c r="D1878" t="s">
        <v>1087</v>
      </c>
      <c r="F1878">
        <v>114893652</v>
      </c>
      <c r="G1878">
        <v>173729385</v>
      </c>
      <c r="H1878">
        <v>236849676</v>
      </c>
      <c r="I1878">
        <v>240788139</v>
      </c>
      <c r="J1878">
        <v>194965661</v>
      </c>
      <c r="K1878">
        <v>154424456</v>
      </c>
      <c r="L1878">
        <v>146608912</v>
      </c>
      <c r="M1878">
        <v>103854402</v>
      </c>
      <c r="N1878">
        <v>30453268</v>
      </c>
      <c r="O1878">
        <v>87613341</v>
      </c>
      <c r="P1878">
        <v>150</v>
      </c>
      <c r="Q1878" t="s">
        <v>4086</v>
      </c>
    </row>
    <row r="1879" spans="1:17" x14ac:dyDescent="0.3">
      <c r="A1879" t="s">
        <v>59</v>
      </c>
      <c r="B1879" t="str">
        <f>"002991"</f>
        <v>002991</v>
      </c>
      <c r="C1879" t="s">
        <v>4087</v>
      </c>
      <c r="D1879" t="s">
        <v>2353</v>
      </c>
      <c r="F1879">
        <v>130726562</v>
      </c>
      <c r="G1879">
        <v>203255609</v>
      </c>
      <c r="H1879">
        <v>236642800</v>
      </c>
      <c r="I1879">
        <v>249311400</v>
      </c>
      <c r="J1879">
        <v>67280600</v>
      </c>
      <c r="P1879">
        <v>211</v>
      </c>
      <c r="Q1879" t="s">
        <v>4088</v>
      </c>
    </row>
    <row r="1880" spans="1:17" x14ac:dyDescent="0.3">
      <c r="A1880" t="s">
        <v>59</v>
      </c>
      <c r="B1880" t="str">
        <f>"002970"</f>
        <v>002970</v>
      </c>
      <c r="C1880" t="s">
        <v>4089</v>
      </c>
      <c r="D1880" t="s">
        <v>707</v>
      </c>
      <c r="F1880">
        <v>-306387390</v>
      </c>
      <c r="G1880">
        <v>151999487</v>
      </c>
      <c r="H1880">
        <v>236523113</v>
      </c>
      <c r="I1880">
        <v>97087793</v>
      </c>
      <c r="J1880">
        <v>86801204</v>
      </c>
      <c r="K1880">
        <v>137213385</v>
      </c>
      <c r="P1880">
        <v>563</v>
      </c>
      <c r="Q1880" t="s">
        <v>4090</v>
      </c>
    </row>
    <row r="1881" spans="1:17" x14ac:dyDescent="0.3">
      <c r="A1881" t="s">
        <v>59</v>
      </c>
      <c r="B1881" t="str">
        <f>"002465"</f>
        <v>002465</v>
      </c>
      <c r="C1881" t="s">
        <v>4091</v>
      </c>
      <c r="D1881" t="s">
        <v>1983</v>
      </c>
      <c r="F1881">
        <v>628178265</v>
      </c>
      <c r="G1881">
        <v>1444459402</v>
      </c>
      <c r="H1881">
        <v>236453970</v>
      </c>
      <c r="I1881">
        <v>629007540</v>
      </c>
      <c r="J1881">
        <v>175925387</v>
      </c>
      <c r="K1881">
        <v>-329124195</v>
      </c>
      <c r="L1881">
        <v>761949239</v>
      </c>
      <c r="M1881">
        <v>-86176804</v>
      </c>
      <c r="N1881">
        <v>401422760</v>
      </c>
      <c r="O1881">
        <v>111565437</v>
      </c>
      <c r="P1881">
        <v>544</v>
      </c>
      <c r="Q1881" t="s">
        <v>4092</v>
      </c>
    </row>
    <row r="1882" spans="1:17" x14ac:dyDescent="0.3">
      <c r="A1882" t="s">
        <v>17</v>
      </c>
      <c r="B1882" t="str">
        <f>"688101"</f>
        <v>688101</v>
      </c>
      <c r="C1882" t="s">
        <v>4093</v>
      </c>
      <c r="D1882" t="s">
        <v>669</v>
      </c>
      <c r="F1882">
        <v>221133459</v>
      </c>
      <c r="G1882">
        <v>118098324</v>
      </c>
      <c r="H1882">
        <v>236317187</v>
      </c>
      <c r="I1882">
        <v>100565887</v>
      </c>
      <c r="J1882">
        <v>124583489</v>
      </c>
      <c r="K1882">
        <v>194683815</v>
      </c>
      <c r="P1882">
        <v>77</v>
      </c>
      <c r="Q1882" t="s">
        <v>4094</v>
      </c>
    </row>
    <row r="1883" spans="1:17" x14ac:dyDescent="0.3">
      <c r="A1883" t="s">
        <v>17</v>
      </c>
      <c r="B1883" t="str">
        <f>"603936"</f>
        <v>603936</v>
      </c>
      <c r="C1883" t="s">
        <v>4095</v>
      </c>
      <c r="D1883" t="s">
        <v>539</v>
      </c>
      <c r="F1883">
        <v>272949729</v>
      </c>
      <c r="G1883">
        <v>71101429</v>
      </c>
      <c r="H1883">
        <v>236297732</v>
      </c>
      <c r="I1883">
        <v>173652504</v>
      </c>
      <c r="J1883">
        <v>154543350</v>
      </c>
      <c r="K1883">
        <v>47932166</v>
      </c>
      <c r="L1883">
        <v>19625452</v>
      </c>
      <c r="M1883">
        <v>168136520</v>
      </c>
      <c r="N1883">
        <v>100448146</v>
      </c>
      <c r="O1883">
        <v>169029639</v>
      </c>
      <c r="P1883">
        <v>222</v>
      </c>
      <c r="Q1883" t="s">
        <v>4096</v>
      </c>
    </row>
    <row r="1884" spans="1:17" x14ac:dyDescent="0.3">
      <c r="A1884" t="s">
        <v>17</v>
      </c>
      <c r="B1884" t="str">
        <f>"603123"</f>
        <v>603123</v>
      </c>
      <c r="C1884" t="s">
        <v>4097</v>
      </c>
      <c r="D1884" t="s">
        <v>1361</v>
      </c>
      <c r="F1884">
        <v>322501613</v>
      </c>
      <c r="G1884">
        <v>-5151449</v>
      </c>
      <c r="H1884">
        <v>236168275</v>
      </c>
      <c r="I1884">
        <v>197955208</v>
      </c>
      <c r="J1884">
        <v>135348393</v>
      </c>
      <c r="K1884">
        <v>214921502</v>
      </c>
      <c r="L1884">
        <v>239277444</v>
      </c>
      <c r="M1884">
        <v>48097572</v>
      </c>
      <c r="N1884">
        <v>168691500</v>
      </c>
      <c r="O1884">
        <v>508204468</v>
      </c>
      <c r="P1884">
        <v>100</v>
      </c>
      <c r="Q1884" t="s">
        <v>4098</v>
      </c>
    </row>
    <row r="1885" spans="1:17" x14ac:dyDescent="0.3">
      <c r="A1885" t="s">
        <v>17</v>
      </c>
      <c r="B1885" t="str">
        <f>"603605"</f>
        <v>603605</v>
      </c>
      <c r="C1885" t="s">
        <v>4099</v>
      </c>
      <c r="D1885" t="s">
        <v>2118</v>
      </c>
      <c r="F1885">
        <v>829670944</v>
      </c>
      <c r="G1885">
        <v>331550109</v>
      </c>
      <c r="H1885">
        <v>235961328</v>
      </c>
      <c r="I1885">
        <v>512918569</v>
      </c>
      <c r="J1885">
        <v>334212090</v>
      </c>
      <c r="K1885">
        <v>132940535</v>
      </c>
      <c r="L1885">
        <v>162131750</v>
      </c>
      <c r="M1885">
        <v>185448639</v>
      </c>
      <c r="P1885">
        <v>1725</v>
      </c>
      <c r="Q1885" t="s">
        <v>4100</v>
      </c>
    </row>
    <row r="1886" spans="1:17" x14ac:dyDescent="0.3">
      <c r="A1886" t="s">
        <v>59</v>
      </c>
      <c r="B1886" t="str">
        <f>"300407"</f>
        <v>300407</v>
      </c>
      <c r="C1886" t="s">
        <v>4101</v>
      </c>
      <c r="D1886" t="s">
        <v>494</v>
      </c>
      <c r="F1886">
        <v>125569019</v>
      </c>
      <c r="G1886">
        <v>161207347</v>
      </c>
      <c r="H1886">
        <v>235868257</v>
      </c>
      <c r="I1886">
        <v>-1114731</v>
      </c>
      <c r="J1886">
        <v>-62094808</v>
      </c>
      <c r="K1886">
        <v>-125284628</v>
      </c>
      <c r="L1886">
        <v>-42521527</v>
      </c>
      <c r="M1886">
        <v>43874743</v>
      </c>
      <c r="N1886">
        <v>41142875</v>
      </c>
      <c r="O1886">
        <v>35562687</v>
      </c>
      <c r="P1886">
        <v>132</v>
      </c>
      <c r="Q1886" t="s">
        <v>4102</v>
      </c>
    </row>
    <row r="1887" spans="1:17" x14ac:dyDescent="0.3">
      <c r="A1887" t="s">
        <v>17</v>
      </c>
      <c r="B1887" t="str">
        <f>"603867"</f>
        <v>603867</v>
      </c>
      <c r="C1887" t="s">
        <v>4103</v>
      </c>
      <c r="D1887" t="s">
        <v>1252</v>
      </c>
      <c r="F1887">
        <v>55048547</v>
      </c>
      <c r="G1887">
        <v>95306728</v>
      </c>
      <c r="H1887">
        <v>235645271</v>
      </c>
      <c r="I1887">
        <v>205758634</v>
      </c>
      <c r="J1887">
        <v>203114858</v>
      </c>
      <c r="K1887">
        <v>125491854</v>
      </c>
      <c r="P1887">
        <v>88</v>
      </c>
      <c r="Q1887" t="s">
        <v>4104</v>
      </c>
    </row>
    <row r="1888" spans="1:17" x14ac:dyDescent="0.3">
      <c r="A1888" t="s">
        <v>17</v>
      </c>
      <c r="B1888" t="str">
        <f>"603669"</f>
        <v>603669</v>
      </c>
      <c r="C1888" t="s">
        <v>4105</v>
      </c>
      <c r="D1888" t="s">
        <v>592</v>
      </c>
      <c r="F1888">
        <v>128502551</v>
      </c>
      <c r="G1888">
        <v>126813751</v>
      </c>
      <c r="H1888">
        <v>235605006</v>
      </c>
      <c r="I1888">
        <v>185873898</v>
      </c>
      <c r="J1888">
        <v>189005257</v>
      </c>
      <c r="K1888">
        <v>182270442</v>
      </c>
      <c r="L1888">
        <v>98877674</v>
      </c>
      <c r="M1888">
        <v>181499700</v>
      </c>
      <c r="N1888">
        <v>160773056</v>
      </c>
      <c r="O1888">
        <v>142610977</v>
      </c>
      <c r="P1888">
        <v>194</v>
      </c>
      <c r="Q1888" t="s">
        <v>4106</v>
      </c>
    </row>
    <row r="1889" spans="1:17" x14ac:dyDescent="0.3">
      <c r="A1889" t="s">
        <v>17</v>
      </c>
      <c r="B1889" t="str">
        <f>"603365"</f>
        <v>603365</v>
      </c>
      <c r="C1889" t="s">
        <v>4107</v>
      </c>
      <c r="D1889" t="s">
        <v>1920</v>
      </c>
      <c r="F1889">
        <v>463842722</v>
      </c>
      <c r="G1889">
        <v>378153417</v>
      </c>
      <c r="H1889">
        <v>235400112</v>
      </c>
      <c r="I1889">
        <v>239616389</v>
      </c>
      <c r="J1889">
        <v>305713668</v>
      </c>
      <c r="K1889">
        <v>265837390</v>
      </c>
      <c r="L1889">
        <v>239799460</v>
      </c>
      <c r="M1889">
        <v>-62738005</v>
      </c>
      <c r="P1889">
        <v>243</v>
      </c>
      <c r="Q1889" t="s">
        <v>4108</v>
      </c>
    </row>
    <row r="1890" spans="1:17" x14ac:dyDescent="0.3">
      <c r="A1890" t="s">
        <v>59</v>
      </c>
      <c r="B1890" t="str">
        <f>"002617"</f>
        <v>002617</v>
      </c>
      <c r="C1890" t="s">
        <v>4109</v>
      </c>
      <c r="D1890" t="s">
        <v>1119</v>
      </c>
      <c r="F1890">
        <v>-336252885</v>
      </c>
      <c r="G1890">
        <v>309555170</v>
      </c>
      <c r="H1890">
        <v>235238288</v>
      </c>
      <c r="I1890">
        <v>137263763</v>
      </c>
      <c r="J1890">
        <v>-1020444057</v>
      </c>
      <c r="K1890">
        <v>-293478342</v>
      </c>
      <c r="L1890">
        <v>423519408</v>
      </c>
      <c r="M1890">
        <v>231405107</v>
      </c>
      <c r="N1890">
        <v>85955527</v>
      </c>
      <c r="O1890">
        <v>-111490037</v>
      </c>
      <c r="P1890">
        <v>321</v>
      </c>
      <c r="Q1890" t="s">
        <v>4110</v>
      </c>
    </row>
    <row r="1891" spans="1:17" x14ac:dyDescent="0.3">
      <c r="A1891" t="s">
        <v>17</v>
      </c>
      <c r="B1891" t="str">
        <f>"603809"</f>
        <v>603809</v>
      </c>
      <c r="C1891" t="s">
        <v>4111</v>
      </c>
      <c r="D1891" t="s">
        <v>156</v>
      </c>
      <c r="F1891">
        <v>476345437</v>
      </c>
      <c r="G1891">
        <v>259541824</v>
      </c>
      <c r="H1891">
        <v>235222643</v>
      </c>
      <c r="I1891">
        <v>310290333</v>
      </c>
      <c r="J1891">
        <v>202764464</v>
      </c>
      <c r="K1891">
        <v>137176845</v>
      </c>
      <c r="L1891">
        <v>112153907</v>
      </c>
      <c r="M1891">
        <v>106716490</v>
      </c>
      <c r="P1891">
        <v>137</v>
      </c>
      <c r="Q1891" t="s">
        <v>4112</v>
      </c>
    </row>
    <row r="1892" spans="1:17" x14ac:dyDescent="0.3">
      <c r="A1892" t="s">
        <v>17</v>
      </c>
      <c r="B1892" t="str">
        <f>"900937"</f>
        <v>900937</v>
      </c>
      <c r="C1892" t="s">
        <v>4113</v>
      </c>
      <c r="G1892">
        <v>199876972.11719999</v>
      </c>
      <c r="H1892">
        <v>235203641.21399999</v>
      </c>
      <c r="I1892">
        <v>366382162.12919998</v>
      </c>
      <c r="J1892">
        <v>136559446.11840001</v>
      </c>
      <c r="K1892">
        <v>348607915.19999999</v>
      </c>
      <c r="L1892">
        <v>420107175.64200002</v>
      </c>
      <c r="M1892">
        <v>411184444.46560001</v>
      </c>
      <c r="N1892">
        <v>380277327.72399998</v>
      </c>
      <c r="O1892">
        <v>268223076.94949999</v>
      </c>
      <c r="P1892">
        <v>10</v>
      </c>
      <c r="Q1892" t="s">
        <v>4114</v>
      </c>
    </row>
    <row r="1893" spans="1:17" x14ac:dyDescent="0.3">
      <c r="A1893" t="s">
        <v>59</v>
      </c>
      <c r="B1893" t="str">
        <f>"300997"</f>
        <v>300997</v>
      </c>
      <c r="C1893" t="s">
        <v>4115</v>
      </c>
      <c r="D1893" t="s">
        <v>1209</v>
      </c>
      <c r="F1893">
        <v>193575914</v>
      </c>
      <c r="G1893">
        <v>253109042</v>
      </c>
      <c r="H1893">
        <v>235135179</v>
      </c>
      <c r="I1893">
        <v>278164529</v>
      </c>
      <c r="J1893">
        <v>-33201550</v>
      </c>
      <c r="P1893">
        <v>39</v>
      </c>
      <c r="Q1893" t="s">
        <v>4116</v>
      </c>
    </row>
    <row r="1894" spans="1:17" x14ac:dyDescent="0.3">
      <c r="A1894" t="s">
        <v>59</v>
      </c>
      <c r="B1894" t="str">
        <f>"002596"</f>
        <v>002596</v>
      </c>
      <c r="C1894" t="s">
        <v>4117</v>
      </c>
      <c r="D1894" t="s">
        <v>1006</v>
      </c>
      <c r="F1894">
        <v>-25756482</v>
      </c>
      <c r="G1894">
        <v>257563697</v>
      </c>
      <c r="H1894">
        <v>234897527</v>
      </c>
      <c r="I1894">
        <v>254816968</v>
      </c>
      <c r="J1894">
        <v>-95852882</v>
      </c>
      <c r="K1894">
        <v>-108444794</v>
      </c>
      <c r="L1894">
        <v>-23103395</v>
      </c>
      <c r="M1894">
        <v>36845150</v>
      </c>
      <c r="N1894">
        <v>-17806405</v>
      </c>
      <c r="O1894">
        <v>11717539</v>
      </c>
      <c r="P1894">
        <v>100</v>
      </c>
      <c r="Q1894" t="s">
        <v>4118</v>
      </c>
    </row>
    <row r="1895" spans="1:17" x14ac:dyDescent="0.3">
      <c r="A1895" t="s">
        <v>17</v>
      </c>
      <c r="B1895" t="str">
        <f>"603348"</f>
        <v>603348</v>
      </c>
      <c r="C1895" t="s">
        <v>4119</v>
      </c>
      <c r="D1895" t="s">
        <v>1226</v>
      </c>
      <c r="F1895">
        <v>415384940</v>
      </c>
      <c r="G1895">
        <v>782935809</v>
      </c>
      <c r="H1895">
        <v>234751944</v>
      </c>
      <c r="I1895">
        <v>182768228</v>
      </c>
      <c r="J1895">
        <v>227561959</v>
      </c>
      <c r="K1895">
        <v>321943766</v>
      </c>
      <c r="L1895">
        <v>196558193</v>
      </c>
      <c r="P1895">
        <v>193</v>
      </c>
      <c r="Q1895" t="s">
        <v>4120</v>
      </c>
    </row>
    <row r="1896" spans="1:17" x14ac:dyDescent="0.3">
      <c r="A1896" t="s">
        <v>59</v>
      </c>
      <c r="B1896" t="str">
        <f>"300121"</f>
        <v>300121</v>
      </c>
      <c r="C1896" t="s">
        <v>4121</v>
      </c>
      <c r="D1896" t="s">
        <v>3011</v>
      </c>
      <c r="F1896">
        <v>149537093</v>
      </c>
      <c r="G1896">
        <v>177719773</v>
      </c>
      <c r="H1896">
        <v>234166919</v>
      </c>
      <c r="I1896">
        <v>441092573</v>
      </c>
      <c r="J1896">
        <v>43232613</v>
      </c>
      <c r="K1896">
        <v>172518390</v>
      </c>
      <c r="L1896">
        <v>80542451</v>
      </c>
      <c r="M1896">
        <v>-64571280</v>
      </c>
      <c r="N1896">
        <v>35530607</v>
      </c>
      <c r="O1896">
        <v>-1614851</v>
      </c>
      <c r="P1896">
        <v>353</v>
      </c>
      <c r="Q1896" t="s">
        <v>4122</v>
      </c>
    </row>
    <row r="1897" spans="1:17" x14ac:dyDescent="0.3">
      <c r="A1897" t="s">
        <v>59</v>
      </c>
      <c r="B1897" t="str">
        <f>"002071"</f>
        <v>002071</v>
      </c>
      <c r="C1897" t="s">
        <v>4123</v>
      </c>
      <c r="G1897">
        <v>29791738</v>
      </c>
      <c r="H1897">
        <v>234018592</v>
      </c>
      <c r="I1897">
        <v>470300607</v>
      </c>
      <c r="J1897">
        <v>295697571</v>
      </c>
      <c r="K1897">
        <v>303869580</v>
      </c>
      <c r="L1897">
        <v>150610269</v>
      </c>
      <c r="M1897">
        <v>-44948307</v>
      </c>
      <c r="N1897">
        <v>54312893</v>
      </c>
      <c r="O1897">
        <v>58359726</v>
      </c>
      <c r="P1897">
        <v>97</v>
      </c>
      <c r="Q1897" t="s">
        <v>4124</v>
      </c>
    </row>
    <row r="1898" spans="1:17" x14ac:dyDescent="0.3">
      <c r="A1898" t="s">
        <v>17</v>
      </c>
      <c r="B1898" t="str">
        <f>"603667"</f>
        <v>603667</v>
      </c>
      <c r="C1898" t="s">
        <v>4125</v>
      </c>
      <c r="D1898" t="s">
        <v>637</v>
      </c>
      <c r="F1898">
        <v>81236705</v>
      </c>
      <c r="G1898">
        <v>230217712</v>
      </c>
      <c r="H1898">
        <v>233900461</v>
      </c>
      <c r="I1898">
        <v>134589625</v>
      </c>
      <c r="J1898">
        <v>91249409</v>
      </c>
      <c r="K1898">
        <v>114268677</v>
      </c>
      <c r="L1898">
        <v>139429383</v>
      </c>
      <c r="M1898">
        <v>100686755</v>
      </c>
      <c r="N1898">
        <v>118550568</v>
      </c>
      <c r="P1898">
        <v>115</v>
      </c>
      <c r="Q1898" t="s">
        <v>4126</v>
      </c>
    </row>
    <row r="1899" spans="1:17" x14ac:dyDescent="0.3">
      <c r="A1899" t="s">
        <v>59</v>
      </c>
      <c r="B1899" t="str">
        <f>"300253"</f>
        <v>300253</v>
      </c>
      <c r="C1899" t="s">
        <v>4127</v>
      </c>
      <c r="D1899" t="s">
        <v>1528</v>
      </c>
      <c r="F1899">
        <v>368064166</v>
      </c>
      <c r="G1899">
        <v>390350578</v>
      </c>
      <c r="H1899">
        <v>233300921</v>
      </c>
      <c r="I1899">
        <v>123894527</v>
      </c>
      <c r="J1899">
        <v>79787185</v>
      </c>
      <c r="K1899">
        <v>140342126</v>
      </c>
      <c r="L1899">
        <v>79460076</v>
      </c>
      <c r="M1899">
        <v>42834954</v>
      </c>
      <c r="N1899">
        <v>50148115</v>
      </c>
      <c r="O1899">
        <v>27373168</v>
      </c>
      <c r="P1899">
        <v>935</v>
      </c>
      <c r="Q1899" t="s">
        <v>4128</v>
      </c>
    </row>
    <row r="1900" spans="1:17" x14ac:dyDescent="0.3">
      <c r="A1900" t="s">
        <v>59</v>
      </c>
      <c r="B1900" t="str">
        <f>"002353"</f>
        <v>002353</v>
      </c>
      <c r="C1900" t="s">
        <v>4129</v>
      </c>
      <c r="D1900" t="s">
        <v>741</v>
      </c>
      <c r="F1900">
        <v>808494688</v>
      </c>
      <c r="G1900">
        <v>314635189</v>
      </c>
      <c r="H1900">
        <v>233161128</v>
      </c>
      <c r="I1900">
        <v>44712068</v>
      </c>
      <c r="J1900">
        <v>443968213</v>
      </c>
      <c r="K1900">
        <v>346405206</v>
      </c>
      <c r="L1900">
        <v>68967598</v>
      </c>
      <c r="M1900">
        <v>457802591</v>
      </c>
      <c r="N1900">
        <v>509701687</v>
      </c>
      <c r="O1900">
        <v>174686446</v>
      </c>
      <c r="P1900">
        <v>861</v>
      </c>
      <c r="Q1900" t="s">
        <v>4130</v>
      </c>
    </row>
    <row r="1901" spans="1:17" x14ac:dyDescent="0.3">
      <c r="A1901" t="s">
        <v>59</v>
      </c>
      <c r="B1901" t="str">
        <f>"300370"</f>
        <v>300370</v>
      </c>
      <c r="C1901" t="s">
        <v>4131</v>
      </c>
      <c r="D1901" t="s">
        <v>2382</v>
      </c>
      <c r="F1901">
        <v>5976500</v>
      </c>
      <c r="G1901">
        <v>-10813623</v>
      </c>
      <c r="H1901">
        <v>232986504</v>
      </c>
      <c r="I1901">
        <v>-225953246</v>
      </c>
      <c r="J1901">
        <v>-430024950</v>
      </c>
      <c r="K1901">
        <v>-71484322</v>
      </c>
      <c r="L1901">
        <v>-1597835</v>
      </c>
      <c r="M1901">
        <v>-34549074</v>
      </c>
      <c r="N1901">
        <v>-20717881</v>
      </c>
      <c r="O1901">
        <v>14691972</v>
      </c>
      <c r="P1901">
        <v>103</v>
      </c>
      <c r="Q1901" t="s">
        <v>4132</v>
      </c>
    </row>
    <row r="1902" spans="1:17" x14ac:dyDescent="0.3">
      <c r="A1902" t="s">
        <v>59</v>
      </c>
      <c r="B1902" t="str">
        <f>"300357"</f>
        <v>300357</v>
      </c>
      <c r="C1902" t="s">
        <v>4133</v>
      </c>
      <c r="D1902" t="s">
        <v>1062</v>
      </c>
      <c r="F1902">
        <v>360575121</v>
      </c>
      <c r="G1902">
        <v>256221706</v>
      </c>
      <c r="H1902">
        <v>232925579</v>
      </c>
      <c r="I1902">
        <v>206452525</v>
      </c>
      <c r="J1902">
        <v>159134139</v>
      </c>
      <c r="K1902">
        <v>122772456</v>
      </c>
      <c r="L1902">
        <v>114820239</v>
      </c>
      <c r="M1902">
        <v>83703086</v>
      </c>
      <c r="N1902">
        <v>58303540</v>
      </c>
      <c r="O1902">
        <v>41166426</v>
      </c>
      <c r="P1902">
        <v>31270</v>
      </c>
      <c r="Q1902" t="s">
        <v>4134</v>
      </c>
    </row>
    <row r="1903" spans="1:17" x14ac:dyDescent="0.3">
      <c r="A1903" t="s">
        <v>17</v>
      </c>
      <c r="B1903" t="str">
        <f>"603912"</f>
        <v>603912</v>
      </c>
      <c r="C1903" t="s">
        <v>4135</v>
      </c>
      <c r="D1903" t="s">
        <v>3158</v>
      </c>
      <c r="F1903">
        <v>73930672</v>
      </c>
      <c r="G1903">
        <v>27252618</v>
      </c>
      <c r="H1903">
        <v>232848225</v>
      </c>
      <c r="I1903">
        <v>87121615</v>
      </c>
      <c r="J1903">
        <v>57774312</v>
      </c>
      <c r="K1903">
        <v>78593329</v>
      </c>
      <c r="L1903">
        <v>48739385</v>
      </c>
      <c r="M1903">
        <v>23443699</v>
      </c>
      <c r="P1903">
        <v>286</v>
      </c>
      <c r="Q1903" t="s">
        <v>4136</v>
      </c>
    </row>
    <row r="1904" spans="1:17" x14ac:dyDescent="0.3">
      <c r="A1904" t="s">
        <v>17</v>
      </c>
      <c r="B1904" t="str">
        <f>"688276"</f>
        <v>688276</v>
      </c>
      <c r="C1904" t="s">
        <v>4137</v>
      </c>
      <c r="D1904" t="s">
        <v>1413</v>
      </c>
      <c r="F1904">
        <v>140301566</v>
      </c>
      <c r="G1904">
        <v>209164567</v>
      </c>
      <c r="H1904">
        <v>232795993</v>
      </c>
      <c r="I1904">
        <v>269794087</v>
      </c>
      <c r="J1904">
        <v>177052590</v>
      </c>
      <c r="P1904">
        <v>46</v>
      </c>
      <c r="Q1904" t="s">
        <v>4138</v>
      </c>
    </row>
    <row r="1905" spans="1:17" x14ac:dyDescent="0.3">
      <c r="A1905" t="s">
        <v>17</v>
      </c>
      <c r="B1905" t="str">
        <f>"600240"</f>
        <v>600240</v>
      </c>
      <c r="C1905" t="s">
        <v>4139</v>
      </c>
      <c r="H1905">
        <v>232793700</v>
      </c>
      <c r="I1905">
        <v>21257383</v>
      </c>
      <c r="J1905">
        <v>-1816225056</v>
      </c>
      <c r="K1905">
        <v>2082282204</v>
      </c>
      <c r="L1905">
        <v>3426764625</v>
      </c>
      <c r="M1905">
        <v>1385188906</v>
      </c>
      <c r="N1905">
        <v>1520087511</v>
      </c>
      <c r="O1905">
        <v>730989835</v>
      </c>
      <c r="P1905">
        <v>94</v>
      </c>
      <c r="Q1905" t="s">
        <v>4140</v>
      </c>
    </row>
    <row r="1906" spans="1:17" x14ac:dyDescent="0.3">
      <c r="A1906" t="s">
        <v>17</v>
      </c>
      <c r="B1906" t="str">
        <f>"603678"</f>
        <v>603678</v>
      </c>
      <c r="C1906" t="s">
        <v>4141</v>
      </c>
      <c r="D1906" t="s">
        <v>1983</v>
      </c>
      <c r="F1906">
        <v>594289640</v>
      </c>
      <c r="G1906">
        <v>25429417</v>
      </c>
      <c r="H1906">
        <v>232138778</v>
      </c>
      <c r="I1906">
        <v>132890142</v>
      </c>
      <c r="J1906">
        <v>86218767</v>
      </c>
      <c r="K1906">
        <v>156708340</v>
      </c>
      <c r="L1906">
        <v>80501614</v>
      </c>
      <c r="M1906">
        <v>51281423</v>
      </c>
      <c r="N1906">
        <v>72874980</v>
      </c>
      <c r="O1906">
        <v>83213505</v>
      </c>
      <c r="P1906">
        <v>639</v>
      </c>
      <c r="Q1906" t="s">
        <v>4142</v>
      </c>
    </row>
    <row r="1907" spans="1:17" x14ac:dyDescent="0.3">
      <c r="A1907" t="s">
        <v>59</v>
      </c>
      <c r="B1907" t="str">
        <f>"300791"</f>
        <v>300791</v>
      </c>
      <c r="C1907" t="s">
        <v>4143</v>
      </c>
      <c r="D1907" t="s">
        <v>1301</v>
      </c>
      <c r="F1907">
        <v>341377365</v>
      </c>
      <c r="G1907">
        <v>319573019</v>
      </c>
      <c r="H1907">
        <v>231604560</v>
      </c>
      <c r="I1907">
        <v>183456194</v>
      </c>
      <c r="J1907">
        <v>49352225</v>
      </c>
      <c r="K1907">
        <v>-98263531</v>
      </c>
      <c r="P1907">
        <v>286</v>
      </c>
      <c r="Q1907" t="s">
        <v>4144</v>
      </c>
    </row>
    <row r="1908" spans="1:17" x14ac:dyDescent="0.3">
      <c r="A1908" t="s">
        <v>17</v>
      </c>
      <c r="B1908" t="str">
        <f>"688236"</f>
        <v>688236</v>
      </c>
      <c r="C1908" t="s">
        <v>4145</v>
      </c>
      <c r="D1908" t="s">
        <v>1036</v>
      </c>
      <c r="F1908">
        <v>164785786</v>
      </c>
      <c r="G1908">
        <v>260682360</v>
      </c>
      <c r="H1908">
        <v>231540265</v>
      </c>
      <c r="I1908">
        <v>108506202</v>
      </c>
      <c r="J1908">
        <v>89833114</v>
      </c>
      <c r="P1908">
        <v>20</v>
      </c>
      <c r="Q1908" t="s">
        <v>4146</v>
      </c>
    </row>
    <row r="1909" spans="1:17" x14ac:dyDescent="0.3">
      <c r="A1909" t="s">
        <v>59</v>
      </c>
      <c r="B1909" t="str">
        <f>"300006"</f>
        <v>300006</v>
      </c>
      <c r="C1909" t="s">
        <v>4147</v>
      </c>
      <c r="D1909" t="s">
        <v>592</v>
      </c>
      <c r="F1909">
        <v>108281302</v>
      </c>
      <c r="G1909">
        <v>224539200</v>
      </c>
      <c r="H1909">
        <v>231298141</v>
      </c>
      <c r="I1909">
        <v>225885521</v>
      </c>
      <c r="J1909">
        <v>61387917</v>
      </c>
      <c r="K1909">
        <v>125658760</v>
      </c>
      <c r="L1909">
        <v>-25407658</v>
      </c>
      <c r="M1909">
        <v>-49383275</v>
      </c>
      <c r="N1909">
        <v>74695397</v>
      </c>
      <c r="O1909">
        <v>18182364</v>
      </c>
      <c r="P1909">
        <v>136</v>
      </c>
      <c r="Q1909" t="s">
        <v>4148</v>
      </c>
    </row>
    <row r="1910" spans="1:17" x14ac:dyDescent="0.3">
      <c r="A1910" t="s">
        <v>17</v>
      </c>
      <c r="B1910" t="str">
        <f>"603518"</f>
        <v>603518</v>
      </c>
      <c r="C1910" t="s">
        <v>4149</v>
      </c>
      <c r="D1910" t="s">
        <v>646</v>
      </c>
      <c r="F1910">
        <v>628895720</v>
      </c>
      <c r="G1910">
        <v>942590069</v>
      </c>
      <c r="H1910">
        <v>231184185</v>
      </c>
      <c r="I1910">
        <v>437010712</v>
      </c>
      <c r="J1910">
        <v>379176406</v>
      </c>
      <c r="K1910">
        <v>77541805</v>
      </c>
      <c r="L1910">
        <v>114574193</v>
      </c>
      <c r="M1910">
        <v>109356455</v>
      </c>
      <c r="N1910">
        <v>183162053</v>
      </c>
      <c r="O1910">
        <v>88067326</v>
      </c>
      <c r="P1910">
        <v>204</v>
      </c>
      <c r="Q1910" t="s">
        <v>4150</v>
      </c>
    </row>
    <row r="1911" spans="1:17" x14ac:dyDescent="0.3">
      <c r="A1911" t="s">
        <v>59</v>
      </c>
      <c r="B1911" t="str">
        <f>"300212"</f>
        <v>300212</v>
      </c>
      <c r="C1911" t="s">
        <v>4151</v>
      </c>
      <c r="D1911" t="s">
        <v>1189</v>
      </c>
      <c r="F1911">
        <v>-99879558</v>
      </c>
      <c r="G1911">
        <v>138088616</v>
      </c>
      <c r="H1911">
        <v>230841150</v>
      </c>
      <c r="I1911">
        <v>-381084987</v>
      </c>
      <c r="J1911">
        <v>-465577986</v>
      </c>
      <c r="K1911">
        <v>-420516914</v>
      </c>
      <c r="L1911">
        <v>-417099192</v>
      </c>
      <c r="M1911">
        <v>-418781104</v>
      </c>
      <c r="N1911">
        <v>-175995934</v>
      </c>
      <c r="O1911">
        <v>-131731405</v>
      </c>
      <c r="P1911">
        <v>389</v>
      </c>
      <c r="Q1911" t="s">
        <v>4152</v>
      </c>
    </row>
    <row r="1912" spans="1:17" x14ac:dyDescent="0.3">
      <c r="A1912" t="s">
        <v>17</v>
      </c>
      <c r="B1912" t="str">
        <f>"688057"</f>
        <v>688057</v>
      </c>
      <c r="C1912" t="s">
        <v>4153</v>
      </c>
      <c r="D1912" t="s">
        <v>669</v>
      </c>
      <c r="F1912">
        <v>127464038</v>
      </c>
      <c r="G1912">
        <v>382465553</v>
      </c>
      <c r="H1912">
        <v>230707841</v>
      </c>
      <c r="I1912">
        <v>213789427</v>
      </c>
      <c r="J1912">
        <v>161265007</v>
      </c>
      <c r="K1912">
        <v>-7390747</v>
      </c>
      <c r="P1912">
        <v>116</v>
      </c>
      <c r="Q1912" t="s">
        <v>4154</v>
      </c>
    </row>
    <row r="1913" spans="1:17" x14ac:dyDescent="0.3">
      <c r="A1913" t="s">
        <v>59</v>
      </c>
      <c r="B1913" t="str">
        <f>"002296"</f>
        <v>002296</v>
      </c>
      <c r="C1913" t="s">
        <v>4155</v>
      </c>
      <c r="D1913" t="s">
        <v>352</v>
      </c>
      <c r="F1913">
        <v>260561896</v>
      </c>
      <c r="G1913">
        <v>147561368</v>
      </c>
      <c r="H1913">
        <v>230703863</v>
      </c>
      <c r="I1913">
        <v>16501550</v>
      </c>
      <c r="J1913">
        <v>59718910</v>
      </c>
      <c r="K1913">
        <v>136569208</v>
      </c>
      <c r="L1913">
        <v>94728291</v>
      </c>
      <c r="M1913">
        <v>44952836</v>
      </c>
      <c r="N1913">
        <v>66052091</v>
      </c>
      <c r="O1913">
        <v>26203907</v>
      </c>
      <c r="P1913">
        <v>160</v>
      </c>
      <c r="Q1913" t="s">
        <v>4156</v>
      </c>
    </row>
    <row r="1914" spans="1:17" x14ac:dyDescent="0.3">
      <c r="A1914" t="s">
        <v>59</v>
      </c>
      <c r="B1914" t="str">
        <f>"000962"</f>
        <v>000962</v>
      </c>
      <c r="C1914" t="s">
        <v>4157</v>
      </c>
      <c r="D1914" t="s">
        <v>987</v>
      </c>
      <c r="F1914">
        <v>43196551</v>
      </c>
      <c r="G1914">
        <v>-6893504</v>
      </c>
      <c r="H1914">
        <v>229961922</v>
      </c>
      <c r="I1914">
        <v>62446462</v>
      </c>
      <c r="J1914">
        <v>235960759</v>
      </c>
      <c r="K1914">
        <v>343067399</v>
      </c>
      <c r="L1914">
        <v>262852847</v>
      </c>
      <c r="M1914">
        <v>172333009</v>
      </c>
      <c r="N1914">
        <v>-83715269</v>
      </c>
      <c r="O1914">
        <v>56798083</v>
      </c>
      <c r="P1914">
        <v>131</v>
      </c>
      <c r="Q1914" t="s">
        <v>4158</v>
      </c>
    </row>
    <row r="1915" spans="1:17" x14ac:dyDescent="0.3">
      <c r="A1915" t="s">
        <v>17</v>
      </c>
      <c r="B1915" t="str">
        <f>"600650"</f>
        <v>600650</v>
      </c>
      <c r="C1915" t="s">
        <v>4159</v>
      </c>
      <c r="D1915" t="s">
        <v>2487</v>
      </c>
      <c r="F1915">
        <v>107470277</v>
      </c>
      <c r="G1915">
        <v>296601663</v>
      </c>
      <c r="H1915">
        <v>229554772</v>
      </c>
      <c r="I1915">
        <v>115621914</v>
      </c>
      <c r="J1915">
        <v>242970997</v>
      </c>
      <c r="K1915">
        <v>271234874</v>
      </c>
      <c r="L1915">
        <v>328062943</v>
      </c>
      <c r="M1915">
        <v>339355019</v>
      </c>
      <c r="N1915">
        <v>258445902</v>
      </c>
      <c r="O1915">
        <v>310903490</v>
      </c>
      <c r="P1915">
        <v>114</v>
      </c>
      <c r="Q1915" t="s">
        <v>4160</v>
      </c>
    </row>
    <row r="1916" spans="1:17" x14ac:dyDescent="0.3">
      <c r="A1916" t="s">
        <v>17</v>
      </c>
      <c r="B1916" t="str">
        <f>"688208"</f>
        <v>688208</v>
      </c>
      <c r="C1916" t="s">
        <v>4161</v>
      </c>
      <c r="D1916" t="s">
        <v>707</v>
      </c>
      <c r="F1916">
        <v>-144829605</v>
      </c>
      <c r="G1916">
        <v>569985750</v>
      </c>
      <c r="H1916">
        <v>229137596</v>
      </c>
      <c r="I1916">
        <v>197890369</v>
      </c>
      <c r="J1916">
        <v>11680604</v>
      </c>
      <c r="K1916">
        <v>-10686659</v>
      </c>
      <c r="P1916">
        <v>220</v>
      </c>
      <c r="Q1916" t="s">
        <v>4162</v>
      </c>
    </row>
    <row r="1917" spans="1:17" x14ac:dyDescent="0.3">
      <c r="A1917" t="s">
        <v>59</v>
      </c>
      <c r="B1917" t="str">
        <f>"002487"</f>
        <v>002487</v>
      </c>
      <c r="C1917" t="s">
        <v>4163</v>
      </c>
      <c r="D1917" t="s">
        <v>1525</v>
      </c>
      <c r="F1917">
        <v>21223950</v>
      </c>
      <c r="G1917">
        <v>17427320</v>
      </c>
      <c r="H1917">
        <v>228416008</v>
      </c>
      <c r="I1917">
        <v>101915258</v>
      </c>
      <c r="J1917">
        <v>-114242340</v>
      </c>
      <c r="K1917">
        <v>8930760</v>
      </c>
      <c r="L1917">
        <v>116004315</v>
      </c>
      <c r="M1917">
        <v>-67612687</v>
      </c>
      <c r="N1917">
        <v>236473338</v>
      </c>
      <c r="O1917">
        <v>-3003137</v>
      </c>
      <c r="P1917">
        <v>248</v>
      </c>
      <c r="Q1917" t="s">
        <v>4164</v>
      </c>
    </row>
    <row r="1918" spans="1:17" x14ac:dyDescent="0.3">
      <c r="A1918" t="s">
        <v>59</v>
      </c>
      <c r="B1918" t="str">
        <f>"002730"</f>
        <v>002730</v>
      </c>
      <c r="C1918" t="s">
        <v>4165</v>
      </c>
      <c r="D1918" t="s">
        <v>741</v>
      </c>
      <c r="F1918">
        <v>113324061</v>
      </c>
      <c r="G1918">
        <v>108554689</v>
      </c>
      <c r="H1918">
        <v>227850616</v>
      </c>
      <c r="I1918">
        <v>41371120</v>
      </c>
      <c r="J1918">
        <v>61696674</v>
      </c>
      <c r="K1918">
        <v>86146561</v>
      </c>
      <c r="L1918">
        <v>95233190</v>
      </c>
      <c r="M1918">
        <v>51108725</v>
      </c>
      <c r="N1918">
        <v>37856142</v>
      </c>
      <c r="O1918">
        <v>110600771</v>
      </c>
      <c r="P1918">
        <v>82</v>
      </c>
      <c r="Q1918" t="s">
        <v>4166</v>
      </c>
    </row>
    <row r="1919" spans="1:17" x14ac:dyDescent="0.3">
      <c r="A1919" t="s">
        <v>59</v>
      </c>
      <c r="B1919" t="str">
        <f>"300672"</f>
        <v>300672</v>
      </c>
      <c r="C1919" t="s">
        <v>4167</v>
      </c>
      <c r="D1919" t="s">
        <v>817</v>
      </c>
      <c r="F1919">
        <v>176692177</v>
      </c>
      <c r="G1919">
        <v>132019930</v>
      </c>
      <c r="H1919">
        <v>227638400</v>
      </c>
      <c r="I1919">
        <v>-75617167</v>
      </c>
      <c r="J1919">
        <v>88542683</v>
      </c>
      <c r="K1919">
        <v>9439783</v>
      </c>
      <c r="L1919">
        <v>-73598691</v>
      </c>
      <c r="M1919">
        <v>62377686</v>
      </c>
      <c r="P1919">
        <v>305</v>
      </c>
      <c r="Q1919" t="s">
        <v>4168</v>
      </c>
    </row>
    <row r="1920" spans="1:17" x14ac:dyDescent="0.3">
      <c r="A1920" t="s">
        <v>59</v>
      </c>
      <c r="B1920" t="str">
        <f>"300572"</f>
        <v>300572</v>
      </c>
      <c r="C1920" t="s">
        <v>4169</v>
      </c>
      <c r="D1920" t="s">
        <v>2028</v>
      </c>
      <c r="F1920">
        <v>-84760136</v>
      </c>
      <c r="G1920">
        <v>52654553</v>
      </c>
      <c r="H1920">
        <v>227614723</v>
      </c>
      <c r="I1920">
        <v>-8546695</v>
      </c>
      <c r="J1920">
        <v>184916736</v>
      </c>
      <c r="K1920">
        <v>122955654</v>
      </c>
      <c r="L1920">
        <v>103612870</v>
      </c>
      <c r="M1920">
        <v>40210985</v>
      </c>
      <c r="N1920">
        <v>47623115</v>
      </c>
      <c r="P1920">
        <v>466</v>
      </c>
      <c r="Q1920" t="s">
        <v>4170</v>
      </c>
    </row>
    <row r="1921" spans="1:17" x14ac:dyDescent="0.3">
      <c r="A1921" t="s">
        <v>17</v>
      </c>
      <c r="B1921" t="str">
        <f>"600135"</f>
        <v>600135</v>
      </c>
      <c r="C1921" t="s">
        <v>4171</v>
      </c>
      <c r="D1921" t="s">
        <v>1674</v>
      </c>
      <c r="F1921">
        <v>91189972</v>
      </c>
      <c r="G1921">
        <v>86503640</v>
      </c>
      <c r="H1921">
        <v>227588319</v>
      </c>
      <c r="I1921">
        <v>47927701</v>
      </c>
      <c r="J1921">
        <v>8599514</v>
      </c>
      <c r="K1921">
        <v>-38963486</v>
      </c>
      <c r="L1921">
        <v>-35803783</v>
      </c>
      <c r="M1921">
        <v>-69183871</v>
      </c>
      <c r="N1921">
        <v>75720525</v>
      </c>
      <c r="O1921">
        <v>59796555</v>
      </c>
      <c r="P1921">
        <v>112</v>
      </c>
      <c r="Q1921" t="s">
        <v>4172</v>
      </c>
    </row>
    <row r="1922" spans="1:17" x14ac:dyDescent="0.3">
      <c r="A1922" t="s">
        <v>17</v>
      </c>
      <c r="B1922" t="str">
        <f>"688100"</f>
        <v>688100</v>
      </c>
      <c r="C1922" t="s">
        <v>4173</v>
      </c>
      <c r="D1922" t="s">
        <v>1650</v>
      </c>
      <c r="F1922">
        <v>245651856</v>
      </c>
      <c r="G1922">
        <v>188570813</v>
      </c>
      <c r="H1922">
        <v>227457296</v>
      </c>
      <c r="I1922">
        <v>239098883</v>
      </c>
      <c r="J1922">
        <v>179060969</v>
      </c>
      <c r="K1922">
        <v>88542824</v>
      </c>
      <c r="P1922">
        <v>103</v>
      </c>
      <c r="Q1922" t="s">
        <v>4174</v>
      </c>
    </row>
    <row r="1923" spans="1:17" x14ac:dyDescent="0.3">
      <c r="A1923" t="s">
        <v>59</v>
      </c>
      <c r="B1923" t="str">
        <f>"300417"</f>
        <v>300417</v>
      </c>
      <c r="C1923" t="s">
        <v>4175</v>
      </c>
      <c r="D1923" t="s">
        <v>2382</v>
      </c>
      <c r="F1923">
        <v>-3913715</v>
      </c>
      <c r="G1923">
        <v>25139392</v>
      </c>
      <c r="H1923">
        <v>227417814</v>
      </c>
      <c r="I1923">
        <v>24751106</v>
      </c>
      <c r="J1923">
        <v>43071814</v>
      </c>
      <c r="K1923">
        <v>34889621</v>
      </c>
      <c r="L1923">
        <v>18675742</v>
      </c>
      <c r="M1923">
        <v>21201796</v>
      </c>
      <c r="N1923">
        <v>22821181</v>
      </c>
      <c r="O1923">
        <v>14294721</v>
      </c>
      <c r="P1923">
        <v>196</v>
      </c>
      <c r="Q1923" t="s">
        <v>4176</v>
      </c>
    </row>
    <row r="1924" spans="1:17" x14ac:dyDescent="0.3">
      <c r="A1924" t="s">
        <v>59</v>
      </c>
      <c r="B1924" t="str">
        <f>"002942"</f>
        <v>002942</v>
      </c>
      <c r="C1924" t="s">
        <v>4177</v>
      </c>
      <c r="D1924" t="s">
        <v>1356</v>
      </c>
      <c r="F1924">
        <v>211552468</v>
      </c>
      <c r="G1924">
        <v>140942186</v>
      </c>
      <c r="H1924">
        <v>227050264</v>
      </c>
      <c r="I1924">
        <v>165448601</v>
      </c>
      <c r="J1924">
        <v>95279034</v>
      </c>
      <c r="K1924">
        <v>99756347</v>
      </c>
      <c r="L1924">
        <v>23790220</v>
      </c>
      <c r="P1924">
        <v>414</v>
      </c>
      <c r="Q1924" t="s">
        <v>4178</v>
      </c>
    </row>
    <row r="1925" spans="1:17" x14ac:dyDescent="0.3">
      <c r="A1925" t="s">
        <v>59</v>
      </c>
      <c r="B1925" t="str">
        <f>"200037"</f>
        <v>200037</v>
      </c>
      <c r="C1925" t="s">
        <v>4179</v>
      </c>
      <c r="F1925">
        <v>-48005051.685599998</v>
      </c>
      <c r="G1925">
        <v>309246407.61489999</v>
      </c>
      <c r="H1925">
        <v>226992762.21650001</v>
      </c>
      <c r="I1925">
        <v>269327157.66000003</v>
      </c>
      <c r="J1925">
        <v>236199187.17120001</v>
      </c>
      <c r="K1925">
        <v>1033959862.965</v>
      </c>
      <c r="L1925">
        <v>461307401.4522</v>
      </c>
      <c r="M1925">
        <v>714308483.09280002</v>
      </c>
      <c r="N1925">
        <v>618137225.00600004</v>
      </c>
      <c r="O1925">
        <v>131986648.80239999</v>
      </c>
      <c r="P1925">
        <v>9</v>
      </c>
      <c r="Q1925" t="s">
        <v>4180</v>
      </c>
    </row>
    <row r="1926" spans="1:17" x14ac:dyDescent="0.3">
      <c r="A1926" t="s">
        <v>17</v>
      </c>
      <c r="B1926" t="str">
        <f>"603385"</f>
        <v>603385</v>
      </c>
      <c r="C1926" t="s">
        <v>4181</v>
      </c>
      <c r="D1926" t="s">
        <v>2853</v>
      </c>
      <c r="F1926">
        <v>-214041374</v>
      </c>
      <c r="G1926">
        <v>758898480</v>
      </c>
      <c r="H1926">
        <v>226771473</v>
      </c>
      <c r="I1926">
        <v>-58236695</v>
      </c>
      <c r="J1926">
        <v>263549671</v>
      </c>
      <c r="K1926">
        <v>349050356</v>
      </c>
      <c r="L1926">
        <v>229853663</v>
      </c>
      <c r="M1926">
        <v>213438477</v>
      </c>
      <c r="P1926">
        <v>192</v>
      </c>
      <c r="Q1926" t="s">
        <v>4182</v>
      </c>
    </row>
    <row r="1927" spans="1:17" x14ac:dyDescent="0.3">
      <c r="A1927" t="s">
        <v>17</v>
      </c>
      <c r="B1927" t="str">
        <f>"600418"</f>
        <v>600418</v>
      </c>
      <c r="C1927" t="s">
        <v>4183</v>
      </c>
      <c r="D1927" t="s">
        <v>475</v>
      </c>
      <c r="F1927">
        <v>1724648185</v>
      </c>
      <c r="G1927">
        <v>-1331026031</v>
      </c>
      <c r="H1927">
        <v>226384883</v>
      </c>
      <c r="I1927">
        <v>-3453792693</v>
      </c>
      <c r="J1927">
        <v>-6662774191</v>
      </c>
      <c r="K1927">
        <v>-349830855</v>
      </c>
      <c r="L1927">
        <v>3543245793</v>
      </c>
      <c r="M1927">
        <v>1652563463</v>
      </c>
      <c r="N1927">
        <v>2478003323</v>
      </c>
      <c r="O1927">
        <v>2994540093</v>
      </c>
      <c r="P1927">
        <v>429</v>
      </c>
      <c r="Q1927" t="s">
        <v>4184</v>
      </c>
    </row>
    <row r="1928" spans="1:17" x14ac:dyDescent="0.3">
      <c r="A1928" t="s">
        <v>17</v>
      </c>
      <c r="B1928" t="str">
        <f>"603216"</f>
        <v>603216</v>
      </c>
      <c r="C1928" t="s">
        <v>4185</v>
      </c>
      <c r="D1928" t="s">
        <v>963</v>
      </c>
      <c r="F1928">
        <v>264222590</v>
      </c>
      <c r="G1928">
        <v>295866993</v>
      </c>
      <c r="H1928">
        <v>226034953</v>
      </c>
      <c r="I1928">
        <v>116447320</v>
      </c>
      <c r="J1928">
        <v>364638160</v>
      </c>
      <c r="P1928">
        <v>22</v>
      </c>
      <c r="Q1928" t="s">
        <v>4186</v>
      </c>
    </row>
    <row r="1929" spans="1:17" x14ac:dyDescent="0.3">
      <c r="A1929" t="s">
        <v>59</v>
      </c>
      <c r="B1929" t="str">
        <f>"002514"</f>
        <v>002514</v>
      </c>
      <c r="C1929" t="s">
        <v>4187</v>
      </c>
      <c r="D1929" t="s">
        <v>637</v>
      </c>
      <c r="F1929">
        <v>70352477</v>
      </c>
      <c r="G1929">
        <v>77040906</v>
      </c>
      <c r="H1929">
        <v>225977305</v>
      </c>
      <c r="I1929">
        <v>51238348</v>
      </c>
      <c r="J1929">
        <v>43437799</v>
      </c>
      <c r="K1929">
        <v>19626775</v>
      </c>
      <c r="L1929">
        <v>-34547909</v>
      </c>
      <c r="M1929">
        <v>-8954064</v>
      </c>
      <c r="N1929">
        <v>-491256</v>
      </c>
      <c r="O1929">
        <v>32417210</v>
      </c>
      <c r="P1929">
        <v>61</v>
      </c>
      <c r="Q1929" t="s">
        <v>4188</v>
      </c>
    </row>
    <row r="1930" spans="1:17" x14ac:dyDescent="0.3">
      <c r="A1930" t="s">
        <v>17</v>
      </c>
      <c r="B1930" t="str">
        <f>"603387"</f>
        <v>603387</v>
      </c>
      <c r="C1930" t="s">
        <v>4189</v>
      </c>
      <c r="D1930" t="s">
        <v>1953</v>
      </c>
      <c r="F1930">
        <v>432364577</v>
      </c>
      <c r="G1930">
        <v>185468524</v>
      </c>
      <c r="H1930">
        <v>225732762</v>
      </c>
      <c r="I1930">
        <v>187097698</v>
      </c>
      <c r="J1930">
        <v>191912891</v>
      </c>
      <c r="K1930">
        <v>155914635</v>
      </c>
      <c r="L1930">
        <v>121729000</v>
      </c>
      <c r="M1930">
        <v>98534931</v>
      </c>
      <c r="P1930">
        <v>1500</v>
      </c>
      <c r="Q1930" t="s">
        <v>4190</v>
      </c>
    </row>
    <row r="1931" spans="1:17" x14ac:dyDescent="0.3">
      <c r="A1931" t="s">
        <v>59</v>
      </c>
      <c r="B1931" t="str">
        <f>"002561"</f>
        <v>002561</v>
      </c>
      <c r="C1931" t="s">
        <v>4191</v>
      </c>
      <c r="D1931" t="s">
        <v>1361</v>
      </c>
      <c r="F1931">
        <v>161152616</v>
      </c>
      <c r="G1931">
        <v>113733934</v>
      </c>
      <c r="H1931">
        <v>225684023</v>
      </c>
      <c r="I1931">
        <v>205116305</v>
      </c>
      <c r="J1931">
        <v>272547735</v>
      </c>
      <c r="K1931">
        <v>323949866</v>
      </c>
      <c r="L1931">
        <v>271327674</v>
      </c>
      <c r="M1931">
        <v>285743591</v>
      </c>
      <c r="N1931">
        <v>250146747</v>
      </c>
      <c r="O1931">
        <v>296441464</v>
      </c>
      <c r="P1931">
        <v>183</v>
      </c>
      <c r="Q1931" t="s">
        <v>4192</v>
      </c>
    </row>
    <row r="1932" spans="1:17" x14ac:dyDescent="0.3">
      <c r="A1932" t="s">
        <v>17</v>
      </c>
      <c r="B1932" t="str">
        <f>"603171"</f>
        <v>603171</v>
      </c>
      <c r="C1932" t="s">
        <v>4193</v>
      </c>
      <c r="D1932" t="s">
        <v>1189</v>
      </c>
      <c r="F1932">
        <v>153922327</v>
      </c>
      <c r="G1932">
        <v>337682816</v>
      </c>
      <c r="H1932">
        <v>225376584</v>
      </c>
      <c r="I1932">
        <v>453890076</v>
      </c>
      <c r="J1932">
        <v>309143323</v>
      </c>
      <c r="P1932">
        <v>54</v>
      </c>
      <c r="Q1932" t="s">
        <v>4194</v>
      </c>
    </row>
    <row r="1933" spans="1:17" x14ac:dyDescent="0.3">
      <c r="A1933" t="s">
        <v>17</v>
      </c>
      <c r="B1933" t="str">
        <f>"603136"</f>
        <v>603136</v>
      </c>
      <c r="C1933" t="s">
        <v>4195</v>
      </c>
      <c r="D1933" t="s">
        <v>1281</v>
      </c>
      <c r="F1933">
        <v>136989150</v>
      </c>
      <c r="G1933">
        <v>158977929</v>
      </c>
      <c r="H1933">
        <v>225082811</v>
      </c>
      <c r="I1933">
        <v>225382095</v>
      </c>
      <c r="J1933">
        <v>213246542</v>
      </c>
      <c r="K1933">
        <v>209686091</v>
      </c>
      <c r="L1933">
        <v>184126188</v>
      </c>
      <c r="M1933">
        <v>177132785</v>
      </c>
      <c r="P1933">
        <v>194</v>
      </c>
      <c r="Q1933" t="s">
        <v>4196</v>
      </c>
    </row>
    <row r="1934" spans="1:17" x14ac:dyDescent="0.3">
      <c r="A1934" t="s">
        <v>59</v>
      </c>
      <c r="B1934" t="str">
        <f>"002695"</f>
        <v>002695</v>
      </c>
      <c r="C1934" t="s">
        <v>4197</v>
      </c>
      <c r="D1934" t="s">
        <v>1710</v>
      </c>
      <c r="F1934">
        <v>315469237</v>
      </c>
      <c r="G1934">
        <v>125319174</v>
      </c>
      <c r="H1934">
        <v>224808818</v>
      </c>
      <c r="I1934">
        <v>153208769</v>
      </c>
      <c r="J1934">
        <v>132925138</v>
      </c>
      <c r="K1934">
        <v>167668798</v>
      </c>
      <c r="L1934">
        <v>109450097</v>
      </c>
      <c r="M1934">
        <v>122301246</v>
      </c>
      <c r="N1934">
        <v>53974870</v>
      </c>
      <c r="O1934">
        <v>74493226</v>
      </c>
      <c r="P1934">
        <v>623</v>
      </c>
      <c r="Q1934" t="s">
        <v>4198</v>
      </c>
    </row>
    <row r="1935" spans="1:17" x14ac:dyDescent="0.3">
      <c r="A1935" t="s">
        <v>17</v>
      </c>
      <c r="B1935" t="str">
        <f>"603199"</f>
        <v>603199</v>
      </c>
      <c r="C1935" t="s">
        <v>4199</v>
      </c>
      <c r="D1935" t="s">
        <v>2982</v>
      </c>
      <c r="F1935">
        <v>120125996</v>
      </c>
      <c r="G1935">
        <v>94391329</v>
      </c>
      <c r="H1935">
        <v>224483668</v>
      </c>
      <c r="I1935">
        <v>176179683</v>
      </c>
      <c r="J1935">
        <v>180040838</v>
      </c>
      <c r="K1935">
        <v>152101604</v>
      </c>
      <c r="L1935">
        <v>147458757</v>
      </c>
      <c r="M1935">
        <v>153569617</v>
      </c>
      <c r="N1935">
        <v>135548972</v>
      </c>
      <c r="O1935">
        <v>135320698</v>
      </c>
      <c r="P1935">
        <v>144</v>
      </c>
      <c r="Q1935" t="s">
        <v>4200</v>
      </c>
    </row>
    <row r="1936" spans="1:17" x14ac:dyDescent="0.3">
      <c r="A1936" t="s">
        <v>17</v>
      </c>
      <c r="B1936" t="str">
        <f>"605118"</f>
        <v>605118</v>
      </c>
      <c r="C1936" t="s">
        <v>4201</v>
      </c>
      <c r="D1936" t="s">
        <v>344</v>
      </c>
      <c r="F1936">
        <v>90338083</v>
      </c>
      <c r="G1936">
        <v>111465845</v>
      </c>
      <c r="H1936">
        <v>224389679</v>
      </c>
      <c r="I1936">
        <v>200914722</v>
      </c>
      <c r="J1936">
        <v>139311814</v>
      </c>
      <c r="P1936">
        <v>114</v>
      </c>
      <c r="Q1936" t="s">
        <v>4202</v>
      </c>
    </row>
    <row r="1937" spans="1:17" x14ac:dyDescent="0.3">
      <c r="A1937" t="s">
        <v>59</v>
      </c>
      <c r="B1937" t="str">
        <f>"300676"</f>
        <v>300676</v>
      </c>
      <c r="C1937" t="s">
        <v>4203</v>
      </c>
      <c r="D1937" t="s">
        <v>1953</v>
      </c>
      <c r="F1937">
        <v>2476132384</v>
      </c>
      <c r="G1937">
        <v>3602692531</v>
      </c>
      <c r="H1937">
        <v>224254962</v>
      </c>
      <c r="I1937">
        <v>14687327</v>
      </c>
      <c r="J1937">
        <v>226570848</v>
      </c>
      <c r="K1937">
        <v>234073624</v>
      </c>
      <c r="L1937">
        <v>328682815</v>
      </c>
      <c r="M1937">
        <v>-8164447</v>
      </c>
      <c r="P1937">
        <v>1481</v>
      </c>
      <c r="Q1937" t="s">
        <v>4204</v>
      </c>
    </row>
    <row r="1938" spans="1:17" x14ac:dyDescent="0.3">
      <c r="A1938" t="s">
        <v>17</v>
      </c>
      <c r="B1938" t="str">
        <f>"603327"</f>
        <v>603327</v>
      </c>
      <c r="C1938" t="s">
        <v>4205</v>
      </c>
      <c r="D1938" t="s">
        <v>349</v>
      </c>
      <c r="F1938">
        <v>215068454</v>
      </c>
      <c r="G1938">
        <v>154423019</v>
      </c>
      <c r="H1938">
        <v>223524450</v>
      </c>
      <c r="I1938">
        <v>123235505</v>
      </c>
      <c r="J1938">
        <v>159336763</v>
      </c>
      <c r="K1938">
        <v>-168230124</v>
      </c>
      <c r="P1938">
        <v>347</v>
      </c>
      <c r="Q1938" t="s">
        <v>4206</v>
      </c>
    </row>
    <row r="1939" spans="1:17" x14ac:dyDescent="0.3">
      <c r="A1939" t="s">
        <v>59</v>
      </c>
      <c r="B1939" t="str">
        <f>"002343"</f>
        <v>002343</v>
      </c>
      <c r="C1939" t="s">
        <v>4207</v>
      </c>
      <c r="D1939" t="s">
        <v>1059</v>
      </c>
      <c r="F1939">
        <v>90778666</v>
      </c>
      <c r="G1939">
        <v>-26184960</v>
      </c>
      <c r="H1939">
        <v>223425274</v>
      </c>
      <c r="I1939">
        <v>-101699979</v>
      </c>
      <c r="J1939">
        <v>161074600</v>
      </c>
      <c r="K1939">
        <v>101147384</v>
      </c>
      <c r="L1939">
        <v>-96730062</v>
      </c>
      <c r="M1939">
        <v>149494104</v>
      </c>
      <c r="N1939">
        <v>119842841</v>
      </c>
      <c r="O1939">
        <v>176843806</v>
      </c>
      <c r="P1939">
        <v>183</v>
      </c>
      <c r="Q1939" t="s">
        <v>4208</v>
      </c>
    </row>
    <row r="1940" spans="1:17" x14ac:dyDescent="0.3">
      <c r="A1940" t="s">
        <v>59</v>
      </c>
      <c r="B1940" t="str">
        <f>"301009"</f>
        <v>301009</v>
      </c>
      <c r="C1940" t="s">
        <v>4209</v>
      </c>
      <c r="D1940" t="s">
        <v>1429</v>
      </c>
      <c r="F1940">
        <v>50525107</v>
      </c>
      <c r="G1940">
        <v>395857840</v>
      </c>
      <c r="H1940">
        <v>223325653</v>
      </c>
      <c r="I1940">
        <v>114263194</v>
      </c>
      <c r="J1940">
        <v>109740520</v>
      </c>
      <c r="P1940">
        <v>59</v>
      </c>
      <c r="Q1940" t="s">
        <v>4210</v>
      </c>
    </row>
    <row r="1941" spans="1:17" x14ac:dyDescent="0.3">
      <c r="A1941" t="s">
        <v>17</v>
      </c>
      <c r="B1941" t="str">
        <f>"603817"</f>
        <v>603817</v>
      </c>
      <c r="C1941" t="s">
        <v>4211</v>
      </c>
      <c r="D1941" t="s">
        <v>669</v>
      </c>
      <c r="F1941">
        <v>241560689</v>
      </c>
      <c r="G1941">
        <v>316333232</v>
      </c>
      <c r="H1941">
        <v>223225599</v>
      </c>
      <c r="I1941">
        <v>141410447</v>
      </c>
      <c r="J1941">
        <v>229301555</v>
      </c>
      <c r="K1941">
        <v>238415247</v>
      </c>
      <c r="L1941">
        <v>124979307</v>
      </c>
      <c r="M1941">
        <v>78886285</v>
      </c>
      <c r="N1941">
        <v>126408444</v>
      </c>
      <c r="P1941">
        <v>121</v>
      </c>
      <c r="Q1941" t="s">
        <v>4212</v>
      </c>
    </row>
    <row r="1942" spans="1:17" x14ac:dyDescent="0.3">
      <c r="A1942" t="s">
        <v>59</v>
      </c>
      <c r="B1942" t="str">
        <f>"300638"</f>
        <v>300638</v>
      </c>
      <c r="C1942" t="s">
        <v>4213</v>
      </c>
      <c r="D1942" t="s">
        <v>1650</v>
      </c>
      <c r="F1942">
        <v>-422002028</v>
      </c>
      <c r="G1942">
        <v>337092510</v>
      </c>
      <c r="H1942">
        <v>223153546</v>
      </c>
      <c r="I1942">
        <v>-8931813</v>
      </c>
      <c r="J1942">
        <v>-122835304</v>
      </c>
      <c r="K1942">
        <v>48822363</v>
      </c>
      <c r="L1942">
        <v>46167441</v>
      </c>
      <c r="M1942">
        <v>48460895</v>
      </c>
      <c r="P1942">
        <v>757</v>
      </c>
      <c r="Q1942" t="s">
        <v>4214</v>
      </c>
    </row>
    <row r="1943" spans="1:17" x14ac:dyDescent="0.3">
      <c r="A1943" t="s">
        <v>17</v>
      </c>
      <c r="B1943" t="str">
        <f>"605188"</f>
        <v>605188</v>
      </c>
      <c r="C1943" t="s">
        <v>4215</v>
      </c>
      <c r="D1943" t="s">
        <v>1147</v>
      </c>
      <c r="F1943">
        <v>134939540</v>
      </c>
      <c r="G1943">
        <v>191758045</v>
      </c>
      <c r="H1943">
        <v>222640788</v>
      </c>
      <c r="I1943">
        <v>175738054</v>
      </c>
      <c r="J1943">
        <v>193288084</v>
      </c>
      <c r="P1943">
        <v>43</v>
      </c>
      <c r="Q1943" t="s">
        <v>4216</v>
      </c>
    </row>
    <row r="1944" spans="1:17" x14ac:dyDescent="0.3">
      <c r="A1944" t="s">
        <v>17</v>
      </c>
      <c r="B1944" t="str">
        <f>"603960"</f>
        <v>603960</v>
      </c>
      <c r="C1944" t="s">
        <v>4217</v>
      </c>
      <c r="D1944" t="s">
        <v>4218</v>
      </c>
      <c r="F1944">
        <v>-79666314</v>
      </c>
      <c r="G1944">
        <v>167670032</v>
      </c>
      <c r="H1944">
        <v>222373862</v>
      </c>
      <c r="I1944">
        <v>10567840</v>
      </c>
      <c r="J1944">
        <v>76515118</v>
      </c>
      <c r="K1944">
        <v>60872568</v>
      </c>
      <c r="L1944">
        <v>13180490</v>
      </c>
      <c r="M1944">
        <v>10754957</v>
      </c>
      <c r="P1944">
        <v>383</v>
      </c>
      <c r="Q1944" t="s">
        <v>4219</v>
      </c>
    </row>
    <row r="1945" spans="1:17" x14ac:dyDescent="0.3">
      <c r="A1945" t="s">
        <v>59</v>
      </c>
      <c r="B1945" t="str">
        <f>"003037"</f>
        <v>003037</v>
      </c>
      <c r="C1945" t="s">
        <v>4220</v>
      </c>
      <c r="D1945" t="s">
        <v>1858</v>
      </c>
      <c r="F1945">
        <v>108604537</v>
      </c>
      <c r="G1945">
        <v>771048129</v>
      </c>
      <c r="H1945">
        <v>222112071</v>
      </c>
      <c r="I1945">
        <v>613883705</v>
      </c>
      <c r="J1945">
        <v>670370227</v>
      </c>
      <c r="K1945">
        <v>618438370</v>
      </c>
      <c r="P1945">
        <v>40</v>
      </c>
      <c r="Q1945" t="s">
        <v>4221</v>
      </c>
    </row>
    <row r="1946" spans="1:17" x14ac:dyDescent="0.3">
      <c r="A1946" t="s">
        <v>17</v>
      </c>
      <c r="B1946" t="str">
        <f>"603583"</f>
        <v>603583</v>
      </c>
      <c r="C1946" t="s">
        <v>4222</v>
      </c>
      <c r="D1946" t="s">
        <v>1426</v>
      </c>
      <c r="F1946">
        <v>138481905</v>
      </c>
      <c r="G1946">
        <v>494634176</v>
      </c>
      <c r="H1946">
        <v>221999011</v>
      </c>
      <c r="I1946">
        <v>222919114</v>
      </c>
      <c r="J1946">
        <v>169163311</v>
      </c>
      <c r="K1946">
        <v>148696748</v>
      </c>
      <c r="L1946">
        <v>127890708</v>
      </c>
      <c r="P1946">
        <v>704</v>
      </c>
      <c r="Q1946" t="s">
        <v>4223</v>
      </c>
    </row>
    <row r="1947" spans="1:17" x14ac:dyDescent="0.3">
      <c r="A1947" t="s">
        <v>59</v>
      </c>
      <c r="B1947" t="str">
        <f>"002728"</f>
        <v>002728</v>
      </c>
      <c r="C1947" t="s">
        <v>4224</v>
      </c>
      <c r="D1947" t="s">
        <v>455</v>
      </c>
      <c r="F1947">
        <v>256814750</v>
      </c>
      <c r="G1947">
        <v>168985866</v>
      </c>
      <c r="H1947">
        <v>221644491</v>
      </c>
      <c r="I1947">
        <v>187969541</v>
      </c>
      <c r="J1947">
        <v>102956107</v>
      </c>
      <c r="K1947">
        <v>101296691</v>
      </c>
      <c r="L1947">
        <v>68867455</v>
      </c>
      <c r="M1947">
        <v>57348297</v>
      </c>
      <c r="N1947">
        <v>74229588</v>
      </c>
      <c r="O1947">
        <v>104502751</v>
      </c>
      <c r="P1947">
        <v>286</v>
      </c>
      <c r="Q1947" t="s">
        <v>4225</v>
      </c>
    </row>
    <row r="1948" spans="1:17" x14ac:dyDescent="0.3">
      <c r="A1948" t="s">
        <v>17</v>
      </c>
      <c r="B1948" t="str">
        <f>"600666"</f>
        <v>600666</v>
      </c>
      <c r="C1948" t="s">
        <v>4226</v>
      </c>
      <c r="D1948" t="s">
        <v>139</v>
      </c>
      <c r="F1948">
        <v>27626866</v>
      </c>
      <c r="G1948">
        <v>-36630658</v>
      </c>
      <c r="H1948">
        <v>221527939</v>
      </c>
      <c r="I1948">
        <v>-9134896</v>
      </c>
      <c r="J1948">
        <v>394209832</v>
      </c>
      <c r="K1948">
        <v>-103474228</v>
      </c>
      <c r="L1948">
        <v>277268973</v>
      </c>
      <c r="M1948">
        <v>137778019</v>
      </c>
      <c r="N1948">
        <v>-41221439</v>
      </c>
      <c r="O1948">
        <v>68132785</v>
      </c>
      <c r="P1948">
        <v>75</v>
      </c>
      <c r="Q1948" t="s">
        <v>4227</v>
      </c>
    </row>
    <row r="1949" spans="1:17" x14ac:dyDescent="0.3">
      <c r="A1949" t="s">
        <v>59</v>
      </c>
      <c r="B1949" t="str">
        <f>"300229"</f>
        <v>300229</v>
      </c>
      <c r="C1949" t="s">
        <v>4228</v>
      </c>
      <c r="D1949" t="s">
        <v>1528</v>
      </c>
      <c r="F1949">
        <v>189062366</v>
      </c>
      <c r="G1949">
        <v>191079630</v>
      </c>
      <c r="H1949">
        <v>221505845</v>
      </c>
      <c r="I1949">
        <v>306495451</v>
      </c>
      <c r="J1949">
        <v>160763435</v>
      </c>
      <c r="K1949">
        <v>89560456</v>
      </c>
      <c r="L1949">
        <v>94606236</v>
      </c>
      <c r="M1949">
        <v>120369686</v>
      </c>
      <c r="N1949">
        <v>67430690</v>
      </c>
      <c r="O1949">
        <v>87566111</v>
      </c>
      <c r="P1949">
        <v>209</v>
      </c>
      <c r="Q1949" t="s">
        <v>4229</v>
      </c>
    </row>
    <row r="1950" spans="1:17" x14ac:dyDescent="0.3">
      <c r="A1950" t="s">
        <v>59</v>
      </c>
      <c r="B1950" t="str">
        <f>"000882"</f>
        <v>000882</v>
      </c>
      <c r="C1950" t="s">
        <v>4230</v>
      </c>
      <c r="D1950" t="s">
        <v>1361</v>
      </c>
      <c r="F1950">
        <v>751236270</v>
      </c>
      <c r="G1950">
        <v>343118126</v>
      </c>
      <c r="H1950">
        <v>221497564</v>
      </c>
      <c r="I1950">
        <v>-70063638</v>
      </c>
      <c r="J1950">
        <v>-49173724</v>
      </c>
      <c r="K1950">
        <v>117566415</v>
      </c>
      <c r="L1950">
        <v>110426088</v>
      </c>
      <c r="M1950">
        <v>561291094</v>
      </c>
      <c r="N1950">
        <v>-350770384</v>
      </c>
      <c r="O1950">
        <v>-32235429</v>
      </c>
      <c r="P1950">
        <v>114</v>
      </c>
      <c r="Q1950" t="s">
        <v>4231</v>
      </c>
    </row>
    <row r="1951" spans="1:17" x14ac:dyDescent="0.3">
      <c r="A1951" t="s">
        <v>59</v>
      </c>
      <c r="B1951" t="str">
        <f>"002059"</f>
        <v>002059</v>
      </c>
      <c r="C1951" t="s">
        <v>4232</v>
      </c>
      <c r="D1951" t="s">
        <v>1281</v>
      </c>
      <c r="F1951">
        <v>-270485534</v>
      </c>
      <c r="G1951">
        <v>48568306</v>
      </c>
      <c r="H1951">
        <v>221297651</v>
      </c>
      <c r="I1951">
        <v>68998935</v>
      </c>
      <c r="J1951">
        <v>152380494</v>
      </c>
      <c r="K1951">
        <v>-36352416</v>
      </c>
      <c r="L1951">
        <v>89668955</v>
      </c>
      <c r="M1951">
        <v>-67785125</v>
      </c>
      <c r="N1951">
        <v>84801506</v>
      </c>
      <c r="O1951">
        <v>95663771</v>
      </c>
      <c r="P1951">
        <v>160</v>
      </c>
      <c r="Q1951" t="s">
        <v>4233</v>
      </c>
    </row>
    <row r="1952" spans="1:17" x14ac:dyDescent="0.3">
      <c r="A1952" t="s">
        <v>17</v>
      </c>
      <c r="B1952" t="str">
        <f>"605366"</f>
        <v>605366</v>
      </c>
      <c r="C1952" t="s">
        <v>4234</v>
      </c>
      <c r="D1952" t="s">
        <v>1252</v>
      </c>
      <c r="F1952">
        <v>76597620</v>
      </c>
      <c r="G1952">
        <v>96244806</v>
      </c>
      <c r="H1952">
        <v>221272728</v>
      </c>
      <c r="I1952">
        <v>162186437</v>
      </c>
      <c r="J1952">
        <v>79686959</v>
      </c>
      <c r="P1952">
        <v>59</v>
      </c>
      <c r="Q1952" t="s">
        <v>4235</v>
      </c>
    </row>
    <row r="1953" spans="1:17" x14ac:dyDescent="0.3">
      <c r="A1953" t="s">
        <v>59</v>
      </c>
      <c r="B1953" t="str">
        <f>"002150"</f>
        <v>002150</v>
      </c>
      <c r="C1953" t="s">
        <v>4236</v>
      </c>
      <c r="D1953" t="s">
        <v>637</v>
      </c>
      <c r="F1953">
        <v>-6959913</v>
      </c>
      <c r="G1953">
        <v>223915945</v>
      </c>
      <c r="H1953">
        <v>221270899</v>
      </c>
      <c r="I1953">
        <v>139841404</v>
      </c>
      <c r="J1953">
        <v>109297364</v>
      </c>
      <c r="K1953">
        <v>174526522</v>
      </c>
      <c r="L1953">
        <v>128524985</v>
      </c>
      <c r="M1953">
        <v>90086420</v>
      </c>
      <c r="N1953">
        <v>42783443</v>
      </c>
      <c r="O1953">
        <v>76876457</v>
      </c>
      <c r="P1953">
        <v>103</v>
      </c>
      <c r="Q1953" t="s">
        <v>4237</v>
      </c>
    </row>
    <row r="1954" spans="1:17" x14ac:dyDescent="0.3">
      <c r="A1954" t="s">
        <v>17</v>
      </c>
      <c r="B1954" t="str">
        <f>"603712"</f>
        <v>603712</v>
      </c>
      <c r="C1954" t="s">
        <v>4238</v>
      </c>
      <c r="D1954" t="s">
        <v>1983</v>
      </c>
      <c r="F1954">
        <v>334549044</v>
      </c>
      <c r="G1954">
        <v>803856496</v>
      </c>
      <c r="H1954">
        <v>221236495</v>
      </c>
      <c r="I1954">
        <v>120528152</v>
      </c>
      <c r="J1954">
        <v>79912111</v>
      </c>
      <c r="K1954">
        <v>73717278</v>
      </c>
      <c r="L1954">
        <v>78887866</v>
      </c>
      <c r="M1954">
        <v>27839280</v>
      </c>
      <c r="P1954">
        <v>325</v>
      </c>
      <c r="Q1954" t="s">
        <v>4239</v>
      </c>
    </row>
    <row r="1955" spans="1:17" x14ac:dyDescent="0.3">
      <c r="A1955" t="s">
        <v>17</v>
      </c>
      <c r="B1955" t="str">
        <f>"600433"</f>
        <v>600433</v>
      </c>
      <c r="C1955" t="s">
        <v>4240</v>
      </c>
      <c r="D1955" t="s">
        <v>2856</v>
      </c>
      <c r="F1955">
        <v>1172987340</v>
      </c>
      <c r="G1955">
        <v>323797833</v>
      </c>
      <c r="H1955">
        <v>221217258</v>
      </c>
      <c r="I1955">
        <v>189414263</v>
      </c>
      <c r="J1955">
        <v>76848360</v>
      </c>
      <c r="K1955">
        <v>158139313</v>
      </c>
      <c r="L1955">
        <v>191406085</v>
      </c>
      <c r="M1955">
        <v>135328346</v>
      </c>
      <c r="N1955">
        <v>92539744</v>
      </c>
      <c r="O1955">
        <v>79017196</v>
      </c>
      <c r="P1955">
        <v>105</v>
      </c>
      <c r="Q1955" t="s">
        <v>4241</v>
      </c>
    </row>
    <row r="1956" spans="1:17" x14ac:dyDescent="0.3">
      <c r="A1956" t="s">
        <v>59</v>
      </c>
      <c r="B1956" t="str">
        <f>"300041"</f>
        <v>300041</v>
      </c>
      <c r="C1956" t="s">
        <v>4242</v>
      </c>
      <c r="D1956" t="s">
        <v>1900</v>
      </c>
      <c r="F1956">
        <v>122602187</v>
      </c>
      <c r="G1956">
        <v>130849013</v>
      </c>
      <c r="H1956">
        <v>221074843</v>
      </c>
      <c r="I1956">
        <v>50794686</v>
      </c>
      <c r="J1956">
        <v>72245694</v>
      </c>
      <c r="K1956">
        <v>107527270</v>
      </c>
      <c r="L1956">
        <v>-31388317</v>
      </c>
      <c r="M1956">
        <v>-2366864</v>
      </c>
      <c r="N1956">
        <v>6615691</v>
      </c>
      <c r="O1956">
        <v>16758986</v>
      </c>
      <c r="P1956">
        <v>253</v>
      </c>
      <c r="Q1956" t="s">
        <v>4243</v>
      </c>
    </row>
    <row r="1957" spans="1:17" x14ac:dyDescent="0.3">
      <c r="A1957" t="s">
        <v>17</v>
      </c>
      <c r="B1957" t="str">
        <f>"603567"</f>
        <v>603567</v>
      </c>
      <c r="C1957" t="s">
        <v>4244</v>
      </c>
      <c r="D1957" t="s">
        <v>455</v>
      </c>
      <c r="F1957">
        <v>-433936941</v>
      </c>
      <c r="G1957">
        <v>155178025</v>
      </c>
      <c r="H1957">
        <v>220922861</v>
      </c>
      <c r="I1957">
        <v>367403247</v>
      </c>
      <c r="J1957">
        <v>853192181</v>
      </c>
      <c r="K1957">
        <v>15825551</v>
      </c>
      <c r="L1957">
        <v>-323895034</v>
      </c>
      <c r="M1957">
        <v>386323632</v>
      </c>
      <c r="N1957">
        <v>174683626</v>
      </c>
      <c r="O1957">
        <v>154247335</v>
      </c>
      <c r="P1957">
        <v>134</v>
      </c>
      <c r="Q1957" t="s">
        <v>4245</v>
      </c>
    </row>
    <row r="1958" spans="1:17" x14ac:dyDescent="0.3">
      <c r="A1958" t="s">
        <v>59</v>
      </c>
      <c r="B1958" t="str">
        <f>"000411"</f>
        <v>000411</v>
      </c>
      <c r="C1958" t="s">
        <v>4246</v>
      </c>
      <c r="D1958" t="s">
        <v>396</v>
      </c>
      <c r="F1958">
        <v>326023870</v>
      </c>
      <c r="G1958">
        <v>332241463</v>
      </c>
      <c r="H1958">
        <v>220561596</v>
      </c>
      <c r="I1958">
        <v>166314176</v>
      </c>
      <c r="J1958">
        <v>158458167</v>
      </c>
      <c r="K1958">
        <v>141528430</v>
      </c>
      <c r="L1958">
        <v>94336215</v>
      </c>
      <c r="M1958">
        <v>88049364</v>
      </c>
      <c r="N1958">
        <v>75720996</v>
      </c>
      <c r="O1958">
        <v>69437204</v>
      </c>
      <c r="P1958">
        <v>236</v>
      </c>
      <c r="Q1958" t="s">
        <v>4247</v>
      </c>
    </row>
    <row r="1959" spans="1:17" x14ac:dyDescent="0.3">
      <c r="A1959" t="s">
        <v>17</v>
      </c>
      <c r="B1959" t="str">
        <f>"605136"</f>
        <v>605136</v>
      </c>
      <c r="C1959" t="s">
        <v>4248</v>
      </c>
      <c r="D1959" t="s">
        <v>1502</v>
      </c>
      <c r="F1959">
        <v>-133866228</v>
      </c>
      <c r="G1959">
        <v>175242103</v>
      </c>
      <c r="H1959">
        <v>220479007</v>
      </c>
      <c r="I1959">
        <v>-139402997</v>
      </c>
      <c r="J1959">
        <v>329457889</v>
      </c>
      <c r="K1959">
        <v>-55153238</v>
      </c>
      <c r="P1959">
        <v>99</v>
      </c>
      <c r="Q1959" t="s">
        <v>4249</v>
      </c>
    </row>
    <row r="1960" spans="1:17" x14ac:dyDescent="0.3">
      <c r="A1960" t="s">
        <v>59</v>
      </c>
      <c r="B1960" t="str">
        <f>"002026"</f>
        <v>002026</v>
      </c>
      <c r="C1960" t="s">
        <v>4250</v>
      </c>
      <c r="D1960" t="s">
        <v>637</v>
      </c>
      <c r="F1960">
        <v>441591779</v>
      </c>
      <c r="G1960">
        <v>300692583</v>
      </c>
      <c r="H1960">
        <v>220418650</v>
      </c>
      <c r="I1960">
        <v>38534880</v>
      </c>
      <c r="J1960">
        <v>98948060</v>
      </c>
      <c r="K1960">
        <v>23784639</v>
      </c>
      <c r="L1960">
        <v>108356782</v>
      </c>
      <c r="M1960">
        <v>-3639912</v>
      </c>
      <c r="N1960">
        <v>-2244737</v>
      </c>
      <c r="O1960">
        <v>52364700</v>
      </c>
      <c r="P1960">
        <v>208</v>
      </c>
      <c r="Q1960" t="s">
        <v>4251</v>
      </c>
    </row>
    <row r="1961" spans="1:17" x14ac:dyDescent="0.3">
      <c r="A1961" t="s">
        <v>59</v>
      </c>
      <c r="B1961" t="str">
        <f>"300739"</f>
        <v>300739</v>
      </c>
      <c r="C1961" t="s">
        <v>4252</v>
      </c>
      <c r="D1961" t="s">
        <v>539</v>
      </c>
      <c r="F1961">
        <v>87387645</v>
      </c>
      <c r="G1961">
        <v>171238163</v>
      </c>
      <c r="H1961">
        <v>220302858</v>
      </c>
      <c r="I1961">
        <v>185309764</v>
      </c>
      <c r="J1961">
        <v>159075085</v>
      </c>
      <c r="K1961">
        <v>129392266</v>
      </c>
      <c r="L1961">
        <v>85074510</v>
      </c>
      <c r="M1961">
        <v>76933723</v>
      </c>
      <c r="P1961">
        <v>170</v>
      </c>
      <c r="Q1961" t="s">
        <v>4253</v>
      </c>
    </row>
    <row r="1962" spans="1:17" x14ac:dyDescent="0.3">
      <c r="A1962" t="s">
        <v>17</v>
      </c>
      <c r="B1962" t="str">
        <f>"600287"</f>
        <v>600287</v>
      </c>
      <c r="C1962" t="s">
        <v>4254</v>
      </c>
      <c r="D1962" t="s">
        <v>659</v>
      </c>
      <c r="F1962">
        <v>-933461531</v>
      </c>
      <c r="G1962">
        <v>46230596</v>
      </c>
      <c r="H1962">
        <v>220155327</v>
      </c>
      <c r="I1962">
        <v>107738777</v>
      </c>
      <c r="J1962">
        <v>-61974094</v>
      </c>
      <c r="K1962">
        <v>141283323</v>
      </c>
      <c r="L1962">
        <v>397538585</v>
      </c>
      <c r="M1962">
        <v>-247990696</v>
      </c>
      <c r="N1962">
        <v>286029855</v>
      </c>
      <c r="O1962">
        <v>-211833497</v>
      </c>
      <c r="P1962">
        <v>72</v>
      </c>
      <c r="Q1962" t="s">
        <v>4255</v>
      </c>
    </row>
    <row r="1963" spans="1:17" x14ac:dyDescent="0.3">
      <c r="A1963" t="s">
        <v>59</v>
      </c>
      <c r="B1963" t="str">
        <f>"300036"</f>
        <v>300036</v>
      </c>
      <c r="C1963" t="s">
        <v>4256</v>
      </c>
      <c r="D1963" t="s">
        <v>789</v>
      </c>
      <c r="F1963">
        <v>180484231</v>
      </c>
      <c r="G1963">
        <v>229598212</v>
      </c>
      <c r="H1963">
        <v>220037063</v>
      </c>
      <c r="I1963">
        <v>166227589</v>
      </c>
      <c r="J1963">
        <v>249360833</v>
      </c>
      <c r="K1963">
        <v>223170131</v>
      </c>
      <c r="L1963">
        <v>129046880</v>
      </c>
      <c r="M1963">
        <v>78812207</v>
      </c>
      <c r="N1963">
        <v>57817895</v>
      </c>
      <c r="O1963">
        <v>41176934</v>
      </c>
      <c r="P1963">
        <v>545</v>
      </c>
      <c r="Q1963" t="s">
        <v>4257</v>
      </c>
    </row>
    <row r="1964" spans="1:17" x14ac:dyDescent="0.3">
      <c r="A1964" t="s">
        <v>17</v>
      </c>
      <c r="B1964" t="str">
        <f>"688697"</f>
        <v>688697</v>
      </c>
      <c r="C1964" t="s">
        <v>4258</v>
      </c>
      <c r="D1964" t="s">
        <v>2705</v>
      </c>
      <c r="F1964">
        <v>217728110</v>
      </c>
      <c r="G1964">
        <v>72399257</v>
      </c>
      <c r="H1964">
        <v>219989898</v>
      </c>
      <c r="I1964">
        <v>39219583</v>
      </c>
      <c r="J1964">
        <v>59446937</v>
      </c>
      <c r="P1964">
        <v>16</v>
      </c>
      <c r="Q1964" t="s">
        <v>4259</v>
      </c>
    </row>
    <row r="1965" spans="1:17" x14ac:dyDescent="0.3">
      <c r="A1965" t="s">
        <v>59</v>
      </c>
      <c r="B1965" t="str">
        <f>"000818"</f>
        <v>000818</v>
      </c>
      <c r="C1965" t="s">
        <v>4260</v>
      </c>
      <c r="D1965" t="s">
        <v>317</v>
      </c>
      <c r="F1965">
        <v>722159015</v>
      </c>
      <c r="G1965">
        <v>181354272</v>
      </c>
      <c r="H1965">
        <v>219974769</v>
      </c>
      <c r="I1965">
        <v>402717155</v>
      </c>
      <c r="J1965">
        <v>479008245</v>
      </c>
      <c r="K1965">
        <v>154727926</v>
      </c>
      <c r="L1965">
        <v>181356352</v>
      </c>
      <c r="M1965">
        <v>370374749</v>
      </c>
      <c r="N1965">
        <v>93557702</v>
      </c>
      <c r="O1965">
        <v>33569461</v>
      </c>
      <c r="P1965">
        <v>258</v>
      </c>
      <c r="Q1965" t="s">
        <v>4261</v>
      </c>
    </row>
    <row r="1966" spans="1:17" x14ac:dyDescent="0.3">
      <c r="A1966" t="s">
        <v>59</v>
      </c>
      <c r="B1966" t="str">
        <f>"300327"</f>
        <v>300327</v>
      </c>
      <c r="C1966" t="s">
        <v>4262</v>
      </c>
      <c r="D1966" t="s">
        <v>817</v>
      </c>
      <c r="F1966">
        <v>3305230</v>
      </c>
      <c r="G1966">
        <v>215727047</v>
      </c>
      <c r="H1966">
        <v>219559701</v>
      </c>
      <c r="I1966">
        <v>103586585</v>
      </c>
      <c r="J1966">
        <v>140013672</v>
      </c>
      <c r="K1966">
        <v>84562882</v>
      </c>
      <c r="L1966">
        <v>43967593</v>
      </c>
      <c r="M1966">
        <v>45881553</v>
      </c>
      <c r="N1966">
        <v>20888551</v>
      </c>
      <c r="O1966">
        <v>14994365</v>
      </c>
      <c r="P1966">
        <v>4063</v>
      </c>
      <c r="Q1966" t="s">
        <v>4263</v>
      </c>
    </row>
    <row r="1967" spans="1:17" x14ac:dyDescent="0.3">
      <c r="A1967" t="s">
        <v>17</v>
      </c>
      <c r="B1967" t="str">
        <f>"603105"</f>
        <v>603105</v>
      </c>
      <c r="C1967" t="s">
        <v>4264</v>
      </c>
      <c r="D1967" t="s">
        <v>1119</v>
      </c>
      <c r="F1967">
        <v>378292898</v>
      </c>
      <c r="G1967">
        <v>256074551</v>
      </c>
      <c r="H1967">
        <v>219522644</v>
      </c>
      <c r="I1967">
        <v>-120001067</v>
      </c>
      <c r="J1967">
        <v>185548547</v>
      </c>
      <c r="K1967">
        <v>-156764440</v>
      </c>
      <c r="L1967">
        <v>122018479</v>
      </c>
      <c r="P1967">
        <v>144</v>
      </c>
      <c r="Q1967" t="s">
        <v>4265</v>
      </c>
    </row>
    <row r="1968" spans="1:17" x14ac:dyDescent="0.3">
      <c r="A1968" t="s">
        <v>17</v>
      </c>
      <c r="B1968" t="str">
        <f>"600794"</f>
        <v>600794</v>
      </c>
      <c r="C1968" t="s">
        <v>4266</v>
      </c>
      <c r="D1968" t="s">
        <v>1734</v>
      </c>
      <c r="F1968">
        <v>467810711</v>
      </c>
      <c r="G1968">
        <v>-141641398</v>
      </c>
      <c r="H1968">
        <v>219291349</v>
      </c>
      <c r="I1968">
        <v>-14602593</v>
      </c>
      <c r="J1968">
        <v>67226876</v>
      </c>
      <c r="K1968">
        <v>101601134</v>
      </c>
      <c r="L1968">
        <v>354035196</v>
      </c>
      <c r="M1968">
        <v>-31467732</v>
      </c>
      <c r="N1968">
        <v>-26309391</v>
      </c>
      <c r="O1968">
        <v>301138789</v>
      </c>
      <c r="P1968">
        <v>100</v>
      </c>
      <c r="Q1968" t="s">
        <v>4267</v>
      </c>
    </row>
    <row r="1969" spans="1:17" x14ac:dyDescent="0.3">
      <c r="A1969" t="s">
        <v>59</v>
      </c>
      <c r="B1969" t="str">
        <f>"000607"</f>
        <v>000607</v>
      </c>
      <c r="C1969" t="s">
        <v>4268</v>
      </c>
      <c r="D1969" t="s">
        <v>662</v>
      </c>
      <c r="F1969">
        <v>334195871</v>
      </c>
      <c r="G1969">
        <v>216643707</v>
      </c>
      <c r="H1969">
        <v>219253228</v>
      </c>
      <c r="I1969">
        <v>263810621</v>
      </c>
      <c r="J1969">
        <v>185245509</v>
      </c>
      <c r="K1969">
        <v>289956687</v>
      </c>
      <c r="L1969">
        <v>91970494</v>
      </c>
      <c r="M1969">
        <v>63752796</v>
      </c>
      <c r="N1969">
        <v>87513505</v>
      </c>
      <c r="O1969">
        <v>49230251</v>
      </c>
      <c r="P1969">
        <v>109</v>
      </c>
      <c r="Q1969" t="s">
        <v>4269</v>
      </c>
    </row>
    <row r="1970" spans="1:17" x14ac:dyDescent="0.3">
      <c r="A1970" t="s">
        <v>59</v>
      </c>
      <c r="B1970" t="str">
        <f>"002201"</f>
        <v>002201</v>
      </c>
      <c r="C1970" t="s">
        <v>4270</v>
      </c>
      <c r="D1970" t="s">
        <v>736</v>
      </c>
      <c r="F1970">
        <v>63331436</v>
      </c>
      <c r="G1970">
        <v>195778145</v>
      </c>
      <c r="H1970">
        <v>219138256</v>
      </c>
      <c r="I1970">
        <v>223794258</v>
      </c>
      <c r="J1970">
        <v>134074893</v>
      </c>
      <c r="K1970">
        <v>55964115</v>
      </c>
      <c r="L1970">
        <v>73100937</v>
      </c>
      <c r="M1970">
        <v>19265291</v>
      </c>
      <c r="N1970">
        <v>111512601</v>
      </c>
      <c r="O1970">
        <v>92822307</v>
      </c>
      <c r="P1970">
        <v>132</v>
      </c>
      <c r="Q1970" t="s">
        <v>4271</v>
      </c>
    </row>
    <row r="1971" spans="1:17" x14ac:dyDescent="0.3">
      <c r="A1971" t="s">
        <v>59</v>
      </c>
      <c r="B1971" t="str">
        <f>"300441"</f>
        <v>300441</v>
      </c>
      <c r="C1971" t="s">
        <v>4272</v>
      </c>
      <c r="D1971" t="s">
        <v>1838</v>
      </c>
      <c r="F1971">
        <v>340029093</v>
      </c>
      <c r="G1971">
        <v>446559987</v>
      </c>
      <c r="H1971">
        <v>218991046</v>
      </c>
      <c r="I1971">
        <v>291282725</v>
      </c>
      <c r="J1971">
        <v>221666387</v>
      </c>
      <c r="K1971">
        <v>81995626</v>
      </c>
      <c r="L1971">
        <v>28736182</v>
      </c>
      <c r="M1971">
        <v>43897314</v>
      </c>
      <c r="N1971">
        <v>46541536</v>
      </c>
      <c r="O1971">
        <v>49463694</v>
      </c>
      <c r="P1971">
        <v>96</v>
      </c>
      <c r="Q1971" t="s">
        <v>4273</v>
      </c>
    </row>
    <row r="1972" spans="1:17" x14ac:dyDescent="0.3">
      <c r="A1972" t="s">
        <v>17</v>
      </c>
      <c r="B1972" t="str">
        <f>"603970"</f>
        <v>603970</v>
      </c>
      <c r="C1972" t="s">
        <v>4274</v>
      </c>
      <c r="D1972" t="s">
        <v>1356</v>
      </c>
      <c r="F1972">
        <v>325419082</v>
      </c>
      <c r="G1972">
        <v>352123390</v>
      </c>
      <c r="H1972">
        <v>218901572</v>
      </c>
      <c r="I1972">
        <v>65690395</v>
      </c>
      <c r="J1972">
        <v>518829380</v>
      </c>
      <c r="K1972">
        <v>152218147</v>
      </c>
      <c r="L1972">
        <v>-254219307</v>
      </c>
      <c r="M1972">
        <v>40413735</v>
      </c>
      <c r="P1972">
        <v>90</v>
      </c>
      <c r="Q1972" t="s">
        <v>4275</v>
      </c>
    </row>
    <row r="1973" spans="1:17" x14ac:dyDescent="0.3">
      <c r="A1973" t="s">
        <v>17</v>
      </c>
      <c r="B1973" t="str">
        <f>"601011"</f>
        <v>601011</v>
      </c>
      <c r="C1973" t="s">
        <v>4276</v>
      </c>
      <c r="D1973" t="s">
        <v>841</v>
      </c>
      <c r="F1973">
        <v>680081626</v>
      </c>
      <c r="G1973">
        <v>322313641</v>
      </c>
      <c r="H1973">
        <v>218350897</v>
      </c>
      <c r="I1973">
        <v>431645703</v>
      </c>
      <c r="J1973">
        <v>97544057</v>
      </c>
      <c r="K1973">
        <v>332108407</v>
      </c>
      <c r="L1973">
        <v>148147854</v>
      </c>
      <c r="M1973">
        <v>274727286</v>
      </c>
      <c r="N1973">
        <v>229097679</v>
      </c>
      <c r="O1973">
        <v>51840680</v>
      </c>
      <c r="P1973">
        <v>134</v>
      </c>
      <c r="Q1973" t="s">
        <v>4277</v>
      </c>
    </row>
    <row r="1974" spans="1:17" x14ac:dyDescent="0.3">
      <c r="A1974" t="s">
        <v>59</v>
      </c>
      <c r="B1974" t="str">
        <f>"300632"</f>
        <v>300632</v>
      </c>
      <c r="C1974" t="s">
        <v>4278</v>
      </c>
      <c r="D1974" t="s">
        <v>772</v>
      </c>
      <c r="F1974">
        <v>7869381</v>
      </c>
      <c r="G1974">
        <v>238089509</v>
      </c>
      <c r="H1974">
        <v>218304887</v>
      </c>
      <c r="I1974">
        <v>99226528</v>
      </c>
      <c r="J1974">
        <v>47528321</v>
      </c>
      <c r="K1974">
        <v>32942316</v>
      </c>
      <c r="L1974">
        <v>59902985</v>
      </c>
      <c r="M1974">
        <v>33889060</v>
      </c>
      <c r="P1974">
        <v>201</v>
      </c>
      <c r="Q1974" t="s">
        <v>4279</v>
      </c>
    </row>
    <row r="1975" spans="1:17" x14ac:dyDescent="0.3">
      <c r="A1975" t="s">
        <v>17</v>
      </c>
      <c r="B1975" t="str">
        <f>"601882"</f>
        <v>601882</v>
      </c>
      <c r="C1975" t="s">
        <v>4280</v>
      </c>
      <c r="D1975" t="s">
        <v>2705</v>
      </c>
      <c r="F1975">
        <v>437735322</v>
      </c>
      <c r="G1975">
        <v>540356431</v>
      </c>
      <c r="H1975">
        <v>218162779</v>
      </c>
      <c r="I1975">
        <v>359454437</v>
      </c>
      <c r="J1975">
        <v>243755526</v>
      </c>
      <c r="K1975">
        <v>182710035</v>
      </c>
      <c r="L1975">
        <v>91294024</v>
      </c>
      <c r="M1975">
        <v>105495448</v>
      </c>
      <c r="N1975">
        <v>75971586</v>
      </c>
      <c r="P1975">
        <v>188</v>
      </c>
      <c r="Q1975" t="s">
        <v>4281</v>
      </c>
    </row>
    <row r="1976" spans="1:17" x14ac:dyDescent="0.3">
      <c r="A1976" t="s">
        <v>59</v>
      </c>
      <c r="B1976" t="str">
        <f>"002732"</f>
        <v>002732</v>
      </c>
      <c r="C1976" t="s">
        <v>4282</v>
      </c>
      <c r="D1976" t="s">
        <v>308</v>
      </c>
      <c r="F1976">
        <v>275780444</v>
      </c>
      <c r="G1976">
        <v>211852932</v>
      </c>
      <c r="H1976">
        <v>218154299</v>
      </c>
      <c r="I1976">
        <v>139445752</v>
      </c>
      <c r="J1976">
        <v>168395873</v>
      </c>
      <c r="K1976">
        <v>135327527</v>
      </c>
      <c r="L1976">
        <v>103469693</v>
      </c>
      <c r="M1976">
        <v>101627102</v>
      </c>
      <c r="N1976">
        <v>108485027</v>
      </c>
      <c r="O1976">
        <v>115172535</v>
      </c>
      <c r="P1976">
        <v>349</v>
      </c>
      <c r="Q1976" t="s">
        <v>4283</v>
      </c>
    </row>
    <row r="1977" spans="1:17" x14ac:dyDescent="0.3">
      <c r="A1977" t="s">
        <v>59</v>
      </c>
      <c r="B1977" t="str">
        <f>"300634"</f>
        <v>300634</v>
      </c>
      <c r="C1977" t="s">
        <v>4284</v>
      </c>
      <c r="D1977" t="s">
        <v>1189</v>
      </c>
      <c r="F1977">
        <v>33708432</v>
      </c>
      <c r="G1977">
        <v>102370915</v>
      </c>
      <c r="H1977">
        <v>217881409</v>
      </c>
      <c r="I1977">
        <v>55793308</v>
      </c>
      <c r="J1977">
        <v>99725449</v>
      </c>
      <c r="K1977">
        <v>219905909</v>
      </c>
      <c r="L1977">
        <v>184696969</v>
      </c>
      <c r="P1977">
        <v>159</v>
      </c>
      <c r="Q1977" t="s">
        <v>4285</v>
      </c>
    </row>
    <row r="1978" spans="1:17" x14ac:dyDescent="0.3">
      <c r="A1978" t="s">
        <v>17</v>
      </c>
      <c r="B1978" t="str">
        <f>"603238"</f>
        <v>603238</v>
      </c>
      <c r="C1978" t="s">
        <v>4286</v>
      </c>
      <c r="D1978" t="s">
        <v>1429</v>
      </c>
      <c r="F1978">
        <v>194332042</v>
      </c>
      <c r="G1978">
        <v>553045952</v>
      </c>
      <c r="H1978">
        <v>217718815</v>
      </c>
      <c r="I1978">
        <v>112905438</v>
      </c>
      <c r="J1978">
        <v>78859701</v>
      </c>
      <c r="K1978">
        <v>83767552</v>
      </c>
      <c r="L1978">
        <v>93032377</v>
      </c>
      <c r="M1978">
        <v>70665280</v>
      </c>
      <c r="N1978">
        <v>65719927</v>
      </c>
      <c r="P1978">
        <v>240</v>
      </c>
      <c r="Q1978" t="s">
        <v>4287</v>
      </c>
    </row>
    <row r="1979" spans="1:17" x14ac:dyDescent="0.3">
      <c r="A1979" t="s">
        <v>17</v>
      </c>
      <c r="B1979" t="str">
        <f>"603429"</f>
        <v>603429</v>
      </c>
      <c r="C1979" t="s">
        <v>4288</v>
      </c>
      <c r="D1979" t="s">
        <v>1416</v>
      </c>
      <c r="F1979">
        <v>263764465</v>
      </c>
      <c r="G1979">
        <v>173638773</v>
      </c>
      <c r="H1979">
        <v>217346313</v>
      </c>
      <c r="I1979">
        <v>115541080</v>
      </c>
      <c r="J1979">
        <v>99527682</v>
      </c>
      <c r="K1979">
        <v>73050418</v>
      </c>
      <c r="L1979">
        <v>50032960</v>
      </c>
      <c r="M1979">
        <v>54264268</v>
      </c>
      <c r="N1979">
        <v>57540567</v>
      </c>
      <c r="P1979">
        <v>368</v>
      </c>
      <c r="Q1979" t="s">
        <v>4289</v>
      </c>
    </row>
    <row r="1980" spans="1:17" x14ac:dyDescent="0.3">
      <c r="A1980" t="s">
        <v>59</v>
      </c>
      <c r="B1980" t="str">
        <f>"300193"</f>
        <v>300193</v>
      </c>
      <c r="C1980" t="s">
        <v>4290</v>
      </c>
      <c r="D1980" t="s">
        <v>1838</v>
      </c>
      <c r="F1980">
        <v>73267845</v>
      </c>
      <c r="G1980">
        <v>234269900</v>
      </c>
      <c r="H1980">
        <v>217116538</v>
      </c>
      <c r="I1980">
        <v>150976513</v>
      </c>
      <c r="J1980">
        <v>207092340</v>
      </c>
      <c r="K1980">
        <v>253067306</v>
      </c>
      <c r="L1980">
        <v>127162634</v>
      </c>
      <c r="M1980">
        <v>99872780</v>
      </c>
      <c r="N1980">
        <v>96671589</v>
      </c>
      <c r="O1980">
        <v>66388520</v>
      </c>
      <c r="P1980">
        <v>154</v>
      </c>
      <c r="Q1980" t="s">
        <v>4291</v>
      </c>
    </row>
    <row r="1981" spans="1:17" x14ac:dyDescent="0.3">
      <c r="A1981" t="s">
        <v>59</v>
      </c>
      <c r="B1981" t="str">
        <f>"002548"</f>
        <v>002548</v>
      </c>
      <c r="C1981" t="s">
        <v>4292</v>
      </c>
      <c r="D1981" t="s">
        <v>1128</v>
      </c>
      <c r="F1981">
        <v>113477157</v>
      </c>
      <c r="G1981">
        <v>360427990</v>
      </c>
      <c r="H1981">
        <v>216981689</v>
      </c>
      <c r="I1981">
        <v>34928706</v>
      </c>
      <c r="J1981">
        <v>208425076</v>
      </c>
      <c r="K1981">
        <v>-48668014</v>
      </c>
      <c r="L1981">
        <v>285625774</v>
      </c>
      <c r="M1981">
        <v>-9630454</v>
      </c>
      <c r="N1981">
        <v>-17202703</v>
      </c>
      <c r="O1981">
        <v>65067608</v>
      </c>
      <c r="P1981">
        <v>260</v>
      </c>
      <c r="Q1981" t="s">
        <v>4293</v>
      </c>
    </row>
    <row r="1982" spans="1:17" x14ac:dyDescent="0.3">
      <c r="A1982" t="s">
        <v>17</v>
      </c>
      <c r="B1982" t="str">
        <f>"605177"</f>
        <v>605177</v>
      </c>
      <c r="C1982" t="s">
        <v>4294</v>
      </c>
      <c r="D1982" t="s">
        <v>984</v>
      </c>
      <c r="F1982">
        <v>-23599392</v>
      </c>
      <c r="G1982">
        <v>146903141</v>
      </c>
      <c r="H1982">
        <v>216629369</v>
      </c>
      <c r="I1982">
        <v>143644625</v>
      </c>
      <c r="J1982">
        <v>91659236</v>
      </c>
      <c r="K1982">
        <v>54350200</v>
      </c>
      <c r="P1982">
        <v>38</v>
      </c>
      <c r="Q1982" t="s">
        <v>4295</v>
      </c>
    </row>
    <row r="1983" spans="1:17" x14ac:dyDescent="0.3">
      <c r="A1983" t="s">
        <v>17</v>
      </c>
      <c r="B1983" t="str">
        <f>"688023"</f>
        <v>688023</v>
      </c>
      <c r="C1983" t="s">
        <v>4296</v>
      </c>
      <c r="D1983" t="s">
        <v>789</v>
      </c>
      <c r="F1983">
        <v>-61298568</v>
      </c>
      <c r="G1983">
        <v>279993869</v>
      </c>
      <c r="H1983">
        <v>216516099</v>
      </c>
      <c r="I1983">
        <v>95982569</v>
      </c>
      <c r="J1983">
        <v>68869412</v>
      </c>
      <c r="K1983">
        <v>63754926</v>
      </c>
      <c r="P1983">
        <v>249</v>
      </c>
      <c r="Q1983" t="s">
        <v>4297</v>
      </c>
    </row>
    <row r="1984" spans="1:17" x14ac:dyDescent="0.3">
      <c r="A1984" t="s">
        <v>17</v>
      </c>
      <c r="B1984" t="str">
        <f>"600719"</f>
        <v>600719</v>
      </c>
      <c r="C1984" t="s">
        <v>4298</v>
      </c>
      <c r="D1984" t="s">
        <v>1238</v>
      </c>
      <c r="F1984">
        <v>64623804</v>
      </c>
      <c r="G1984">
        <v>154712036</v>
      </c>
      <c r="H1984">
        <v>216300427</v>
      </c>
      <c r="I1984">
        <v>-86121952</v>
      </c>
      <c r="J1984">
        <v>52902795</v>
      </c>
      <c r="K1984">
        <v>39105911</v>
      </c>
      <c r="L1984">
        <v>111517639</v>
      </c>
      <c r="M1984">
        <v>376226929</v>
      </c>
      <c r="N1984">
        <v>347277395</v>
      </c>
      <c r="O1984">
        <v>77427896</v>
      </c>
      <c r="P1984">
        <v>68</v>
      </c>
      <c r="Q1984" t="s">
        <v>4299</v>
      </c>
    </row>
    <row r="1985" spans="1:17" x14ac:dyDescent="0.3">
      <c r="A1985" t="s">
        <v>59</v>
      </c>
      <c r="B1985" t="str">
        <f>"300356"</f>
        <v>300356</v>
      </c>
      <c r="C1985" t="s">
        <v>4300</v>
      </c>
      <c r="D1985" t="s">
        <v>1828</v>
      </c>
      <c r="F1985">
        <v>30308624</v>
      </c>
      <c r="G1985">
        <v>34122825</v>
      </c>
      <c r="H1985">
        <v>216278236</v>
      </c>
      <c r="I1985">
        <v>42841248</v>
      </c>
      <c r="J1985">
        <v>-10610930</v>
      </c>
      <c r="K1985">
        <v>155221220</v>
      </c>
      <c r="L1985">
        <v>25388311</v>
      </c>
      <c r="M1985">
        <v>-11967059</v>
      </c>
      <c r="N1985">
        <v>20427550</v>
      </c>
      <c r="O1985">
        <v>72575019</v>
      </c>
      <c r="P1985">
        <v>67</v>
      </c>
      <c r="Q1985" t="s">
        <v>4301</v>
      </c>
    </row>
    <row r="1986" spans="1:17" x14ac:dyDescent="0.3">
      <c r="A1986" t="s">
        <v>59</v>
      </c>
      <c r="B1986" t="str">
        <f>"002446"</f>
        <v>002446</v>
      </c>
      <c r="C1986" t="s">
        <v>4302</v>
      </c>
      <c r="D1986" t="s">
        <v>1983</v>
      </c>
      <c r="F1986">
        <v>-15345325</v>
      </c>
      <c r="G1986">
        <v>56816265</v>
      </c>
      <c r="H1986">
        <v>216190498</v>
      </c>
      <c r="I1986">
        <v>-11409371</v>
      </c>
      <c r="J1986">
        <v>123589477</v>
      </c>
      <c r="K1986">
        <v>106695786</v>
      </c>
      <c r="L1986">
        <v>38944759</v>
      </c>
      <c r="M1986">
        <v>-35626303</v>
      </c>
      <c r="N1986">
        <v>60774789</v>
      </c>
      <c r="O1986">
        <v>-30589882</v>
      </c>
      <c r="P1986">
        <v>371</v>
      </c>
      <c r="Q1986" t="s">
        <v>4303</v>
      </c>
    </row>
    <row r="1987" spans="1:17" x14ac:dyDescent="0.3">
      <c r="A1987" t="s">
        <v>59</v>
      </c>
      <c r="B1987" t="str">
        <f>"300026"</f>
        <v>300026</v>
      </c>
      <c r="C1987" t="s">
        <v>4304</v>
      </c>
      <c r="D1987" t="s">
        <v>455</v>
      </c>
      <c r="F1987">
        <v>391598803</v>
      </c>
      <c r="G1987">
        <v>196661910</v>
      </c>
      <c r="H1987">
        <v>216103792</v>
      </c>
      <c r="I1987">
        <v>388194759</v>
      </c>
      <c r="J1987">
        <v>742379978</v>
      </c>
      <c r="K1987">
        <v>448078567</v>
      </c>
      <c r="L1987">
        <v>120997940</v>
      </c>
      <c r="M1987">
        <v>149941310</v>
      </c>
      <c r="N1987">
        <v>143596285</v>
      </c>
      <c r="O1987">
        <v>152213151</v>
      </c>
      <c r="P1987">
        <v>417</v>
      </c>
      <c r="Q1987" t="s">
        <v>4305</v>
      </c>
    </row>
    <row r="1988" spans="1:17" x14ac:dyDescent="0.3">
      <c r="A1988" t="s">
        <v>17</v>
      </c>
      <c r="B1988" t="str">
        <f>"603006"</f>
        <v>603006</v>
      </c>
      <c r="C1988" t="s">
        <v>4306</v>
      </c>
      <c r="D1988" t="s">
        <v>1226</v>
      </c>
      <c r="F1988">
        <v>185458981</v>
      </c>
      <c r="G1988">
        <v>243721743</v>
      </c>
      <c r="H1988">
        <v>215948621</v>
      </c>
      <c r="I1988">
        <v>86104571</v>
      </c>
      <c r="J1988">
        <v>29175355</v>
      </c>
      <c r="K1988">
        <v>190060451</v>
      </c>
      <c r="L1988">
        <v>78284359</v>
      </c>
      <c r="M1988">
        <v>53117144</v>
      </c>
      <c r="N1988">
        <v>50538286</v>
      </c>
      <c r="O1988">
        <v>71617861</v>
      </c>
      <c r="P1988">
        <v>106</v>
      </c>
      <c r="Q1988" t="s">
        <v>4307</v>
      </c>
    </row>
    <row r="1989" spans="1:17" x14ac:dyDescent="0.3">
      <c r="A1989" t="s">
        <v>59</v>
      </c>
      <c r="B1989" t="str">
        <f>"002749"</f>
        <v>002749</v>
      </c>
      <c r="C1989" t="s">
        <v>4308</v>
      </c>
      <c r="D1989" t="s">
        <v>1356</v>
      </c>
      <c r="F1989">
        <v>328031487</v>
      </c>
      <c r="G1989">
        <v>209320213</v>
      </c>
      <c r="H1989">
        <v>215736940</v>
      </c>
      <c r="I1989">
        <v>153672879</v>
      </c>
      <c r="J1989">
        <v>191575237</v>
      </c>
      <c r="K1989">
        <v>170349612</v>
      </c>
      <c r="L1989">
        <v>136627574</v>
      </c>
      <c r="M1989">
        <v>112712547</v>
      </c>
      <c r="N1989">
        <v>130074556</v>
      </c>
      <c r="O1989">
        <v>113528652</v>
      </c>
      <c r="P1989">
        <v>9783</v>
      </c>
      <c r="Q1989" t="s">
        <v>4309</v>
      </c>
    </row>
    <row r="1990" spans="1:17" x14ac:dyDescent="0.3">
      <c r="A1990" t="s">
        <v>17</v>
      </c>
      <c r="B1990" t="str">
        <f>"605577"</f>
        <v>605577</v>
      </c>
      <c r="C1990" t="s">
        <v>4310</v>
      </c>
      <c r="D1990" t="s">
        <v>721</v>
      </c>
      <c r="F1990">
        <v>286682170</v>
      </c>
      <c r="G1990">
        <v>244705672</v>
      </c>
      <c r="H1990">
        <v>215602645</v>
      </c>
      <c r="I1990">
        <v>160698438</v>
      </c>
      <c r="J1990">
        <v>246467400</v>
      </c>
      <c r="P1990">
        <v>19</v>
      </c>
      <c r="Q1990" t="s">
        <v>4311</v>
      </c>
    </row>
    <row r="1991" spans="1:17" x14ac:dyDescent="0.3">
      <c r="A1991" t="s">
        <v>59</v>
      </c>
      <c r="B1991" t="str">
        <f>"300010"</f>
        <v>300010</v>
      </c>
      <c r="C1991" t="s">
        <v>4312</v>
      </c>
      <c r="D1991" t="s">
        <v>871</v>
      </c>
      <c r="F1991">
        <v>54824157</v>
      </c>
      <c r="G1991">
        <v>91953383</v>
      </c>
      <c r="H1991">
        <v>215437546</v>
      </c>
      <c r="I1991">
        <v>-151880168</v>
      </c>
      <c r="J1991">
        <v>-166356352</v>
      </c>
      <c r="K1991">
        <v>279174710</v>
      </c>
      <c r="L1991">
        <v>98492690</v>
      </c>
      <c r="M1991">
        <v>91718856</v>
      </c>
      <c r="N1991">
        <v>41225646</v>
      </c>
      <c r="O1991">
        <v>31512063</v>
      </c>
      <c r="P1991">
        <v>262</v>
      </c>
      <c r="Q1991" t="s">
        <v>4313</v>
      </c>
    </row>
    <row r="1992" spans="1:17" x14ac:dyDescent="0.3">
      <c r="A1992" t="s">
        <v>59</v>
      </c>
      <c r="B1992" t="str">
        <f>"300630"</f>
        <v>300630</v>
      </c>
      <c r="C1992" t="s">
        <v>4314</v>
      </c>
      <c r="D1992" t="s">
        <v>592</v>
      </c>
      <c r="F1992">
        <v>157031382</v>
      </c>
      <c r="G1992">
        <v>332075817</v>
      </c>
      <c r="H1992">
        <v>215374301</v>
      </c>
      <c r="I1992">
        <v>94785675</v>
      </c>
      <c r="J1992">
        <v>93790992</v>
      </c>
      <c r="K1992">
        <v>55529916</v>
      </c>
      <c r="L1992">
        <v>58137747</v>
      </c>
      <c r="M1992">
        <v>56600463</v>
      </c>
      <c r="P1992">
        <v>1261</v>
      </c>
      <c r="Q1992" t="s">
        <v>4315</v>
      </c>
    </row>
    <row r="1993" spans="1:17" x14ac:dyDescent="0.3">
      <c r="A1993" t="s">
        <v>59</v>
      </c>
      <c r="B1993" t="str">
        <f>"300771"</f>
        <v>300771</v>
      </c>
      <c r="C1993" t="s">
        <v>4316</v>
      </c>
      <c r="D1993" t="s">
        <v>707</v>
      </c>
      <c r="F1993">
        <v>59587145</v>
      </c>
      <c r="G1993">
        <v>272124162</v>
      </c>
      <c r="H1993">
        <v>215359614</v>
      </c>
      <c r="I1993">
        <v>130426665</v>
      </c>
      <c r="J1993">
        <v>130852432</v>
      </c>
      <c r="K1993">
        <v>7117709</v>
      </c>
      <c r="P1993">
        <v>229</v>
      </c>
      <c r="Q1993" t="s">
        <v>4317</v>
      </c>
    </row>
    <row r="1994" spans="1:17" x14ac:dyDescent="0.3">
      <c r="A1994" t="s">
        <v>59</v>
      </c>
      <c r="B1994" t="str">
        <f>"200596"</f>
        <v>200596</v>
      </c>
      <c r="C1994" t="s">
        <v>4318</v>
      </c>
      <c r="F1994">
        <v>6424967978.9183998</v>
      </c>
      <c r="G1994">
        <v>4299071076.1885996</v>
      </c>
      <c r="H1994">
        <v>215252039.9655</v>
      </c>
      <c r="I1994">
        <v>1640443344.1110001</v>
      </c>
      <c r="J1994">
        <v>1117283838.5425999</v>
      </c>
      <c r="K1994">
        <v>1320723344.0896001</v>
      </c>
      <c r="L1994">
        <v>943153751.92949998</v>
      </c>
      <c r="M1994">
        <v>484522860.21600002</v>
      </c>
      <c r="N1994">
        <v>818051888.50349998</v>
      </c>
      <c r="O1994">
        <v>1352715121.2344</v>
      </c>
      <c r="P1994">
        <v>745</v>
      </c>
      <c r="Q1994" t="s">
        <v>4319</v>
      </c>
    </row>
    <row r="1995" spans="1:17" x14ac:dyDescent="0.3">
      <c r="A1995" t="s">
        <v>59</v>
      </c>
      <c r="B1995" t="str">
        <f>"300149"</f>
        <v>300149</v>
      </c>
      <c r="C1995" t="s">
        <v>4320</v>
      </c>
      <c r="D1995" t="s">
        <v>751</v>
      </c>
      <c r="F1995">
        <v>378219891</v>
      </c>
      <c r="G1995">
        <v>343160358</v>
      </c>
      <c r="H1995">
        <v>215069588</v>
      </c>
      <c r="I1995">
        <v>243186612</v>
      </c>
      <c r="J1995">
        <v>63433286</v>
      </c>
      <c r="K1995">
        <v>71256382</v>
      </c>
      <c r="L1995">
        <v>100685095</v>
      </c>
      <c r="M1995">
        <v>59633875</v>
      </c>
      <c r="N1995">
        <v>46320825</v>
      </c>
      <c r="O1995">
        <v>55090811</v>
      </c>
      <c r="P1995">
        <v>193</v>
      </c>
      <c r="Q1995" t="s">
        <v>4321</v>
      </c>
    </row>
    <row r="1996" spans="1:17" x14ac:dyDescent="0.3">
      <c r="A1996" t="s">
        <v>17</v>
      </c>
      <c r="B1996" t="str">
        <f>"600370"</f>
        <v>600370</v>
      </c>
      <c r="C1996" t="s">
        <v>4322</v>
      </c>
      <c r="D1996" t="s">
        <v>1725</v>
      </c>
      <c r="F1996">
        <v>-72694187</v>
      </c>
      <c r="G1996">
        <v>613675967</v>
      </c>
      <c r="H1996">
        <v>214387235</v>
      </c>
      <c r="I1996">
        <v>42395166</v>
      </c>
      <c r="J1996">
        <v>47713167</v>
      </c>
      <c r="K1996">
        <v>149931694</v>
      </c>
      <c r="L1996">
        <v>213254048</v>
      </c>
      <c r="M1996">
        <v>127686101</v>
      </c>
      <c r="N1996">
        <v>101682532</v>
      </c>
      <c r="O1996">
        <v>182734757</v>
      </c>
      <c r="P1996">
        <v>101</v>
      </c>
      <c r="Q1996" t="s">
        <v>4323</v>
      </c>
    </row>
    <row r="1997" spans="1:17" x14ac:dyDescent="0.3">
      <c r="A1997" t="s">
        <v>17</v>
      </c>
      <c r="B1997" t="str">
        <f>"603020"</f>
        <v>603020</v>
      </c>
      <c r="C1997" t="s">
        <v>4324</v>
      </c>
      <c r="D1997" t="s">
        <v>853</v>
      </c>
      <c r="F1997">
        <v>136869229</v>
      </c>
      <c r="G1997">
        <v>220238943</v>
      </c>
      <c r="H1997">
        <v>214374737</v>
      </c>
      <c r="I1997">
        <v>-36564954</v>
      </c>
      <c r="J1997">
        <v>47103293</v>
      </c>
      <c r="K1997">
        <v>157512556</v>
      </c>
      <c r="L1997">
        <v>188079404</v>
      </c>
      <c r="M1997">
        <v>117367128</v>
      </c>
      <c r="N1997">
        <v>145198992</v>
      </c>
      <c r="O1997">
        <v>128915557</v>
      </c>
      <c r="P1997">
        <v>195</v>
      </c>
      <c r="Q1997" t="s">
        <v>4325</v>
      </c>
    </row>
    <row r="1998" spans="1:17" x14ac:dyDescent="0.3">
      <c r="A1998" t="s">
        <v>17</v>
      </c>
      <c r="B1998" t="str">
        <f>"600480"</f>
        <v>600480</v>
      </c>
      <c r="C1998" t="s">
        <v>4326</v>
      </c>
      <c r="D1998" t="s">
        <v>1226</v>
      </c>
      <c r="F1998">
        <v>1176568319</v>
      </c>
      <c r="G1998">
        <v>659210072</v>
      </c>
      <c r="H1998">
        <v>214303008</v>
      </c>
      <c r="I1998">
        <v>342998381</v>
      </c>
      <c r="J1998">
        <v>762862827</v>
      </c>
      <c r="K1998">
        <v>559168547</v>
      </c>
      <c r="L1998">
        <v>555968420</v>
      </c>
      <c r="M1998">
        <v>742310461</v>
      </c>
      <c r="N1998">
        <v>230685793</v>
      </c>
      <c r="O1998">
        <v>465733750</v>
      </c>
      <c r="P1998">
        <v>171</v>
      </c>
      <c r="Q1998" t="s">
        <v>4327</v>
      </c>
    </row>
    <row r="1999" spans="1:17" x14ac:dyDescent="0.3">
      <c r="A1999" t="s">
        <v>17</v>
      </c>
      <c r="B1999" t="str">
        <f>"603967"</f>
        <v>603967</v>
      </c>
      <c r="C1999" t="s">
        <v>4328</v>
      </c>
      <c r="D1999" t="s">
        <v>677</v>
      </c>
      <c r="F1999">
        <v>65617987</v>
      </c>
      <c r="G1999">
        <v>184385053</v>
      </c>
      <c r="H1999">
        <v>214183911</v>
      </c>
      <c r="I1999">
        <v>106228836</v>
      </c>
      <c r="J1999">
        <v>224328687</v>
      </c>
      <c r="K1999">
        <v>210340843</v>
      </c>
      <c r="P1999">
        <v>85</v>
      </c>
      <c r="Q1999" t="s">
        <v>4329</v>
      </c>
    </row>
    <row r="2000" spans="1:17" x14ac:dyDescent="0.3">
      <c r="A2000" t="s">
        <v>59</v>
      </c>
      <c r="B2000" t="str">
        <f>"002455"</f>
        <v>002455</v>
      </c>
      <c r="C2000" t="s">
        <v>4330</v>
      </c>
      <c r="D2000" t="s">
        <v>1252</v>
      </c>
      <c r="F2000">
        <v>283768279</v>
      </c>
      <c r="G2000">
        <v>181784909</v>
      </c>
      <c r="H2000">
        <v>214126974</v>
      </c>
      <c r="I2000">
        <v>261609575</v>
      </c>
      <c r="J2000">
        <v>219050720</v>
      </c>
      <c r="K2000">
        <v>184104373</v>
      </c>
      <c r="L2000">
        <v>447296160</v>
      </c>
      <c r="M2000">
        <v>307025168</v>
      </c>
      <c r="N2000">
        <v>-112918783</v>
      </c>
      <c r="O2000">
        <v>-31967252</v>
      </c>
      <c r="P2000">
        <v>209</v>
      </c>
      <c r="Q2000" t="s">
        <v>4331</v>
      </c>
    </row>
    <row r="2001" spans="1:17" x14ac:dyDescent="0.3">
      <c r="A2001" t="s">
        <v>59</v>
      </c>
      <c r="B2001" t="str">
        <f>"300970"</f>
        <v>300970</v>
      </c>
      <c r="C2001" t="s">
        <v>4332</v>
      </c>
      <c r="D2001" t="s">
        <v>2476</v>
      </c>
      <c r="F2001">
        <v>83083401</v>
      </c>
      <c r="G2001">
        <v>199089626</v>
      </c>
      <c r="H2001">
        <v>213964464</v>
      </c>
      <c r="I2001">
        <v>100332290</v>
      </c>
      <c r="J2001">
        <v>113170668</v>
      </c>
      <c r="K2001">
        <v>108389190</v>
      </c>
      <c r="P2001">
        <v>25</v>
      </c>
      <c r="Q2001" t="s">
        <v>4333</v>
      </c>
    </row>
    <row r="2002" spans="1:17" x14ac:dyDescent="0.3">
      <c r="A2002" t="s">
        <v>59</v>
      </c>
      <c r="B2002" t="str">
        <f>"300130"</f>
        <v>300130</v>
      </c>
      <c r="C2002" t="s">
        <v>4334</v>
      </c>
      <c r="D2002" t="s">
        <v>707</v>
      </c>
      <c r="F2002">
        <v>233266244</v>
      </c>
      <c r="G2002">
        <v>345025711</v>
      </c>
      <c r="H2002">
        <v>213866615</v>
      </c>
      <c r="I2002">
        <v>285300644</v>
      </c>
      <c r="J2002">
        <v>47093882</v>
      </c>
      <c r="K2002">
        <v>256311918</v>
      </c>
      <c r="L2002">
        <v>264400847</v>
      </c>
      <c r="M2002">
        <v>-3867313</v>
      </c>
      <c r="N2002">
        <v>35329141</v>
      </c>
      <c r="O2002">
        <v>-38725834</v>
      </c>
      <c r="P2002">
        <v>202</v>
      </c>
      <c r="Q2002" t="s">
        <v>4335</v>
      </c>
    </row>
    <row r="2003" spans="1:17" x14ac:dyDescent="0.3">
      <c r="A2003" t="s">
        <v>59</v>
      </c>
      <c r="B2003" t="str">
        <f>"002940"</f>
        <v>002940</v>
      </c>
      <c r="C2003" t="s">
        <v>4336</v>
      </c>
      <c r="D2003" t="s">
        <v>592</v>
      </c>
      <c r="F2003">
        <v>197652364</v>
      </c>
      <c r="G2003">
        <v>198612986</v>
      </c>
      <c r="H2003">
        <v>213493104</v>
      </c>
      <c r="I2003">
        <v>133612108</v>
      </c>
      <c r="J2003">
        <v>193773171</v>
      </c>
      <c r="K2003">
        <v>141744623</v>
      </c>
      <c r="L2003">
        <v>138588382</v>
      </c>
      <c r="P2003">
        <v>148</v>
      </c>
      <c r="Q2003" t="s">
        <v>4337</v>
      </c>
    </row>
    <row r="2004" spans="1:17" x14ac:dyDescent="0.3">
      <c r="A2004" t="s">
        <v>59</v>
      </c>
      <c r="B2004" t="str">
        <f>"000716"</f>
        <v>000716</v>
      </c>
      <c r="C2004" t="s">
        <v>4338</v>
      </c>
      <c r="D2004" t="s">
        <v>1868</v>
      </c>
      <c r="F2004">
        <v>579194067</v>
      </c>
      <c r="G2004">
        <v>386644131</v>
      </c>
      <c r="H2004">
        <v>213384926</v>
      </c>
      <c r="I2004">
        <v>172701509</v>
      </c>
      <c r="J2004">
        <v>381832147</v>
      </c>
      <c r="K2004">
        <v>-68547112</v>
      </c>
      <c r="L2004">
        <v>161202028</v>
      </c>
      <c r="M2004">
        <v>-33838735</v>
      </c>
      <c r="N2004">
        <v>107482856</v>
      </c>
      <c r="O2004">
        <v>40903450</v>
      </c>
      <c r="P2004">
        <v>163</v>
      </c>
      <c r="Q2004" t="s">
        <v>4339</v>
      </c>
    </row>
    <row r="2005" spans="1:17" x14ac:dyDescent="0.3">
      <c r="A2005" t="s">
        <v>17</v>
      </c>
      <c r="B2005" t="str">
        <f>"600866"</f>
        <v>600866</v>
      </c>
      <c r="C2005" t="s">
        <v>4340</v>
      </c>
      <c r="D2005" t="s">
        <v>853</v>
      </c>
      <c r="F2005">
        <v>192629098</v>
      </c>
      <c r="G2005">
        <v>249985729</v>
      </c>
      <c r="H2005">
        <v>213169118</v>
      </c>
      <c r="I2005">
        <v>50686253</v>
      </c>
      <c r="J2005">
        <v>40050035</v>
      </c>
      <c r="K2005">
        <v>41169385</v>
      </c>
      <c r="L2005">
        <v>2745292</v>
      </c>
      <c r="M2005">
        <v>-20224407</v>
      </c>
      <c r="N2005">
        <v>-28161902</v>
      </c>
      <c r="O2005">
        <v>-276017973</v>
      </c>
      <c r="P2005">
        <v>143</v>
      </c>
      <c r="Q2005" t="s">
        <v>4341</v>
      </c>
    </row>
    <row r="2006" spans="1:17" x14ac:dyDescent="0.3">
      <c r="A2006" t="s">
        <v>17</v>
      </c>
      <c r="B2006" t="str">
        <f>"603155"</f>
        <v>603155</v>
      </c>
      <c r="C2006" t="s">
        <v>4342</v>
      </c>
      <c r="D2006" t="s">
        <v>1900</v>
      </c>
      <c r="F2006">
        <v>190468110</v>
      </c>
      <c r="G2006">
        <v>153571837</v>
      </c>
      <c r="H2006">
        <v>212861517</v>
      </c>
      <c r="I2006">
        <v>178664239</v>
      </c>
      <c r="J2006">
        <v>62328323</v>
      </c>
      <c r="P2006">
        <v>76</v>
      </c>
      <c r="Q2006" t="s">
        <v>4343</v>
      </c>
    </row>
    <row r="2007" spans="1:17" x14ac:dyDescent="0.3">
      <c r="A2007" t="s">
        <v>59</v>
      </c>
      <c r="B2007" t="str">
        <f>"300108"</f>
        <v>300108</v>
      </c>
      <c r="C2007" t="s">
        <v>4344</v>
      </c>
      <c r="D2007" t="s">
        <v>455</v>
      </c>
      <c r="G2007">
        <v>-141792383</v>
      </c>
      <c r="H2007">
        <v>212689512</v>
      </c>
      <c r="I2007">
        <v>43181115</v>
      </c>
      <c r="J2007">
        <v>48900018</v>
      </c>
      <c r="K2007">
        <v>102120357</v>
      </c>
      <c r="L2007">
        <v>171166308</v>
      </c>
      <c r="M2007">
        <v>85691948</v>
      </c>
      <c r="N2007">
        <v>18129279</v>
      </c>
      <c r="O2007">
        <v>12476704</v>
      </c>
      <c r="P2007">
        <v>121</v>
      </c>
      <c r="Q2007" t="s">
        <v>4345</v>
      </c>
    </row>
    <row r="2008" spans="1:17" x14ac:dyDescent="0.3">
      <c r="A2008" t="s">
        <v>59</v>
      </c>
      <c r="B2008" t="str">
        <f>"200019"</f>
        <v>200019</v>
      </c>
      <c r="C2008" t="s">
        <v>4346</v>
      </c>
      <c r="F2008">
        <v>538516265.48399997</v>
      </c>
      <c r="G2008">
        <v>339851124.1142</v>
      </c>
      <c r="H2008">
        <v>212575202.14399999</v>
      </c>
      <c r="I2008">
        <v>340529489.58600003</v>
      </c>
      <c r="J2008">
        <v>-113916495.71879999</v>
      </c>
      <c r="K2008">
        <v>68914822.001599997</v>
      </c>
      <c r="L2008">
        <v>-54866139.339299999</v>
      </c>
      <c r="M2008">
        <v>31814067.244800001</v>
      </c>
      <c r="N2008">
        <v>-15275095.528000001</v>
      </c>
      <c r="O2008">
        <v>-60281650.886799999</v>
      </c>
      <c r="P2008">
        <v>23</v>
      </c>
      <c r="Q2008" t="s">
        <v>4347</v>
      </c>
    </row>
    <row r="2009" spans="1:17" x14ac:dyDescent="0.3">
      <c r="A2009" t="s">
        <v>17</v>
      </c>
      <c r="B2009" t="str">
        <f>"603713"</f>
        <v>603713</v>
      </c>
      <c r="C2009" t="s">
        <v>4348</v>
      </c>
      <c r="D2009" t="s">
        <v>1734</v>
      </c>
      <c r="F2009">
        <v>202545286</v>
      </c>
      <c r="G2009">
        <v>338555756</v>
      </c>
      <c r="H2009">
        <v>212514355</v>
      </c>
      <c r="I2009">
        <v>130144170</v>
      </c>
      <c r="J2009">
        <v>143437366</v>
      </c>
      <c r="K2009">
        <v>15204386</v>
      </c>
      <c r="L2009">
        <v>34210461</v>
      </c>
      <c r="P2009">
        <v>457</v>
      </c>
      <c r="Q2009" t="s">
        <v>4349</v>
      </c>
    </row>
    <row r="2010" spans="1:17" x14ac:dyDescent="0.3">
      <c r="A2010" t="s">
        <v>59</v>
      </c>
      <c r="B2010" t="str">
        <f>"002171"</f>
        <v>002171</v>
      </c>
      <c r="C2010" t="s">
        <v>4350</v>
      </c>
      <c r="D2010" t="s">
        <v>259</v>
      </c>
      <c r="F2010">
        <v>-125333605</v>
      </c>
      <c r="G2010">
        <v>-418721874</v>
      </c>
      <c r="H2010">
        <v>212349079</v>
      </c>
      <c r="I2010">
        <v>179150823</v>
      </c>
      <c r="J2010">
        <v>123562669</v>
      </c>
      <c r="K2010">
        <v>-94007494</v>
      </c>
      <c r="L2010">
        <v>371201616</v>
      </c>
      <c r="M2010">
        <v>192028558</v>
      </c>
      <c r="N2010">
        <v>145243253</v>
      </c>
      <c r="O2010">
        <v>-207537583</v>
      </c>
      <c r="P2010">
        <v>237</v>
      </c>
      <c r="Q2010" t="s">
        <v>4351</v>
      </c>
    </row>
    <row r="2011" spans="1:17" x14ac:dyDescent="0.3">
      <c r="A2011" t="s">
        <v>17</v>
      </c>
      <c r="B2011" t="str">
        <f>"605218"</f>
        <v>605218</v>
      </c>
      <c r="C2011" t="s">
        <v>4352</v>
      </c>
      <c r="D2011" t="s">
        <v>139</v>
      </c>
      <c r="F2011">
        <v>18889673</v>
      </c>
      <c r="G2011">
        <v>-6403177</v>
      </c>
      <c r="H2011">
        <v>212284691</v>
      </c>
      <c r="I2011">
        <v>114794240</v>
      </c>
      <c r="J2011">
        <v>158779635</v>
      </c>
      <c r="K2011">
        <v>76337553</v>
      </c>
      <c r="P2011">
        <v>56</v>
      </c>
      <c r="Q2011" t="s">
        <v>4353</v>
      </c>
    </row>
    <row r="2012" spans="1:17" x14ac:dyDescent="0.3">
      <c r="A2012" t="s">
        <v>59</v>
      </c>
      <c r="B2012" t="str">
        <f>"300882"</f>
        <v>300882</v>
      </c>
      <c r="C2012" t="s">
        <v>4354</v>
      </c>
      <c r="D2012" t="s">
        <v>1828</v>
      </c>
      <c r="F2012">
        <v>121737079</v>
      </c>
      <c r="G2012">
        <v>-100596250</v>
      </c>
      <c r="H2012">
        <v>211848280</v>
      </c>
      <c r="I2012">
        <v>63002261</v>
      </c>
      <c r="J2012">
        <v>114994576</v>
      </c>
      <c r="K2012">
        <v>83911587</v>
      </c>
      <c r="P2012">
        <v>41</v>
      </c>
      <c r="Q2012" t="s">
        <v>4355</v>
      </c>
    </row>
    <row r="2013" spans="1:17" x14ac:dyDescent="0.3">
      <c r="A2013" t="s">
        <v>17</v>
      </c>
      <c r="B2013" t="str">
        <f>"603728"</f>
        <v>603728</v>
      </c>
      <c r="C2013" t="s">
        <v>4356</v>
      </c>
      <c r="D2013" t="s">
        <v>1556</v>
      </c>
      <c r="F2013">
        <v>223021999</v>
      </c>
      <c r="G2013">
        <v>330327492</v>
      </c>
      <c r="H2013">
        <v>211686361</v>
      </c>
      <c r="I2013">
        <v>113820568</v>
      </c>
      <c r="J2013">
        <v>146706127</v>
      </c>
      <c r="K2013">
        <v>131639680</v>
      </c>
      <c r="L2013">
        <v>135422157</v>
      </c>
      <c r="M2013">
        <v>106674951</v>
      </c>
      <c r="P2013">
        <v>310</v>
      </c>
      <c r="Q2013" t="s">
        <v>4357</v>
      </c>
    </row>
    <row r="2014" spans="1:17" x14ac:dyDescent="0.3">
      <c r="A2014" t="s">
        <v>59</v>
      </c>
      <c r="B2014" t="str">
        <f>"300395"</f>
        <v>300395</v>
      </c>
      <c r="C2014" t="s">
        <v>4358</v>
      </c>
      <c r="D2014" t="s">
        <v>448</v>
      </c>
      <c r="F2014">
        <v>294107735</v>
      </c>
      <c r="G2014">
        <v>188930850</v>
      </c>
      <c r="H2014">
        <v>211624041</v>
      </c>
      <c r="I2014">
        <v>94917376</v>
      </c>
      <c r="J2014">
        <v>116917862</v>
      </c>
      <c r="K2014">
        <v>104914946</v>
      </c>
      <c r="L2014">
        <v>91666365</v>
      </c>
      <c r="M2014">
        <v>35518608</v>
      </c>
      <c r="N2014">
        <v>60551791</v>
      </c>
      <c r="O2014">
        <v>78972481</v>
      </c>
      <c r="P2014">
        <v>553</v>
      </c>
      <c r="Q2014" t="s">
        <v>4359</v>
      </c>
    </row>
    <row r="2015" spans="1:17" x14ac:dyDescent="0.3">
      <c r="A2015" t="s">
        <v>17</v>
      </c>
      <c r="B2015" t="str">
        <f>"603230"</f>
        <v>603230</v>
      </c>
      <c r="C2015" t="s">
        <v>4360</v>
      </c>
      <c r="D2015" t="s">
        <v>721</v>
      </c>
      <c r="F2015">
        <v>371579577</v>
      </c>
      <c r="G2015">
        <v>372771776</v>
      </c>
      <c r="H2015">
        <v>211283218</v>
      </c>
      <c r="I2015">
        <v>270764041</v>
      </c>
      <c r="J2015">
        <v>163258800</v>
      </c>
      <c r="P2015">
        <v>17</v>
      </c>
      <c r="Q2015" t="s">
        <v>4361</v>
      </c>
    </row>
    <row r="2016" spans="1:17" x14ac:dyDescent="0.3">
      <c r="A2016" t="s">
        <v>59</v>
      </c>
      <c r="B2016" t="str">
        <f>"002882"</f>
        <v>002882</v>
      </c>
      <c r="C2016" t="s">
        <v>4362</v>
      </c>
      <c r="D2016" t="s">
        <v>1065</v>
      </c>
      <c r="F2016">
        <v>-608185370</v>
      </c>
      <c r="G2016">
        <v>80549439</v>
      </c>
      <c r="H2016">
        <v>211207810</v>
      </c>
      <c r="I2016">
        <v>-52642849</v>
      </c>
      <c r="J2016">
        <v>-96951299</v>
      </c>
      <c r="K2016">
        <v>175939792</v>
      </c>
      <c r="L2016">
        <v>24852236</v>
      </c>
      <c r="M2016">
        <v>77245164</v>
      </c>
      <c r="P2016">
        <v>118</v>
      </c>
      <c r="Q2016" t="s">
        <v>4363</v>
      </c>
    </row>
    <row r="2017" spans="1:17" x14ac:dyDescent="0.3">
      <c r="A2017" t="s">
        <v>17</v>
      </c>
      <c r="B2017" t="str">
        <f>"688234"</f>
        <v>688234</v>
      </c>
      <c r="C2017" t="s">
        <v>4364</v>
      </c>
      <c r="D2017" t="s">
        <v>874</v>
      </c>
      <c r="F2017">
        <v>110700260</v>
      </c>
      <c r="G2017">
        <v>-122017640</v>
      </c>
      <c r="H2017">
        <v>211090306</v>
      </c>
      <c r="I2017">
        <v>154690438</v>
      </c>
      <c r="P2017">
        <v>32</v>
      </c>
      <c r="Q2017" t="s">
        <v>4365</v>
      </c>
    </row>
    <row r="2018" spans="1:17" x14ac:dyDescent="0.3">
      <c r="A2018" t="s">
        <v>17</v>
      </c>
      <c r="B2018" t="str">
        <f>"600822"</f>
        <v>600822</v>
      </c>
      <c r="C2018" t="s">
        <v>4366</v>
      </c>
      <c r="D2018" t="s">
        <v>337</v>
      </c>
      <c r="F2018">
        <v>-30611587</v>
      </c>
      <c r="G2018">
        <v>203481047</v>
      </c>
      <c r="H2018">
        <v>211008291</v>
      </c>
      <c r="I2018">
        <v>-157748125</v>
      </c>
      <c r="J2018">
        <v>70174438</v>
      </c>
      <c r="K2018">
        <v>-218416056</v>
      </c>
      <c r="L2018">
        <v>270237758</v>
      </c>
      <c r="M2018">
        <v>479838777</v>
      </c>
      <c r="N2018">
        <v>1295616440</v>
      </c>
      <c r="O2018">
        <v>-1254140743</v>
      </c>
      <c r="P2018">
        <v>75</v>
      </c>
      <c r="Q2018" t="s">
        <v>4367</v>
      </c>
    </row>
    <row r="2019" spans="1:17" x14ac:dyDescent="0.3">
      <c r="A2019" t="s">
        <v>59</v>
      </c>
      <c r="B2019" t="str">
        <f>"002516"</f>
        <v>002516</v>
      </c>
      <c r="C2019" t="s">
        <v>4368</v>
      </c>
      <c r="D2019" t="s">
        <v>289</v>
      </c>
      <c r="F2019">
        <v>148898015</v>
      </c>
      <c r="G2019">
        <v>256779363</v>
      </c>
      <c r="H2019">
        <v>210996795</v>
      </c>
      <c r="I2019">
        <v>228420093</v>
      </c>
      <c r="J2019">
        <v>785343981</v>
      </c>
      <c r="K2019">
        <v>386343963</v>
      </c>
      <c r="L2019">
        <v>157055208</v>
      </c>
      <c r="M2019">
        <v>135319640</v>
      </c>
      <c r="N2019">
        <v>112159712</v>
      </c>
      <c r="O2019">
        <v>197495035</v>
      </c>
      <c r="P2019">
        <v>160</v>
      </c>
      <c r="Q2019" t="s">
        <v>4369</v>
      </c>
    </row>
    <row r="2020" spans="1:17" x14ac:dyDescent="0.3">
      <c r="A2020" t="s">
        <v>59</v>
      </c>
      <c r="B2020" t="str">
        <f>"300403"</f>
        <v>300403</v>
      </c>
      <c r="C2020" t="s">
        <v>4370</v>
      </c>
      <c r="D2020" t="s">
        <v>1087</v>
      </c>
      <c r="F2020">
        <v>163319836</v>
      </c>
      <c r="G2020">
        <v>187054733</v>
      </c>
      <c r="H2020">
        <v>210913291</v>
      </c>
      <c r="I2020">
        <v>104314165</v>
      </c>
      <c r="J2020">
        <v>195078461</v>
      </c>
      <c r="K2020">
        <v>168817945</v>
      </c>
      <c r="L2020">
        <v>171542540</v>
      </c>
      <c r="M2020">
        <v>91554196</v>
      </c>
      <c r="N2020">
        <v>109206781</v>
      </c>
      <c r="O2020">
        <v>99637564</v>
      </c>
      <c r="P2020">
        <v>253</v>
      </c>
      <c r="Q2020" t="s">
        <v>4371</v>
      </c>
    </row>
    <row r="2021" spans="1:17" x14ac:dyDescent="0.3">
      <c r="A2021" t="s">
        <v>59</v>
      </c>
      <c r="B2021" t="str">
        <f>"002566"</f>
        <v>002566</v>
      </c>
      <c r="C2021" t="s">
        <v>4372</v>
      </c>
      <c r="D2021" t="s">
        <v>455</v>
      </c>
      <c r="F2021">
        <v>215100715</v>
      </c>
      <c r="G2021">
        <v>203514967</v>
      </c>
      <c r="H2021">
        <v>210871995</v>
      </c>
      <c r="I2021">
        <v>167318428</v>
      </c>
      <c r="J2021">
        <v>270654342</v>
      </c>
      <c r="K2021">
        <v>-17522393</v>
      </c>
      <c r="L2021">
        <v>-324292067</v>
      </c>
      <c r="M2021">
        <v>-592063521</v>
      </c>
      <c r="N2021">
        <v>-188453470</v>
      </c>
      <c r="O2021">
        <v>79078594</v>
      </c>
      <c r="P2021">
        <v>134</v>
      </c>
      <c r="Q2021" t="s">
        <v>4373</v>
      </c>
    </row>
    <row r="2022" spans="1:17" x14ac:dyDescent="0.3">
      <c r="A2022" t="s">
        <v>17</v>
      </c>
      <c r="B2022" t="str">
        <f>"600748"</f>
        <v>600748</v>
      </c>
      <c r="C2022" t="s">
        <v>4374</v>
      </c>
      <c r="D2022" t="s">
        <v>61</v>
      </c>
      <c r="F2022">
        <v>-3553149888</v>
      </c>
      <c r="G2022">
        <v>814435135</v>
      </c>
      <c r="H2022">
        <v>210644181</v>
      </c>
      <c r="I2022">
        <v>2047503235</v>
      </c>
      <c r="J2022">
        <v>617499640</v>
      </c>
      <c r="K2022">
        <v>5653170393</v>
      </c>
      <c r="L2022">
        <v>-1350128388</v>
      </c>
      <c r="M2022">
        <v>-1920123288</v>
      </c>
      <c r="N2022">
        <v>2323245841</v>
      </c>
      <c r="O2022">
        <v>143885163</v>
      </c>
      <c r="P2022">
        <v>188</v>
      </c>
      <c r="Q2022" t="s">
        <v>4375</v>
      </c>
    </row>
    <row r="2023" spans="1:17" x14ac:dyDescent="0.3">
      <c r="A2023" t="s">
        <v>17</v>
      </c>
      <c r="B2023" t="str">
        <f>"688033"</f>
        <v>688033</v>
      </c>
      <c r="C2023" t="s">
        <v>4376</v>
      </c>
      <c r="D2023" t="s">
        <v>165</v>
      </c>
      <c r="F2023">
        <v>15016189</v>
      </c>
      <c r="G2023">
        <v>190377928</v>
      </c>
      <c r="H2023">
        <v>210411801</v>
      </c>
      <c r="I2023">
        <v>243993192</v>
      </c>
      <c r="J2023">
        <v>134538419</v>
      </c>
      <c r="K2023">
        <v>92617795</v>
      </c>
      <c r="P2023">
        <v>86</v>
      </c>
      <c r="Q2023" t="s">
        <v>4377</v>
      </c>
    </row>
    <row r="2024" spans="1:17" x14ac:dyDescent="0.3">
      <c r="A2024" t="s">
        <v>59</v>
      </c>
      <c r="B2024" t="str">
        <f>"002810"</f>
        <v>002810</v>
      </c>
      <c r="C2024" t="s">
        <v>4378</v>
      </c>
      <c r="D2024" t="s">
        <v>1252</v>
      </c>
      <c r="F2024">
        <v>455552881</v>
      </c>
      <c r="G2024">
        <v>387177261</v>
      </c>
      <c r="H2024">
        <v>210256275</v>
      </c>
      <c r="I2024">
        <v>97514530</v>
      </c>
      <c r="J2024">
        <v>66089108</v>
      </c>
      <c r="K2024">
        <v>44995150</v>
      </c>
      <c r="L2024">
        <v>65823012</v>
      </c>
      <c r="M2024">
        <v>80540890</v>
      </c>
      <c r="N2024">
        <v>58410028</v>
      </c>
      <c r="P2024">
        <v>419</v>
      </c>
      <c r="Q2024" t="s">
        <v>4379</v>
      </c>
    </row>
    <row r="2025" spans="1:17" x14ac:dyDescent="0.3">
      <c r="A2025" t="s">
        <v>59</v>
      </c>
      <c r="B2025" t="str">
        <f>"300057"</f>
        <v>300057</v>
      </c>
      <c r="C2025" t="s">
        <v>4380</v>
      </c>
      <c r="D2025" t="s">
        <v>238</v>
      </c>
      <c r="F2025">
        <v>143948320</v>
      </c>
      <c r="G2025">
        <v>316962629</v>
      </c>
      <c r="H2025">
        <v>210081530</v>
      </c>
      <c r="I2025">
        <v>386474959</v>
      </c>
      <c r="J2025">
        <v>312743831</v>
      </c>
      <c r="K2025">
        <v>126654646</v>
      </c>
      <c r="L2025">
        <v>358475748</v>
      </c>
      <c r="M2025">
        <v>152057908</v>
      </c>
      <c r="N2025">
        <v>98617649</v>
      </c>
      <c r="O2025">
        <v>244997704</v>
      </c>
      <c r="P2025">
        <v>438</v>
      </c>
      <c r="Q2025" t="s">
        <v>4381</v>
      </c>
    </row>
    <row r="2026" spans="1:17" x14ac:dyDescent="0.3">
      <c r="A2026" t="s">
        <v>59</v>
      </c>
      <c r="B2026" t="str">
        <f>"300531"</f>
        <v>300531</v>
      </c>
      <c r="C2026" t="s">
        <v>4382</v>
      </c>
      <c r="D2026" t="s">
        <v>707</v>
      </c>
      <c r="F2026">
        <v>151173150</v>
      </c>
      <c r="G2026">
        <v>125575788</v>
      </c>
      <c r="H2026">
        <v>209983213</v>
      </c>
      <c r="I2026">
        <v>-27279864</v>
      </c>
      <c r="J2026">
        <v>57967969</v>
      </c>
      <c r="K2026">
        <v>31661674</v>
      </c>
      <c r="L2026">
        <v>46909705</v>
      </c>
      <c r="M2026">
        <v>-18759497</v>
      </c>
      <c r="N2026">
        <v>6214925</v>
      </c>
      <c r="P2026">
        <v>173</v>
      </c>
      <c r="Q2026" t="s">
        <v>4383</v>
      </c>
    </row>
    <row r="2027" spans="1:17" x14ac:dyDescent="0.3">
      <c r="A2027" t="s">
        <v>17</v>
      </c>
      <c r="B2027" t="str">
        <f>"600076"</f>
        <v>600076</v>
      </c>
      <c r="C2027" t="s">
        <v>4384</v>
      </c>
      <c r="D2027" t="s">
        <v>1791</v>
      </c>
      <c r="F2027">
        <v>-186049202</v>
      </c>
      <c r="G2027">
        <v>-468688450</v>
      </c>
      <c r="H2027">
        <v>209683553</v>
      </c>
      <c r="I2027">
        <v>520283054</v>
      </c>
      <c r="J2027">
        <v>232331887</v>
      </c>
      <c r="K2027">
        <v>167436904</v>
      </c>
      <c r="L2027">
        <v>50900741</v>
      </c>
      <c r="M2027">
        <v>-97346347</v>
      </c>
      <c r="N2027">
        <v>-34041966</v>
      </c>
      <c r="O2027">
        <v>-13569011</v>
      </c>
      <c r="P2027">
        <v>200</v>
      </c>
      <c r="Q2027" t="s">
        <v>4385</v>
      </c>
    </row>
    <row r="2028" spans="1:17" x14ac:dyDescent="0.3">
      <c r="A2028" t="s">
        <v>59</v>
      </c>
      <c r="B2028" t="str">
        <f>"002187"</f>
        <v>002187</v>
      </c>
      <c r="C2028" t="s">
        <v>4386</v>
      </c>
      <c r="D2028" t="s">
        <v>1361</v>
      </c>
      <c r="F2028">
        <v>522435407</v>
      </c>
      <c r="G2028">
        <v>20474040</v>
      </c>
      <c r="H2028">
        <v>209588880</v>
      </c>
      <c r="I2028">
        <v>216753180</v>
      </c>
      <c r="J2028">
        <v>196710767</v>
      </c>
      <c r="K2028">
        <v>272543480</v>
      </c>
      <c r="L2028">
        <v>92683807</v>
      </c>
      <c r="M2028">
        <v>68197887</v>
      </c>
      <c r="N2028">
        <v>396514592</v>
      </c>
      <c r="O2028">
        <v>509191907</v>
      </c>
      <c r="P2028">
        <v>147</v>
      </c>
      <c r="Q2028" t="s">
        <v>4387</v>
      </c>
    </row>
    <row r="2029" spans="1:17" x14ac:dyDescent="0.3">
      <c r="A2029" t="s">
        <v>17</v>
      </c>
      <c r="B2029" t="str">
        <f>"603598"</f>
        <v>603598</v>
      </c>
      <c r="C2029" t="s">
        <v>4388</v>
      </c>
      <c r="D2029" t="s">
        <v>1889</v>
      </c>
      <c r="F2029">
        <v>183327838</v>
      </c>
      <c r="G2029">
        <v>-23373540</v>
      </c>
      <c r="H2029">
        <v>209556631</v>
      </c>
      <c r="I2029">
        <v>12093036</v>
      </c>
      <c r="J2029">
        <v>100164648</v>
      </c>
      <c r="K2029">
        <v>122914348</v>
      </c>
      <c r="L2029">
        <v>-210293313</v>
      </c>
      <c r="M2029">
        <v>71319274</v>
      </c>
      <c r="N2029">
        <v>40327115</v>
      </c>
      <c r="O2029">
        <v>13902492</v>
      </c>
      <c r="P2029">
        <v>113</v>
      </c>
      <c r="Q2029" t="s">
        <v>4389</v>
      </c>
    </row>
    <row r="2030" spans="1:17" x14ac:dyDescent="0.3">
      <c r="A2030" t="s">
        <v>17</v>
      </c>
      <c r="B2030" t="str">
        <f>"603966"</f>
        <v>603966</v>
      </c>
      <c r="C2030" t="s">
        <v>4390</v>
      </c>
      <c r="D2030" t="s">
        <v>741</v>
      </c>
      <c r="F2030">
        <v>133750352</v>
      </c>
      <c r="G2030">
        <v>196914187</v>
      </c>
      <c r="H2030">
        <v>209395906</v>
      </c>
      <c r="I2030">
        <v>110829045</v>
      </c>
      <c r="J2030">
        <v>36421899</v>
      </c>
      <c r="K2030">
        <v>30673085</v>
      </c>
      <c r="L2030">
        <v>21362401</v>
      </c>
      <c r="M2030">
        <v>85623170</v>
      </c>
      <c r="N2030">
        <v>63289943</v>
      </c>
      <c r="P2030">
        <v>122</v>
      </c>
      <c r="Q2030" t="s">
        <v>4391</v>
      </c>
    </row>
    <row r="2031" spans="1:17" x14ac:dyDescent="0.3">
      <c r="A2031" t="s">
        <v>17</v>
      </c>
      <c r="B2031" t="str">
        <f>"603277"</f>
        <v>603277</v>
      </c>
      <c r="C2031" t="s">
        <v>4392</v>
      </c>
      <c r="D2031" t="s">
        <v>3158</v>
      </c>
      <c r="F2031">
        <v>82855299</v>
      </c>
      <c r="G2031">
        <v>280410661</v>
      </c>
      <c r="H2031">
        <v>209067375</v>
      </c>
      <c r="I2031">
        <v>153527667</v>
      </c>
      <c r="J2031">
        <v>171270945</v>
      </c>
      <c r="K2031">
        <v>211644088</v>
      </c>
      <c r="L2031">
        <v>145281338</v>
      </c>
      <c r="M2031">
        <v>94565420</v>
      </c>
      <c r="P2031">
        <v>136</v>
      </c>
      <c r="Q2031" t="s">
        <v>4393</v>
      </c>
    </row>
    <row r="2032" spans="1:17" x14ac:dyDescent="0.3">
      <c r="A2032" t="s">
        <v>17</v>
      </c>
      <c r="B2032" t="str">
        <f>"688088"</f>
        <v>688088</v>
      </c>
      <c r="C2032" t="s">
        <v>4394</v>
      </c>
      <c r="D2032" t="s">
        <v>1189</v>
      </c>
      <c r="F2032">
        <v>190762885</v>
      </c>
      <c r="G2032">
        <v>127865818</v>
      </c>
      <c r="H2032">
        <v>208944321</v>
      </c>
      <c r="I2032">
        <v>248167992</v>
      </c>
      <c r="J2032">
        <v>82970849</v>
      </c>
      <c r="K2032">
        <v>-15387384</v>
      </c>
      <c r="P2032">
        <v>271</v>
      </c>
      <c r="Q2032" t="s">
        <v>4395</v>
      </c>
    </row>
    <row r="2033" spans="1:17" x14ac:dyDescent="0.3">
      <c r="A2033" t="s">
        <v>17</v>
      </c>
      <c r="B2033" t="str">
        <f>"600416"</f>
        <v>600416</v>
      </c>
      <c r="C2033" t="s">
        <v>4396</v>
      </c>
      <c r="D2033" t="s">
        <v>403</v>
      </c>
      <c r="F2033">
        <v>-85126631</v>
      </c>
      <c r="G2033">
        <v>83520569</v>
      </c>
      <c r="H2033">
        <v>208920804</v>
      </c>
      <c r="I2033">
        <v>24000814</v>
      </c>
      <c r="J2033">
        <v>92216084</v>
      </c>
      <c r="K2033">
        <v>289358798</v>
      </c>
      <c r="L2033">
        <v>302938813</v>
      </c>
      <c r="M2033">
        <v>138580027</v>
      </c>
      <c r="N2033">
        <v>-317924482</v>
      </c>
      <c r="O2033">
        <v>-1577207091</v>
      </c>
      <c r="P2033">
        <v>149</v>
      </c>
      <c r="Q2033" t="s">
        <v>4397</v>
      </c>
    </row>
    <row r="2034" spans="1:17" x14ac:dyDescent="0.3">
      <c r="A2034" t="s">
        <v>59</v>
      </c>
      <c r="B2034" t="str">
        <f>"300477"</f>
        <v>300477</v>
      </c>
      <c r="C2034" t="s">
        <v>4398</v>
      </c>
      <c r="D2034" t="s">
        <v>560</v>
      </c>
      <c r="F2034">
        <v>-220119359</v>
      </c>
      <c r="G2034">
        <v>226629246</v>
      </c>
      <c r="H2034">
        <v>208889732</v>
      </c>
      <c r="I2034">
        <v>-181883238</v>
      </c>
      <c r="J2034">
        <v>89140724</v>
      </c>
      <c r="K2034">
        <v>42357287</v>
      </c>
      <c r="L2034">
        <v>30171391</v>
      </c>
      <c r="M2034">
        <v>18973010</v>
      </c>
      <c r="N2034">
        <v>65768013</v>
      </c>
      <c r="O2034">
        <v>118478534</v>
      </c>
      <c r="P2034">
        <v>100</v>
      </c>
      <c r="Q2034" t="s">
        <v>4399</v>
      </c>
    </row>
    <row r="2035" spans="1:17" x14ac:dyDescent="0.3">
      <c r="A2035" t="s">
        <v>59</v>
      </c>
      <c r="B2035" t="str">
        <f>"002564"</f>
        <v>002564</v>
      </c>
      <c r="C2035" t="s">
        <v>4400</v>
      </c>
      <c r="D2035" t="s">
        <v>741</v>
      </c>
      <c r="F2035">
        <v>-615484148</v>
      </c>
      <c r="G2035">
        <v>49152731</v>
      </c>
      <c r="H2035">
        <v>208064967</v>
      </c>
      <c r="I2035">
        <v>-2306825649</v>
      </c>
      <c r="J2035">
        <v>-509572372</v>
      </c>
      <c r="K2035">
        <v>266619897</v>
      </c>
      <c r="L2035">
        <v>133958958</v>
      </c>
      <c r="M2035">
        <v>-219507901</v>
      </c>
      <c r="N2035">
        <v>-290868041</v>
      </c>
      <c r="O2035">
        <v>-274704762</v>
      </c>
      <c r="P2035">
        <v>130</v>
      </c>
      <c r="Q2035" t="s">
        <v>4401</v>
      </c>
    </row>
    <row r="2036" spans="1:17" x14ac:dyDescent="0.3">
      <c r="A2036" t="s">
        <v>17</v>
      </c>
      <c r="B2036" t="str">
        <f>"603896"</f>
        <v>603896</v>
      </c>
      <c r="C2036" t="s">
        <v>4402</v>
      </c>
      <c r="D2036" t="s">
        <v>455</v>
      </c>
      <c r="F2036">
        <v>296699128</v>
      </c>
      <c r="G2036">
        <v>256358638</v>
      </c>
      <c r="H2036">
        <v>207918193</v>
      </c>
      <c r="I2036">
        <v>171513112</v>
      </c>
      <c r="J2036">
        <v>110803595</v>
      </c>
      <c r="K2036">
        <v>95516877</v>
      </c>
      <c r="L2036">
        <v>85029301</v>
      </c>
      <c r="M2036">
        <v>102899076</v>
      </c>
      <c r="P2036">
        <v>230</v>
      </c>
      <c r="Q2036" t="s">
        <v>4403</v>
      </c>
    </row>
    <row r="2037" spans="1:17" x14ac:dyDescent="0.3">
      <c r="A2037" t="s">
        <v>17</v>
      </c>
      <c r="B2037" t="str">
        <f>"600366"</f>
        <v>600366</v>
      </c>
      <c r="C2037" t="s">
        <v>4404</v>
      </c>
      <c r="D2037" t="s">
        <v>2132</v>
      </c>
      <c r="F2037">
        <v>-996053350</v>
      </c>
      <c r="G2037">
        <v>-21128019</v>
      </c>
      <c r="H2037">
        <v>207757370</v>
      </c>
      <c r="I2037">
        <v>200135617</v>
      </c>
      <c r="J2037">
        <v>-118438969</v>
      </c>
      <c r="K2037">
        <v>30163631</v>
      </c>
      <c r="L2037">
        <v>212570367</v>
      </c>
      <c r="M2037">
        <v>166993548</v>
      </c>
      <c r="N2037">
        <v>239963634</v>
      </c>
      <c r="O2037">
        <v>976663886</v>
      </c>
      <c r="P2037">
        <v>236</v>
      </c>
      <c r="Q2037" t="s">
        <v>4405</v>
      </c>
    </row>
    <row r="2038" spans="1:17" x14ac:dyDescent="0.3">
      <c r="A2038" t="s">
        <v>17</v>
      </c>
      <c r="B2038" t="str">
        <f>"600996"</f>
        <v>600996</v>
      </c>
      <c r="C2038" t="s">
        <v>4406</v>
      </c>
      <c r="D2038" t="s">
        <v>775</v>
      </c>
      <c r="F2038">
        <v>266436449</v>
      </c>
      <c r="G2038">
        <v>182797834</v>
      </c>
      <c r="H2038">
        <v>207543332</v>
      </c>
      <c r="I2038">
        <v>699457770</v>
      </c>
      <c r="J2038">
        <v>652401875</v>
      </c>
      <c r="K2038">
        <v>641597893</v>
      </c>
      <c r="L2038">
        <v>560334744</v>
      </c>
      <c r="M2038">
        <v>726591470</v>
      </c>
      <c r="N2038">
        <v>659116439</v>
      </c>
      <c r="P2038">
        <v>244</v>
      </c>
      <c r="Q2038" t="s">
        <v>4407</v>
      </c>
    </row>
    <row r="2039" spans="1:17" x14ac:dyDescent="0.3">
      <c r="A2039" t="s">
        <v>59</v>
      </c>
      <c r="B2039" t="str">
        <f>"002345"</f>
        <v>002345</v>
      </c>
      <c r="C2039" t="s">
        <v>4408</v>
      </c>
      <c r="D2039" t="s">
        <v>2025</v>
      </c>
      <c r="F2039">
        <v>167067667</v>
      </c>
      <c r="G2039">
        <v>333642082</v>
      </c>
      <c r="H2039">
        <v>207483172</v>
      </c>
      <c r="I2039">
        <v>322549022</v>
      </c>
      <c r="J2039">
        <v>304635366</v>
      </c>
      <c r="K2039">
        <v>235078701</v>
      </c>
      <c r="L2039">
        <v>322570195</v>
      </c>
      <c r="M2039">
        <v>262321372</v>
      </c>
      <c r="N2039">
        <v>326236869</v>
      </c>
      <c r="O2039">
        <v>95159692</v>
      </c>
      <c r="P2039">
        <v>137</v>
      </c>
      <c r="Q2039" t="s">
        <v>4409</v>
      </c>
    </row>
    <row r="2040" spans="1:17" x14ac:dyDescent="0.3">
      <c r="A2040" t="s">
        <v>17</v>
      </c>
      <c r="B2040" t="str">
        <f>"600626"</f>
        <v>600626</v>
      </c>
      <c r="C2040" t="s">
        <v>4410</v>
      </c>
      <c r="D2040" t="s">
        <v>289</v>
      </c>
      <c r="F2040">
        <v>125193186</v>
      </c>
      <c r="G2040">
        <v>169837504</v>
      </c>
      <c r="H2040">
        <v>207043887</v>
      </c>
      <c r="I2040">
        <v>235856877</v>
      </c>
      <c r="J2040">
        <v>356332252</v>
      </c>
      <c r="K2040">
        <v>218181040</v>
      </c>
      <c r="L2040">
        <v>145278231</v>
      </c>
      <c r="M2040">
        <v>-21798012</v>
      </c>
      <c r="N2040">
        <v>4487686</v>
      </c>
      <c r="O2040">
        <v>141831159</v>
      </c>
      <c r="P2040">
        <v>93</v>
      </c>
      <c r="Q2040" t="s">
        <v>4411</v>
      </c>
    </row>
    <row r="2041" spans="1:17" x14ac:dyDescent="0.3">
      <c r="A2041" t="s">
        <v>59</v>
      </c>
      <c r="B2041" t="str">
        <f>"002342"</f>
        <v>002342</v>
      </c>
      <c r="C2041" t="s">
        <v>4412</v>
      </c>
      <c r="D2041" t="s">
        <v>637</v>
      </c>
      <c r="F2041">
        <v>180430253</v>
      </c>
      <c r="G2041">
        <v>107293193</v>
      </c>
      <c r="H2041">
        <v>206943644</v>
      </c>
      <c r="I2041">
        <v>70738782</v>
      </c>
      <c r="J2041">
        <v>103224800</v>
      </c>
      <c r="K2041">
        <v>83715793</v>
      </c>
      <c r="L2041">
        <v>124618924</v>
      </c>
      <c r="M2041">
        <v>297011056</v>
      </c>
      <c r="N2041">
        <v>95261883</v>
      </c>
      <c r="O2041">
        <v>36094057</v>
      </c>
      <c r="P2041">
        <v>112</v>
      </c>
      <c r="Q2041" t="s">
        <v>4413</v>
      </c>
    </row>
    <row r="2042" spans="1:17" x14ac:dyDescent="0.3">
      <c r="A2042" t="s">
        <v>59</v>
      </c>
      <c r="B2042" t="str">
        <f>"002350"</f>
        <v>002350</v>
      </c>
      <c r="C2042" t="s">
        <v>4414</v>
      </c>
      <c r="D2042" t="s">
        <v>458</v>
      </c>
      <c r="F2042">
        <v>120773672</v>
      </c>
      <c r="G2042">
        <v>111365786</v>
      </c>
      <c r="H2042">
        <v>206360059</v>
      </c>
      <c r="I2042">
        <v>-22908771</v>
      </c>
      <c r="J2042">
        <v>87378442</v>
      </c>
      <c r="K2042">
        <v>61320513</v>
      </c>
      <c r="L2042">
        <v>35112495</v>
      </c>
      <c r="M2042">
        <v>6955063</v>
      </c>
      <c r="N2042">
        <v>104549937</v>
      </c>
      <c r="O2042">
        <v>71047027</v>
      </c>
      <c r="P2042">
        <v>104</v>
      </c>
      <c r="Q2042" t="s">
        <v>4415</v>
      </c>
    </row>
    <row r="2043" spans="1:17" x14ac:dyDescent="0.3">
      <c r="A2043" t="s">
        <v>59</v>
      </c>
      <c r="B2043" t="str">
        <f>"002041"</f>
        <v>002041</v>
      </c>
      <c r="C2043" t="s">
        <v>4416</v>
      </c>
      <c r="D2043" t="s">
        <v>4417</v>
      </c>
      <c r="F2043">
        <v>365487096</v>
      </c>
      <c r="G2043">
        <v>369441568</v>
      </c>
      <c r="H2043">
        <v>206352921</v>
      </c>
      <c r="I2043">
        <v>-28700927</v>
      </c>
      <c r="J2043">
        <v>-183564760</v>
      </c>
      <c r="K2043">
        <v>104982740</v>
      </c>
      <c r="L2043">
        <v>563857410</v>
      </c>
      <c r="M2043">
        <v>736566835</v>
      </c>
      <c r="N2043">
        <v>627596455</v>
      </c>
      <c r="O2043">
        <v>524105481</v>
      </c>
      <c r="P2043">
        <v>446</v>
      </c>
      <c r="Q2043" t="s">
        <v>4418</v>
      </c>
    </row>
    <row r="2044" spans="1:17" x14ac:dyDescent="0.3">
      <c r="A2044" t="s">
        <v>59</v>
      </c>
      <c r="B2044" t="str">
        <f>"002751"</f>
        <v>002751</v>
      </c>
      <c r="C2044" t="s">
        <v>4419</v>
      </c>
      <c r="D2044" t="s">
        <v>4420</v>
      </c>
      <c r="F2044">
        <v>-312819984</v>
      </c>
      <c r="G2044">
        <v>218302384</v>
      </c>
      <c r="H2044">
        <v>206112059</v>
      </c>
      <c r="I2044">
        <v>95489943</v>
      </c>
      <c r="J2044">
        <v>60818606</v>
      </c>
      <c r="K2044">
        <v>114924749</v>
      </c>
      <c r="L2044">
        <v>31787242</v>
      </c>
      <c r="M2044">
        <v>12044315</v>
      </c>
      <c r="N2044">
        <v>62032588</v>
      </c>
      <c r="O2044">
        <v>54164005</v>
      </c>
      <c r="P2044">
        <v>145</v>
      </c>
      <c r="Q2044" t="s">
        <v>4421</v>
      </c>
    </row>
    <row r="2045" spans="1:17" x14ac:dyDescent="0.3">
      <c r="A2045" t="s">
        <v>59</v>
      </c>
      <c r="B2045" t="str">
        <f>"300618"</f>
        <v>300618</v>
      </c>
      <c r="C2045" t="s">
        <v>4422</v>
      </c>
      <c r="D2045" t="s">
        <v>848</v>
      </c>
      <c r="F2045">
        <v>-646518391</v>
      </c>
      <c r="G2045">
        <v>221147741</v>
      </c>
      <c r="H2045">
        <v>205952212</v>
      </c>
      <c r="I2045">
        <v>290798535</v>
      </c>
      <c r="J2045">
        <v>-94110658</v>
      </c>
      <c r="K2045">
        <v>148538165</v>
      </c>
      <c r="L2045">
        <v>92740941</v>
      </c>
      <c r="M2045">
        <v>60392826</v>
      </c>
      <c r="P2045">
        <v>574</v>
      </c>
      <c r="Q2045" t="s">
        <v>4423</v>
      </c>
    </row>
    <row r="2046" spans="1:17" x14ac:dyDescent="0.3">
      <c r="A2046" t="s">
        <v>17</v>
      </c>
      <c r="B2046" t="str">
        <f>"605133"</f>
        <v>605133</v>
      </c>
      <c r="C2046" t="s">
        <v>4424</v>
      </c>
      <c r="D2046" t="s">
        <v>156</v>
      </c>
      <c r="F2046">
        <v>124299903</v>
      </c>
      <c r="G2046">
        <v>277517436</v>
      </c>
      <c r="H2046">
        <v>205766088</v>
      </c>
      <c r="I2046">
        <v>94946379</v>
      </c>
      <c r="J2046">
        <v>142367102</v>
      </c>
      <c r="P2046">
        <v>36</v>
      </c>
      <c r="Q2046" t="s">
        <v>4425</v>
      </c>
    </row>
    <row r="2047" spans="1:17" x14ac:dyDescent="0.3">
      <c r="A2047" t="s">
        <v>59</v>
      </c>
      <c r="B2047" t="str">
        <f>"002263"</f>
        <v>002263</v>
      </c>
      <c r="C2047" t="s">
        <v>4426</v>
      </c>
      <c r="D2047" t="s">
        <v>1674</v>
      </c>
      <c r="F2047">
        <v>179584642</v>
      </c>
      <c r="G2047">
        <v>329522138</v>
      </c>
      <c r="H2047">
        <v>205721315</v>
      </c>
      <c r="I2047">
        <v>258088210</v>
      </c>
      <c r="J2047">
        <v>45805910</v>
      </c>
      <c r="K2047">
        <v>106885454</v>
      </c>
      <c r="L2047">
        <v>243275620</v>
      </c>
      <c r="M2047">
        <v>46635980</v>
      </c>
      <c r="N2047">
        <v>35593771</v>
      </c>
      <c r="O2047">
        <v>47580160</v>
      </c>
      <c r="P2047">
        <v>126</v>
      </c>
      <c r="Q2047" t="s">
        <v>4427</v>
      </c>
    </row>
    <row r="2048" spans="1:17" x14ac:dyDescent="0.3">
      <c r="A2048" t="s">
        <v>59</v>
      </c>
      <c r="B2048" t="str">
        <f>"002291"</f>
        <v>002291</v>
      </c>
      <c r="C2048" t="s">
        <v>4428</v>
      </c>
      <c r="D2048" t="s">
        <v>1889</v>
      </c>
      <c r="F2048">
        <v>223261840</v>
      </c>
      <c r="G2048">
        <v>-7623510</v>
      </c>
      <c r="H2048">
        <v>205643943</v>
      </c>
      <c r="I2048">
        <v>190110560</v>
      </c>
      <c r="J2048">
        <v>131221315</v>
      </c>
      <c r="K2048">
        <v>110207538</v>
      </c>
      <c r="L2048">
        <v>33798310</v>
      </c>
      <c r="M2048">
        <v>53859605</v>
      </c>
      <c r="N2048">
        <v>-82161232</v>
      </c>
      <c r="O2048">
        <v>-134729498</v>
      </c>
      <c r="P2048">
        <v>172</v>
      </c>
      <c r="Q2048" t="s">
        <v>4429</v>
      </c>
    </row>
    <row r="2049" spans="1:17" x14ac:dyDescent="0.3">
      <c r="A2049" t="s">
        <v>59</v>
      </c>
      <c r="B2049" t="str">
        <f>"002893"</f>
        <v>002893</v>
      </c>
      <c r="C2049" t="s">
        <v>4430</v>
      </c>
      <c r="D2049" t="s">
        <v>1238</v>
      </c>
      <c r="F2049">
        <v>240496031</v>
      </c>
      <c r="G2049">
        <v>176973105</v>
      </c>
      <c r="H2049">
        <v>205236380</v>
      </c>
      <c r="I2049">
        <v>154099411</v>
      </c>
      <c r="J2049">
        <v>110143382</v>
      </c>
      <c r="K2049">
        <v>216203270</v>
      </c>
      <c r="L2049">
        <v>166693258</v>
      </c>
      <c r="M2049">
        <v>73027002</v>
      </c>
      <c r="P2049">
        <v>92</v>
      </c>
      <c r="Q2049" t="s">
        <v>4431</v>
      </c>
    </row>
    <row r="2050" spans="1:17" x14ac:dyDescent="0.3">
      <c r="A2050" t="s">
        <v>59</v>
      </c>
      <c r="B2050" t="str">
        <f>"002464"</f>
        <v>002464</v>
      </c>
      <c r="C2050" t="s">
        <v>4432</v>
      </c>
      <c r="D2050" t="s">
        <v>689</v>
      </c>
      <c r="F2050">
        <v>133878251</v>
      </c>
      <c r="G2050">
        <v>55360844</v>
      </c>
      <c r="H2050">
        <v>204865571</v>
      </c>
      <c r="I2050">
        <v>-74402075</v>
      </c>
      <c r="J2050">
        <v>308483764</v>
      </c>
      <c r="K2050">
        <v>217513483</v>
      </c>
      <c r="L2050">
        <v>13354587</v>
      </c>
      <c r="M2050">
        <v>-7055595</v>
      </c>
      <c r="N2050">
        <v>86662762</v>
      </c>
      <c r="O2050">
        <v>68108912</v>
      </c>
      <c r="P2050">
        <v>110</v>
      </c>
      <c r="Q2050" t="s">
        <v>4433</v>
      </c>
    </row>
    <row r="2051" spans="1:17" x14ac:dyDescent="0.3">
      <c r="A2051" t="s">
        <v>59</v>
      </c>
      <c r="B2051" t="str">
        <f>"300320"</f>
        <v>300320</v>
      </c>
      <c r="C2051" t="s">
        <v>4434</v>
      </c>
      <c r="D2051" t="s">
        <v>3821</v>
      </c>
      <c r="F2051">
        <v>137782924</v>
      </c>
      <c r="G2051">
        <v>167948911</v>
      </c>
      <c r="H2051">
        <v>204689597</v>
      </c>
      <c r="I2051">
        <v>23398935</v>
      </c>
      <c r="J2051">
        <v>-3959388</v>
      </c>
      <c r="K2051">
        <v>25365191</v>
      </c>
      <c r="L2051">
        <v>96140654</v>
      </c>
      <c r="M2051">
        <v>26522779</v>
      </c>
      <c r="N2051">
        <v>19578519</v>
      </c>
      <c r="O2051">
        <v>48770154</v>
      </c>
      <c r="P2051">
        <v>151</v>
      </c>
      <c r="Q2051" t="s">
        <v>4435</v>
      </c>
    </row>
    <row r="2052" spans="1:17" x14ac:dyDescent="0.3">
      <c r="A2052" t="s">
        <v>59</v>
      </c>
      <c r="B2052" t="str">
        <f>"002678"</f>
        <v>002678</v>
      </c>
      <c r="C2052" t="s">
        <v>4436</v>
      </c>
      <c r="D2052" t="s">
        <v>4437</v>
      </c>
      <c r="F2052">
        <v>311063305</v>
      </c>
      <c r="G2052">
        <v>547878507</v>
      </c>
      <c r="H2052">
        <v>204033005</v>
      </c>
      <c r="I2052">
        <v>123264938</v>
      </c>
      <c r="J2052">
        <v>220061401</v>
      </c>
      <c r="K2052">
        <v>248779565</v>
      </c>
      <c r="L2052">
        <v>189080870</v>
      </c>
      <c r="M2052">
        <v>127379076</v>
      </c>
      <c r="N2052">
        <v>49822175</v>
      </c>
      <c r="O2052">
        <v>143787041</v>
      </c>
      <c r="P2052">
        <v>113</v>
      </c>
      <c r="Q2052" t="s">
        <v>4438</v>
      </c>
    </row>
    <row r="2053" spans="1:17" x14ac:dyDescent="0.3">
      <c r="A2053" t="s">
        <v>17</v>
      </c>
      <c r="B2053" t="str">
        <f>"603010"</f>
        <v>603010</v>
      </c>
      <c r="C2053" t="s">
        <v>4439</v>
      </c>
      <c r="D2053" t="s">
        <v>2104</v>
      </c>
      <c r="F2053">
        <v>841224449</v>
      </c>
      <c r="G2053">
        <v>402469884</v>
      </c>
      <c r="H2053">
        <v>203893951</v>
      </c>
      <c r="I2053">
        <v>74342171</v>
      </c>
      <c r="J2053">
        <v>130587583</v>
      </c>
      <c r="K2053">
        <v>134076784</v>
      </c>
      <c r="L2053">
        <v>122728786</v>
      </c>
      <c r="M2053">
        <v>46644961</v>
      </c>
      <c r="N2053">
        <v>50252367</v>
      </c>
      <c r="O2053">
        <v>48620577</v>
      </c>
      <c r="P2053">
        <v>279</v>
      </c>
      <c r="Q2053" t="s">
        <v>4440</v>
      </c>
    </row>
    <row r="2054" spans="1:17" x14ac:dyDescent="0.3">
      <c r="A2054" t="s">
        <v>59</v>
      </c>
      <c r="B2054" t="str">
        <f>"300543"</f>
        <v>300543</v>
      </c>
      <c r="C2054" t="s">
        <v>4441</v>
      </c>
      <c r="D2054" t="s">
        <v>349</v>
      </c>
      <c r="F2054">
        <v>-232175005</v>
      </c>
      <c r="G2054">
        <v>277793284</v>
      </c>
      <c r="H2054">
        <v>203483580</v>
      </c>
      <c r="I2054">
        <v>-94416520</v>
      </c>
      <c r="J2054">
        <v>119035367</v>
      </c>
      <c r="K2054">
        <v>64671989</v>
      </c>
      <c r="L2054">
        <v>89297190</v>
      </c>
      <c r="M2054">
        <v>64858136</v>
      </c>
      <c r="N2054">
        <v>57985045</v>
      </c>
      <c r="P2054">
        <v>152</v>
      </c>
      <c r="Q2054" t="s">
        <v>4442</v>
      </c>
    </row>
    <row r="2055" spans="1:17" x14ac:dyDescent="0.3">
      <c r="A2055" t="s">
        <v>17</v>
      </c>
      <c r="B2055" t="str">
        <f>"600888"</f>
        <v>600888</v>
      </c>
      <c r="C2055" t="s">
        <v>4443</v>
      </c>
      <c r="D2055" t="s">
        <v>238</v>
      </c>
      <c r="F2055">
        <v>688439374</v>
      </c>
      <c r="G2055">
        <v>306973034</v>
      </c>
      <c r="H2055">
        <v>203392376</v>
      </c>
      <c r="I2055">
        <v>545231562</v>
      </c>
      <c r="J2055">
        <v>192228567</v>
      </c>
      <c r="K2055">
        <v>55663620</v>
      </c>
      <c r="L2055">
        <v>424056093</v>
      </c>
      <c r="M2055">
        <v>386092795</v>
      </c>
      <c r="N2055">
        <v>187765392</v>
      </c>
      <c r="O2055">
        <v>75539861</v>
      </c>
      <c r="P2055">
        <v>183</v>
      </c>
      <c r="Q2055" t="s">
        <v>4444</v>
      </c>
    </row>
    <row r="2056" spans="1:17" x14ac:dyDescent="0.3">
      <c r="A2056" t="s">
        <v>59</v>
      </c>
      <c r="B2056" t="str">
        <f>"300360"</f>
        <v>300360</v>
      </c>
      <c r="C2056" t="s">
        <v>4445</v>
      </c>
      <c r="D2056" t="s">
        <v>1828</v>
      </c>
      <c r="F2056">
        <v>186380774</v>
      </c>
      <c r="G2056">
        <v>173702916</v>
      </c>
      <c r="H2056">
        <v>203372308</v>
      </c>
      <c r="I2056">
        <v>229959677</v>
      </c>
      <c r="J2056">
        <v>240601812</v>
      </c>
      <c r="K2056">
        <v>240475766</v>
      </c>
      <c r="L2056">
        <v>160776142</v>
      </c>
      <c r="M2056">
        <v>175798223</v>
      </c>
      <c r="N2056">
        <v>162365864</v>
      </c>
      <c r="O2056">
        <v>90956256</v>
      </c>
      <c r="P2056">
        <v>958</v>
      </c>
      <c r="Q2056" t="s">
        <v>4446</v>
      </c>
    </row>
    <row r="2057" spans="1:17" x14ac:dyDescent="0.3">
      <c r="A2057" t="s">
        <v>59</v>
      </c>
      <c r="B2057" t="str">
        <f>"000037"</f>
        <v>000037</v>
      </c>
      <c r="C2057" t="s">
        <v>4447</v>
      </c>
      <c r="D2057" t="s">
        <v>1238</v>
      </c>
      <c r="F2057">
        <v>-39258302</v>
      </c>
      <c r="G2057">
        <v>260725409</v>
      </c>
      <c r="H2057">
        <v>202943909</v>
      </c>
      <c r="I2057">
        <v>236563160</v>
      </c>
      <c r="J2057">
        <v>196799856</v>
      </c>
      <c r="K2057">
        <v>926321325</v>
      </c>
      <c r="L2057">
        <v>386451706</v>
      </c>
      <c r="M2057">
        <v>571263982</v>
      </c>
      <c r="N2057">
        <v>482279180</v>
      </c>
      <c r="O2057">
        <v>106047444</v>
      </c>
      <c r="P2057">
        <v>112</v>
      </c>
      <c r="Q2057" t="s">
        <v>4448</v>
      </c>
    </row>
    <row r="2058" spans="1:17" x14ac:dyDescent="0.3">
      <c r="A2058" t="s">
        <v>59</v>
      </c>
      <c r="B2058" t="str">
        <f>"002418"</f>
        <v>002418</v>
      </c>
      <c r="C2058" t="s">
        <v>4449</v>
      </c>
      <c r="D2058" t="s">
        <v>1087</v>
      </c>
      <c r="F2058">
        <v>186946633</v>
      </c>
      <c r="G2058">
        <v>127796774</v>
      </c>
      <c r="H2058">
        <v>202653366</v>
      </c>
      <c r="I2058">
        <v>-411427359</v>
      </c>
      <c r="J2058">
        <v>-1730335086</v>
      </c>
      <c r="K2058">
        <v>-2330151873</v>
      </c>
      <c r="L2058">
        <v>-3494856</v>
      </c>
      <c r="M2058">
        <v>178243768</v>
      </c>
      <c r="N2058">
        <v>76496154</v>
      </c>
      <c r="O2058">
        <v>-25490696</v>
      </c>
      <c r="P2058">
        <v>94</v>
      </c>
      <c r="Q2058" t="s">
        <v>4450</v>
      </c>
    </row>
    <row r="2059" spans="1:17" x14ac:dyDescent="0.3">
      <c r="A2059" t="s">
        <v>17</v>
      </c>
      <c r="B2059" t="str">
        <f>"688127"</f>
        <v>688127</v>
      </c>
      <c r="C2059" t="s">
        <v>4451</v>
      </c>
      <c r="D2059" t="s">
        <v>692</v>
      </c>
      <c r="F2059">
        <v>175481063</v>
      </c>
      <c r="G2059">
        <v>233803831</v>
      </c>
      <c r="H2059">
        <v>202644550</v>
      </c>
      <c r="I2059">
        <v>215502559</v>
      </c>
      <c r="J2059">
        <v>180736774</v>
      </c>
      <c r="K2059">
        <v>44821969</v>
      </c>
      <c r="P2059">
        <v>86</v>
      </c>
      <c r="Q2059" t="s">
        <v>4452</v>
      </c>
    </row>
    <row r="2060" spans="1:17" x14ac:dyDescent="0.3">
      <c r="A2060" t="s">
        <v>17</v>
      </c>
      <c r="B2060" t="str">
        <f>"600393"</f>
        <v>600393</v>
      </c>
      <c r="C2060" t="s">
        <v>4453</v>
      </c>
      <c r="D2060" t="s">
        <v>61</v>
      </c>
      <c r="F2060">
        <v>158145106</v>
      </c>
      <c r="G2060">
        <v>272478216</v>
      </c>
      <c r="H2060">
        <v>202566089</v>
      </c>
      <c r="I2060">
        <v>930947506</v>
      </c>
      <c r="J2060">
        <v>-863147758</v>
      </c>
      <c r="K2060">
        <v>-3201902056</v>
      </c>
      <c r="L2060">
        <v>-1159728461</v>
      </c>
      <c r="M2060">
        <v>-5218612</v>
      </c>
      <c r="N2060">
        <v>-49348850</v>
      </c>
      <c r="O2060">
        <v>-123345798</v>
      </c>
      <c r="P2060">
        <v>131</v>
      </c>
      <c r="Q2060" t="s">
        <v>4454</v>
      </c>
    </row>
    <row r="2061" spans="1:17" x14ac:dyDescent="0.3">
      <c r="A2061" t="s">
        <v>17</v>
      </c>
      <c r="B2061" t="str">
        <f>"603060"</f>
        <v>603060</v>
      </c>
      <c r="C2061" t="s">
        <v>4455</v>
      </c>
      <c r="D2061" t="s">
        <v>2028</v>
      </c>
      <c r="F2061">
        <v>388276618</v>
      </c>
      <c r="G2061">
        <v>342079194</v>
      </c>
      <c r="H2061">
        <v>202460814</v>
      </c>
      <c r="I2061">
        <v>246880134</v>
      </c>
      <c r="J2061">
        <v>155508916</v>
      </c>
      <c r="K2061">
        <v>203345786</v>
      </c>
      <c r="L2061">
        <v>178388453</v>
      </c>
      <c r="M2061">
        <v>146597398</v>
      </c>
      <c r="N2061">
        <v>112746080</v>
      </c>
      <c r="P2061">
        <v>507</v>
      </c>
      <c r="Q2061" t="s">
        <v>4456</v>
      </c>
    </row>
    <row r="2062" spans="1:17" x14ac:dyDescent="0.3">
      <c r="A2062" t="s">
        <v>59</v>
      </c>
      <c r="B2062" t="str">
        <f>"000950"</f>
        <v>000950</v>
      </c>
      <c r="C2062" t="s">
        <v>4457</v>
      </c>
      <c r="D2062" t="s">
        <v>396</v>
      </c>
      <c r="F2062">
        <v>250164876</v>
      </c>
      <c r="G2062">
        <v>631986343</v>
      </c>
      <c r="H2062">
        <v>202411337</v>
      </c>
      <c r="I2062">
        <v>-1705762262</v>
      </c>
      <c r="J2062">
        <v>-1101982875</v>
      </c>
      <c r="K2062">
        <v>-41545571</v>
      </c>
      <c r="L2062">
        <v>190114550</v>
      </c>
      <c r="M2062">
        <v>5738572</v>
      </c>
      <c r="N2062">
        <v>402367201</v>
      </c>
      <c r="O2062">
        <v>349298219</v>
      </c>
      <c r="P2062">
        <v>145</v>
      </c>
      <c r="Q2062" t="s">
        <v>4458</v>
      </c>
    </row>
    <row r="2063" spans="1:17" x14ac:dyDescent="0.3">
      <c r="A2063" t="s">
        <v>17</v>
      </c>
      <c r="B2063" t="str">
        <f>"600875"</f>
        <v>600875</v>
      </c>
      <c r="C2063" t="s">
        <v>4459</v>
      </c>
      <c r="D2063" t="s">
        <v>264</v>
      </c>
      <c r="F2063">
        <v>-4420888980</v>
      </c>
      <c r="G2063">
        <v>-2748802008</v>
      </c>
      <c r="H2063">
        <v>202244625</v>
      </c>
      <c r="I2063">
        <v>-551780305</v>
      </c>
      <c r="J2063">
        <v>450239495</v>
      </c>
      <c r="K2063">
        <v>8965090194</v>
      </c>
      <c r="L2063">
        <v>4155867579</v>
      </c>
      <c r="M2063">
        <v>2832630323</v>
      </c>
      <c r="N2063">
        <v>3003616666</v>
      </c>
      <c r="O2063">
        <v>-178523654</v>
      </c>
      <c r="P2063">
        <v>482</v>
      </c>
      <c r="Q2063" t="s">
        <v>4460</v>
      </c>
    </row>
    <row r="2064" spans="1:17" x14ac:dyDescent="0.3">
      <c r="A2064" t="s">
        <v>59</v>
      </c>
      <c r="B2064" t="str">
        <f>"002590"</f>
        <v>002590</v>
      </c>
      <c r="C2064" t="s">
        <v>4461</v>
      </c>
      <c r="D2064" t="s">
        <v>156</v>
      </c>
      <c r="F2064">
        <v>48338136</v>
      </c>
      <c r="G2064">
        <v>113043539</v>
      </c>
      <c r="H2064">
        <v>202166650</v>
      </c>
      <c r="I2064">
        <v>235128109</v>
      </c>
      <c r="J2064">
        <v>159256470</v>
      </c>
      <c r="K2064">
        <v>131198682</v>
      </c>
      <c r="L2064">
        <v>180895582</v>
      </c>
      <c r="M2064">
        <v>84310652</v>
      </c>
      <c r="N2064">
        <v>28695111</v>
      </c>
      <c r="O2064">
        <v>71737809</v>
      </c>
      <c r="P2064">
        <v>119</v>
      </c>
      <c r="Q2064" t="s">
        <v>4462</v>
      </c>
    </row>
    <row r="2065" spans="1:17" x14ac:dyDescent="0.3">
      <c r="A2065" t="s">
        <v>17</v>
      </c>
      <c r="B2065" t="str">
        <f>"603738"</f>
        <v>603738</v>
      </c>
      <c r="C2065" t="s">
        <v>4463</v>
      </c>
      <c r="D2065" t="s">
        <v>1180</v>
      </c>
      <c r="F2065">
        <v>349222330</v>
      </c>
      <c r="G2065">
        <v>149552117</v>
      </c>
      <c r="H2065">
        <v>201311904</v>
      </c>
      <c r="I2065">
        <v>47672752</v>
      </c>
      <c r="J2065">
        <v>134135308</v>
      </c>
      <c r="K2065">
        <v>95636868</v>
      </c>
      <c r="L2065">
        <v>62715898</v>
      </c>
      <c r="M2065">
        <v>51480816</v>
      </c>
      <c r="N2065">
        <v>39058459</v>
      </c>
      <c r="P2065">
        <v>246</v>
      </c>
      <c r="Q2065" t="s">
        <v>4464</v>
      </c>
    </row>
    <row r="2066" spans="1:17" x14ac:dyDescent="0.3">
      <c r="A2066" t="s">
        <v>17</v>
      </c>
      <c r="B2066" t="str">
        <f>"688468"</f>
        <v>688468</v>
      </c>
      <c r="C2066" t="s">
        <v>4465</v>
      </c>
      <c r="D2066" t="s">
        <v>1953</v>
      </c>
      <c r="F2066">
        <v>188856812</v>
      </c>
      <c r="G2066">
        <v>151953266</v>
      </c>
      <c r="H2066">
        <v>201274875</v>
      </c>
      <c r="I2066">
        <v>147678073</v>
      </c>
      <c r="J2066">
        <v>133462040</v>
      </c>
      <c r="P2066">
        <v>39</v>
      </c>
      <c r="Q2066" t="s">
        <v>4466</v>
      </c>
    </row>
    <row r="2067" spans="1:17" x14ac:dyDescent="0.3">
      <c r="A2067" t="s">
        <v>59</v>
      </c>
      <c r="B2067" t="str">
        <f>"300603"</f>
        <v>300603</v>
      </c>
      <c r="C2067" t="s">
        <v>4467</v>
      </c>
      <c r="D2067" t="s">
        <v>4468</v>
      </c>
      <c r="F2067">
        <v>-74255796</v>
      </c>
      <c r="G2067">
        <v>-38245570</v>
      </c>
      <c r="H2067">
        <v>201222402</v>
      </c>
      <c r="I2067">
        <v>-241337181</v>
      </c>
      <c r="J2067">
        <v>13129456</v>
      </c>
      <c r="K2067">
        <v>80091344</v>
      </c>
      <c r="L2067">
        <v>30593646</v>
      </c>
      <c r="M2067">
        <v>5795993</v>
      </c>
      <c r="N2067">
        <v>26310220</v>
      </c>
      <c r="P2067">
        <v>196</v>
      </c>
      <c r="Q2067" t="s">
        <v>4469</v>
      </c>
    </row>
    <row r="2068" spans="1:17" x14ac:dyDescent="0.3">
      <c r="A2068" t="s">
        <v>17</v>
      </c>
      <c r="B2068" t="str">
        <f>"603197"</f>
        <v>603197</v>
      </c>
      <c r="C2068" t="s">
        <v>4470</v>
      </c>
      <c r="D2068" t="s">
        <v>1226</v>
      </c>
      <c r="F2068">
        <v>131318305</v>
      </c>
      <c r="G2068">
        <v>228794087</v>
      </c>
      <c r="H2068">
        <v>201019284</v>
      </c>
      <c r="I2068">
        <v>325760454</v>
      </c>
      <c r="J2068">
        <v>214584804</v>
      </c>
      <c r="K2068">
        <v>173213269</v>
      </c>
      <c r="L2068">
        <v>101800009</v>
      </c>
      <c r="M2068">
        <v>50933553</v>
      </c>
      <c r="P2068">
        <v>357</v>
      </c>
      <c r="Q2068" t="s">
        <v>4471</v>
      </c>
    </row>
    <row r="2069" spans="1:17" x14ac:dyDescent="0.3">
      <c r="A2069" t="s">
        <v>17</v>
      </c>
      <c r="B2069" t="str">
        <f>"603067"</f>
        <v>603067</v>
      </c>
      <c r="C2069" t="s">
        <v>4472</v>
      </c>
      <c r="D2069" t="s">
        <v>1241</v>
      </c>
      <c r="F2069">
        <v>407943586</v>
      </c>
      <c r="G2069">
        <v>6548263</v>
      </c>
      <c r="H2069">
        <v>200928227</v>
      </c>
      <c r="I2069">
        <v>81352827</v>
      </c>
      <c r="J2069">
        <v>-16860590</v>
      </c>
      <c r="K2069">
        <v>107940173</v>
      </c>
      <c r="L2069">
        <v>63206585</v>
      </c>
      <c r="M2069">
        <v>124607856</v>
      </c>
      <c r="N2069">
        <v>97845196</v>
      </c>
      <c r="P2069">
        <v>136</v>
      </c>
      <c r="Q2069" t="s">
        <v>4473</v>
      </c>
    </row>
    <row r="2070" spans="1:17" x14ac:dyDescent="0.3">
      <c r="A2070" t="s">
        <v>17</v>
      </c>
      <c r="B2070" t="str">
        <f>"605300"</f>
        <v>605300</v>
      </c>
      <c r="C2070" t="s">
        <v>4474</v>
      </c>
      <c r="D2070" t="s">
        <v>308</v>
      </c>
      <c r="F2070">
        <v>99993786</v>
      </c>
      <c r="G2070">
        <v>183123046</v>
      </c>
      <c r="H2070">
        <v>200867806</v>
      </c>
      <c r="I2070">
        <v>324664920</v>
      </c>
      <c r="J2070">
        <v>224296772</v>
      </c>
      <c r="P2070">
        <v>56</v>
      </c>
      <c r="Q2070" t="s">
        <v>4475</v>
      </c>
    </row>
    <row r="2071" spans="1:17" x14ac:dyDescent="0.3">
      <c r="A2071" t="s">
        <v>17</v>
      </c>
      <c r="B2071" t="str">
        <f>"688097"</f>
        <v>688097</v>
      </c>
      <c r="C2071" t="s">
        <v>4476</v>
      </c>
      <c r="D2071" t="s">
        <v>4218</v>
      </c>
      <c r="F2071">
        <v>-589391047</v>
      </c>
      <c r="G2071">
        <v>-142638358</v>
      </c>
      <c r="H2071">
        <v>200857560</v>
      </c>
      <c r="I2071">
        <v>794069855</v>
      </c>
      <c r="J2071">
        <v>-156825569</v>
      </c>
      <c r="K2071">
        <v>120746851</v>
      </c>
      <c r="P2071">
        <v>25</v>
      </c>
      <c r="Q2071" t="s">
        <v>4477</v>
      </c>
    </row>
    <row r="2072" spans="1:17" x14ac:dyDescent="0.3">
      <c r="A2072" t="s">
        <v>17</v>
      </c>
      <c r="B2072" t="str">
        <f>"603681"</f>
        <v>603681</v>
      </c>
      <c r="C2072" t="s">
        <v>4478</v>
      </c>
      <c r="D2072" t="s">
        <v>4479</v>
      </c>
      <c r="F2072">
        <v>12069860</v>
      </c>
      <c r="G2072">
        <v>215180894</v>
      </c>
      <c r="H2072">
        <v>200697409</v>
      </c>
      <c r="I2072">
        <v>172414489</v>
      </c>
      <c r="J2072">
        <v>133750576</v>
      </c>
      <c r="K2072">
        <v>19034712</v>
      </c>
      <c r="L2072">
        <v>49232239</v>
      </c>
      <c r="P2072">
        <v>113</v>
      </c>
      <c r="Q2072" t="s">
        <v>4480</v>
      </c>
    </row>
    <row r="2073" spans="1:17" x14ac:dyDescent="0.3">
      <c r="A2073" t="s">
        <v>17</v>
      </c>
      <c r="B2073" t="str">
        <f>"600731"</f>
        <v>600731</v>
      </c>
      <c r="C2073" t="s">
        <v>4481</v>
      </c>
      <c r="D2073" t="s">
        <v>1356</v>
      </c>
      <c r="F2073">
        <v>121943073</v>
      </c>
      <c r="G2073">
        <v>459064876</v>
      </c>
      <c r="H2073">
        <v>200432234</v>
      </c>
      <c r="I2073">
        <v>115987073</v>
      </c>
      <c r="J2073">
        <v>160606015</v>
      </c>
      <c r="K2073">
        <v>136076375</v>
      </c>
      <c r="L2073">
        <v>104581725</v>
      </c>
      <c r="M2073">
        <v>74846353</v>
      </c>
      <c r="N2073">
        <v>23080185</v>
      </c>
      <c r="O2073">
        <v>125943597</v>
      </c>
      <c r="P2073">
        <v>244</v>
      </c>
      <c r="Q2073" t="s">
        <v>4482</v>
      </c>
    </row>
    <row r="2074" spans="1:17" x14ac:dyDescent="0.3">
      <c r="A2074" t="s">
        <v>59</v>
      </c>
      <c r="B2074" t="str">
        <f>"300681"</f>
        <v>300681</v>
      </c>
      <c r="C2074" t="s">
        <v>4483</v>
      </c>
      <c r="D2074" t="s">
        <v>575</v>
      </c>
      <c r="F2074">
        <v>-119019939</v>
      </c>
      <c r="G2074">
        <v>58728402</v>
      </c>
      <c r="H2074">
        <v>199717525</v>
      </c>
      <c r="I2074">
        <v>23311664</v>
      </c>
      <c r="J2074">
        <v>-83108661</v>
      </c>
      <c r="K2074">
        <v>29376169</v>
      </c>
      <c r="L2074">
        <v>6214703</v>
      </c>
      <c r="M2074">
        <v>9795210</v>
      </c>
      <c r="P2074">
        <v>89</v>
      </c>
      <c r="Q2074" t="s">
        <v>4484</v>
      </c>
    </row>
    <row r="2075" spans="1:17" x14ac:dyDescent="0.3">
      <c r="A2075" t="s">
        <v>59</v>
      </c>
      <c r="B2075" t="str">
        <f>"002533"</f>
        <v>002533</v>
      </c>
      <c r="C2075" t="s">
        <v>4485</v>
      </c>
      <c r="D2075" t="s">
        <v>1065</v>
      </c>
      <c r="F2075">
        <v>482312490</v>
      </c>
      <c r="G2075">
        <v>190009387</v>
      </c>
      <c r="H2075">
        <v>199552367</v>
      </c>
      <c r="I2075">
        <v>79034005</v>
      </c>
      <c r="J2075">
        <v>-178323802</v>
      </c>
      <c r="K2075">
        <v>371676327</v>
      </c>
      <c r="L2075">
        <v>206819280</v>
      </c>
      <c r="M2075">
        <v>111269559</v>
      </c>
      <c r="N2075">
        <v>135306569</v>
      </c>
      <c r="O2075">
        <v>228234819</v>
      </c>
      <c r="P2075">
        <v>192</v>
      </c>
      <c r="Q2075" t="s">
        <v>4486</v>
      </c>
    </row>
    <row r="2076" spans="1:17" x14ac:dyDescent="0.3">
      <c r="A2076" t="s">
        <v>17</v>
      </c>
      <c r="B2076" t="str">
        <f>"600179"</f>
        <v>600179</v>
      </c>
      <c r="C2076" t="s">
        <v>4487</v>
      </c>
      <c r="D2076" t="s">
        <v>178</v>
      </c>
      <c r="F2076">
        <v>2418747504</v>
      </c>
      <c r="G2076">
        <v>-525491121</v>
      </c>
      <c r="H2076">
        <v>199482780</v>
      </c>
      <c r="I2076">
        <v>817792550</v>
      </c>
      <c r="J2076">
        <v>851990302</v>
      </c>
      <c r="K2076">
        <v>939692854</v>
      </c>
      <c r="L2076">
        <v>89605522</v>
      </c>
      <c r="M2076">
        <v>47897011</v>
      </c>
      <c r="N2076">
        <v>-39738654</v>
      </c>
      <c r="O2076">
        <v>65321299</v>
      </c>
      <c r="P2076">
        <v>128</v>
      </c>
      <c r="Q2076" t="s">
        <v>4488</v>
      </c>
    </row>
    <row r="2077" spans="1:17" x14ac:dyDescent="0.3">
      <c r="A2077" t="s">
        <v>59</v>
      </c>
      <c r="B2077" t="str">
        <f>"300623"</f>
        <v>300623</v>
      </c>
      <c r="C2077" t="s">
        <v>4489</v>
      </c>
      <c r="D2077" t="s">
        <v>3230</v>
      </c>
      <c r="F2077">
        <v>396381074</v>
      </c>
      <c r="G2077">
        <v>229112799</v>
      </c>
      <c r="H2077">
        <v>199399906</v>
      </c>
      <c r="I2077">
        <v>261393335</v>
      </c>
      <c r="J2077">
        <v>122987219</v>
      </c>
      <c r="K2077">
        <v>135686683</v>
      </c>
      <c r="L2077">
        <v>107867948</v>
      </c>
      <c r="M2077">
        <v>90989725</v>
      </c>
      <c r="N2077">
        <v>63679556</v>
      </c>
      <c r="P2077">
        <v>664</v>
      </c>
      <c r="Q2077" t="s">
        <v>4490</v>
      </c>
    </row>
    <row r="2078" spans="1:17" x14ac:dyDescent="0.3">
      <c r="A2078" t="s">
        <v>59</v>
      </c>
      <c r="B2078" t="str">
        <f>"002790"</f>
        <v>002790</v>
      </c>
      <c r="C2078" t="s">
        <v>4491</v>
      </c>
      <c r="D2078" t="s">
        <v>2853</v>
      </c>
      <c r="F2078">
        <v>102398624</v>
      </c>
      <c r="G2078">
        <v>87294198</v>
      </c>
      <c r="H2078">
        <v>199099071</v>
      </c>
      <c r="I2078">
        <v>119600695</v>
      </c>
      <c r="J2078">
        <v>215001413</v>
      </c>
      <c r="K2078">
        <v>148971934</v>
      </c>
      <c r="L2078">
        <v>141081602</v>
      </c>
      <c r="M2078">
        <v>109210979</v>
      </c>
      <c r="N2078">
        <v>125680260</v>
      </c>
      <c r="O2078">
        <v>86640879</v>
      </c>
      <c r="P2078">
        <v>138</v>
      </c>
      <c r="Q2078" t="s">
        <v>4492</v>
      </c>
    </row>
    <row r="2079" spans="1:17" x14ac:dyDescent="0.3">
      <c r="A2079" t="s">
        <v>59</v>
      </c>
      <c r="B2079" t="str">
        <f>"300805"</f>
        <v>300805</v>
      </c>
      <c r="C2079" t="s">
        <v>4493</v>
      </c>
      <c r="D2079" t="s">
        <v>1889</v>
      </c>
      <c r="F2079">
        <v>115000516</v>
      </c>
      <c r="G2079">
        <v>226424907</v>
      </c>
      <c r="H2079">
        <v>198882837</v>
      </c>
      <c r="I2079">
        <v>177043295</v>
      </c>
      <c r="J2079">
        <v>12853207</v>
      </c>
      <c r="K2079">
        <v>12457314</v>
      </c>
      <c r="P2079">
        <v>71</v>
      </c>
      <c r="Q2079" t="s">
        <v>4494</v>
      </c>
    </row>
    <row r="2080" spans="1:17" x14ac:dyDescent="0.3">
      <c r="A2080" t="s">
        <v>17</v>
      </c>
      <c r="B2080" t="str">
        <f>"600770"</f>
        <v>600770</v>
      </c>
      <c r="C2080" t="s">
        <v>4495</v>
      </c>
      <c r="D2080" t="s">
        <v>672</v>
      </c>
      <c r="F2080">
        <v>35205790</v>
      </c>
      <c r="G2080">
        <v>274402561</v>
      </c>
      <c r="H2080">
        <v>198401680</v>
      </c>
      <c r="I2080">
        <v>65344195</v>
      </c>
      <c r="J2080">
        <v>194736494</v>
      </c>
      <c r="K2080">
        <v>57129393</v>
      </c>
      <c r="L2080">
        <v>164143566</v>
      </c>
      <c r="M2080">
        <v>413040192</v>
      </c>
      <c r="N2080">
        <v>574879882</v>
      </c>
      <c r="O2080">
        <v>59745594</v>
      </c>
      <c r="P2080">
        <v>3055</v>
      </c>
      <c r="Q2080" t="s">
        <v>4496</v>
      </c>
    </row>
    <row r="2081" spans="1:17" x14ac:dyDescent="0.3">
      <c r="A2081" t="s">
        <v>17</v>
      </c>
      <c r="B2081" t="str">
        <f>"603600"</f>
        <v>603600</v>
      </c>
      <c r="C2081" t="s">
        <v>4497</v>
      </c>
      <c r="D2081" t="s">
        <v>972</v>
      </c>
      <c r="F2081">
        <v>150456564</v>
      </c>
      <c r="G2081">
        <v>167442745</v>
      </c>
      <c r="H2081">
        <v>198034337</v>
      </c>
      <c r="I2081">
        <v>62442536</v>
      </c>
      <c r="J2081">
        <v>85226167</v>
      </c>
      <c r="K2081">
        <v>99781684</v>
      </c>
      <c r="L2081">
        <v>112524812</v>
      </c>
      <c r="M2081">
        <v>62983997</v>
      </c>
      <c r="N2081">
        <v>80579123</v>
      </c>
      <c r="O2081">
        <v>47763718</v>
      </c>
      <c r="P2081">
        <v>290</v>
      </c>
      <c r="Q2081" t="s">
        <v>4498</v>
      </c>
    </row>
    <row r="2082" spans="1:17" x14ac:dyDescent="0.3">
      <c r="A2082" t="s">
        <v>17</v>
      </c>
      <c r="B2082" t="str">
        <f>"600781"</f>
        <v>600781</v>
      </c>
      <c r="C2082" t="s">
        <v>4499</v>
      </c>
      <c r="D2082" t="s">
        <v>592</v>
      </c>
      <c r="G2082">
        <v>45059360</v>
      </c>
      <c r="H2082">
        <v>198006195</v>
      </c>
      <c r="I2082">
        <v>1032339545</v>
      </c>
      <c r="J2082">
        <v>530570344</v>
      </c>
      <c r="K2082">
        <v>115498848</v>
      </c>
      <c r="L2082">
        <v>93101297</v>
      </c>
      <c r="M2082">
        <v>110688774</v>
      </c>
      <c r="N2082">
        <v>87281457</v>
      </c>
      <c r="O2082">
        <v>122864014</v>
      </c>
      <c r="P2082">
        <v>194</v>
      </c>
      <c r="Q2082" t="s">
        <v>4500</v>
      </c>
    </row>
    <row r="2083" spans="1:17" x14ac:dyDescent="0.3">
      <c r="A2083" t="s">
        <v>17</v>
      </c>
      <c r="B2083" t="str">
        <f>"603221"</f>
        <v>603221</v>
      </c>
      <c r="C2083" t="s">
        <v>4501</v>
      </c>
      <c r="D2083" t="s">
        <v>1791</v>
      </c>
      <c r="F2083">
        <v>-18094299</v>
      </c>
      <c r="G2083">
        <v>104702366</v>
      </c>
      <c r="H2083">
        <v>197799075</v>
      </c>
      <c r="I2083">
        <v>314695729</v>
      </c>
      <c r="J2083">
        <v>157933498</v>
      </c>
      <c r="P2083">
        <v>79</v>
      </c>
      <c r="Q2083" t="s">
        <v>4502</v>
      </c>
    </row>
    <row r="2084" spans="1:17" x14ac:dyDescent="0.3">
      <c r="A2084" t="s">
        <v>17</v>
      </c>
      <c r="B2084" t="str">
        <f>"603301"</f>
        <v>603301</v>
      </c>
      <c r="C2084" t="s">
        <v>4503</v>
      </c>
      <c r="D2084" t="s">
        <v>1036</v>
      </c>
      <c r="F2084">
        <v>817629319</v>
      </c>
      <c r="G2084">
        <v>3120839894</v>
      </c>
      <c r="H2084">
        <v>197762737</v>
      </c>
      <c r="I2084">
        <v>20245775</v>
      </c>
      <c r="J2084">
        <v>182343957</v>
      </c>
      <c r="K2084">
        <v>138574134</v>
      </c>
      <c r="L2084">
        <v>142699376</v>
      </c>
      <c r="P2084">
        <v>1533</v>
      </c>
      <c r="Q2084" t="s">
        <v>4504</v>
      </c>
    </row>
    <row r="2085" spans="1:17" x14ac:dyDescent="0.3">
      <c r="A2085" t="s">
        <v>59</v>
      </c>
      <c r="B2085" t="str">
        <f>"300054"</f>
        <v>300054</v>
      </c>
      <c r="C2085" t="s">
        <v>4505</v>
      </c>
      <c r="D2085" t="s">
        <v>2111</v>
      </c>
      <c r="F2085">
        <v>3119542</v>
      </c>
      <c r="G2085">
        <v>388501686</v>
      </c>
      <c r="H2085">
        <v>197585058</v>
      </c>
      <c r="I2085">
        <v>297817082</v>
      </c>
      <c r="J2085">
        <v>345695522</v>
      </c>
      <c r="K2085">
        <v>296445856</v>
      </c>
      <c r="L2085">
        <v>116570129</v>
      </c>
      <c r="M2085">
        <v>134407365</v>
      </c>
      <c r="N2085">
        <v>84294904</v>
      </c>
      <c r="O2085">
        <v>36651388</v>
      </c>
      <c r="P2085">
        <v>367</v>
      </c>
      <c r="Q2085" t="s">
        <v>4506</v>
      </c>
    </row>
    <row r="2086" spans="1:17" x14ac:dyDescent="0.3">
      <c r="A2086" t="s">
        <v>17</v>
      </c>
      <c r="B2086" t="str">
        <f>"688350"</f>
        <v>688350</v>
      </c>
      <c r="C2086" t="s">
        <v>4507</v>
      </c>
      <c r="D2086" t="s">
        <v>1252</v>
      </c>
      <c r="F2086">
        <v>96049136</v>
      </c>
      <c r="G2086">
        <v>165574725</v>
      </c>
      <c r="H2086">
        <v>196994484</v>
      </c>
      <c r="I2086">
        <v>79018871</v>
      </c>
      <c r="J2086">
        <v>56468563</v>
      </c>
      <c r="P2086">
        <v>34</v>
      </c>
      <c r="Q2086" t="s">
        <v>4508</v>
      </c>
    </row>
    <row r="2087" spans="1:17" x14ac:dyDescent="0.3">
      <c r="A2087" t="s">
        <v>59</v>
      </c>
      <c r="B2087" t="str">
        <f>"002734"</f>
        <v>002734</v>
      </c>
      <c r="C2087" t="s">
        <v>4509</v>
      </c>
      <c r="D2087" t="s">
        <v>1356</v>
      </c>
      <c r="F2087">
        <v>59597932</v>
      </c>
      <c r="G2087">
        <v>903335208</v>
      </c>
      <c r="H2087">
        <v>196965175</v>
      </c>
      <c r="I2087">
        <v>231571606</v>
      </c>
      <c r="J2087">
        <v>73063988</v>
      </c>
      <c r="K2087">
        <v>259441170</v>
      </c>
      <c r="L2087">
        <v>91238822</v>
      </c>
      <c r="M2087">
        <v>62912068</v>
      </c>
      <c r="N2087">
        <v>102822618</v>
      </c>
      <c r="O2087">
        <v>60528494</v>
      </c>
      <c r="P2087">
        <v>261</v>
      </c>
      <c r="Q2087" t="s">
        <v>4510</v>
      </c>
    </row>
    <row r="2088" spans="1:17" x14ac:dyDescent="0.3">
      <c r="A2088" t="s">
        <v>17</v>
      </c>
      <c r="B2088" t="str">
        <f>"603278"</f>
        <v>603278</v>
      </c>
      <c r="C2088" t="s">
        <v>4511</v>
      </c>
      <c r="D2088" t="s">
        <v>637</v>
      </c>
      <c r="F2088">
        <v>255727686</v>
      </c>
      <c r="G2088">
        <v>-185491204</v>
      </c>
      <c r="H2088">
        <v>196621094</v>
      </c>
      <c r="I2088">
        <v>321395561</v>
      </c>
      <c r="J2088">
        <v>102609620</v>
      </c>
      <c r="K2088">
        <v>168511686</v>
      </c>
      <c r="L2088">
        <v>136859834</v>
      </c>
      <c r="M2088">
        <v>82214454</v>
      </c>
      <c r="P2088">
        <v>122</v>
      </c>
      <c r="Q2088" t="s">
        <v>4512</v>
      </c>
    </row>
    <row r="2089" spans="1:17" x14ac:dyDescent="0.3">
      <c r="A2089" t="s">
        <v>59</v>
      </c>
      <c r="B2089" t="str">
        <f>"300426"</f>
        <v>300426</v>
      </c>
      <c r="C2089" t="s">
        <v>4513</v>
      </c>
      <c r="D2089" t="s">
        <v>1059</v>
      </c>
      <c r="F2089">
        <v>122090365</v>
      </c>
      <c r="G2089">
        <v>-213677258</v>
      </c>
      <c r="H2089">
        <v>196563689</v>
      </c>
      <c r="I2089">
        <v>-86609982</v>
      </c>
      <c r="J2089">
        <v>-179569082</v>
      </c>
      <c r="K2089">
        <v>-174415277</v>
      </c>
      <c r="L2089">
        <v>-124800639</v>
      </c>
      <c r="M2089">
        <v>-69036794</v>
      </c>
      <c r="N2089">
        <v>-45010687</v>
      </c>
      <c r="O2089">
        <v>-101313203</v>
      </c>
      <c r="P2089">
        <v>130</v>
      </c>
      <c r="Q2089" t="s">
        <v>4514</v>
      </c>
    </row>
    <row r="2090" spans="1:17" x14ac:dyDescent="0.3">
      <c r="A2090" t="s">
        <v>17</v>
      </c>
      <c r="B2090" t="str">
        <f>"605162"</f>
        <v>605162</v>
      </c>
      <c r="C2090" t="s">
        <v>4515</v>
      </c>
      <c r="D2090" t="s">
        <v>1238</v>
      </c>
      <c r="F2090">
        <v>114874605</v>
      </c>
      <c r="G2090">
        <v>212366870</v>
      </c>
      <c r="H2090">
        <v>196139732</v>
      </c>
      <c r="I2090">
        <v>157176867</v>
      </c>
      <c r="J2090">
        <v>162351217</v>
      </c>
      <c r="P2090">
        <v>27</v>
      </c>
      <c r="Q2090" t="s">
        <v>4516</v>
      </c>
    </row>
    <row r="2091" spans="1:17" x14ac:dyDescent="0.3">
      <c r="A2091" t="s">
        <v>59</v>
      </c>
      <c r="B2091" t="str">
        <f>"300056"</f>
        <v>300056</v>
      </c>
      <c r="C2091" t="s">
        <v>4517</v>
      </c>
      <c r="D2091" t="s">
        <v>634</v>
      </c>
      <c r="F2091">
        <v>51239679</v>
      </c>
      <c r="G2091">
        <v>-166153124</v>
      </c>
      <c r="H2091">
        <v>195725308</v>
      </c>
      <c r="I2091">
        <v>21608654</v>
      </c>
      <c r="J2091">
        <v>186548899</v>
      </c>
      <c r="K2091">
        <v>-28190539</v>
      </c>
      <c r="L2091">
        <v>-114180111</v>
      </c>
      <c r="M2091">
        <v>74409870</v>
      </c>
      <c r="N2091">
        <v>51929001</v>
      </c>
      <c r="O2091">
        <v>57902961</v>
      </c>
      <c r="P2091">
        <v>87</v>
      </c>
      <c r="Q2091" t="s">
        <v>4518</v>
      </c>
    </row>
    <row r="2092" spans="1:17" x14ac:dyDescent="0.3">
      <c r="A2092" t="s">
        <v>59</v>
      </c>
      <c r="B2092" t="str">
        <f>"300983"</f>
        <v>300983</v>
      </c>
      <c r="C2092" t="s">
        <v>4519</v>
      </c>
      <c r="D2092" t="s">
        <v>2254</v>
      </c>
      <c r="F2092">
        <v>101721947</v>
      </c>
      <c r="G2092">
        <v>157749498</v>
      </c>
      <c r="H2092">
        <v>195717948</v>
      </c>
      <c r="I2092">
        <v>152100639</v>
      </c>
      <c r="J2092">
        <v>116661997</v>
      </c>
      <c r="P2092">
        <v>34</v>
      </c>
      <c r="Q2092" t="s">
        <v>4520</v>
      </c>
    </row>
    <row r="2093" spans="1:17" x14ac:dyDescent="0.3">
      <c r="A2093" t="s">
        <v>59</v>
      </c>
      <c r="B2093" t="str">
        <f>"002009"</f>
        <v>002009</v>
      </c>
      <c r="C2093" t="s">
        <v>4521</v>
      </c>
      <c r="D2093" t="s">
        <v>1351</v>
      </c>
      <c r="F2093">
        <v>91246756</v>
      </c>
      <c r="G2093">
        <v>154250254</v>
      </c>
      <c r="H2093">
        <v>195543855</v>
      </c>
      <c r="I2093">
        <v>365468725</v>
      </c>
      <c r="J2093">
        <v>25635499</v>
      </c>
      <c r="K2093">
        <v>32448016</v>
      </c>
      <c r="L2093">
        <v>713051931</v>
      </c>
      <c r="M2093">
        <v>192191550</v>
      </c>
      <c r="N2093">
        <v>131008785</v>
      </c>
      <c r="O2093">
        <v>16426073</v>
      </c>
      <c r="P2093">
        <v>148</v>
      </c>
      <c r="Q2093" t="s">
        <v>4522</v>
      </c>
    </row>
    <row r="2094" spans="1:17" x14ac:dyDescent="0.3">
      <c r="A2094" t="s">
        <v>59</v>
      </c>
      <c r="B2094" t="str">
        <f>"300190"</f>
        <v>300190</v>
      </c>
      <c r="C2094" t="s">
        <v>4523</v>
      </c>
      <c r="D2094" t="s">
        <v>2700</v>
      </c>
      <c r="F2094">
        <v>325378788</v>
      </c>
      <c r="G2094">
        <v>362711409</v>
      </c>
      <c r="H2094">
        <v>195457194</v>
      </c>
      <c r="I2094">
        <v>246095084</v>
      </c>
      <c r="J2094">
        <v>65219021</v>
      </c>
      <c r="K2094">
        <v>31456960</v>
      </c>
      <c r="L2094">
        <v>51772954</v>
      </c>
      <c r="M2094">
        <v>40168679</v>
      </c>
      <c r="N2094">
        <v>-49418423</v>
      </c>
      <c r="O2094">
        <v>-89999481</v>
      </c>
      <c r="P2094">
        <v>233</v>
      </c>
      <c r="Q2094" t="s">
        <v>4524</v>
      </c>
    </row>
    <row r="2095" spans="1:17" x14ac:dyDescent="0.3">
      <c r="A2095" t="s">
        <v>17</v>
      </c>
      <c r="B2095" t="str">
        <f>"605378"</f>
        <v>605378</v>
      </c>
      <c r="C2095" t="s">
        <v>4525</v>
      </c>
      <c r="D2095" t="s">
        <v>1107</v>
      </c>
      <c r="F2095">
        <v>77988515</v>
      </c>
      <c r="G2095">
        <v>151772817</v>
      </c>
      <c r="H2095">
        <v>195335815</v>
      </c>
      <c r="I2095">
        <v>73371846</v>
      </c>
      <c r="J2095">
        <v>120231023</v>
      </c>
      <c r="P2095">
        <v>32</v>
      </c>
      <c r="Q2095" t="s">
        <v>4526</v>
      </c>
    </row>
    <row r="2096" spans="1:17" x14ac:dyDescent="0.3">
      <c r="A2096" t="s">
        <v>59</v>
      </c>
      <c r="B2096" t="str">
        <f>"300424"</f>
        <v>300424</v>
      </c>
      <c r="C2096" t="s">
        <v>4527</v>
      </c>
      <c r="D2096" t="s">
        <v>448</v>
      </c>
      <c r="F2096">
        <v>72981464</v>
      </c>
      <c r="G2096">
        <v>20321743</v>
      </c>
      <c r="H2096">
        <v>195136028</v>
      </c>
      <c r="I2096">
        <v>-39756483</v>
      </c>
      <c r="J2096">
        <v>-97615890</v>
      </c>
      <c r="K2096">
        <v>-8484024</v>
      </c>
      <c r="L2096">
        <v>7328183</v>
      </c>
      <c r="M2096">
        <v>50316905</v>
      </c>
      <c r="N2096">
        <v>170736339</v>
      </c>
      <c r="O2096">
        <v>11662154</v>
      </c>
      <c r="P2096">
        <v>133</v>
      </c>
      <c r="Q2096" t="s">
        <v>4528</v>
      </c>
    </row>
    <row r="2097" spans="1:17" x14ac:dyDescent="0.3">
      <c r="A2097" t="s">
        <v>17</v>
      </c>
      <c r="B2097" t="str">
        <f>"603535"</f>
        <v>603535</v>
      </c>
      <c r="C2097" t="s">
        <v>4529</v>
      </c>
      <c r="D2097" t="s">
        <v>677</v>
      </c>
      <c r="F2097">
        <v>77710089</v>
      </c>
      <c r="G2097">
        <v>104232319</v>
      </c>
      <c r="H2097">
        <v>195015551</v>
      </c>
      <c r="I2097">
        <v>97321494</v>
      </c>
      <c r="J2097">
        <v>57046780</v>
      </c>
      <c r="K2097">
        <v>73073337</v>
      </c>
      <c r="L2097">
        <v>146953956</v>
      </c>
      <c r="M2097">
        <v>59148079</v>
      </c>
      <c r="P2097">
        <v>85</v>
      </c>
      <c r="Q2097" t="s">
        <v>4530</v>
      </c>
    </row>
    <row r="2098" spans="1:17" x14ac:dyDescent="0.3">
      <c r="A2098" t="s">
        <v>17</v>
      </c>
      <c r="B2098" t="str">
        <f>"688597"</f>
        <v>688597</v>
      </c>
      <c r="C2098" t="s">
        <v>4531</v>
      </c>
      <c r="D2098" t="s">
        <v>1828</v>
      </c>
      <c r="F2098">
        <v>67997000</v>
      </c>
      <c r="G2098">
        <v>36749398</v>
      </c>
      <c r="H2098">
        <v>194983019</v>
      </c>
      <c r="I2098">
        <v>-7024416</v>
      </c>
      <c r="J2098">
        <v>149858116</v>
      </c>
      <c r="P2098">
        <v>17</v>
      </c>
      <c r="Q2098" t="s">
        <v>4532</v>
      </c>
    </row>
    <row r="2099" spans="1:17" x14ac:dyDescent="0.3">
      <c r="A2099" t="s">
        <v>17</v>
      </c>
      <c r="B2099" t="str">
        <f>"603012"</f>
        <v>603012</v>
      </c>
      <c r="C2099" t="s">
        <v>4533</v>
      </c>
      <c r="D2099" t="s">
        <v>741</v>
      </c>
      <c r="F2099">
        <v>290743179</v>
      </c>
      <c r="G2099">
        <v>307052613</v>
      </c>
      <c r="H2099">
        <v>194957565</v>
      </c>
      <c r="I2099">
        <v>263113963</v>
      </c>
      <c r="J2099">
        <v>254835682</v>
      </c>
      <c r="K2099">
        <v>-82669258</v>
      </c>
      <c r="L2099">
        <v>-142544975</v>
      </c>
      <c r="M2099">
        <v>192267656</v>
      </c>
      <c r="N2099">
        <v>180070550</v>
      </c>
      <c r="O2099">
        <v>107815779</v>
      </c>
      <c r="P2099">
        <v>135</v>
      </c>
      <c r="Q2099" t="s">
        <v>4534</v>
      </c>
    </row>
    <row r="2100" spans="1:17" x14ac:dyDescent="0.3">
      <c r="A2100" t="s">
        <v>59</v>
      </c>
      <c r="B2100" t="str">
        <f>"002361"</f>
        <v>002361</v>
      </c>
      <c r="C2100" t="s">
        <v>4535</v>
      </c>
      <c r="D2100" t="s">
        <v>2385</v>
      </c>
      <c r="F2100">
        <v>-37525845</v>
      </c>
      <c r="G2100">
        <v>66900953</v>
      </c>
      <c r="H2100">
        <v>194835585</v>
      </c>
      <c r="I2100">
        <v>67346158</v>
      </c>
      <c r="J2100">
        <v>-184641755</v>
      </c>
      <c r="K2100">
        <v>216623222</v>
      </c>
      <c r="L2100">
        <v>212212322</v>
      </c>
      <c r="M2100">
        <v>104494311</v>
      </c>
      <c r="N2100">
        <v>-40576797</v>
      </c>
      <c r="O2100">
        <v>36100735</v>
      </c>
      <c r="P2100">
        <v>89</v>
      </c>
      <c r="Q2100" t="s">
        <v>4536</v>
      </c>
    </row>
    <row r="2101" spans="1:17" x14ac:dyDescent="0.3">
      <c r="A2101" t="s">
        <v>17</v>
      </c>
      <c r="B2101" t="str">
        <f>"600097"</f>
        <v>600097</v>
      </c>
      <c r="C2101" t="s">
        <v>4537</v>
      </c>
      <c r="D2101" t="s">
        <v>4538</v>
      </c>
      <c r="F2101">
        <v>224687490</v>
      </c>
      <c r="G2101">
        <v>326321656</v>
      </c>
      <c r="H2101">
        <v>194717458</v>
      </c>
      <c r="I2101">
        <v>190497570</v>
      </c>
      <c r="J2101">
        <v>200251808</v>
      </c>
      <c r="K2101">
        <v>197980627</v>
      </c>
      <c r="L2101">
        <v>81761235</v>
      </c>
      <c r="M2101">
        <v>170064317</v>
      </c>
      <c r="N2101">
        <v>184242129</v>
      </c>
      <c r="O2101">
        <v>322755022</v>
      </c>
      <c r="P2101">
        <v>116</v>
      </c>
      <c r="Q2101" t="s">
        <v>4539</v>
      </c>
    </row>
    <row r="2102" spans="1:17" x14ac:dyDescent="0.3">
      <c r="A2102" t="s">
        <v>59</v>
      </c>
      <c r="B2102" t="str">
        <f>"300887"</f>
        <v>300887</v>
      </c>
      <c r="C2102" t="s">
        <v>4540</v>
      </c>
      <c r="D2102" t="s">
        <v>2028</v>
      </c>
      <c r="F2102">
        <v>47279305</v>
      </c>
      <c r="G2102">
        <v>172393765</v>
      </c>
      <c r="H2102">
        <v>194033320</v>
      </c>
      <c r="I2102">
        <v>183963073</v>
      </c>
      <c r="J2102">
        <v>169737695</v>
      </c>
      <c r="K2102">
        <v>162885937</v>
      </c>
      <c r="P2102">
        <v>117</v>
      </c>
      <c r="Q2102" t="s">
        <v>4541</v>
      </c>
    </row>
    <row r="2103" spans="1:17" x14ac:dyDescent="0.3">
      <c r="A2103" t="s">
        <v>17</v>
      </c>
      <c r="B2103" t="str">
        <f>"603800"</f>
        <v>603800</v>
      </c>
      <c r="C2103" t="s">
        <v>4542</v>
      </c>
      <c r="D2103" t="s">
        <v>741</v>
      </c>
      <c r="F2103">
        <v>-122738890</v>
      </c>
      <c r="G2103">
        <v>-32477690</v>
      </c>
      <c r="H2103">
        <v>194014310</v>
      </c>
      <c r="I2103">
        <v>86516414</v>
      </c>
      <c r="J2103">
        <v>-62148297</v>
      </c>
      <c r="K2103">
        <v>-50589990</v>
      </c>
      <c r="L2103">
        <v>59858275</v>
      </c>
      <c r="M2103">
        <v>128268348</v>
      </c>
      <c r="N2103">
        <v>70656420</v>
      </c>
      <c r="O2103">
        <v>65871794</v>
      </c>
      <c r="P2103">
        <v>75</v>
      </c>
      <c r="Q2103" t="s">
        <v>4543</v>
      </c>
    </row>
    <row r="2104" spans="1:17" x14ac:dyDescent="0.3">
      <c r="A2104" t="s">
        <v>17</v>
      </c>
      <c r="B2104" t="str">
        <f>"603095"</f>
        <v>603095</v>
      </c>
      <c r="C2104" t="s">
        <v>4544</v>
      </c>
      <c r="D2104" t="s">
        <v>3970</v>
      </c>
      <c r="F2104">
        <v>329502632</v>
      </c>
      <c r="G2104">
        <v>118510959</v>
      </c>
      <c r="H2104">
        <v>193773448</v>
      </c>
      <c r="I2104">
        <v>29771427</v>
      </c>
      <c r="J2104">
        <v>87034470</v>
      </c>
      <c r="P2104">
        <v>64</v>
      </c>
      <c r="Q2104" t="s">
        <v>4545</v>
      </c>
    </row>
    <row r="2105" spans="1:17" x14ac:dyDescent="0.3">
      <c r="A2105" t="s">
        <v>17</v>
      </c>
      <c r="B2105" t="str">
        <f>"600505"</f>
        <v>600505</v>
      </c>
      <c r="C2105" t="s">
        <v>4546</v>
      </c>
      <c r="D2105" t="s">
        <v>682</v>
      </c>
      <c r="F2105">
        <v>195684435</v>
      </c>
      <c r="G2105">
        <v>258003864</v>
      </c>
      <c r="H2105">
        <v>193735304</v>
      </c>
      <c r="I2105">
        <v>265505761</v>
      </c>
      <c r="J2105">
        <v>219476860</v>
      </c>
      <c r="K2105">
        <v>165382530</v>
      </c>
      <c r="L2105">
        <v>222449158</v>
      </c>
      <c r="M2105">
        <v>168757092</v>
      </c>
      <c r="N2105">
        <v>172460159</v>
      </c>
      <c r="O2105">
        <v>91785836</v>
      </c>
      <c r="P2105">
        <v>104</v>
      </c>
      <c r="Q2105" t="s">
        <v>4547</v>
      </c>
    </row>
    <row r="2106" spans="1:17" x14ac:dyDescent="0.3">
      <c r="A2106" t="s">
        <v>59</v>
      </c>
      <c r="B2106" t="str">
        <f>"002686"</f>
        <v>002686</v>
      </c>
      <c r="C2106" t="s">
        <v>4548</v>
      </c>
      <c r="D2106" t="s">
        <v>3158</v>
      </c>
      <c r="F2106">
        <v>11456516</v>
      </c>
      <c r="G2106">
        <v>103017646</v>
      </c>
      <c r="H2106">
        <v>193500745</v>
      </c>
      <c r="I2106">
        <v>14626418</v>
      </c>
      <c r="J2106">
        <v>30179535</v>
      </c>
      <c r="K2106">
        <v>183294600</v>
      </c>
      <c r="L2106">
        <v>90060731</v>
      </c>
      <c r="M2106">
        <v>111396369</v>
      </c>
      <c r="N2106">
        <v>81181392</v>
      </c>
      <c r="O2106">
        <v>55714935</v>
      </c>
      <c r="P2106">
        <v>78</v>
      </c>
      <c r="Q2106" t="s">
        <v>4549</v>
      </c>
    </row>
    <row r="2107" spans="1:17" x14ac:dyDescent="0.3">
      <c r="A2107" t="s">
        <v>17</v>
      </c>
      <c r="B2107" t="str">
        <f>"605196"</f>
        <v>605196</v>
      </c>
      <c r="C2107" t="s">
        <v>4550</v>
      </c>
      <c r="D2107" t="s">
        <v>1065</v>
      </c>
      <c r="F2107">
        <v>-578937066</v>
      </c>
      <c r="G2107">
        <v>51307841</v>
      </c>
      <c r="H2107">
        <v>193457649</v>
      </c>
      <c r="I2107">
        <v>-172063027</v>
      </c>
      <c r="J2107">
        <v>-14636200</v>
      </c>
      <c r="P2107">
        <v>27</v>
      </c>
      <c r="Q2107" t="s">
        <v>4551</v>
      </c>
    </row>
    <row r="2108" spans="1:17" x14ac:dyDescent="0.3">
      <c r="A2108" t="s">
        <v>17</v>
      </c>
      <c r="B2108" t="str">
        <f>"603638"</f>
        <v>603638</v>
      </c>
      <c r="C2108" t="s">
        <v>4552</v>
      </c>
      <c r="D2108" t="s">
        <v>1214</v>
      </c>
      <c r="F2108">
        <v>207436367</v>
      </c>
      <c r="G2108">
        <v>334587364</v>
      </c>
      <c r="H2108">
        <v>193264542</v>
      </c>
      <c r="I2108">
        <v>65388106</v>
      </c>
      <c r="J2108">
        <v>122953535</v>
      </c>
      <c r="K2108">
        <v>70965283</v>
      </c>
      <c r="L2108">
        <v>103020788</v>
      </c>
      <c r="M2108">
        <v>83649634</v>
      </c>
      <c r="N2108">
        <v>25534906</v>
      </c>
      <c r="P2108">
        <v>665</v>
      </c>
      <c r="Q2108" t="s">
        <v>4553</v>
      </c>
    </row>
    <row r="2109" spans="1:17" x14ac:dyDescent="0.3">
      <c r="A2109" t="s">
        <v>17</v>
      </c>
      <c r="B2109" t="str">
        <f>"603506"</f>
        <v>603506</v>
      </c>
      <c r="C2109" t="s">
        <v>4554</v>
      </c>
      <c r="D2109" t="s">
        <v>3284</v>
      </c>
      <c r="F2109">
        <v>191028341</v>
      </c>
      <c r="G2109">
        <v>124670675</v>
      </c>
      <c r="H2109">
        <v>192693004</v>
      </c>
      <c r="I2109">
        <v>154611812</v>
      </c>
      <c r="J2109">
        <v>175690459</v>
      </c>
      <c r="K2109">
        <v>63296465</v>
      </c>
      <c r="L2109">
        <v>200204720</v>
      </c>
      <c r="M2109">
        <v>54612606</v>
      </c>
      <c r="P2109">
        <v>355</v>
      </c>
      <c r="Q2109" t="s">
        <v>4555</v>
      </c>
    </row>
    <row r="2110" spans="1:17" x14ac:dyDescent="0.3">
      <c r="A2110" t="s">
        <v>17</v>
      </c>
      <c r="B2110" t="str">
        <f>"605598"</f>
        <v>605598</v>
      </c>
      <c r="C2110" t="s">
        <v>4556</v>
      </c>
      <c r="D2110" t="s">
        <v>199</v>
      </c>
      <c r="F2110">
        <v>77871194</v>
      </c>
      <c r="G2110">
        <v>101879983</v>
      </c>
      <c r="H2110">
        <v>192526034</v>
      </c>
      <c r="I2110">
        <v>127432509</v>
      </c>
      <c r="J2110">
        <v>56965608</v>
      </c>
      <c r="P2110">
        <v>18</v>
      </c>
      <c r="Q2110" t="s">
        <v>4557</v>
      </c>
    </row>
    <row r="2111" spans="1:17" x14ac:dyDescent="0.3">
      <c r="A2111" t="s">
        <v>59</v>
      </c>
      <c r="B2111" t="str">
        <f>"000596"</f>
        <v>000596</v>
      </c>
      <c r="C2111" t="s">
        <v>4558</v>
      </c>
      <c r="D2111" t="s">
        <v>67</v>
      </c>
      <c r="F2111">
        <v>5254308128</v>
      </c>
      <c r="G2111">
        <v>3624543526</v>
      </c>
      <c r="H2111">
        <v>192447063</v>
      </c>
      <c r="I2111">
        <v>1440881286</v>
      </c>
      <c r="J2111">
        <v>930914713</v>
      </c>
      <c r="K2111">
        <v>1183231808</v>
      </c>
      <c r="L2111">
        <v>790109535</v>
      </c>
      <c r="M2111">
        <v>387494290</v>
      </c>
      <c r="N2111">
        <v>638255355</v>
      </c>
      <c r="O2111">
        <v>1086867364</v>
      </c>
      <c r="P2111">
        <v>53678</v>
      </c>
      <c r="Q2111" t="s">
        <v>4559</v>
      </c>
    </row>
    <row r="2112" spans="1:17" x14ac:dyDescent="0.3">
      <c r="A2112" t="s">
        <v>17</v>
      </c>
      <c r="B2112" t="str">
        <f>"688211"</f>
        <v>688211</v>
      </c>
      <c r="C2112" t="s">
        <v>4560</v>
      </c>
      <c r="D2112" t="s">
        <v>1351</v>
      </c>
      <c r="F2112">
        <v>-421334272</v>
      </c>
      <c r="G2112">
        <v>12310560</v>
      </c>
      <c r="H2112">
        <v>192247123</v>
      </c>
      <c r="I2112">
        <v>48792670</v>
      </c>
      <c r="J2112">
        <v>10291867</v>
      </c>
      <c r="P2112">
        <v>27</v>
      </c>
      <c r="Q2112" t="s">
        <v>4561</v>
      </c>
    </row>
    <row r="2113" spans="1:17" x14ac:dyDescent="0.3">
      <c r="A2113" t="s">
        <v>17</v>
      </c>
      <c r="B2113" t="str">
        <f>"603187"</f>
        <v>603187</v>
      </c>
      <c r="C2113" t="s">
        <v>4562</v>
      </c>
      <c r="D2113" t="s">
        <v>3158</v>
      </c>
      <c r="F2113">
        <v>55661869</v>
      </c>
      <c r="G2113">
        <v>373915593</v>
      </c>
      <c r="H2113">
        <v>192200686</v>
      </c>
      <c r="I2113">
        <v>137542890</v>
      </c>
      <c r="J2113">
        <v>226557166</v>
      </c>
      <c r="K2113">
        <v>171355069</v>
      </c>
      <c r="L2113">
        <v>111263322</v>
      </c>
      <c r="P2113">
        <v>704</v>
      </c>
      <c r="Q2113" t="s">
        <v>4563</v>
      </c>
    </row>
    <row r="2114" spans="1:17" x14ac:dyDescent="0.3">
      <c r="A2114" t="s">
        <v>59</v>
      </c>
      <c r="B2114" t="str">
        <f>"002232"</f>
        <v>002232</v>
      </c>
      <c r="C2114" t="s">
        <v>4564</v>
      </c>
      <c r="D2114" t="s">
        <v>1189</v>
      </c>
      <c r="F2114">
        <v>-167991972</v>
      </c>
      <c r="G2114">
        <v>78520531</v>
      </c>
      <c r="H2114">
        <v>192028692</v>
      </c>
      <c r="I2114">
        <v>34725546</v>
      </c>
      <c r="J2114">
        <v>24683422</v>
      </c>
      <c r="K2114">
        <v>138566370</v>
      </c>
      <c r="L2114">
        <v>235978766</v>
      </c>
      <c r="M2114">
        <v>114760473</v>
      </c>
      <c r="N2114">
        <v>90879591</v>
      </c>
      <c r="O2114">
        <v>183495045</v>
      </c>
      <c r="P2114">
        <v>247</v>
      </c>
      <c r="Q2114" t="s">
        <v>4565</v>
      </c>
    </row>
    <row r="2115" spans="1:17" x14ac:dyDescent="0.3">
      <c r="A2115" t="s">
        <v>17</v>
      </c>
      <c r="B2115" t="str">
        <f>"603027"</f>
        <v>603027</v>
      </c>
      <c r="C2115" t="s">
        <v>4566</v>
      </c>
      <c r="D2115" t="s">
        <v>375</v>
      </c>
      <c r="F2115">
        <v>178187852</v>
      </c>
      <c r="G2115">
        <v>378030105</v>
      </c>
      <c r="H2115">
        <v>191991964</v>
      </c>
      <c r="I2115">
        <v>243412729</v>
      </c>
      <c r="J2115">
        <v>174843670</v>
      </c>
      <c r="K2115">
        <v>69492006</v>
      </c>
      <c r="L2115">
        <v>73033937</v>
      </c>
      <c r="M2115">
        <v>99224680</v>
      </c>
      <c r="N2115">
        <v>90132166</v>
      </c>
      <c r="P2115">
        <v>1883</v>
      </c>
      <c r="Q2115" t="s">
        <v>4567</v>
      </c>
    </row>
    <row r="2116" spans="1:17" x14ac:dyDescent="0.3">
      <c r="A2116" t="s">
        <v>59</v>
      </c>
      <c r="B2116" t="str">
        <f>"301153"</f>
        <v>301153</v>
      </c>
      <c r="C2116" t="s">
        <v>4568</v>
      </c>
      <c r="F2116">
        <v>214335221</v>
      </c>
      <c r="G2116">
        <v>209687913</v>
      </c>
      <c r="H2116">
        <v>191959032</v>
      </c>
      <c r="I2116">
        <v>151326758</v>
      </c>
      <c r="J2116">
        <v>56747713</v>
      </c>
      <c r="Q2116" t="s">
        <v>4569</v>
      </c>
    </row>
    <row r="2117" spans="1:17" x14ac:dyDescent="0.3">
      <c r="A2117" t="s">
        <v>59</v>
      </c>
      <c r="B2117" t="str">
        <f>"003016"</f>
        <v>003016</v>
      </c>
      <c r="C2117" t="s">
        <v>4570</v>
      </c>
      <c r="D2117" t="s">
        <v>646</v>
      </c>
      <c r="F2117">
        <v>446267585</v>
      </c>
      <c r="G2117">
        <v>506329434</v>
      </c>
      <c r="H2117">
        <v>191790292</v>
      </c>
      <c r="I2117">
        <v>215444784</v>
      </c>
      <c r="J2117">
        <v>306935889</v>
      </c>
      <c r="K2117">
        <v>358892633</v>
      </c>
      <c r="P2117">
        <v>58</v>
      </c>
      <c r="Q2117" t="s">
        <v>4571</v>
      </c>
    </row>
    <row r="2118" spans="1:17" x14ac:dyDescent="0.3">
      <c r="A2118" t="s">
        <v>59</v>
      </c>
      <c r="B2118" t="str">
        <f>"300536"</f>
        <v>300536</v>
      </c>
      <c r="C2118" t="s">
        <v>4572</v>
      </c>
      <c r="D2118" t="s">
        <v>1489</v>
      </c>
      <c r="F2118">
        <v>-46820159</v>
      </c>
      <c r="G2118">
        <v>-109567596</v>
      </c>
      <c r="H2118">
        <v>191427237</v>
      </c>
      <c r="I2118">
        <v>141992460</v>
      </c>
      <c r="J2118">
        <v>-129826757</v>
      </c>
      <c r="K2118">
        <v>9704791</v>
      </c>
      <c r="L2118">
        <v>5238988</v>
      </c>
      <c r="M2118">
        <v>-10661787</v>
      </c>
      <c r="N2118">
        <v>333094</v>
      </c>
      <c r="P2118">
        <v>63</v>
      </c>
      <c r="Q2118" t="s">
        <v>4573</v>
      </c>
    </row>
    <row r="2119" spans="1:17" x14ac:dyDescent="0.3">
      <c r="A2119" t="s">
        <v>59</v>
      </c>
      <c r="B2119" t="str">
        <f>"300438"</f>
        <v>300438</v>
      </c>
      <c r="C2119" t="s">
        <v>4574</v>
      </c>
      <c r="D2119" t="s">
        <v>232</v>
      </c>
      <c r="F2119">
        <v>204935842</v>
      </c>
      <c r="G2119">
        <v>436870380</v>
      </c>
      <c r="H2119">
        <v>191280255</v>
      </c>
      <c r="I2119">
        <v>127721159</v>
      </c>
      <c r="J2119">
        <v>-7038192</v>
      </c>
      <c r="K2119">
        <v>4427995</v>
      </c>
      <c r="L2119">
        <v>24364542</v>
      </c>
      <c r="M2119">
        <v>41405956</v>
      </c>
      <c r="N2119">
        <v>67724412</v>
      </c>
      <c r="O2119">
        <v>72804173</v>
      </c>
      <c r="P2119">
        <v>394</v>
      </c>
      <c r="Q2119" t="s">
        <v>4575</v>
      </c>
    </row>
    <row r="2120" spans="1:17" x14ac:dyDescent="0.3">
      <c r="A2120" t="s">
        <v>59</v>
      </c>
      <c r="B2120" t="str">
        <f>"002079"</f>
        <v>002079</v>
      </c>
      <c r="C2120" t="s">
        <v>4576</v>
      </c>
      <c r="D2120" t="s">
        <v>3230</v>
      </c>
      <c r="F2120">
        <v>118304370</v>
      </c>
      <c r="G2120">
        <v>124668996</v>
      </c>
      <c r="H2120">
        <v>191192139</v>
      </c>
      <c r="I2120">
        <v>142317783</v>
      </c>
      <c r="J2120">
        <v>151036844</v>
      </c>
      <c r="K2120">
        <v>169066530</v>
      </c>
      <c r="L2120">
        <v>81559032</v>
      </c>
      <c r="M2120">
        <v>304361499</v>
      </c>
      <c r="N2120">
        <v>-132089300</v>
      </c>
      <c r="O2120">
        <v>34163781</v>
      </c>
      <c r="P2120">
        <v>372</v>
      </c>
      <c r="Q2120" t="s">
        <v>4577</v>
      </c>
    </row>
    <row r="2121" spans="1:17" x14ac:dyDescent="0.3">
      <c r="A2121" t="s">
        <v>59</v>
      </c>
      <c r="B2121" t="str">
        <f>"002998"</f>
        <v>002998</v>
      </c>
      <c r="C2121" t="s">
        <v>4578</v>
      </c>
      <c r="D2121" t="s">
        <v>1116</v>
      </c>
      <c r="F2121">
        <v>4058920</v>
      </c>
      <c r="G2121">
        <v>92551816</v>
      </c>
      <c r="H2121">
        <v>190990507</v>
      </c>
      <c r="I2121">
        <v>-29238345</v>
      </c>
      <c r="J2121">
        <v>19966722</v>
      </c>
      <c r="K2121">
        <v>-19674299</v>
      </c>
      <c r="P2121">
        <v>36</v>
      </c>
      <c r="Q2121" t="s">
        <v>4579</v>
      </c>
    </row>
    <row r="2122" spans="1:17" x14ac:dyDescent="0.3">
      <c r="A2122" t="s">
        <v>59</v>
      </c>
      <c r="B2122" t="str">
        <f>"300822"</f>
        <v>300822</v>
      </c>
      <c r="C2122" t="s">
        <v>4580</v>
      </c>
      <c r="D2122" t="s">
        <v>349</v>
      </c>
      <c r="F2122">
        <v>-111553161</v>
      </c>
      <c r="G2122">
        <v>188598377</v>
      </c>
      <c r="H2122">
        <v>190958837</v>
      </c>
      <c r="I2122">
        <v>64151748</v>
      </c>
      <c r="J2122">
        <v>45760163</v>
      </c>
      <c r="P2122">
        <v>131</v>
      </c>
      <c r="Q2122" t="s">
        <v>4581</v>
      </c>
    </row>
    <row r="2123" spans="1:17" x14ac:dyDescent="0.3">
      <c r="A2123" t="s">
        <v>59</v>
      </c>
      <c r="B2123" t="str">
        <f>"000403"</f>
        <v>000403</v>
      </c>
      <c r="C2123" t="s">
        <v>4582</v>
      </c>
      <c r="D2123" t="s">
        <v>1421</v>
      </c>
      <c r="F2123">
        <v>408218063</v>
      </c>
      <c r="G2123">
        <v>194839666</v>
      </c>
      <c r="H2123">
        <v>190843307</v>
      </c>
      <c r="I2123">
        <v>116634762</v>
      </c>
      <c r="J2123">
        <v>-35912088</v>
      </c>
      <c r="K2123">
        <v>62487361</v>
      </c>
      <c r="L2123">
        <v>70310540</v>
      </c>
      <c r="M2123">
        <v>77039222</v>
      </c>
      <c r="N2123">
        <v>91006899</v>
      </c>
      <c r="O2123">
        <v>123244985</v>
      </c>
      <c r="P2123">
        <v>294</v>
      </c>
      <c r="Q2123" t="s">
        <v>4583</v>
      </c>
    </row>
    <row r="2124" spans="1:17" x14ac:dyDescent="0.3">
      <c r="A2124" t="s">
        <v>59</v>
      </c>
      <c r="B2124" t="str">
        <f>"300633"</f>
        <v>300633</v>
      </c>
      <c r="C2124" t="s">
        <v>4584</v>
      </c>
      <c r="D2124" t="s">
        <v>485</v>
      </c>
      <c r="F2124">
        <v>302989916</v>
      </c>
      <c r="G2124">
        <v>271131440</v>
      </c>
      <c r="H2124">
        <v>190393068</v>
      </c>
      <c r="I2124">
        <v>233647897</v>
      </c>
      <c r="J2124">
        <v>136205027</v>
      </c>
      <c r="K2124">
        <v>137377685</v>
      </c>
      <c r="L2124">
        <v>56285693</v>
      </c>
      <c r="M2124">
        <v>113548682</v>
      </c>
      <c r="N2124">
        <v>89944602</v>
      </c>
      <c r="P2124">
        <v>515</v>
      </c>
      <c r="Q2124" t="s">
        <v>4585</v>
      </c>
    </row>
    <row r="2125" spans="1:17" x14ac:dyDescent="0.3">
      <c r="A2125" t="s">
        <v>17</v>
      </c>
      <c r="B2125" t="str">
        <f>"603881"</f>
        <v>603881</v>
      </c>
      <c r="C2125" t="s">
        <v>4586</v>
      </c>
      <c r="D2125" t="s">
        <v>1189</v>
      </c>
      <c r="F2125">
        <v>714509746</v>
      </c>
      <c r="G2125">
        <v>167235288</v>
      </c>
      <c r="H2125">
        <v>190353249</v>
      </c>
      <c r="I2125">
        <v>335491536</v>
      </c>
      <c r="J2125">
        <v>140692701</v>
      </c>
      <c r="K2125">
        <v>146269633</v>
      </c>
      <c r="L2125">
        <v>115834281</v>
      </c>
      <c r="M2125">
        <v>110507518</v>
      </c>
      <c r="N2125">
        <v>3709661</v>
      </c>
      <c r="P2125">
        <v>486</v>
      </c>
      <c r="Q2125" t="s">
        <v>4587</v>
      </c>
    </row>
    <row r="2126" spans="1:17" x14ac:dyDescent="0.3">
      <c r="A2126" t="s">
        <v>59</v>
      </c>
      <c r="B2126" t="str">
        <f>"000019"</f>
        <v>000019</v>
      </c>
      <c r="C2126" t="s">
        <v>4588</v>
      </c>
      <c r="D2126" t="s">
        <v>229</v>
      </c>
      <c r="F2126">
        <v>440396030</v>
      </c>
      <c r="G2126">
        <v>286528222</v>
      </c>
      <c r="H2126">
        <v>190053824</v>
      </c>
      <c r="I2126">
        <v>299103636</v>
      </c>
      <c r="J2126">
        <v>-94914594</v>
      </c>
      <c r="K2126">
        <v>61740568</v>
      </c>
      <c r="L2126">
        <v>-45963089</v>
      </c>
      <c r="M2126">
        <v>25443112</v>
      </c>
      <c r="N2126">
        <v>-11917840</v>
      </c>
      <c r="O2126">
        <v>-48434558</v>
      </c>
      <c r="P2126">
        <v>176</v>
      </c>
      <c r="Q2126" t="s">
        <v>4589</v>
      </c>
    </row>
    <row r="2127" spans="1:17" x14ac:dyDescent="0.3">
      <c r="A2127" t="s">
        <v>17</v>
      </c>
      <c r="B2127" t="str">
        <f>"603070"</f>
        <v>603070</v>
      </c>
      <c r="C2127" t="s">
        <v>4590</v>
      </c>
      <c r="F2127">
        <v>42278975</v>
      </c>
      <c r="G2127">
        <v>207285470</v>
      </c>
      <c r="H2127">
        <v>190004976</v>
      </c>
      <c r="I2127">
        <v>28009408</v>
      </c>
      <c r="P2127">
        <v>10</v>
      </c>
      <c r="Q2127" t="s">
        <v>4591</v>
      </c>
    </row>
    <row r="2128" spans="1:17" x14ac:dyDescent="0.3">
      <c r="A2128" t="s">
        <v>17</v>
      </c>
      <c r="B2128" t="str">
        <f>"605060"</f>
        <v>605060</v>
      </c>
      <c r="C2128" t="s">
        <v>4592</v>
      </c>
      <c r="D2128" t="s">
        <v>1838</v>
      </c>
      <c r="F2128">
        <v>191490923</v>
      </c>
      <c r="G2128">
        <v>149081771</v>
      </c>
      <c r="H2128">
        <v>189851231</v>
      </c>
      <c r="I2128">
        <v>128834377</v>
      </c>
      <c r="J2128">
        <v>165958336</v>
      </c>
      <c r="P2128">
        <v>43</v>
      </c>
      <c r="Q2128" t="s">
        <v>4593</v>
      </c>
    </row>
    <row r="2129" spans="1:17" x14ac:dyDescent="0.3">
      <c r="A2129" t="s">
        <v>59</v>
      </c>
      <c r="B2129" t="str">
        <f>"300471"</f>
        <v>300471</v>
      </c>
      <c r="C2129" t="s">
        <v>4594</v>
      </c>
      <c r="D2129" t="s">
        <v>1351</v>
      </c>
      <c r="F2129">
        <v>-27705409</v>
      </c>
      <c r="G2129">
        <v>-31637594</v>
      </c>
      <c r="H2129">
        <v>189811350</v>
      </c>
      <c r="I2129">
        <v>-264436400</v>
      </c>
      <c r="J2129">
        <v>-137982885</v>
      </c>
      <c r="K2129">
        <v>-96421549</v>
      </c>
      <c r="L2129">
        <v>63954443</v>
      </c>
      <c r="M2129">
        <v>135716577</v>
      </c>
      <c r="N2129">
        <v>147296512</v>
      </c>
      <c r="O2129">
        <v>218154876</v>
      </c>
      <c r="P2129">
        <v>166</v>
      </c>
      <c r="Q2129" t="s">
        <v>4595</v>
      </c>
    </row>
    <row r="2130" spans="1:17" x14ac:dyDescent="0.3">
      <c r="A2130" t="s">
        <v>59</v>
      </c>
      <c r="B2130" t="str">
        <f>"002860"</f>
        <v>002860</v>
      </c>
      <c r="C2130" t="s">
        <v>4596</v>
      </c>
      <c r="D2130" t="s">
        <v>1087</v>
      </c>
      <c r="F2130">
        <v>141970967</v>
      </c>
      <c r="G2130">
        <v>95475735</v>
      </c>
      <c r="H2130">
        <v>189485263</v>
      </c>
      <c r="I2130">
        <v>93394808</v>
      </c>
      <c r="J2130">
        <v>78172321</v>
      </c>
      <c r="K2130">
        <v>71474513</v>
      </c>
      <c r="L2130">
        <v>57760261</v>
      </c>
      <c r="M2130">
        <v>42039198</v>
      </c>
      <c r="P2130">
        <v>249</v>
      </c>
      <c r="Q2130" t="s">
        <v>4597</v>
      </c>
    </row>
    <row r="2131" spans="1:17" x14ac:dyDescent="0.3">
      <c r="A2131" t="s">
        <v>59</v>
      </c>
      <c r="B2131" t="str">
        <f>"002623"</f>
        <v>002623</v>
      </c>
      <c r="C2131" t="s">
        <v>4598</v>
      </c>
      <c r="D2131" t="s">
        <v>1340</v>
      </c>
      <c r="F2131">
        <v>-143476403</v>
      </c>
      <c r="G2131">
        <v>241506672</v>
      </c>
      <c r="H2131">
        <v>189457070</v>
      </c>
      <c r="I2131">
        <v>3759894</v>
      </c>
      <c r="J2131">
        <v>122489796</v>
      </c>
      <c r="K2131">
        <v>197984372</v>
      </c>
      <c r="L2131">
        <v>-40282443</v>
      </c>
      <c r="M2131">
        <v>95894802</v>
      </c>
      <c r="N2131">
        <v>70127988</v>
      </c>
      <c r="O2131">
        <v>36457083</v>
      </c>
      <c r="P2131">
        <v>172</v>
      </c>
      <c r="Q2131" t="s">
        <v>4599</v>
      </c>
    </row>
    <row r="2132" spans="1:17" x14ac:dyDescent="0.3">
      <c r="A2132" t="s">
        <v>59</v>
      </c>
      <c r="B2132" t="str">
        <f>"002992"</f>
        <v>002992</v>
      </c>
      <c r="C2132" t="s">
        <v>4600</v>
      </c>
      <c r="D2132" t="s">
        <v>139</v>
      </c>
      <c r="F2132">
        <v>47297923</v>
      </c>
      <c r="G2132">
        <v>-85177851</v>
      </c>
      <c r="H2132">
        <v>189237475</v>
      </c>
      <c r="I2132">
        <v>328284445</v>
      </c>
      <c r="J2132">
        <v>124863733</v>
      </c>
      <c r="P2132">
        <v>51</v>
      </c>
      <c r="Q2132" t="s">
        <v>4601</v>
      </c>
    </row>
    <row r="2133" spans="1:17" x14ac:dyDescent="0.3">
      <c r="A2133" t="s">
        <v>17</v>
      </c>
      <c r="B2133" t="str">
        <f>"605319"</f>
        <v>605319</v>
      </c>
      <c r="C2133" t="s">
        <v>4602</v>
      </c>
      <c r="D2133" t="s">
        <v>1226</v>
      </c>
      <c r="F2133">
        <v>232819078</v>
      </c>
      <c r="G2133">
        <v>285302774</v>
      </c>
      <c r="H2133">
        <v>189236297</v>
      </c>
      <c r="I2133">
        <v>164762366</v>
      </c>
      <c r="J2133">
        <v>25064800</v>
      </c>
      <c r="P2133">
        <v>22</v>
      </c>
      <c r="Q2133" t="s">
        <v>4603</v>
      </c>
    </row>
    <row r="2134" spans="1:17" x14ac:dyDescent="0.3">
      <c r="A2134" t="s">
        <v>59</v>
      </c>
      <c r="B2134" t="str">
        <f>"003000"</f>
        <v>003000</v>
      </c>
      <c r="C2134" t="s">
        <v>4604</v>
      </c>
      <c r="D2134" t="s">
        <v>2353</v>
      </c>
      <c r="F2134">
        <v>192812087</v>
      </c>
      <c r="G2134">
        <v>10286762</v>
      </c>
      <c r="H2134">
        <v>189147742</v>
      </c>
      <c r="I2134">
        <v>112638392</v>
      </c>
      <c r="J2134">
        <v>30514829</v>
      </c>
      <c r="P2134">
        <v>84</v>
      </c>
      <c r="Q2134" t="s">
        <v>4605</v>
      </c>
    </row>
    <row r="2135" spans="1:17" x14ac:dyDescent="0.3">
      <c r="A2135" t="s">
        <v>59</v>
      </c>
      <c r="B2135" t="str">
        <f>"300456"</f>
        <v>300456</v>
      </c>
      <c r="C2135" t="s">
        <v>4606</v>
      </c>
      <c r="D2135" t="s">
        <v>325</v>
      </c>
      <c r="F2135">
        <v>103579004</v>
      </c>
      <c r="G2135">
        <v>255397596</v>
      </c>
      <c r="H2135">
        <v>189065363</v>
      </c>
      <c r="I2135">
        <v>28053208</v>
      </c>
      <c r="J2135">
        <v>76312469</v>
      </c>
      <c r="K2135">
        <v>32655578</v>
      </c>
      <c r="L2135">
        <v>20352018</v>
      </c>
      <c r="M2135">
        <v>29672940</v>
      </c>
      <c r="N2135">
        <v>13929828</v>
      </c>
      <c r="O2135">
        <v>-9706511</v>
      </c>
      <c r="P2135">
        <v>376</v>
      </c>
      <c r="Q2135" t="s">
        <v>4607</v>
      </c>
    </row>
    <row r="2136" spans="1:17" x14ac:dyDescent="0.3">
      <c r="A2136" t="s">
        <v>59</v>
      </c>
      <c r="B2136" t="str">
        <f>"003030"</f>
        <v>003030</v>
      </c>
      <c r="C2136" t="s">
        <v>4608</v>
      </c>
      <c r="D2136" t="s">
        <v>623</v>
      </c>
      <c r="F2136">
        <v>125478761</v>
      </c>
      <c r="G2136">
        <v>184545502</v>
      </c>
      <c r="H2136">
        <v>188801649</v>
      </c>
      <c r="I2136">
        <v>132529862</v>
      </c>
      <c r="J2136">
        <v>71916043</v>
      </c>
      <c r="P2136">
        <v>60</v>
      </c>
      <c r="Q2136" t="s">
        <v>4609</v>
      </c>
    </row>
    <row r="2137" spans="1:17" x14ac:dyDescent="0.3">
      <c r="A2137" t="s">
        <v>59</v>
      </c>
      <c r="B2137" t="str">
        <f>"002669"</f>
        <v>002669</v>
      </c>
      <c r="C2137" t="s">
        <v>4610</v>
      </c>
      <c r="D2137" t="s">
        <v>4479</v>
      </c>
      <c r="F2137">
        <v>207724732</v>
      </c>
      <c r="G2137">
        <v>-122679809</v>
      </c>
      <c r="H2137">
        <v>188780125</v>
      </c>
      <c r="I2137">
        <v>-81246625</v>
      </c>
      <c r="J2137">
        <v>56638215</v>
      </c>
      <c r="K2137">
        <v>52619352</v>
      </c>
      <c r="L2137">
        <v>-30756170</v>
      </c>
      <c r="M2137">
        <v>54682679</v>
      </c>
      <c r="N2137">
        <v>331074</v>
      </c>
      <c r="O2137">
        <v>421726</v>
      </c>
      <c r="P2137">
        <v>138</v>
      </c>
      <c r="Q2137" t="s">
        <v>4611</v>
      </c>
    </row>
    <row r="2138" spans="1:17" x14ac:dyDescent="0.3">
      <c r="A2138" t="s">
        <v>59</v>
      </c>
      <c r="B2138" t="str">
        <f>"000978"</f>
        <v>000978</v>
      </c>
      <c r="C2138" t="s">
        <v>4612</v>
      </c>
      <c r="D2138" t="s">
        <v>2982</v>
      </c>
      <c r="F2138">
        <v>-31131786</v>
      </c>
      <c r="G2138">
        <v>-44463268</v>
      </c>
      <c r="H2138">
        <v>188676203</v>
      </c>
      <c r="I2138">
        <v>163894732</v>
      </c>
      <c r="J2138">
        <v>178772828</v>
      </c>
      <c r="K2138">
        <v>284628942</v>
      </c>
      <c r="L2138">
        <v>258380078</v>
      </c>
      <c r="M2138">
        <v>119118059</v>
      </c>
      <c r="N2138">
        <v>27620307</v>
      </c>
      <c r="O2138">
        <v>116744482</v>
      </c>
      <c r="P2138">
        <v>140</v>
      </c>
      <c r="Q2138" t="s">
        <v>4613</v>
      </c>
    </row>
    <row r="2139" spans="1:17" x14ac:dyDescent="0.3">
      <c r="A2139" t="s">
        <v>59</v>
      </c>
      <c r="B2139" t="str">
        <f>"300406"</f>
        <v>300406</v>
      </c>
      <c r="C2139" t="s">
        <v>4614</v>
      </c>
      <c r="D2139" t="s">
        <v>1953</v>
      </c>
      <c r="F2139">
        <v>341098642</v>
      </c>
      <c r="G2139">
        <v>123058597</v>
      </c>
      <c r="H2139">
        <v>188603374</v>
      </c>
      <c r="I2139">
        <v>256147806</v>
      </c>
      <c r="J2139">
        <v>207907483</v>
      </c>
      <c r="K2139">
        <v>243206451</v>
      </c>
      <c r="L2139">
        <v>142586446</v>
      </c>
      <c r="M2139">
        <v>156938955</v>
      </c>
      <c r="N2139">
        <v>147193672</v>
      </c>
      <c r="O2139">
        <v>125486143</v>
      </c>
      <c r="P2139">
        <v>14630</v>
      </c>
      <c r="Q2139" t="s">
        <v>4615</v>
      </c>
    </row>
    <row r="2140" spans="1:17" x14ac:dyDescent="0.3">
      <c r="A2140" t="s">
        <v>17</v>
      </c>
      <c r="B2140" t="str">
        <f>"605376"</f>
        <v>605376</v>
      </c>
      <c r="C2140" t="s">
        <v>4616</v>
      </c>
      <c r="D2140" t="s">
        <v>987</v>
      </c>
      <c r="F2140">
        <v>99828253</v>
      </c>
      <c r="G2140">
        <v>168459900</v>
      </c>
      <c r="H2140">
        <v>188236406</v>
      </c>
      <c r="I2140">
        <v>38033748</v>
      </c>
      <c r="J2140">
        <v>15887798</v>
      </c>
      <c r="K2140">
        <v>19687000</v>
      </c>
      <c r="P2140">
        <v>110</v>
      </c>
      <c r="Q2140" t="s">
        <v>4617</v>
      </c>
    </row>
    <row r="2141" spans="1:17" x14ac:dyDescent="0.3">
      <c r="A2141" t="s">
        <v>59</v>
      </c>
      <c r="B2141" t="str">
        <f>"300947"</f>
        <v>300947</v>
      </c>
      <c r="C2141" t="s">
        <v>4618</v>
      </c>
      <c r="D2141" t="s">
        <v>548</v>
      </c>
      <c r="F2141">
        <v>607563775</v>
      </c>
      <c r="G2141">
        <v>194786156</v>
      </c>
      <c r="H2141">
        <v>188197264</v>
      </c>
      <c r="I2141">
        <v>188313549</v>
      </c>
      <c r="J2141">
        <v>113456708</v>
      </c>
      <c r="K2141">
        <v>130105744</v>
      </c>
      <c r="P2141">
        <v>28</v>
      </c>
      <c r="Q2141" t="s">
        <v>4619</v>
      </c>
    </row>
    <row r="2142" spans="1:17" x14ac:dyDescent="0.3">
      <c r="A2142" t="s">
        <v>17</v>
      </c>
      <c r="B2142" t="str">
        <f>"600319"</f>
        <v>600319</v>
      </c>
      <c r="C2142" t="s">
        <v>4620</v>
      </c>
      <c r="D2142" t="s">
        <v>317</v>
      </c>
      <c r="F2142">
        <v>-83539114</v>
      </c>
      <c r="G2142">
        <v>-35544106</v>
      </c>
      <c r="H2142">
        <v>188004664</v>
      </c>
      <c r="I2142">
        <v>151397984</v>
      </c>
      <c r="J2142">
        <v>85424043</v>
      </c>
      <c r="K2142">
        <v>50950254</v>
      </c>
      <c r="L2142">
        <v>29391423</v>
      </c>
      <c r="M2142">
        <v>81800903</v>
      </c>
      <c r="N2142">
        <v>-15978890</v>
      </c>
      <c r="O2142">
        <v>45853926</v>
      </c>
      <c r="P2142">
        <v>57</v>
      </c>
      <c r="Q2142" t="s">
        <v>4621</v>
      </c>
    </row>
    <row r="2143" spans="1:17" x14ac:dyDescent="0.3">
      <c r="A2143" t="s">
        <v>59</v>
      </c>
      <c r="B2143" t="str">
        <f>"002108"</f>
        <v>002108</v>
      </c>
      <c r="C2143" t="s">
        <v>4622</v>
      </c>
      <c r="D2143" t="s">
        <v>2104</v>
      </c>
      <c r="F2143">
        <v>497677275</v>
      </c>
      <c r="G2143">
        <v>268408527</v>
      </c>
      <c r="H2143">
        <v>187927696</v>
      </c>
      <c r="I2143">
        <v>166598055</v>
      </c>
      <c r="J2143">
        <v>502040264</v>
      </c>
      <c r="K2143">
        <v>172786701</v>
      </c>
      <c r="L2143">
        <v>132093372</v>
      </c>
      <c r="M2143">
        <v>221735419</v>
      </c>
      <c r="N2143">
        <v>46448614</v>
      </c>
      <c r="O2143">
        <v>72940415</v>
      </c>
      <c r="P2143">
        <v>345</v>
      </c>
      <c r="Q2143" t="s">
        <v>4623</v>
      </c>
    </row>
    <row r="2144" spans="1:17" x14ac:dyDescent="0.3">
      <c r="A2144" t="s">
        <v>59</v>
      </c>
      <c r="B2144" t="str">
        <f>"002838"</f>
        <v>002838</v>
      </c>
      <c r="C2144" t="s">
        <v>4624</v>
      </c>
      <c r="D2144" t="s">
        <v>792</v>
      </c>
      <c r="F2144">
        <v>-163980299</v>
      </c>
      <c r="G2144">
        <v>860073749</v>
      </c>
      <c r="H2144">
        <v>187848447</v>
      </c>
      <c r="I2144">
        <v>30426515</v>
      </c>
      <c r="J2144">
        <v>33593128</v>
      </c>
      <c r="K2144">
        <v>44668756</v>
      </c>
      <c r="L2144">
        <v>45520563</v>
      </c>
      <c r="M2144">
        <v>48351517</v>
      </c>
      <c r="N2144">
        <v>3132045</v>
      </c>
      <c r="P2144">
        <v>614</v>
      </c>
      <c r="Q2144" t="s">
        <v>4625</v>
      </c>
    </row>
    <row r="2145" spans="1:17" x14ac:dyDescent="0.3">
      <c r="A2145" t="s">
        <v>59</v>
      </c>
      <c r="B2145" t="str">
        <f>"002565"</f>
        <v>002565</v>
      </c>
      <c r="C2145" t="s">
        <v>4626</v>
      </c>
      <c r="D2145" t="s">
        <v>1416</v>
      </c>
      <c r="F2145">
        <v>269439249</v>
      </c>
      <c r="G2145">
        <v>141679754</v>
      </c>
      <c r="H2145">
        <v>187504632</v>
      </c>
      <c r="I2145">
        <v>58346830</v>
      </c>
      <c r="J2145">
        <v>191724281</v>
      </c>
      <c r="K2145">
        <v>62805010</v>
      </c>
      <c r="L2145">
        <v>109971829</v>
      </c>
      <c r="M2145">
        <v>226555704</v>
      </c>
      <c r="N2145">
        <v>186026386</v>
      </c>
      <c r="O2145">
        <v>199174318</v>
      </c>
      <c r="P2145">
        <v>107</v>
      </c>
      <c r="Q2145" t="s">
        <v>4627</v>
      </c>
    </row>
    <row r="2146" spans="1:17" x14ac:dyDescent="0.3">
      <c r="A2146" t="s">
        <v>59</v>
      </c>
      <c r="B2146" t="str">
        <f>"300398"</f>
        <v>300398</v>
      </c>
      <c r="C2146" t="s">
        <v>4628</v>
      </c>
      <c r="D2146" t="s">
        <v>2111</v>
      </c>
      <c r="F2146">
        <v>255121598</v>
      </c>
      <c r="G2146">
        <v>170838697</v>
      </c>
      <c r="H2146">
        <v>187285886</v>
      </c>
      <c r="I2146">
        <v>183423694</v>
      </c>
      <c r="J2146">
        <v>118289574</v>
      </c>
      <c r="K2146">
        <v>58641483</v>
      </c>
      <c r="L2146">
        <v>88707116</v>
      </c>
      <c r="M2146">
        <v>80671363</v>
      </c>
      <c r="N2146">
        <v>67888918</v>
      </c>
      <c r="O2146">
        <v>29479604</v>
      </c>
      <c r="P2146">
        <v>244</v>
      </c>
      <c r="Q2146" t="s">
        <v>4629</v>
      </c>
    </row>
    <row r="2147" spans="1:17" x14ac:dyDescent="0.3">
      <c r="A2147" t="s">
        <v>59</v>
      </c>
      <c r="B2147" t="str">
        <f>"000912"</f>
        <v>000912</v>
      </c>
      <c r="C2147" t="s">
        <v>4630</v>
      </c>
      <c r="D2147" t="s">
        <v>2751</v>
      </c>
      <c r="F2147">
        <v>642706853</v>
      </c>
      <c r="G2147">
        <v>483093544</v>
      </c>
      <c r="H2147">
        <v>187151396</v>
      </c>
      <c r="I2147">
        <v>412932272</v>
      </c>
      <c r="J2147">
        <v>473172707</v>
      </c>
      <c r="K2147">
        <v>314759807</v>
      </c>
      <c r="L2147">
        <v>133933314</v>
      </c>
      <c r="M2147">
        <v>90316610</v>
      </c>
      <c r="N2147">
        <v>245045798</v>
      </c>
      <c r="O2147">
        <v>-556460404</v>
      </c>
      <c r="P2147">
        <v>110</v>
      </c>
      <c r="Q2147" t="s">
        <v>4631</v>
      </c>
    </row>
    <row r="2148" spans="1:17" x14ac:dyDescent="0.3">
      <c r="A2148" t="s">
        <v>59</v>
      </c>
      <c r="B2148" t="str">
        <f>"002063"</f>
        <v>002063</v>
      </c>
      <c r="C2148" t="s">
        <v>4632</v>
      </c>
      <c r="D2148" t="s">
        <v>1528</v>
      </c>
      <c r="F2148">
        <v>21846462</v>
      </c>
      <c r="G2148">
        <v>78849111</v>
      </c>
      <c r="H2148">
        <v>186617104</v>
      </c>
      <c r="I2148">
        <v>142551751</v>
      </c>
      <c r="J2148">
        <v>107131434</v>
      </c>
      <c r="K2148">
        <v>73104090</v>
      </c>
      <c r="L2148">
        <v>31918510</v>
      </c>
      <c r="M2148">
        <v>131851045</v>
      </c>
      <c r="N2148">
        <v>261545937</v>
      </c>
      <c r="O2148">
        <v>287515459</v>
      </c>
      <c r="P2148">
        <v>489</v>
      </c>
      <c r="Q2148" t="s">
        <v>4633</v>
      </c>
    </row>
    <row r="2149" spans="1:17" x14ac:dyDescent="0.3">
      <c r="A2149" t="s">
        <v>59</v>
      </c>
      <c r="B2149" t="str">
        <f>"002906"</f>
        <v>002906</v>
      </c>
      <c r="C2149" t="s">
        <v>4634</v>
      </c>
      <c r="D2149" t="s">
        <v>575</v>
      </c>
      <c r="F2149">
        <v>469051345</v>
      </c>
      <c r="G2149">
        <v>135156571</v>
      </c>
      <c r="H2149">
        <v>186567556</v>
      </c>
      <c r="I2149">
        <v>76846653</v>
      </c>
      <c r="J2149">
        <v>171899143</v>
      </c>
      <c r="K2149">
        <v>324529582</v>
      </c>
      <c r="L2149">
        <v>398686493</v>
      </c>
      <c r="M2149">
        <v>362033648</v>
      </c>
      <c r="P2149">
        <v>228</v>
      </c>
      <c r="Q2149" t="s">
        <v>4635</v>
      </c>
    </row>
    <row r="2150" spans="1:17" x14ac:dyDescent="0.3">
      <c r="A2150" t="s">
        <v>59</v>
      </c>
      <c r="B2150" t="str">
        <f>"300429"</f>
        <v>300429</v>
      </c>
      <c r="C2150" t="s">
        <v>4636</v>
      </c>
      <c r="D2150" t="s">
        <v>2111</v>
      </c>
      <c r="F2150">
        <v>104632786</v>
      </c>
      <c r="G2150">
        <v>209769098</v>
      </c>
      <c r="H2150">
        <v>186562581</v>
      </c>
      <c r="I2150">
        <v>111605526</v>
      </c>
      <c r="J2150">
        <v>86467606</v>
      </c>
      <c r="K2150">
        <v>100261691</v>
      </c>
      <c r="L2150">
        <v>64328407</v>
      </c>
      <c r="M2150">
        <v>66806233</v>
      </c>
      <c r="N2150">
        <v>57956170</v>
      </c>
      <c r="O2150">
        <v>43055885</v>
      </c>
      <c r="P2150">
        <v>261</v>
      </c>
      <c r="Q2150" t="s">
        <v>4637</v>
      </c>
    </row>
    <row r="2151" spans="1:17" x14ac:dyDescent="0.3">
      <c r="A2151" t="s">
        <v>59</v>
      </c>
      <c r="B2151" t="str">
        <f>"300434"</f>
        <v>300434</v>
      </c>
      <c r="C2151" t="s">
        <v>4638</v>
      </c>
      <c r="D2151" t="s">
        <v>592</v>
      </c>
      <c r="F2151">
        <v>136395576</v>
      </c>
      <c r="G2151">
        <v>132990042</v>
      </c>
      <c r="H2151">
        <v>186467495</v>
      </c>
      <c r="I2151">
        <v>199082345</v>
      </c>
      <c r="J2151">
        <v>172821784</v>
      </c>
      <c r="K2151">
        <v>25157798</v>
      </c>
      <c r="L2151">
        <v>30807539</v>
      </c>
      <c r="M2151">
        <v>26204718</v>
      </c>
      <c r="N2151">
        <v>39929721</v>
      </c>
      <c r="O2151">
        <v>36469085</v>
      </c>
      <c r="P2151">
        <v>96</v>
      </c>
      <c r="Q2151" t="s">
        <v>4639</v>
      </c>
    </row>
    <row r="2152" spans="1:17" x14ac:dyDescent="0.3">
      <c r="A2152" t="s">
        <v>59</v>
      </c>
      <c r="B2152" t="str">
        <f>"300158"</f>
        <v>300158</v>
      </c>
      <c r="C2152" t="s">
        <v>4640</v>
      </c>
      <c r="D2152" t="s">
        <v>592</v>
      </c>
      <c r="F2152">
        <v>284449199</v>
      </c>
      <c r="G2152">
        <v>221942198</v>
      </c>
      <c r="H2152">
        <v>186353367</v>
      </c>
      <c r="I2152">
        <v>154477419</v>
      </c>
      <c r="J2152">
        <v>45086167</v>
      </c>
      <c r="K2152">
        <v>-44720064</v>
      </c>
      <c r="L2152">
        <v>151844461</v>
      </c>
      <c r="M2152">
        <v>73228988</v>
      </c>
      <c r="N2152">
        <v>-75040589</v>
      </c>
      <c r="O2152">
        <v>189400100</v>
      </c>
      <c r="P2152">
        <v>176</v>
      </c>
      <c r="Q2152" t="s">
        <v>4641</v>
      </c>
    </row>
    <row r="2153" spans="1:17" x14ac:dyDescent="0.3">
      <c r="A2153" t="s">
        <v>59</v>
      </c>
      <c r="B2153" t="str">
        <f>"300241"</f>
        <v>300241</v>
      </c>
      <c r="C2153" t="s">
        <v>4642</v>
      </c>
      <c r="D2153" t="s">
        <v>772</v>
      </c>
      <c r="F2153">
        <v>117380245</v>
      </c>
      <c r="G2153">
        <v>29004673</v>
      </c>
      <c r="H2153">
        <v>186280574</v>
      </c>
      <c r="I2153">
        <v>186308035</v>
      </c>
      <c r="J2153">
        <v>214979743</v>
      </c>
      <c r="K2153">
        <v>1867692</v>
      </c>
      <c r="L2153">
        <v>19576422</v>
      </c>
      <c r="M2153">
        <v>151774322</v>
      </c>
      <c r="N2153">
        <v>133469275</v>
      </c>
      <c r="O2153">
        <v>55095939</v>
      </c>
      <c r="P2153">
        <v>170</v>
      </c>
      <c r="Q2153" t="s">
        <v>4643</v>
      </c>
    </row>
    <row r="2154" spans="1:17" x14ac:dyDescent="0.3">
      <c r="A2154" t="s">
        <v>59</v>
      </c>
      <c r="B2154" t="str">
        <f>"002975"</f>
        <v>002975</v>
      </c>
      <c r="C2154" t="s">
        <v>4644</v>
      </c>
      <c r="D2154" t="s">
        <v>1426</v>
      </c>
      <c r="F2154">
        <v>195349781</v>
      </c>
      <c r="G2154">
        <v>288319723</v>
      </c>
      <c r="H2154">
        <v>186006295</v>
      </c>
      <c r="I2154">
        <v>28253440</v>
      </c>
      <c r="J2154">
        <v>75909079</v>
      </c>
      <c r="K2154">
        <v>103870134</v>
      </c>
      <c r="P2154">
        <v>293</v>
      </c>
      <c r="Q2154" t="s">
        <v>4645</v>
      </c>
    </row>
    <row r="2155" spans="1:17" x14ac:dyDescent="0.3">
      <c r="A2155" t="s">
        <v>59</v>
      </c>
      <c r="B2155" t="str">
        <f>"300967"</f>
        <v>300967</v>
      </c>
      <c r="C2155" t="s">
        <v>4646</v>
      </c>
      <c r="D2155" t="s">
        <v>470</v>
      </c>
      <c r="F2155">
        <v>175482675</v>
      </c>
      <c r="G2155">
        <v>84866812</v>
      </c>
      <c r="H2155">
        <v>185827004</v>
      </c>
      <c r="I2155">
        <v>103020035</v>
      </c>
      <c r="J2155">
        <v>52062868</v>
      </c>
      <c r="P2155">
        <v>34</v>
      </c>
      <c r="Q2155" t="s">
        <v>4647</v>
      </c>
    </row>
    <row r="2156" spans="1:17" x14ac:dyDescent="0.3">
      <c r="A2156" t="s">
        <v>59</v>
      </c>
      <c r="B2156" t="str">
        <f>"002880"</f>
        <v>002880</v>
      </c>
      <c r="C2156" t="s">
        <v>4648</v>
      </c>
      <c r="D2156" t="s">
        <v>1421</v>
      </c>
      <c r="F2156">
        <v>246886601</v>
      </c>
      <c r="G2156">
        <v>303957547</v>
      </c>
      <c r="H2156">
        <v>185701135</v>
      </c>
      <c r="I2156">
        <v>99540259</v>
      </c>
      <c r="J2156">
        <v>28614446</v>
      </c>
      <c r="K2156">
        <v>126405734</v>
      </c>
      <c r="L2156">
        <v>150089940</v>
      </c>
      <c r="M2156">
        <v>134165948</v>
      </c>
      <c r="P2156">
        <v>214</v>
      </c>
      <c r="Q2156" t="s">
        <v>4649</v>
      </c>
    </row>
    <row r="2157" spans="1:17" x14ac:dyDescent="0.3">
      <c r="A2157" t="s">
        <v>59</v>
      </c>
      <c r="B2157" t="str">
        <f>"301190"</f>
        <v>301190</v>
      </c>
      <c r="C2157" t="s">
        <v>4650</v>
      </c>
      <c r="D2157" t="s">
        <v>372</v>
      </c>
      <c r="F2157">
        <v>101237512</v>
      </c>
      <c r="G2157">
        <v>27831391</v>
      </c>
      <c r="H2157">
        <v>185586874</v>
      </c>
      <c r="I2157">
        <v>97512571</v>
      </c>
      <c r="J2157">
        <v>3852236</v>
      </c>
      <c r="P2157">
        <v>11</v>
      </c>
      <c r="Q2157" t="s">
        <v>4651</v>
      </c>
    </row>
    <row r="2158" spans="1:17" x14ac:dyDescent="0.3">
      <c r="A2158" t="s">
        <v>59</v>
      </c>
      <c r="B2158" t="str">
        <f>"002132"</f>
        <v>002132</v>
      </c>
      <c r="C2158" t="s">
        <v>4652</v>
      </c>
      <c r="D2158" t="s">
        <v>637</v>
      </c>
      <c r="F2158">
        <v>615863780</v>
      </c>
      <c r="G2158">
        <v>386916290</v>
      </c>
      <c r="H2158">
        <v>185388338</v>
      </c>
      <c r="I2158">
        <v>111166449</v>
      </c>
      <c r="J2158">
        <v>162727482</v>
      </c>
      <c r="K2158">
        <v>218432420</v>
      </c>
      <c r="L2158">
        <v>117458303</v>
      </c>
      <c r="M2158">
        <v>321117141</v>
      </c>
      <c r="N2158">
        <v>239604818</v>
      </c>
      <c r="O2158">
        <v>251192555</v>
      </c>
      <c r="P2158">
        <v>127</v>
      </c>
      <c r="Q2158" t="s">
        <v>4653</v>
      </c>
    </row>
    <row r="2159" spans="1:17" x14ac:dyDescent="0.3">
      <c r="A2159" t="s">
        <v>17</v>
      </c>
      <c r="B2159" t="str">
        <f>"900947"</f>
        <v>900947</v>
      </c>
      <c r="C2159" t="s">
        <v>4654</v>
      </c>
      <c r="G2159">
        <v>125292775.0482</v>
      </c>
      <c r="H2159">
        <v>185274602.4524</v>
      </c>
      <c r="I2159">
        <v>80543454.546599999</v>
      </c>
      <c r="J2159">
        <v>204627344.48640001</v>
      </c>
      <c r="K2159">
        <v>238812859.58399999</v>
      </c>
      <c r="L2159">
        <v>-282122066.84200001</v>
      </c>
      <c r="M2159">
        <v>-140789347.9824</v>
      </c>
      <c r="N2159">
        <v>155151930.70719999</v>
      </c>
      <c r="O2159">
        <v>492029441.67900002</v>
      </c>
      <c r="P2159">
        <v>18</v>
      </c>
      <c r="Q2159" t="s">
        <v>4655</v>
      </c>
    </row>
    <row r="2160" spans="1:17" x14ac:dyDescent="0.3">
      <c r="A2160" t="s">
        <v>59</v>
      </c>
      <c r="B2160" t="str">
        <f>"300875"</f>
        <v>300875</v>
      </c>
      <c r="C2160" t="s">
        <v>4656</v>
      </c>
      <c r="D2160" t="s">
        <v>606</v>
      </c>
      <c r="F2160">
        <v>140296995</v>
      </c>
      <c r="G2160">
        <v>-54876435</v>
      </c>
      <c r="H2160">
        <v>185203330</v>
      </c>
      <c r="I2160">
        <v>-63094058</v>
      </c>
      <c r="J2160">
        <v>6590650</v>
      </c>
      <c r="K2160">
        <v>-2314430</v>
      </c>
      <c r="P2160">
        <v>106</v>
      </c>
      <c r="Q2160" t="s">
        <v>4657</v>
      </c>
    </row>
    <row r="2161" spans="1:17" x14ac:dyDescent="0.3">
      <c r="A2161" t="s">
        <v>59</v>
      </c>
      <c r="B2161" t="str">
        <f>"002270"</f>
        <v>002270</v>
      </c>
      <c r="C2161" t="s">
        <v>4658</v>
      </c>
      <c r="D2161" t="s">
        <v>560</v>
      </c>
      <c r="F2161">
        <v>281701373</v>
      </c>
      <c r="G2161">
        <v>411772833</v>
      </c>
      <c r="H2161">
        <v>185092534</v>
      </c>
      <c r="I2161">
        <v>433790603</v>
      </c>
      <c r="J2161">
        <v>-258662550</v>
      </c>
      <c r="K2161">
        <v>-130657207</v>
      </c>
      <c r="L2161">
        <v>105002545</v>
      </c>
      <c r="M2161">
        <v>14501319</v>
      </c>
      <c r="N2161">
        <v>40115150</v>
      </c>
      <c r="O2161">
        <v>47012987</v>
      </c>
      <c r="P2161">
        <v>160</v>
      </c>
      <c r="Q2161" t="s">
        <v>4659</v>
      </c>
    </row>
    <row r="2162" spans="1:17" x14ac:dyDescent="0.3">
      <c r="A2162" t="s">
        <v>17</v>
      </c>
      <c r="B2162" t="str">
        <f>"600992"</f>
        <v>600992</v>
      </c>
      <c r="C2162" t="s">
        <v>4660</v>
      </c>
      <c r="D2162" t="s">
        <v>637</v>
      </c>
      <c r="F2162">
        <v>6521571</v>
      </c>
      <c r="G2162">
        <v>36480851</v>
      </c>
      <c r="H2162">
        <v>185015175</v>
      </c>
      <c r="I2162">
        <v>231000678</v>
      </c>
      <c r="J2162">
        <v>36199425</v>
      </c>
      <c r="K2162">
        <v>112121345</v>
      </c>
      <c r="L2162">
        <v>166269277</v>
      </c>
      <c r="M2162">
        <v>24633950</v>
      </c>
      <c r="N2162">
        <v>-28744838</v>
      </c>
      <c r="O2162">
        <v>-94417068</v>
      </c>
      <c r="P2162">
        <v>57</v>
      </c>
      <c r="Q2162" t="s">
        <v>4661</v>
      </c>
    </row>
    <row r="2163" spans="1:17" x14ac:dyDescent="0.3">
      <c r="A2163" t="s">
        <v>17</v>
      </c>
      <c r="B2163" t="str">
        <f>"603648"</f>
        <v>603648</v>
      </c>
      <c r="C2163" t="s">
        <v>4662</v>
      </c>
      <c r="D2163" t="s">
        <v>838</v>
      </c>
      <c r="F2163">
        <v>252925478</v>
      </c>
      <c r="G2163">
        <v>243856737</v>
      </c>
      <c r="H2163">
        <v>184547342</v>
      </c>
      <c r="I2163">
        <v>4153545</v>
      </c>
      <c r="J2163">
        <v>239113128</v>
      </c>
      <c r="K2163">
        <v>129543874</v>
      </c>
      <c r="L2163">
        <v>152099355</v>
      </c>
      <c r="M2163">
        <v>120981854</v>
      </c>
      <c r="P2163">
        <v>72</v>
      </c>
      <c r="Q2163" t="s">
        <v>4663</v>
      </c>
    </row>
    <row r="2164" spans="1:17" x14ac:dyDescent="0.3">
      <c r="A2164" t="s">
        <v>59</v>
      </c>
      <c r="B2164" t="str">
        <f>"002847"</f>
        <v>002847</v>
      </c>
      <c r="C2164" t="s">
        <v>4664</v>
      </c>
      <c r="D2164" t="s">
        <v>2353</v>
      </c>
      <c r="F2164">
        <v>477885822</v>
      </c>
      <c r="G2164">
        <v>340608207</v>
      </c>
      <c r="H2164">
        <v>184483706</v>
      </c>
      <c r="I2164">
        <v>155420555</v>
      </c>
      <c r="J2164">
        <v>11815412</v>
      </c>
      <c r="K2164">
        <v>129311800</v>
      </c>
      <c r="L2164">
        <v>79638414</v>
      </c>
      <c r="M2164">
        <v>61651459</v>
      </c>
      <c r="N2164">
        <v>52847789</v>
      </c>
      <c r="P2164">
        <v>742</v>
      </c>
      <c r="Q2164" t="s">
        <v>4665</v>
      </c>
    </row>
    <row r="2165" spans="1:17" x14ac:dyDescent="0.3">
      <c r="A2165" t="s">
        <v>17</v>
      </c>
      <c r="B2165" t="str">
        <f>"603823"</f>
        <v>603823</v>
      </c>
      <c r="C2165" t="s">
        <v>4666</v>
      </c>
      <c r="D2165" t="s">
        <v>4667</v>
      </c>
      <c r="F2165">
        <v>227061523</v>
      </c>
      <c r="G2165">
        <v>268027953</v>
      </c>
      <c r="H2165">
        <v>184416961</v>
      </c>
      <c r="I2165">
        <v>106179324</v>
      </c>
      <c r="J2165">
        <v>100342711</v>
      </c>
      <c r="K2165">
        <v>185980949</v>
      </c>
      <c r="L2165">
        <v>71099844</v>
      </c>
      <c r="M2165">
        <v>108510756</v>
      </c>
      <c r="N2165">
        <v>165438205</v>
      </c>
      <c r="P2165">
        <v>142</v>
      </c>
      <c r="Q2165" t="s">
        <v>4668</v>
      </c>
    </row>
    <row r="2166" spans="1:17" x14ac:dyDescent="0.3">
      <c r="A2166" t="s">
        <v>59</v>
      </c>
      <c r="B2166" t="str">
        <f>"002987"</f>
        <v>002987</v>
      </c>
      <c r="C2166" t="s">
        <v>4669</v>
      </c>
      <c r="D2166" t="s">
        <v>1528</v>
      </c>
      <c r="F2166">
        <v>-49488953</v>
      </c>
      <c r="G2166">
        <v>55374323</v>
      </c>
      <c r="H2166">
        <v>184396397</v>
      </c>
      <c r="I2166">
        <v>54094907</v>
      </c>
      <c r="J2166">
        <v>26350883</v>
      </c>
      <c r="P2166">
        <v>127</v>
      </c>
      <c r="Q2166" t="s">
        <v>4670</v>
      </c>
    </row>
    <row r="2167" spans="1:17" x14ac:dyDescent="0.3">
      <c r="A2167" t="s">
        <v>59</v>
      </c>
      <c r="B2167" t="str">
        <f>"300981"</f>
        <v>300981</v>
      </c>
      <c r="C2167" t="s">
        <v>4671</v>
      </c>
      <c r="D2167" t="s">
        <v>1036</v>
      </c>
      <c r="F2167">
        <v>2362497607</v>
      </c>
      <c r="G2167">
        <v>2718249282</v>
      </c>
      <c r="H2167">
        <v>184382562</v>
      </c>
      <c r="I2167">
        <v>23766228</v>
      </c>
      <c r="J2167">
        <v>96027723</v>
      </c>
      <c r="P2167">
        <v>127</v>
      </c>
      <c r="Q2167" t="s">
        <v>4672</v>
      </c>
    </row>
    <row r="2168" spans="1:17" x14ac:dyDescent="0.3">
      <c r="A2168" t="s">
        <v>59</v>
      </c>
      <c r="B2168" t="str">
        <f>"002587"</f>
        <v>002587</v>
      </c>
      <c r="C2168" t="s">
        <v>4673</v>
      </c>
      <c r="D2168" t="s">
        <v>772</v>
      </c>
      <c r="F2168">
        <v>-54758032</v>
      </c>
      <c r="G2168">
        <v>63803954</v>
      </c>
      <c r="H2168">
        <v>183856766</v>
      </c>
      <c r="I2168">
        <v>192916090</v>
      </c>
      <c r="J2168">
        <v>9357006</v>
      </c>
      <c r="K2168">
        <v>152449437</v>
      </c>
      <c r="L2168">
        <v>-56364919</v>
      </c>
      <c r="M2168">
        <v>18441945</v>
      </c>
      <c r="N2168">
        <v>55439701</v>
      </c>
      <c r="O2168">
        <v>57637036</v>
      </c>
      <c r="P2168">
        <v>142</v>
      </c>
      <c r="Q2168" t="s">
        <v>4674</v>
      </c>
    </row>
    <row r="2169" spans="1:17" x14ac:dyDescent="0.3">
      <c r="A2169" t="s">
        <v>59</v>
      </c>
      <c r="B2169" t="str">
        <f>"300075"</f>
        <v>300075</v>
      </c>
      <c r="C2169" t="s">
        <v>4675</v>
      </c>
      <c r="D2169" t="s">
        <v>1528</v>
      </c>
      <c r="F2169">
        <v>101677891</v>
      </c>
      <c r="G2169">
        <v>225694815</v>
      </c>
      <c r="H2169">
        <v>183788143</v>
      </c>
      <c r="I2169">
        <v>175730295</v>
      </c>
      <c r="J2169">
        <v>-36037790</v>
      </c>
      <c r="K2169">
        <v>23246852</v>
      </c>
      <c r="L2169">
        <v>124505203</v>
      </c>
      <c r="M2169">
        <v>-59276710</v>
      </c>
      <c r="N2169">
        <v>13570193</v>
      </c>
      <c r="O2169">
        <v>21197217</v>
      </c>
      <c r="P2169">
        <v>258</v>
      </c>
      <c r="Q2169" t="s">
        <v>4676</v>
      </c>
    </row>
    <row r="2170" spans="1:17" x14ac:dyDescent="0.3">
      <c r="A2170" t="s">
        <v>59</v>
      </c>
      <c r="B2170" t="str">
        <f>"003011"</f>
        <v>003011</v>
      </c>
      <c r="C2170" t="s">
        <v>4677</v>
      </c>
      <c r="D2170" t="s">
        <v>1791</v>
      </c>
      <c r="F2170">
        <v>-109164941</v>
      </c>
      <c r="G2170">
        <v>190055861</v>
      </c>
      <c r="H2170">
        <v>183775780</v>
      </c>
      <c r="I2170">
        <v>15201110</v>
      </c>
      <c r="J2170">
        <v>31567891</v>
      </c>
      <c r="K2170">
        <v>-13042433</v>
      </c>
      <c r="P2170">
        <v>89</v>
      </c>
      <c r="Q2170" t="s">
        <v>4678</v>
      </c>
    </row>
    <row r="2171" spans="1:17" x14ac:dyDescent="0.3">
      <c r="A2171" t="s">
        <v>17</v>
      </c>
      <c r="B2171" t="str">
        <f>"605098"</f>
        <v>605098</v>
      </c>
      <c r="C2171" t="s">
        <v>4679</v>
      </c>
      <c r="D2171" t="s">
        <v>871</v>
      </c>
      <c r="F2171">
        <v>377360828</v>
      </c>
      <c r="G2171">
        <v>189373712</v>
      </c>
      <c r="H2171">
        <v>183291426</v>
      </c>
      <c r="I2171">
        <v>268648614</v>
      </c>
      <c r="J2171">
        <v>245756648</v>
      </c>
      <c r="P2171">
        <v>53</v>
      </c>
      <c r="Q2171" t="s">
        <v>4680</v>
      </c>
    </row>
    <row r="2172" spans="1:17" x14ac:dyDescent="0.3">
      <c r="A2172" t="s">
        <v>17</v>
      </c>
      <c r="B2172" t="str">
        <f>"603977"</f>
        <v>603977</v>
      </c>
      <c r="C2172" t="s">
        <v>4681</v>
      </c>
      <c r="D2172" t="s">
        <v>1986</v>
      </c>
      <c r="F2172">
        <v>312682755</v>
      </c>
      <c r="G2172">
        <v>274049896</v>
      </c>
      <c r="H2172">
        <v>183068960</v>
      </c>
      <c r="I2172">
        <v>80360831</v>
      </c>
      <c r="J2172">
        <v>107071727</v>
      </c>
      <c r="K2172">
        <v>91638466</v>
      </c>
      <c r="L2172">
        <v>113917989</v>
      </c>
      <c r="M2172">
        <v>138856213</v>
      </c>
      <c r="N2172">
        <v>132512306</v>
      </c>
      <c r="P2172">
        <v>87</v>
      </c>
      <c r="Q2172" t="s">
        <v>4682</v>
      </c>
    </row>
    <row r="2173" spans="1:17" x14ac:dyDescent="0.3">
      <c r="A2173" t="s">
        <v>17</v>
      </c>
      <c r="B2173" t="str">
        <f>"605299"</f>
        <v>605299</v>
      </c>
      <c r="C2173" t="s">
        <v>4683</v>
      </c>
      <c r="D2173" t="s">
        <v>4437</v>
      </c>
      <c r="F2173">
        <v>108527074</v>
      </c>
      <c r="G2173">
        <v>148420982</v>
      </c>
      <c r="H2173">
        <v>182802805</v>
      </c>
      <c r="I2173">
        <v>132471206</v>
      </c>
      <c r="J2173">
        <v>73956419</v>
      </c>
      <c r="K2173">
        <v>144785564</v>
      </c>
      <c r="P2173">
        <v>58</v>
      </c>
      <c r="Q2173" t="s">
        <v>4684</v>
      </c>
    </row>
    <row r="2174" spans="1:17" x14ac:dyDescent="0.3">
      <c r="A2174" t="s">
        <v>59</v>
      </c>
      <c r="B2174" t="str">
        <f>"002308"</f>
        <v>002308</v>
      </c>
      <c r="C2174" t="s">
        <v>4685</v>
      </c>
      <c r="D2174" t="s">
        <v>707</v>
      </c>
      <c r="F2174">
        <v>94310681</v>
      </c>
      <c r="G2174">
        <v>-123986939</v>
      </c>
      <c r="H2174">
        <v>182795247</v>
      </c>
      <c r="I2174">
        <v>158212048</v>
      </c>
      <c r="J2174">
        <v>249017834</v>
      </c>
      <c r="K2174">
        <v>302550029</v>
      </c>
      <c r="L2174">
        <v>300867243</v>
      </c>
      <c r="M2174">
        <v>84754281</v>
      </c>
      <c r="N2174">
        <v>217554952</v>
      </c>
      <c r="O2174">
        <v>354094599</v>
      </c>
      <c r="P2174">
        <v>218</v>
      </c>
      <c r="Q2174" t="s">
        <v>4686</v>
      </c>
    </row>
    <row r="2175" spans="1:17" x14ac:dyDescent="0.3">
      <c r="A2175" t="s">
        <v>59</v>
      </c>
      <c r="B2175" t="str">
        <f>"300841"</f>
        <v>300841</v>
      </c>
      <c r="C2175" t="s">
        <v>4687</v>
      </c>
      <c r="D2175" t="s">
        <v>1413</v>
      </c>
      <c r="F2175">
        <v>130325660</v>
      </c>
      <c r="G2175">
        <v>369564380</v>
      </c>
      <c r="H2175">
        <v>182729748</v>
      </c>
      <c r="I2175">
        <v>57354823</v>
      </c>
      <c r="J2175">
        <v>89956333</v>
      </c>
      <c r="K2175">
        <v>2643346</v>
      </c>
      <c r="P2175">
        <v>314</v>
      </c>
      <c r="Q2175" t="s">
        <v>4688</v>
      </c>
    </row>
    <row r="2176" spans="1:17" x14ac:dyDescent="0.3">
      <c r="A2176" t="s">
        <v>59</v>
      </c>
      <c r="B2176" t="str">
        <f>"301102"</f>
        <v>301102</v>
      </c>
      <c r="C2176" t="s">
        <v>4689</v>
      </c>
      <c r="F2176">
        <v>440755424</v>
      </c>
      <c r="G2176">
        <v>227935719</v>
      </c>
      <c r="H2176">
        <v>182216832</v>
      </c>
      <c r="I2176">
        <v>129942119</v>
      </c>
      <c r="J2176">
        <v>147349941</v>
      </c>
      <c r="P2176">
        <v>4</v>
      </c>
      <c r="Q2176" t="s">
        <v>4690</v>
      </c>
    </row>
    <row r="2177" spans="1:17" x14ac:dyDescent="0.3">
      <c r="A2177" t="s">
        <v>59</v>
      </c>
      <c r="B2177" t="str">
        <f>"002196"</f>
        <v>002196</v>
      </c>
      <c r="C2177" t="s">
        <v>4691</v>
      </c>
      <c r="D2177" t="s">
        <v>1556</v>
      </c>
      <c r="F2177">
        <v>142159450</v>
      </c>
      <c r="G2177">
        <v>50130212</v>
      </c>
      <c r="H2177">
        <v>181956457</v>
      </c>
      <c r="I2177">
        <v>38904937</v>
      </c>
      <c r="J2177">
        <v>46096825</v>
      </c>
      <c r="K2177">
        <v>36286404</v>
      </c>
      <c r="L2177">
        <v>36554887</v>
      </c>
      <c r="M2177">
        <v>69915518</v>
      </c>
      <c r="N2177">
        <v>77403236</v>
      </c>
      <c r="O2177">
        <v>44802012</v>
      </c>
      <c r="P2177">
        <v>163</v>
      </c>
      <c r="Q2177" t="s">
        <v>4692</v>
      </c>
    </row>
    <row r="2178" spans="1:17" x14ac:dyDescent="0.3">
      <c r="A2178" t="s">
        <v>17</v>
      </c>
      <c r="B2178" t="str">
        <f>"688639"</f>
        <v>688639</v>
      </c>
      <c r="C2178" t="s">
        <v>4693</v>
      </c>
      <c r="D2178" t="s">
        <v>853</v>
      </c>
      <c r="F2178">
        <v>95702546</v>
      </c>
      <c r="G2178">
        <v>109568965</v>
      </c>
      <c r="H2178">
        <v>181476548</v>
      </c>
      <c r="I2178">
        <v>89308145</v>
      </c>
      <c r="J2178">
        <v>105690039</v>
      </c>
      <c r="P2178">
        <v>58</v>
      </c>
      <c r="Q2178" t="s">
        <v>4694</v>
      </c>
    </row>
    <row r="2179" spans="1:17" x14ac:dyDescent="0.3">
      <c r="A2179" t="s">
        <v>17</v>
      </c>
      <c r="B2179" t="str">
        <f>"603803"</f>
        <v>603803</v>
      </c>
      <c r="C2179" t="s">
        <v>4695</v>
      </c>
      <c r="D2179" t="s">
        <v>1650</v>
      </c>
      <c r="F2179">
        <v>-74118477</v>
      </c>
      <c r="G2179">
        <v>3599120</v>
      </c>
      <c r="H2179">
        <v>181350764</v>
      </c>
      <c r="I2179">
        <v>63387809</v>
      </c>
      <c r="J2179">
        <v>-66937150</v>
      </c>
      <c r="K2179">
        <v>124578797</v>
      </c>
      <c r="L2179">
        <v>75816132</v>
      </c>
      <c r="M2179">
        <v>160881956</v>
      </c>
      <c r="P2179">
        <v>153</v>
      </c>
      <c r="Q2179" t="s">
        <v>4696</v>
      </c>
    </row>
    <row r="2180" spans="1:17" x14ac:dyDescent="0.3">
      <c r="A2180" t="s">
        <v>59</v>
      </c>
      <c r="B2180" t="str">
        <f>"300718"</f>
        <v>300718</v>
      </c>
      <c r="C2180" t="s">
        <v>4697</v>
      </c>
      <c r="D2180" t="s">
        <v>1214</v>
      </c>
      <c r="F2180">
        <v>81232015</v>
      </c>
      <c r="G2180">
        <v>103397004</v>
      </c>
      <c r="H2180">
        <v>181322971</v>
      </c>
      <c r="I2180">
        <v>133030223</v>
      </c>
      <c r="J2180">
        <v>101891970</v>
      </c>
      <c r="K2180">
        <v>112070405</v>
      </c>
      <c r="L2180">
        <v>91096282</v>
      </c>
      <c r="M2180">
        <v>90092982</v>
      </c>
      <c r="P2180">
        <v>100</v>
      </c>
      <c r="Q2180" t="s">
        <v>4698</v>
      </c>
    </row>
    <row r="2181" spans="1:17" x14ac:dyDescent="0.3">
      <c r="A2181" t="s">
        <v>17</v>
      </c>
      <c r="B2181" t="str">
        <f>"603367"</f>
        <v>603367</v>
      </c>
      <c r="C2181" t="s">
        <v>4699</v>
      </c>
      <c r="D2181" t="s">
        <v>592</v>
      </c>
      <c r="F2181">
        <v>233598088</v>
      </c>
      <c r="G2181">
        <v>431007158</v>
      </c>
      <c r="H2181">
        <v>181263845</v>
      </c>
      <c r="I2181">
        <v>406675789</v>
      </c>
      <c r="J2181">
        <v>439607584</v>
      </c>
      <c r="K2181">
        <v>291972115</v>
      </c>
      <c r="L2181">
        <v>266243875</v>
      </c>
      <c r="M2181">
        <v>27538117</v>
      </c>
      <c r="P2181">
        <v>245</v>
      </c>
      <c r="Q2181" t="s">
        <v>4700</v>
      </c>
    </row>
    <row r="2182" spans="1:17" x14ac:dyDescent="0.3">
      <c r="A2182" t="s">
        <v>17</v>
      </c>
      <c r="B2182" t="str">
        <f>"603811"</f>
        <v>603811</v>
      </c>
      <c r="C2182" t="s">
        <v>4701</v>
      </c>
      <c r="D2182" t="s">
        <v>592</v>
      </c>
      <c r="F2182">
        <v>143488423</v>
      </c>
      <c r="G2182">
        <v>177805369</v>
      </c>
      <c r="H2182">
        <v>181013149</v>
      </c>
      <c r="I2182">
        <v>134298067</v>
      </c>
      <c r="J2182">
        <v>66750890</v>
      </c>
      <c r="K2182">
        <v>95079581</v>
      </c>
      <c r="L2182">
        <v>81942638</v>
      </c>
      <c r="M2182">
        <v>84108710</v>
      </c>
      <c r="P2182">
        <v>327</v>
      </c>
      <c r="Q2182" t="s">
        <v>4702</v>
      </c>
    </row>
    <row r="2183" spans="1:17" x14ac:dyDescent="0.3">
      <c r="A2183" t="s">
        <v>17</v>
      </c>
      <c r="B2183" t="str">
        <f>"603319"</f>
        <v>603319</v>
      </c>
      <c r="C2183" t="s">
        <v>4703</v>
      </c>
      <c r="D2183" t="s">
        <v>156</v>
      </c>
      <c r="F2183">
        <v>141468064</v>
      </c>
      <c r="G2183">
        <v>135193094</v>
      </c>
      <c r="H2183">
        <v>180560308</v>
      </c>
      <c r="I2183">
        <v>140920975</v>
      </c>
      <c r="J2183">
        <v>45815434</v>
      </c>
      <c r="K2183">
        <v>83425673</v>
      </c>
      <c r="L2183">
        <v>78573753</v>
      </c>
      <c r="M2183">
        <v>62077126</v>
      </c>
      <c r="N2183">
        <v>78549364</v>
      </c>
      <c r="P2183">
        <v>171</v>
      </c>
      <c r="Q2183" t="s">
        <v>4704</v>
      </c>
    </row>
    <row r="2184" spans="1:17" x14ac:dyDescent="0.3">
      <c r="A2184" t="s">
        <v>59</v>
      </c>
      <c r="B2184" t="str">
        <f>"002017"</f>
        <v>002017</v>
      </c>
      <c r="C2184" t="s">
        <v>4705</v>
      </c>
      <c r="D2184" t="s">
        <v>1650</v>
      </c>
      <c r="F2184">
        <v>219594581</v>
      </c>
      <c r="G2184">
        <v>135271853</v>
      </c>
      <c r="H2184">
        <v>180543080</v>
      </c>
      <c r="I2184">
        <v>92976418</v>
      </c>
      <c r="J2184">
        <v>95149941</v>
      </c>
      <c r="K2184">
        <v>162499847</v>
      </c>
      <c r="L2184">
        <v>178486916</v>
      </c>
      <c r="M2184">
        <v>172052003</v>
      </c>
      <c r="N2184">
        <v>148441211</v>
      </c>
      <c r="O2184">
        <v>119634983</v>
      </c>
      <c r="P2184">
        <v>216</v>
      </c>
      <c r="Q2184" t="s">
        <v>4706</v>
      </c>
    </row>
    <row r="2185" spans="1:17" x14ac:dyDescent="0.3">
      <c r="A2185" t="s">
        <v>59</v>
      </c>
      <c r="B2185" t="str">
        <f>"002307"</f>
        <v>002307</v>
      </c>
      <c r="C2185" t="s">
        <v>4707</v>
      </c>
      <c r="D2185" t="s">
        <v>85</v>
      </c>
      <c r="F2185">
        <v>-209611776</v>
      </c>
      <c r="G2185">
        <v>-286312217</v>
      </c>
      <c r="H2185">
        <v>180524596</v>
      </c>
      <c r="I2185">
        <v>753562774</v>
      </c>
      <c r="J2185">
        <v>358553982</v>
      </c>
      <c r="K2185">
        <v>175883162</v>
      </c>
      <c r="L2185">
        <v>-48021030</v>
      </c>
      <c r="M2185">
        <v>321090302</v>
      </c>
      <c r="N2185">
        <v>-361582362</v>
      </c>
      <c r="O2185">
        <v>-561858812</v>
      </c>
      <c r="P2185">
        <v>90</v>
      </c>
      <c r="Q2185" t="s">
        <v>4708</v>
      </c>
    </row>
    <row r="2186" spans="1:17" x14ac:dyDescent="0.3">
      <c r="A2186" t="s">
        <v>59</v>
      </c>
      <c r="B2186" t="str">
        <f>"300674"</f>
        <v>300674</v>
      </c>
      <c r="C2186" t="s">
        <v>4709</v>
      </c>
      <c r="D2186" t="s">
        <v>1189</v>
      </c>
      <c r="F2186">
        <v>116902350</v>
      </c>
      <c r="G2186">
        <v>363122862</v>
      </c>
      <c r="H2186">
        <v>180520750</v>
      </c>
      <c r="I2186">
        <v>170910669</v>
      </c>
      <c r="J2186">
        <v>51902130</v>
      </c>
      <c r="K2186">
        <v>219773772</v>
      </c>
      <c r="L2186">
        <v>161758668</v>
      </c>
      <c r="P2186">
        <v>348</v>
      </c>
      <c r="Q2186" t="s">
        <v>4710</v>
      </c>
    </row>
    <row r="2187" spans="1:17" x14ac:dyDescent="0.3">
      <c r="A2187" t="s">
        <v>59</v>
      </c>
      <c r="B2187" t="str">
        <f>"300213"</f>
        <v>300213</v>
      </c>
      <c r="C2187" t="s">
        <v>4711</v>
      </c>
      <c r="D2187" t="s">
        <v>1138</v>
      </c>
      <c r="F2187">
        <v>105518503</v>
      </c>
      <c r="G2187">
        <v>101627279</v>
      </c>
      <c r="H2187">
        <v>180497792</v>
      </c>
      <c r="I2187">
        <v>5565285</v>
      </c>
      <c r="J2187">
        <v>-17989901</v>
      </c>
      <c r="K2187">
        <v>72308989</v>
      </c>
      <c r="L2187">
        <v>96143674</v>
      </c>
      <c r="M2187">
        <v>87778543</v>
      </c>
      <c r="N2187">
        <v>55812035</v>
      </c>
      <c r="O2187">
        <v>21126177</v>
      </c>
      <c r="P2187">
        <v>188</v>
      </c>
      <c r="Q2187" t="s">
        <v>4712</v>
      </c>
    </row>
    <row r="2188" spans="1:17" x14ac:dyDescent="0.3">
      <c r="A2188" t="s">
        <v>59</v>
      </c>
      <c r="B2188" t="str">
        <f>"000826"</f>
        <v>000826</v>
      </c>
      <c r="C2188" t="s">
        <v>4713</v>
      </c>
      <c r="D2188" t="s">
        <v>2700</v>
      </c>
      <c r="F2188">
        <v>742617431</v>
      </c>
      <c r="G2188">
        <v>338052138</v>
      </c>
      <c r="H2188">
        <v>180493961</v>
      </c>
      <c r="I2188">
        <v>-743190698</v>
      </c>
      <c r="J2188">
        <v>-450527316</v>
      </c>
      <c r="K2188">
        <v>-462866185</v>
      </c>
      <c r="L2188">
        <v>179081870</v>
      </c>
      <c r="M2188">
        <v>29256009</v>
      </c>
      <c r="N2188">
        <v>-11726563</v>
      </c>
      <c r="O2188">
        <v>-111248999</v>
      </c>
      <c r="P2188">
        <v>559</v>
      </c>
      <c r="Q2188" t="s">
        <v>4714</v>
      </c>
    </row>
    <row r="2189" spans="1:17" x14ac:dyDescent="0.3">
      <c r="A2189" t="s">
        <v>59</v>
      </c>
      <c r="B2189" t="str">
        <f>"002956"</f>
        <v>002956</v>
      </c>
      <c r="C2189" t="s">
        <v>4715</v>
      </c>
      <c r="D2189" t="s">
        <v>1868</v>
      </c>
      <c r="F2189">
        <v>30116543</v>
      </c>
      <c r="G2189">
        <v>117132789</v>
      </c>
      <c r="H2189">
        <v>180487218</v>
      </c>
      <c r="I2189">
        <v>130421764</v>
      </c>
      <c r="J2189">
        <v>126567942</v>
      </c>
      <c r="K2189">
        <v>112466039</v>
      </c>
      <c r="P2189">
        <v>281</v>
      </c>
      <c r="Q2189" t="s">
        <v>4716</v>
      </c>
    </row>
    <row r="2190" spans="1:17" x14ac:dyDescent="0.3">
      <c r="A2190" t="s">
        <v>17</v>
      </c>
      <c r="B2190" t="str">
        <f>"601086"</f>
        <v>601086</v>
      </c>
      <c r="C2190" t="s">
        <v>4717</v>
      </c>
      <c r="D2190" t="s">
        <v>1361</v>
      </c>
      <c r="F2190">
        <v>194424804</v>
      </c>
      <c r="G2190">
        <v>177866087</v>
      </c>
      <c r="H2190">
        <v>180301727</v>
      </c>
      <c r="I2190">
        <v>245448528</v>
      </c>
      <c r="J2190">
        <v>138665210</v>
      </c>
      <c r="K2190">
        <v>235332630</v>
      </c>
      <c r="L2190">
        <v>112853567</v>
      </c>
      <c r="M2190">
        <v>60133166</v>
      </c>
      <c r="P2190">
        <v>79</v>
      </c>
      <c r="Q2190" t="s">
        <v>4718</v>
      </c>
    </row>
    <row r="2191" spans="1:17" x14ac:dyDescent="0.3">
      <c r="A2191" t="s">
        <v>17</v>
      </c>
      <c r="B2191" t="str">
        <f>"605116"</f>
        <v>605116</v>
      </c>
      <c r="C2191" t="s">
        <v>4719</v>
      </c>
      <c r="D2191" t="s">
        <v>984</v>
      </c>
      <c r="F2191">
        <v>201570616</v>
      </c>
      <c r="G2191">
        <v>214481140</v>
      </c>
      <c r="H2191">
        <v>179903617</v>
      </c>
      <c r="I2191">
        <v>109768700</v>
      </c>
      <c r="J2191">
        <v>117907716</v>
      </c>
      <c r="K2191">
        <v>188299197</v>
      </c>
      <c r="P2191">
        <v>81</v>
      </c>
      <c r="Q2191" t="s">
        <v>4720</v>
      </c>
    </row>
    <row r="2192" spans="1:17" x14ac:dyDescent="0.3">
      <c r="A2192" t="s">
        <v>17</v>
      </c>
      <c r="B2192" t="str">
        <f>"603538"</f>
        <v>603538</v>
      </c>
      <c r="C2192" t="s">
        <v>4721</v>
      </c>
      <c r="D2192" t="s">
        <v>984</v>
      </c>
      <c r="F2192">
        <v>220628552</v>
      </c>
      <c r="G2192">
        <v>251611240</v>
      </c>
      <c r="H2192">
        <v>179751929</v>
      </c>
      <c r="I2192">
        <v>46595180</v>
      </c>
      <c r="J2192">
        <v>80153535</v>
      </c>
      <c r="K2192">
        <v>117244119</v>
      </c>
      <c r="L2192">
        <v>133418224</v>
      </c>
      <c r="M2192">
        <v>75215446</v>
      </c>
      <c r="P2192">
        <v>265</v>
      </c>
      <c r="Q2192" t="s">
        <v>4722</v>
      </c>
    </row>
    <row r="2193" spans="1:17" x14ac:dyDescent="0.3">
      <c r="A2193" t="s">
        <v>17</v>
      </c>
      <c r="B2193" t="str">
        <f>"688196"</f>
        <v>688196</v>
      </c>
      <c r="C2193" t="s">
        <v>4723</v>
      </c>
      <c r="D2193" t="s">
        <v>1252</v>
      </c>
      <c r="F2193">
        <v>-59496691</v>
      </c>
      <c r="G2193">
        <v>253023826</v>
      </c>
      <c r="H2193">
        <v>178971647</v>
      </c>
      <c r="I2193">
        <v>255463056</v>
      </c>
      <c r="J2193">
        <v>-49610206</v>
      </c>
      <c r="K2193">
        <v>42739983</v>
      </c>
      <c r="P2193">
        <v>188</v>
      </c>
      <c r="Q2193" t="s">
        <v>4724</v>
      </c>
    </row>
    <row r="2194" spans="1:17" x14ac:dyDescent="0.3">
      <c r="A2194" t="s">
        <v>17</v>
      </c>
      <c r="B2194" t="str">
        <f>"603309"</f>
        <v>603309</v>
      </c>
      <c r="C2194" t="s">
        <v>4725</v>
      </c>
      <c r="D2194" t="s">
        <v>1036</v>
      </c>
      <c r="F2194">
        <v>187283078</v>
      </c>
      <c r="G2194">
        <v>228443989</v>
      </c>
      <c r="H2194">
        <v>178794591</v>
      </c>
      <c r="I2194">
        <v>89888862</v>
      </c>
      <c r="J2194">
        <v>74343828</v>
      </c>
      <c r="K2194">
        <v>85348015</v>
      </c>
      <c r="L2194">
        <v>81466123</v>
      </c>
      <c r="M2194">
        <v>107343451</v>
      </c>
      <c r="N2194">
        <v>72853114</v>
      </c>
      <c r="O2194">
        <v>83234114</v>
      </c>
      <c r="P2194">
        <v>147</v>
      </c>
      <c r="Q2194" t="s">
        <v>4726</v>
      </c>
    </row>
    <row r="2195" spans="1:17" x14ac:dyDescent="0.3">
      <c r="A2195" t="s">
        <v>59</v>
      </c>
      <c r="B2195" t="str">
        <f>"002215"</f>
        <v>002215</v>
      </c>
      <c r="C2195" t="s">
        <v>4727</v>
      </c>
      <c r="D2195" t="s">
        <v>1356</v>
      </c>
      <c r="F2195">
        <v>421533679</v>
      </c>
      <c r="G2195">
        <v>538562665</v>
      </c>
      <c r="H2195">
        <v>178199755</v>
      </c>
      <c r="I2195">
        <v>80252185</v>
      </c>
      <c r="J2195">
        <v>-452273628</v>
      </c>
      <c r="K2195">
        <v>-378191603</v>
      </c>
      <c r="L2195">
        <v>853235301</v>
      </c>
      <c r="M2195">
        <v>306172341</v>
      </c>
      <c r="N2195">
        <v>207211384</v>
      </c>
      <c r="O2195">
        <v>361326322</v>
      </c>
      <c r="P2195">
        <v>175</v>
      </c>
      <c r="Q2195" t="s">
        <v>4728</v>
      </c>
    </row>
    <row r="2196" spans="1:17" x14ac:dyDescent="0.3">
      <c r="A2196" t="s">
        <v>59</v>
      </c>
      <c r="B2196" t="str">
        <f>"002054"</f>
        <v>002054</v>
      </c>
      <c r="C2196" t="s">
        <v>4729</v>
      </c>
      <c r="D2196" t="s">
        <v>372</v>
      </c>
      <c r="F2196">
        <v>68002263</v>
      </c>
      <c r="G2196">
        <v>203918118</v>
      </c>
      <c r="H2196">
        <v>177766472</v>
      </c>
      <c r="I2196">
        <v>234929927</v>
      </c>
      <c r="J2196">
        <v>93340431</v>
      </c>
      <c r="K2196">
        <v>177188939</v>
      </c>
      <c r="L2196">
        <v>131459270</v>
      </c>
      <c r="M2196">
        <v>181965783</v>
      </c>
      <c r="N2196">
        <v>134276503</v>
      </c>
      <c r="O2196">
        <v>193921765</v>
      </c>
      <c r="P2196">
        <v>110</v>
      </c>
      <c r="Q2196" t="s">
        <v>4730</v>
      </c>
    </row>
    <row r="2197" spans="1:17" x14ac:dyDescent="0.3">
      <c r="A2197" t="s">
        <v>17</v>
      </c>
      <c r="B2197" t="str">
        <f>"600868"</f>
        <v>600868</v>
      </c>
      <c r="C2197" t="s">
        <v>4731</v>
      </c>
      <c r="D2197" t="s">
        <v>105</v>
      </c>
      <c r="F2197">
        <v>-12895037</v>
      </c>
      <c r="G2197">
        <v>97596857</v>
      </c>
      <c r="H2197">
        <v>177563029</v>
      </c>
      <c r="I2197">
        <v>80636586</v>
      </c>
      <c r="J2197">
        <v>88654954</v>
      </c>
      <c r="K2197">
        <v>195578495</v>
      </c>
      <c r="L2197">
        <v>82199690</v>
      </c>
      <c r="M2197">
        <v>132513765</v>
      </c>
      <c r="N2197">
        <v>122649633</v>
      </c>
      <c r="O2197">
        <v>98995865</v>
      </c>
      <c r="P2197">
        <v>125</v>
      </c>
      <c r="Q2197" t="s">
        <v>4732</v>
      </c>
    </row>
    <row r="2198" spans="1:17" x14ac:dyDescent="0.3">
      <c r="A2198" t="s">
        <v>59</v>
      </c>
      <c r="B2198" t="str">
        <f>"002578"</f>
        <v>002578</v>
      </c>
      <c r="C2198" t="s">
        <v>4733</v>
      </c>
      <c r="D2198" t="s">
        <v>238</v>
      </c>
      <c r="F2198">
        <v>-202197568</v>
      </c>
      <c r="G2198">
        <v>132335275</v>
      </c>
      <c r="H2198">
        <v>177393336</v>
      </c>
      <c r="I2198">
        <v>-11681291</v>
      </c>
      <c r="J2198">
        <v>18198832</v>
      </c>
      <c r="K2198">
        <v>-16639154</v>
      </c>
      <c r="L2198">
        <v>-21523705</v>
      </c>
      <c r="M2198">
        <v>79652996</v>
      </c>
      <c r="N2198">
        <v>81718944</v>
      </c>
      <c r="O2198">
        <v>94928963</v>
      </c>
      <c r="P2198">
        <v>91</v>
      </c>
      <c r="Q2198" t="s">
        <v>4734</v>
      </c>
    </row>
    <row r="2199" spans="1:17" x14ac:dyDescent="0.3">
      <c r="A2199" t="s">
        <v>59</v>
      </c>
      <c r="B2199" t="str">
        <f>"300972"</f>
        <v>300972</v>
      </c>
      <c r="C2199" t="s">
        <v>4735</v>
      </c>
      <c r="D2199" t="s">
        <v>2476</v>
      </c>
      <c r="F2199">
        <v>98823175</v>
      </c>
      <c r="G2199">
        <v>156241037</v>
      </c>
      <c r="H2199">
        <v>177279692</v>
      </c>
      <c r="I2199">
        <v>102056244</v>
      </c>
      <c r="J2199">
        <v>57259536</v>
      </c>
      <c r="P2199">
        <v>22</v>
      </c>
      <c r="Q2199" t="s">
        <v>4736</v>
      </c>
    </row>
    <row r="2200" spans="1:17" x14ac:dyDescent="0.3">
      <c r="A2200" t="s">
        <v>17</v>
      </c>
      <c r="B2200" t="str">
        <f>"601999"</f>
        <v>601999</v>
      </c>
      <c r="C2200" t="s">
        <v>4737</v>
      </c>
      <c r="D2200" t="s">
        <v>914</v>
      </c>
      <c r="F2200">
        <v>135871115</v>
      </c>
      <c r="G2200">
        <v>146748441</v>
      </c>
      <c r="H2200">
        <v>176940359</v>
      </c>
      <c r="I2200">
        <v>-96664110</v>
      </c>
      <c r="J2200">
        <v>255290308</v>
      </c>
      <c r="K2200">
        <v>167218461</v>
      </c>
      <c r="L2200">
        <v>57302761</v>
      </c>
      <c r="M2200">
        <v>250831627</v>
      </c>
      <c r="N2200">
        <v>-28296972</v>
      </c>
      <c r="O2200">
        <v>112858171</v>
      </c>
      <c r="P2200">
        <v>82</v>
      </c>
      <c r="Q2200" t="s">
        <v>4738</v>
      </c>
    </row>
    <row r="2201" spans="1:17" x14ac:dyDescent="0.3">
      <c r="A2201" t="s">
        <v>59</v>
      </c>
      <c r="B2201" t="str">
        <f>"300394"</f>
        <v>300394</v>
      </c>
      <c r="C2201" t="s">
        <v>4739</v>
      </c>
      <c r="D2201" t="s">
        <v>352</v>
      </c>
      <c r="F2201">
        <v>369745114</v>
      </c>
      <c r="G2201">
        <v>239530592</v>
      </c>
      <c r="H2201">
        <v>176849434</v>
      </c>
      <c r="I2201">
        <v>135533945</v>
      </c>
      <c r="J2201">
        <v>119867918</v>
      </c>
      <c r="K2201">
        <v>153522163</v>
      </c>
      <c r="L2201">
        <v>103330861</v>
      </c>
      <c r="M2201">
        <v>59985442</v>
      </c>
      <c r="N2201">
        <v>48414464</v>
      </c>
      <c r="O2201">
        <v>38142842</v>
      </c>
      <c r="P2201">
        <v>802</v>
      </c>
      <c r="Q2201" t="s">
        <v>4740</v>
      </c>
    </row>
    <row r="2202" spans="1:17" x14ac:dyDescent="0.3">
      <c r="A2202" t="s">
        <v>59</v>
      </c>
      <c r="B2202" t="str">
        <f>"300099"</f>
        <v>300099</v>
      </c>
      <c r="C2202" t="s">
        <v>4741</v>
      </c>
      <c r="D2202" t="s">
        <v>741</v>
      </c>
      <c r="F2202">
        <v>19718680</v>
      </c>
      <c r="G2202">
        <v>102399018</v>
      </c>
      <c r="H2202">
        <v>176842373</v>
      </c>
      <c r="I2202">
        <v>44816786</v>
      </c>
      <c r="J2202">
        <v>69851205</v>
      </c>
      <c r="K2202">
        <v>98308601</v>
      </c>
      <c r="L2202">
        <v>10073221</v>
      </c>
      <c r="M2202">
        <v>-15475732</v>
      </c>
      <c r="N2202">
        <v>43031250</v>
      </c>
      <c r="O2202">
        <v>39728461</v>
      </c>
      <c r="P2202">
        <v>134</v>
      </c>
      <c r="Q2202" t="s">
        <v>4742</v>
      </c>
    </row>
    <row r="2203" spans="1:17" x14ac:dyDescent="0.3">
      <c r="A2203" t="s">
        <v>59</v>
      </c>
      <c r="B2203" t="str">
        <f>"301069"</f>
        <v>301069</v>
      </c>
      <c r="C2203" t="s">
        <v>4743</v>
      </c>
      <c r="D2203" t="s">
        <v>1507</v>
      </c>
      <c r="F2203">
        <v>88631424</v>
      </c>
      <c r="G2203">
        <v>139935144</v>
      </c>
      <c r="H2203">
        <v>176831293</v>
      </c>
      <c r="I2203">
        <v>16220587</v>
      </c>
      <c r="J2203">
        <v>9923491</v>
      </c>
      <c r="P2203">
        <v>29</v>
      </c>
      <c r="Q2203" t="s">
        <v>4744</v>
      </c>
    </row>
    <row r="2204" spans="1:17" x14ac:dyDescent="0.3">
      <c r="A2204" t="s">
        <v>59</v>
      </c>
      <c r="B2204" t="str">
        <f>"200706"</f>
        <v>200706</v>
      </c>
      <c r="C2204" t="s">
        <v>4745</v>
      </c>
      <c r="F2204">
        <v>94984856.493599996</v>
      </c>
      <c r="G2204">
        <v>72618887.100799993</v>
      </c>
      <c r="H2204">
        <v>176627190.40849999</v>
      </c>
      <c r="I2204">
        <v>260265533.31900001</v>
      </c>
      <c r="J2204">
        <v>-2550208.9640000002</v>
      </c>
      <c r="K2204">
        <v>22904492.088199999</v>
      </c>
      <c r="L2204">
        <v>-61509007.023599997</v>
      </c>
      <c r="M2204">
        <v>88118397.616799995</v>
      </c>
      <c r="N2204">
        <v>90019093.392900005</v>
      </c>
      <c r="O2204">
        <v>162490921.0932</v>
      </c>
      <c r="P2204">
        <v>7</v>
      </c>
      <c r="Q2204" t="s">
        <v>4746</v>
      </c>
    </row>
    <row r="2205" spans="1:17" x14ac:dyDescent="0.3">
      <c r="A2205" t="s">
        <v>59</v>
      </c>
      <c r="B2205" t="str">
        <f>"002846"</f>
        <v>002846</v>
      </c>
      <c r="C2205" t="s">
        <v>4747</v>
      </c>
      <c r="D2205" t="s">
        <v>1328</v>
      </c>
      <c r="F2205">
        <v>136823335</v>
      </c>
      <c r="G2205">
        <v>155651405</v>
      </c>
      <c r="H2205">
        <v>176624362</v>
      </c>
      <c r="I2205">
        <v>88409124</v>
      </c>
      <c r="J2205">
        <v>24989838</v>
      </c>
      <c r="K2205">
        <v>54585550</v>
      </c>
      <c r="L2205">
        <v>53081829</v>
      </c>
      <c r="M2205">
        <v>36873387</v>
      </c>
      <c r="N2205">
        <v>42575001</v>
      </c>
      <c r="P2205">
        <v>109</v>
      </c>
      <c r="Q2205" t="s">
        <v>4748</v>
      </c>
    </row>
    <row r="2206" spans="1:17" x14ac:dyDescent="0.3">
      <c r="A2206" t="s">
        <v>59</v>
      </c>
      <c r="B2206" t="str">
        <f>"300580"</f>
        <v>300580</v>
      </c>
      <c r="C2206" t="s">
        <v>4749</v>
      </c>
      <c r="D2206" t="s">
        <v>156</v>
      </c>
      <c r="F2206">
        <v>226302493</v>
      </c>
      <c r="G2206">
        <v>273429799</v>
      </c>
      <c r="H2206">
        <v>176299713</v>
      </c>
      <c r="I2206">
        <v>137717641</v>
      </c>
      <c r="J2206">
        <v>153103038</v>
      </c>
      <c r="K2206">
        <v>110742098</v>
      </c>
      <c r="L2206">
        <v>127299659</v>
      </c>
      <c r="M2206">
        <v>73505268</v>
      </c>
      <c r="N2206">
        <v>71332256</v>
      </c>
      <c r="P2206">
        <v>148</v>
      </c>
      <c r="Q2206" t="s">
        <v>4750</v>
      </c>
    </row>
    <row r="2207" spans="1:17" x14ac:dyDescent="0.3">
      <c r="A2207" t="s">
        <v>59</v>
      </c>
      <c r="B2207" t="str">
        <f>"300242"</f>
        <v>300242</v>
      </c>
      <c r="C2207" t="s">
        <v>4751</v>
      </c>
      <c r="D2207" t="s">
        <v>1889</v>
      </c>
      <c r="F2207">
        <v>-162500633</v>
      </c>
      <c r="G2207">
        <v>24406073</v>
      </c>
      <c r="H2207">
        <v>176291862</v>
      </c>
      <c r="I2207">
        <v>-314330246</v>
      </c>
      <c r="J2207">
        <v>57037050</v>
      </c>
      <c r="K2207">
        <v>-161454405</v>
      </c>
      <c r="L2207">
        <v>-21873865</v>
      </c>
      <c r="M2207">
        <v>25908879</v>
      </c>
      <c r="N2207">
        <v>-17074283</v>
      </c>
      <c r="O2207">
        <v>-3074945</v>
      </c>
      <c r="P2207">
        <v>95</v>
      </c>
      <c r="Q2207" t="s">
        <v>4752</v>
      </c>
    </row>
    <row r="2208" spans="1:17" x14ac:dyDescent="0.3">
      <c r="A2208" t="s">
        <v>59</v>
      </c>
      <c r="B2208" t="str">
        <f>"301027"</f>
        <v>301027</v>
      </c>
      <c r="C2208" t="s">
        <v>4753</v>
      </c>
      <c r="D2208" t="s">
        <v>2254</v>
      </c>
      <c r="F2208">
        <v>-44592225</v>
      </c>
      <c r="G2208">
        <v>127676812</v>
      </c>
      <c r="H2208">
        <v>176212023</v>
      </c>
      <c r="I2208">
        <v>-93554780</v>
      </c>
      <c r="J2208">
        <v>203408307</v>
      </c>
      <c r="P2208">
        <v>25</v>
      </c>
      <c r="Q2208" t="s">
        <v>4754</v>
      </c>
    </row>
    <row r="2209" spans="1:17" x14ac:dyDescent="0.3">
      <c r="A2209" t="s">
        <v>59</v>
      </c>
      <c r="B2209" t="str">
        <f>"300801"</f>
        <v>300801</v>
      </c>
      <c r="C2209" t="s">
        <v>4755</v>
      </c>
      <c r="D2209" t="s">
        <v>1252</v>
      </c>
      <c r="F2209">
        <v>254894436</v>
      </c>
      <c r="G2209">
        <v>203219015</v>
      </c>
      <c r="H2209">
        <v>175999442</v>
      </c>
      <c r="I2209">
        <v>219673280</v>
      </c>
      <c r="J2209">
        <v>187022209</v>
      </c>
      <c r="K2209">
        <v>40363077</v>
      </c>
      <c r="P2209">
        <v>112</v>
      </c>
      <c r="Q2209" t="s">
        <v>4756</v>
      </c>
    </row>
    <row r="2210" spans="1:17" x14ac:dyDescent="0.3">
      <c r="A2210" t="s">
        <v>17</v>
      </c>
      <c r="B2210" t="str">
        <f>"605008"</f>
        <v>605008</v>
      </c>
      <c r="C2210" t="s">
        <v>4757</v>
      </c>
      <c r="D2210" t="s">
        <v>2104</v>
      </c>
      <c r="F2210">
        <v>-61351373</v>
      </c>
      <c r="G2210">
        <v>52613606</v>
      </c>
      <c r="H2210">
        <v>175824303</v>
      </c>
      <c r="I2210">
        <v>129004050</v>
      </c>
      <c r="J2210">
        <v>57990051</v>
      </c>
      <c r="P2210">
        <v>66</v>
      </c>
      <c r="Q2210" t="s">
        <v>4758</v>
      </c>
    </row>
    <row r="2211" spans="1:17" x14ac:dyDescent="0.3">
      <c r="A2211" t="s">
        <v>17</v>
      </c>
      <c r="B2211" t="str">
        <f>"600785"</f>
        <v>600785</v>
      </c>
      <c r="C2211" t="s">
        <v>4759</v>
      </c>
      <c r="D2211" t="s">
        <v>829</v>
      </c>
      <c r="F2211">
        <v>758646394</v>
      </c>
      <c r="G2211">
        <v>413034111</v>
      </c>
      <c r="H2211">
        <v>175662249</v>
      </c>
      <c r="I2211">
        <v>318128994</v>
      </c>
      <c r="J2211">
        <v>394597654</v>
      </c>
      <c r="K2211">
        <v>172181281</v>
      </c>
      <c r="L2211">
        <v>153091549</v>
      </c>
      <c r="M2211">
        <v>131574035</v>
      </c>
      <c r="N2211">
        <v>221272156</v>
      </c>
      <c r="O2211">
        <v>377488169</v>
      </c>
      <c r="P2211">
        <v>99</v>
      </c>
      <c r="Q2211" t="s">
        <v>4760</v>
      </c>
    </row>
    <row r="2212" spans="1:17" x14ac:dyDescent="0.3">
      <c r="A2212" t="s">
        <v>17</v>
      </c>
      <c r="B2212" t="str">
        <f>"600397"</f>
        <v>600397</v>
      </c>
      <c r="C2212" t="s">
        <v>4761</v>
      </c>
      <c r="D2212" t="s">
        <v>54</v>
      </c>
      <c r="F2212">
        <v>197865188</v>
      </c>
      <c r="G2212">
        <v>99434491</v>
      </c>
      <c r="H2212">
        <v>175583480</v>
      </c>
      <c r="I2212">
        <v>146749956</v>
      </c>
      <c r="J2212">
        <v>164253420</v>
      </c>
      <c r="K2212">
        <v>252832740</v>
      </c>
      <c r="L2212">
        <v>117218668</v>
      </c>
      <c r="M2212">
        <v>529020896</v>
      </c>
      <c r="N2212">
        <v>49491804</v>
      </c>
      <c r="O2212">
        <v>654043999</v>
      </c>
      <c r="P2212">
        <v>91</v>
      </c>
      <c r="Q2212" t="s">
        <v>4762</v>
      </c>
    </row>
    <row r="2213" spans="1:17" x14ac:dyDescent="0.3">
      <c r="A2213" t="s">
        <v>17</v>
      </c>
      <c r="B2213" t="str">
        <f>"688232"</f>
        <v>688232</v>
      </c>
      <c r="C2213" t="s">
        <v>4763</v>
      </c>
      <c r="D2213" t="s">
        <v>1528</v>
      </c>
      <c r="F2213">
        <v>194010319</v>
      </c>
      <c r="G2213">
        <v>393689412</v>
      </c>
      <c r="H2213">
        <v>175536169</v>
      </c>
      <c r="I2213">
        <v>213367528</v>
      </c>
      <c r="J2213">
        <v>216792404</v>
      </c>
      <c r="P2213">
        <v>26</v>
      </c>
      <c r="Q2213" t="s">
        <v>4764</v>
      </c>
    </row>
    <row r="2214" spans="1:17" x14ac:dyDescent="0.3">
      <c r="A2214" t="s">
        <v>59</v>
      </c>
      <c r="B2214" t="str">
        <f>"300908"</f>
        <v>300908</v>
      </c>
      <c r="C2214" t="s">
        <v>4765</v>
      </c>
      <c r="D2214" t="s">
        <v>375</v>
      </c>
      <c r="F2214">
        <v>119694277</v>
      </c>
      <c r="G2214">
        <v>107513302</v>
      </c>
      <c r="H2214">
        <v>175461044</v>
      </c>
      <c r="I2214">
        <v>140312448</v>
      </c>
      <c r="J2214">
        <v>98023828</v>
      </c>
      <c r="K2214">
        <v>49824121</v>
      </c>
      <c r="P2214">
        <v>173</v>
      </c>
      <c r="Q2214" t="s">
        <v>4766</v>
      </c>
    </row>
    <row r="2215" spans="1:17" x14ac:dyDescent="0.3">
      <c r="A2215" t="s">
        <v>59</v>
      </c>
      <c r="B2215" t="str">
        <f>"300248"</f>
        <v>300248</v>
      </c>
      <c r="C2215" t="s">
        <v>4767</v>
      </c>
      <c r="D2215" t="s">
        <v>707</v>
      </c>
      <c r="F2215">
        <v>161262902</v>
      </c>
      <c r="G2215">
        <v>196771074</v>
      </c>
      <c r="H2215">
        <v>175277942</v>
      </c>
      <c r="I2215">
        <v>30446465</v>
      </c>
      <c r="J2215">
        <v>65411486</v>
      </c>
      <c r="K2215">
        <v>140431577</v>
      </c>
      <c r="L2215">
        <v>78585051</v>
      </c>
      <c r="M2215">
        <v>3621745</v>
      </c>
      <c r="N2215">
        <v>27813108</v>
      </c>
      <c r="O2215">
        <v>16218394</v>
      </c>
      <c r="P2215">
        <v>209</v>
      </c>
      <c r="Q2215" t="s">
        <v>4768</v>
      </c>
    </row>
    <row r="2216" spans="1:17" x14ac:dyDescent="0.3">
      <c r="A2216" t="s">
        <v>59</v>
      </c>
      <c r="B2216" t="str">
        <f>"300860"</f>
        <v>300860</v>
      </c>
      <c r="C2216" t="s">
        <v>4769</v>
      </c>
      <c r="D2216" t="s">
        <v>4420</v>
      </c>
      <c r="F2216">
        <v>55489107</v>
      </c>
      <c r="G2216">
        <v>78760170</v>
      </c>
      <c r="H2216">
        <v>175180671</v>
      </c>
      <c r="I2216">
        <v>138229203</v>
      </c>
      <c r="J2216">
        <v>117503308</v>
      </c>
      <c r="K2216">
        <v>109846613</v>
      </c>
      <c r="L2216">
        <v>8178026</v>
      </c>
      <c r="P2216">
        <v>95</v>
      </c>
      <c r="Q2216" t="s">
        <v>4770</v>
      </c>
    </row>
    <row r="2217" spans="1:17" x14ac:dyDescent="0.3">
      <c r="A2217" t="s">
        <v>17</v>
      </c>
      <c r="B2217" t="str">
        <f>"603267"</f>
        <v>603267</v>
      </c>
      <c r="C2217" t="s">
        <v>4771</v>
      </c>
      <c r="D2217" t="s">
        <v>1983</v>
      </c>
      <c r="F2217">
        <v>532781780</v>
      </c>
      <c r="G2217">
        <v>153175623</v>
      </c>
      <c r="H2217">
        <v>175091864</v>
      </c>
      <c r="I2217">
        <v>52636554</v>
      </c>
      <c r="J2217">
        <v>90388156</v>
      </c>
      <c r="K2217">
        <v>31139977</v>
      </c>
      <c r="P2217">
        <v>469</v>
      </c>
      <c r="Q2217" t="s">
        <v>4772</v>
      </c>
    </row>
    <row r="2218" spans="1:17" x14ac:dyDescent="0.3">
      <c r="A2218" t="s">
        <v>17</v>
      </c>
      <c r="B2218" t="str">
        <f>"603256"</f>
        <v>603256</v>
      </c>
      <c r="C2218" t="s">
        <v>4773</v>
      </c>
      <c r="D2218" t="s">
        <v>736</v>
      </c>
      <c r="F2218">
        <v>111460067</v>
      </c>
      <c r="G2218">
        <v>149935688</v>
      </c>
      <c r="H2218">
        <v>174930422</v>
      </c>
      <c r="I2218">
        <v>165916875</v>
      </c>
      <c r="J2218">
        <v>115881887</v>
      </c>
      <c r="K2218">
        <v>190398252</v>
      </c>
      <c r="P2218">
        <v>340</v>
      </c>
      <c r="Q2218" t="s">
        <v>4774</v>
      </c>
    </row>
    <row r="2219" spans="1:17" x14ac:dyDescent="0.3">
      <c r="A2219" t="s">
        <v>59</v>
      </c>
      <c r="B2219" t="str">
        <f>"300467"</f>
        <v>300467</v>
      </c>
      <c r="C2219" t="s">
        <v>4775</v>
      </c>
      <c r="D2219" t="s">
        <v>689</v>
      </c>
      <c r="F2219">
        <v>115176879</v>
      </c>
      <c r="G2219">
        <v>167678234</v>
      </c>
      <c r="H2219">
        <v>174916810</v>
      </c>
      <c r="I2219">
        <v>270591666</v>
      </c>
      <c r="J2219">
        <v>80248514</v>
      </c>
      <c r="K2219">
        <v>39668043</v>
      </c>
      <c r="L2219">
        <v>53878260</v>
      </c>
      <c r="M2219">
        <v>62745409</v>
      </c>
      <c r="N2219">
        <v>72276845</v>
      </c>
      <c r="O2219">
        <v>45357727</v>
      </c>
      <c r="P2219">
        <v>187</v>
      </c>
      <c r="Q2219" t="s">
        <v>4776</v>
      </c>
    </row>
    <row r="2220" spans="1:17" x14ac:dyDescent="0.3">
      <c r="A2220" t="s">
        <v>59</v>
      </c>
      <c r="B2220" t="str">
        <f>"300642"</f>
        <v>300642</v>
      </c>
      <c r="C2220" t="s">
        <v>4777</v>
      </c>
      <c r="D2220" t="s">
        <v>1953</v>
      </c>
      <c r="F2220">
        <v>82613509</v>
      </c>
      <c r="G2220">
        <v>96833972</v>
      </c>
      <c r="H2220">
        <v>174843007</v>
      </c>
      <c r="I2220">
        <v>161317880</v>
      </c>
      <c r="J2220">
        <v>105997333</v>
      </c>
      <c r="K2220">
        <v>98421152</v>
      </c>
      <c r="L2220">
        <v>64668232</v>
      </c>
      <c r="M2220">
        <v>40808999</v>
      </c>
      <c r="P2220">
        <v>417</v>
      </c>
      <c r="Q2220" t="s">
        <v>4778</v>
      </c>
    </row>
    <row r="2221" spans="1:17" x14ac:dyDescent="0.3">
      <c r="A2221" t="s">
        <v>59</v>
      </c>
      <c r="B2221" t="str">
        <f>"300737"</f>
        <v>300737</v>
      </c>
      <c r="C2221" t="s">
        <v>4779</v>
      </c>
      <c r="D2221" t="s">
        <v>1267</v>
      </c>
      <c r="F2221">
        <v>611134567</v>
      </c>
      <c r="G2221">
        <v>552180280</v>
      </c>
      <c r="H2221">
        <v>174710725</v>
      </c>
      <c r="I2221">
        <v>-198461959</v>
      </c>
      <c r="J2221">
        <v>99920291</v>
      </c>
      <c r="K2221">
        <v>113839922</v>
      </c>
      <c r="L2221">
        <v>16364468</v>
      </c>
      <c r="M2221">
        <v>57740272</v>
      </c>
      <c r="P2221">
        <v>459</v>
      </c>
      <c r="Q2221" t="s">
        <v>4780</v>
      </c>
    </row>
    <row r="2222" spans="1:17" x14ac:dyDescent="0.3">
      <c r="A2222" t="s">
        <v>17</v>
      </c>
      <c r="B2222" t="str">
        <f>"603203"</f>
        <v>603203</v>
      </c>
      <c r="C2222" t="s">
        <v>4781</v>
      </c>
      <c r="D2222" t="s">
        <v>1426</v>
      </c>
      <c r="F2222">
        <v>171127994</v>
      </c>
      <c r="G2222">
        <v>215058093</v>
      </c>
      <c r="H2222">
        <v>174708586</v>
      </c>
      <c r="I2222">
        <v>137132118</v>
      </c>
      <c r="J2222">
        <v>123945549</v>
      </c>
      <c r="K2222">
        <v>113509465</v>
      </c>
      <c r="L2222">
        <v>92633987</v>
      </c>
      <c r="M2222">
        <v>64349306</v>
      </c>
      <c r="N2222">
        <v>56277742</v>
      </c>
      <c r="P2222">
        <v>2649</v>
      </c>
      <c r="Q2222" t="s">
        <v>4782</v>
      </c>
    </row>
    <row r="2223" spans="1:17" x14ac:dyDescent="0.3">
      <c r="A2223" t="s">
        <v>59</v>
      </c>
      <c r="B2223" t="str">
        <f>"300359"</f>
        <v>300359</v>
      </c>
      <c r="C2223" t="s">
        <v>4783</v>
      </c>
      <c r="D2223" t="s">
        <v>871</v>
      </c>
      <c r="F2223">
        <v>123014521</v>
      </c>
      <c r="G2223">
        <v>203199850</v>
      </c>
      <c r="H2223">
        <v>174614926</v>
      </c>
      <c r="I2223">
        <v>209066923</v>
      </c>
      <c r="J2223">
        <v>53994477</v>
      </c>
      <c r="K2223">
        <v>-41968049</v>
      </c>
      <c r="L2223">
        <v>110079494</v>
      </c>
      <c r="M2223">
        <v>26160759</v>
      </c>
      <c r="N2223">
        <v>44563810</v>
      </c>
      <c r="O2223">
        <v>40511015</v>
      </c>
      <c r="P2223">
        <v>166</v>
      </c>
      <c r="Q2223" t="s">
        <v>4784</v>
      </c>
    </row>
    <row r="2224" spans="1:17" x14ac:dyDescent="0.3">
      <c r="A2224" t="s">
        <v>17</v>
      </c>
      <c r="B2224" t="str">
        <f>"688248"</f>
        <v>688248</v>
      </c>
      <c r="C2224" t="s">
        <v>4785</v>
      </c>
      <c r="D2224" t="s">
        <v>494</v>
      </c>
      <c r="F2224">
        <v>6301301</v>
      </c>
      <c r="G2224">
        <v>174494211</v>
      </c>
      <c r="H2224">
        <v>174053189</v>
      </c>
      <c r="I2224">
        <v>62143318</v>
      </c>
      <c r="P2224">
        <v>14</v>
      </c>
      <c r="Q2224" t="s">
        <v>4786</v>
      </c>
    </row>
    <row r="2225" spans="1:17" x14ac:dyDescent="0.3">
      <c r="A2225" t="s">
        <v>59</v>
      </c>
      <c r="B2225" t="str">
        <f>"000782"</f>
        <v>000782</v>
      </c>
      <c r="C2225" t="s">
        <v>4787</v>
      </c>
      <c r="D2225" t="s">
        <v>1219</v>
      </c>
      <c r="F2225">
        <v>24479825</v>
      </c>
      <c r="G2225">
        <v>-237268695</v>
      </c>
      <c r="H2225">
        <v>173577886</v>
      </c>
      <c r="I2225">
        <v>247478173</v>
      </c>
      <c r="J2225">
        <v>-253833571</v>
      </c>
      <c r="K2225">
        <v>356838805</v>
      </c>
      <c r="L2225">
        <v>2124389</v>
      </c>
      <c r="M2225">
        <v>256752136</v>
      </c>
      <c r="N2225">
        <v>-197359406</v>
      </c>
      <c r="O2225">
        <v>248790131</v>
      </c>
      <c r="P2225">
        <v>64</v>
      </c>
      <c r="Q2225" t="s">
        <v>4788</v>
      </c>
    </row>
    <row r="2226" spans="1:17" x14ac:dyDescent="0.3">
      <c r="A2226" t="s">
        <v>17</v>
      </c>
      <c r="B2226" t="str">
        <f>"603890"</f>
        <v>603890</v>
      </c>
      <c r="C2226" t="s">
        <v>4789</v>
      </c>
      <c r="D2226" t="s">
        <v>349</v>
      </c>
      <c r="F2226">
        <v>416933233</v>
      </c>
      <c r="G2226">
        <v>-10890048</v>
      </c>
      <c r="H2226">
        <v>173252690</v>
      </c>
      <c r="I2226">
        <v>47443892</v>
      </c>
      <c r="J2226">
        <v>165790368</v>
      </c>
      <c r="K2226">
        <v>121853601</v>
      </c>
      <c r="L2226">
        <v>83043537</v>
      </c>
      <c r="M2226">
        <v>64866027</v>
      </c>
      <c r="P2226">
        <v>155</v>
      </c>
      <c r="Q2226" t="s">
        <v>4790</v>
      </c>
    </row>
    <row r="2227" spans="1:17" x14ac:dyDescent="0.3">
      <c r="A2227" t="s">
        <v>59</v>
      </c>
      <c r="B2227" t="str">
        <f>"000557"</f>
        <v>000557</v>
      </c>
      <c r="C2227" t="s">
        <v>4791</v>
      </c>
      <c r="D2227" t="s">
        <v>206</v>
      </c>
      <c r="F2227">
        <v>223340237</v>
      </c>
      <c r="G2227">
        <v>172193637</v>
      </c>
      <c r="H2227">
        <v>173056016</v>
      </c>
      <c r="I2227">
        <v>236417089</v>
      </c>
      <c r="J2227">
        <v>301960439</v>
      </c>
      <c r="K2227">
        <v>74523448</v>
      </c>
      <c r="L2227">
        <v>-9031662</v>
      </c>
      <c r="M2227">
        <v>-2877583</v>
      </c>
      <c r="N2227">
        <v>-14233414</v>
      </c>
      <c r="O2227">
        <v>-54089340</v>
      </c>
      <c r="P2227">
        <v>103</v>
      </c>
      <c r="Q2227" t="s">
        <v>4792</v>
      </c>
    </row>
    <row r="2228" spans="1:17" x14ac:dyDescent="0.3">
      <c r="A2228" t="s">
        <v>17</v>
      </c>
      <c r="B2228" t="str">
        <f>"600835"</f>
        <v>600835</v>
      </c>
      <c r="C2228" t="s">
        <v>4793</v>
      </c>
      <c r="D2228" t="s">
        <v>3004</v>
      </c>
      <c r="F2228">
        <v>720404587</v>
      </c>
      <c r="G2228">
        <v>1096371404</v>
      </c>
      <c r="H2228">
        <v>172959004</v>
      </c>
      <c r="I2228">
        <v>188450270</v>
      </c>
      <c r="J2228">
        <v>1930118454</v>
      </c>
      <c r="K2228">
        <v>1999573703</v>
      </c>
      <c r="L2228">
        <v>1338774524</v>
      </c>
      <c r="M2228">
        <v>2011963266</v>
      </c>
      <c r="N2228">
        <v>1758892889</v>
      </c>
      <c r="O2228">
        <v>3120058763</v>
      </c>
      <c r="P2228">
        <v>661</v>
      </c>
      <c r="Q2228" t="s">
        <v>4794</v>
      </c>
    </row>
    <row r="2229" spans="1:17" x14ac:dyDescent="0.3">
      <c r="A2229" t="s">
        <v>17</v>
      </c>
      <c r="B2229" t="str">
        <f>"603662"</f>
        <v>603662</v>
      </c>
      <c r="C2229" t="s">
        <v>4795</v>
      </c>
      <c r="D2229" t="s">
        <v>2382</v>
      </c>
      <c r="F2229">
        <v>202244381</v>
      </c>
      <c r="G2229">
        <v>267007493</v>
      </c>
      <c r="H2229">
        <v>172525429</v>
      </c>
      <c r="I2229">
        <v>137784476</v>
      </c>
      <c r="J2229">
        <v>131166170</v>
      </c>
      <c r="K2229">
        <v>105342013</v>
      </c>
      <c r="P2229">
        <v>125</v>
      </c>
      <c r="Q2229" t="s">
        <v>4796</v>
      </c>
    </row>
    <row r="2230" spans="1:17" x14ac:dyDescent="0.3">
      <c r="A2230" t="s">
        <v>59</v>
      </c>
      <c r="B2230" t="str">
        <f>"300485"</f>
        <v>300485</v>
      </c>
      <c r="C2230" t="s">
        <v>4797</v>
      </c>
      <c r="D2230" t="s">
        <v>1062</v>
      </c>
      <c r="F2230">
        <v>183295288</v>
      </c>
      <c r="G2230">
        <v>263725622</v>
      </c>
      <c r="H2230">
        <v>172523040</v>
      </c>
      <c r="I2230">
        <v>146516272</v>
      </c>
      <c r="J2230">
        <v>108212674</v>
      </c>
      <c r="K2230">
        <v>212893475</v>
      </c>
      <c r="L2230">
        <v>169357076</v>
      </c>
      <c r="M2230">
        <v>214225148</v>
      </c>
      <c r="N2230">
        <v>196824110</v>
      </c>
      <c r="O2230">
        <v>151933364</v>
      </c>
      <c r="P2230">
        <v>196</v>
      </c>
      <c r="Q2230" t="s">
        <v>4798</v>
      </c>
    </row>
    <row r="2231" spans="1:17" x14ac:dyDescent="0.3">
      <c r="A2231" t="s">
        <v>59</v>
      </c>
      <c r="B2231" t="str">
        <f>"002522"</f>
        <v>002522</v>
      </c>
      <c r="C2231" t="s">
        <v>4799</v>
      </c>
      <c r="D2231" t="s">
        <v>1674</v>
      </c>
      <c r="F2231">
        <v>222209109</v>
      </c>
      <c r="G2231">
        <v>309194839</v>
      </c>
      <c r="H2231">
        <v>172150717</v>
      </c>
      <c r="I2231">
        <v>54380763</v>
      </c>
      <c r="J2231">
        <v>-199905928</v>
      </c>
      <c r="K2231">
        <v>148870584</v>
      </c>
      <c r="L2231">
        <v>114680113</v>
      </c>
      <c r="M2231">
        <v>84861935</v>
      </c>
      <c r="N2231">
        <v>80977089</v>
      </c>
      <c r="O2231">
        <v>131715491</v>
      </c>
      <c r="P2231">
        <v>367</v>
      </c>
      <c r="Q2231" t="s">
        <v>4800</v>
      </c>
    </row>
    <row r="2232" spans="1:17" x14ac:dyDescent="0.3">
      <c r="A2232" t="s">
        <v>59</v>
      </c>
      <c r="B2232" t="str">
        <f>"000619"</f>
        <v>000619</v>
      </c>
      <c r="C2232" t="s">
        <v>4801</v>
      </c>
      <c r="D2232" t="s">
        <v>1041</v>
      </c>
      <c r="F2232">
        <v>-94666923</v>
      </c>
      <c r="G2232">
        <v>61389625</v>
      </c>
      <c r="H2232">
        <v>172128570</v>
      </c>
      <c r="I2232">
        <v>-194768394</v>
      </c>
      <c r="J2232">
        <v>103420918</v>
      </c>
      <c r="K2232">
        <v>334760801</v>
      </c>
      <c r="L2232">
        <v>418362264</v>
      </c>
      <c r="M2232">
        <v>614293945</v>
      </c>
      <c r="N2232">
        <v>345818136</v>
      </c>
      <c r="O2232">
        <v>352248368</v>
      </c>
      <c r="P2232">
        <v>98</v>
      </c>
      <c r="Q2232" t="s">
        <v>4802</v>
      </c>
    </row>
    <row r="2233" spans="1:17" x14ac:dyDescent="0.3">
      <c r="A2233" t="s">
        <v>59</v>
      </c>
      <c r="B2233" t="str">
        <f>"300586"</f>
        <v>300586</v>
      </c>
      <c r="C2233" t="s">
        <v>4803</v>
      </c>
      <c r="D2233" t="s">
        <v>792</v>
      </c>
      <c r="F2233">
        <v>126038903</v>
      </c>
      <c r="G2233">
        <v>131356905</v>
      </c>
      <c r="H2233">
        <v>172018452</v>
      </c>
      <c r="I2233">
        <v>73935820</v>
      </c>
      <c r="J2233">
        <v>33885928</v>
      </c>
      <c r="K2233">
        <v>49463855</v>
      </c>
      <c r="L2233">
        <v>48677011</v>
      </c>
      <c r="M2233">
        <v>38109938</v>
      </c>
      <c r="N2233">
        <v>53904105</v>
      </c>
      <c r="P2233">
        <v>132</v>
      </c>
      <c r="Q2233" t="s">
        <v>4804</v>
      </c>
    </row>
    <row r="2234" spans="1:17" x14ac:dyDescent="0.3">
      <c r="A2234" t="s">
        <v>17</v>
      </c>
      <c r="B2234" t="str">
        <f>"600410"</f>
        <v>600410</v>
      </c>
      <c r="C2234" t="s">
        <v>4805</v>
      </c>
      <c r="D2234" t="s">
        <v>1189</v>
      </c>
      <c r="F2234">
        <v>31182193</v>
      </c>
      <c r="G2234">
        <v>449780636</v>
      </c>
      <c r="H2234">
        <v>171996602</v>
      </c>
      <c r="I2234">
        <v>787747720</v>
      </c>
      <c r="J2234">
        <v>-895305533</v>
      </c>
      <c r="K2234">
        <v>129501939</v>
      </c>
      <c r="L2234">
        <v>331723702</v>
      </c>
      <c r="M2234">
        <v>276488016</v>
      </c>
      <c r="N2234">
        <v>323936080</v>
      </c>
      <c r="O2234">
        <v>137896088</v>
      </c>
      <c r="P2234">
        <v>514</v>
      </c>
      <c r="Q2234" t="s">
        <v>4806</v>
      </c>
    </row>
    <row r="2235" spans="1:17" x14ac:dyDescent="0.3">
      <c r="A2235" t="s">
        <v>17</v>
      </c>
      <c r="B2235" t="str">
        <f>"600523"</f>
        <v>600523</v>
      </c>
      <c r="C2235" t="s">
        <v>4807</v>
      </c>
      <c r="D2235" t="s">
        <v>1226</v>
      </c>
      <c r="F2235">
        <v>233241350</v>
      </c>
      <c r="G2235">
        <v>217357435</v>
      </c>
      <c r="H2235">
        <v>171919594</v>
      </c>
      <c r="I2235">
        <v>121525895</v>
      </c>
      <c r="J2235">
        <v>278464864</v>
      </c>
      <c r="K2235">
        <v>451520693</v>
      </c>
      <c r="L2235">
        <v>198141738</v>
      </c>
      <c r="M2235">
        <v>88884895</v>
      </c>
      <c r="N2235">
        <v>9150644</v>
      </c>
      <c r="O2235">
        <v>180812651</v>
      </c>
      <c r="P2235">
        <v>96</v>
      </c>
      <c r="Q2235" t="s">
        <v>4808</v>
      </c>
    </row>
    <row r="2236" spans="1:17" x14ac:dyDescent="0.3">
      <c r="A2236" t="s">
        <v>17</v>
      </c>
      <c r="B2236" t="str">
        <f>"603329"</f>
        <v>603329</v>
      </c>
      <c r="C2236" t="s">
        <v>4809</v>
      </c>
      <c r="D2236" t="s">
        <v>250</v>
      </c>
      <c r="F2236">
        <v>111579921</v>
      </c>
      <c r="G2236">
        <v>88839911</v>
      </c>
      <c r="H2236">
        <v>171841428</v>
      </c>
      <c r="I2236">
        <v>-122352784</v>
      </c>
      <c r="J2236">
        <v>43424033</v>
      </c>
      <c r="K2236">
        <v>39436775</v>
      </c>
      <c r="L2236">
        <v>108372736</v>
      </c>
      <c r="M2236">
        <v>101093882</v>
      </c>
      <c r="P2236">
        <v>62</v>
      </c>
      <c r="Q2236" t="s">
        <v>4810</v>
      </c>
    </row>
    <row r="2237" spans="1:17" x14ac:dyDescent="0.3">
      <c r="A2237" t="s">
        <v>17</v>
      </c>
      <c r="B2237" t="str">
        <f>"688778"</f>
        <v>688778</v>
      </c>
      <c r="C2237" t="s">
        <v>4811</v>
      </c>
      <c r="D2237" t="s">
        <v>1444</v>
      </c>
      <c r="F2237">
        <v>432011039</v>
      </c>
      <c r="G2237">
        <v>396879907</v>
      </c>
      <c r="H2237">
        <v>171837200</v>
      </c>
      <c r="I2237">
        <v>111495794</v>
      </c>
      <c r="J2237">
        <v>-593866717</v>
      </c>
      <c r="P2237">
        <v>44</v>
      </c>
      <c r="Q2237" t="s">
        <v>4812</v>
      </c>
    </row>
    <row r="2238" spans="1:17" x14ac:dyDescent="0.3">
      <c r="A2238" t="s">
        <v>59</v>
      </c>
      <c r="B2238" t="str">
        <f>"002989"</f>
        <v>002989</v>
      </c>
      <c r="C2238" t="s">
        <v>4813</v>
      </c>
      <c r="D2238" t="s">
        <v>1150</v>
      </c>
      <c r="F2238">
        <v>171060253</v>
      </c>
      <c r="G2238">
        <v>70519037</v>
      </c>
      <c r="H2238">
        <v>171628232</v>
      </c>
      <c r="I2238">
        <v>96035977</v>
      </c>
      <c r="J2238">
        <v>31364330</v>
      </c>
      <c r="P2238">
        <v>137</v>
      </c>
      <c r="Q2238" t="s">
        <v>4814</v>
      </c>
    </row>
    <row r="2239" spans="1:17" x14ac:dyDescent="0.3">
      <c r="A2239" t="s">
        <v>17</v>
      </c>
      <c r="B2239" t="str">
        <f>"603076"</f>
        <v>603076</v>
      </c>
      <c r="C2239" t="s">
        <v>4815</v>
      </c>
      <c r="D2239" t="s">
        <v>1351</v>
      </c>
      <c r="F2239">
        <v>-252701140</v>
      </c>
      <c r="G2239">
        <v>163308433</v>
      </c>
      <c r="H2239">
        <v>171587448</v>
      </c>
      <c r="I2239">
        <v>73948</v>
      </c>
      <c r="J2239">
        <v>72988951</v>
      </c>
      <c r="K2239">
        <v>136084031</v>
      </c>
      <c r="L2239">
        <v>95064629</v>
      </c>
      <c r="M2239">
        <v>64089910</v>
      </c>
      <c r="P2239">
        <v>87</v>
      </c>
      <c r="Q2239" t="s">
        <v>4816</v>
      </c>
    </row>
    <row r="2240" spans="1:17" x14ac:dyDescent="0.3">
      <c r="A2240" t="s">
        <v>59</v>
      </c>
      <c r="B2240" t="str">
        <f>"000779"</f>
        <v>000779</v>
      </c>
      <c r="C2240" t="s">
        <v>4817</v>
      </c>
      <c r="D2240" t="s">
        <v>2254</v>
      </c>
      <c r="F2240">
        <v>-55845135</v>
      </c>
      <c r="G2240">
        <v>296051473</v>
      </c>
      <c r="H2240">
        <v>171492563</v>
      </c>
      <c r="I2240">
        <v>217587004</v>
      </c>
      <c r="J2240">
        <v>12938700</v>
      </c>
      <c r="K2240">
        <v>28938169</v>
      </c>
      <c r="L2240">
        <v>14746123</v>
      </c>
      <c r="M2240">
        <v>-51743054</v>
      </c>
      <c r="N2240">
        <v>-28155032</v>
      </c>
      <c r="O2240">
        <v>2848288</v>
      </c>
      <c r="P2240">
        <v>165</v>
      </c>
      <c r="Q2240" t="s">
        <v>4818</v>
      </c>
    </row>
    <row r="2241" spans="1:17" x14ac:dyDescent="0.3">
      <c r="A2241" t="s">
        <v>17</v>
      </c>
      <c r="B2241" t="str">
        <f>"688027"</f>
        <v>688027</v>
      </c>
      <c r="C2241" t="s">
        <v>4819</v>
      </c>
      <c r="D2241" t="s">
        <v>1650</v>
      </c>
      <c r="F2241">
        <v>-64107297</v>
      </c>
      <c r="G2241">
        <v>27046445</v>
      </c>
      <c r="H2241">
        <v>171272683</v>
      </c>
      <c r="I2241">
        <v>-3886024</v>
      </c>
      <c r="J2241">
        <v>-16819897</v>
      </c>
      <c r="K2241">
        <v>-45484102</v>
      </c>
      <c r="P2241">
        <v>98</v>
      </c>
      <c r="Q2241" t="s">
        <v>4820</v>
      </c>
    </row>
    <row r="2242" spans="1:17" x14ac:dyDescent="0.3">
      <c r="A2242" t="s">
        <v>59</v>
      </c>
      <c r="B2242" t="str">
        <f>"002523"</f>
        <v>002523</v>
      </c>
      <c r="C2242" t="s">
        <v>4821</v>
      </c>
      <c r="D2242" t="s">
        <v>741</v>
      </c>
      <c r="F2242">
        <v>44801970</v>
      </c>
      <c r="G2242">
        <v>10373981</v>
      </c>
      <c r="H2242">
        <v>171140902</v>
      </c>
      <c r="I2242">
        <v>-111221602</v>
      </c>
      <c r="J2242">
        <v>164335173</v>
      </c>
      <c r="K2242">
        <v>39704294</v>
      </c>
      <c r="L2242">
        <v>36753421</v>
      </c>
      <c r="M2242">
        <v>-24324393</v>
      </c>
      <c r="N2242">
        <v>-42231207</v>
      </c>
      <c r="O2242">
        <v>1302787</v>
      </c>
      <c r="P2242">
        <v>53</v>
      </c>
      <c r="Q2242" t="s">
        <v>4822</v>
      </c>
    </row>
    <row r="2243" spans="1:17" x14ac:dyDescent="0.3">
      <c r="A2243" t="s">
        <v>17</v>
      </c>
      <c r="B2243" t="str">
        <f>"605158"</f>
        <v>605158</v>
      </c>
      <c r="C2243" t="s">
        <v>4823</v>
      </c>
      <c r="D2243" t="s">
        <v>120</v>
      </c>
      <c r="F2243">
        <v>231451554</v>
      </c>
      <c r="G2243">
        <v>381335333</v>
      </c>
      <c r="H2243">
        <v>171125745</v>
      </c>
      <c r="I2243">
        <v>102952480</v>
      </c>
      <c r="J2243">
        <v>-28712717</v>
      </c>
      <c r="P2243">
        <v>91</v>
      </c>
      <c r="Q2243" t="s">
        <v>4824</v>
      </c>
    </row>
    <row r="2244" spans="1:17" x14ac:dyDescent="0.3">
      <c r="A2244" t="s">
        <v>59</v>
      </c>
      <c r="B2244" t="str">
        <f>"300465"</f>
        <v>300465</v>
      </c>
      <c r="C2244" t="s">
        <v>4825</v>
      </c>
      <c r="D2244" t="s">
        <v>1528</v>
      </c>
      <c r="F2244">
        <v>-84869995</v>
      </c>
      <c r="G2244">
        <v>232360648</v>
      </c>
      <c r="H2244">
        <v>170769531</v>
      </c>
      <c r="I2244">
        <v>238019447</v>
      </c>
      <c r="J2244">
        <v>-80447949</v>
      </c>
      <c r="K2244">
        <v>52930226</v>
      </c>
      <c r="L2244">
        <v>30678846</v>
      </c>
      <c r="M2244">
        <v>39535204</v>
      </c>
      <c r="N2244">
        <v>-35863042</v>
      </c>
      <c r="O2244">
        <v>71827582</v>
      </c>
      <c r="P2244">
        <v>252</v>
      </c>
      <c r="Q2244" t="s">
        <v>4826</v>
      </c>
    </row>
    <row r="2245" spans="1:17" x14ac:dyDescent="0.3">
      <c r="A2245" t="s">
        <v>17</v>
      </c>
      <c r="B2245" t="str">
        <f>"603178"</f>
        <v>603178</v>
      </c>
      <c r="C2245" t="s">
        <v>4827</v>
      </c>
      <c r="D2245" t="s">
        <v>156</v>
      </c>
      <c r="F2245">
        <v>151660904</v>
      </c>
      <c r="G2245">
        <v>175372337</v>
      </c>
      <c r="H2245">
        <v>170711708</v>
      </c>
      <c r="I2245">
        <v>213634208</v>
      </c>
      <c r="J2245">
        <v>142852722</v>
      </c>
      <c r="K2245">
        <v>143591918</v>
      </c>
      <c r="L2245">
        <v>92817131</v>
      </c>
      <c r="M2245">
        <v>110497266</v>
      </c>
      <c r="N2245">
        <v>52267478</v>
      </c>
      <c r="P2245">
        <v>80</v>
      </c>
      <c r="Q2245" t="s">
        <v>4828</v>
      </c>
    </row>
    <row r="2246" spans="1:17" x14ac:dyDescent="0.3">
      <c r="A2246" t="s">
        <v>59</v>
      </c>
      <c r="B2246" t="str">
        <f>"002777"</f>
        <v>002777</v>
      </c>
      <c r="C2246" t="s">
        <v>4829</v>
      </c>
      <c r="D2246" t="s">
        <v>1189</v>
      </c>
      <c r="F2246">
        <v>202423222</v>
      </c>
      <c r="G2246">
        <v>207671998</v>
      </c>
      <c r="H2246">
        <v>170688673</v>
      </c>
      <c r="I2246">
        <v>220735744</v>
      </c>
      <c r="J2246">
        <v>139076411</v>
      </c>
      <c r="K2246">
        <v>78553399</v>
      </c>
      <c r="L2246">
        <v>94910160</v>
      </c>
      <c r="M2246">
        <v>88960143</v>
      </c>
      <c r="N2246">
        <v>72540058</v>
      </c>
      <c r="O2246">
        <v>55778935</v>
      </c>
      <c r="P2246">
        <v>372</v>
      </c>
      <c r="Q2246" t="s">
        <v>4830</v>
      </c>
    </row>
    <row r="2247" spans="1:17" x14ac:dyDescent="0.3">
      <c r="A2247" t="s">
        <v>59</v>
      </c>
      <c r="B2247" t="str">
        <f>"002448"</f>
        <v>002448</v>
      </c>
      <c r="C2247" t="s">
        <v>4831</v>
      </c>
      <c r="D2247" t="s">
        <v>156</v>
      </c>
      <c r="F2247">
        <v>232072580</v>
      </c>
      <c r="G2247">
        <v>123399119</v>
      </c>
      <c r="H2247">
        <v>170338580</v>
      </c>
      <c r="I2247">
        <v>105553347</v>
      </c>
      <c r="J2247">
        <v>239504223</v>
      </c>
      <c r="K2247">
        <v>240169140</v>
      </c>
      <c r="L2247">
        <v>128030938</v>
      </c>
      <c r="M2247">
        <v>169238421</v>
      </c>
      <c r="N2247">
        <v>249296425</v>
      </c>
      <c r="O2247">
        <v>202134335</v>
      </c>
      <c r="P2247">
        <v>194</v>
      </c>
      <c r="Q2247" t="s">
        <v>4832</v>
      </c>
    </row>
    <row r="2248" spans="1:17" x14ac:dyDescent="0.3">
      <c r="A2248" t="s">
        <v>59</v>
      </c>
      <c r="B2248" t="str">
        <f>"002967"</f>
        <v>002967</v>
      </c>
      <c r="C2248" t="s">
        <v>4833</v>
      </c>
      <c r="D2248" t="s">
        <v>2028</v>
      </c>
      <c r="F2248">
        <v>498712217</v>
      </c>
      <c r="G2248">
        <v>419724240</v>
      </c>
      <c r="H2248">
        <v>170280359</v>
      </c>
      <c r="I2248">
        <v>136234918</v>
      </c>
      <c r="J2248">
        <v>110843160</v>
      </c>
      <c r="K2248">
        <v>86658981</v>
      </c>
      <c r="P2248">
        <v>236</v>
      </c>
      <c r="Q2248" t="s">
        <v>4834</v>
      </c>
    </row>
    <row r="2249" spans="1:17" x14ac:dyDescent="0.3">
      <c r="A2249" t="s">
        <v>59</v>
      </c>
      <c r="B2249" t="str">
        <f>"002947"</f>
        <v>002947</v>
      </c>
      <c r="C2249" t="s">
        <v>4835</v>
      </c>
      <c r="D2249" t="s">
        <v>349</v>
      </c>
      <c r="F2249">
        <v>-44800538</v>
      </c>
      <c r="G2249">
        <v>142958182</v>
      </c>
      <c r="H2249">
        <v>170185126</v>
      </c>
      <c r="I2249">
        <v>131206677</v>
      </c>
      <c r="J2249">
        <v>92268183</v>
      </c>
      <c r="K2249">
        <v>6312562</v>
      </c>
      <c r="L2249">
        <v>95998572</v>
      </c>
      <c r="P2249">
        <v>266</v>
      </c>
      <c r="Q2249" t="s">
        <v>4836</v>
      </c>
    </row>
    <row r="2250" spans="1:17" x14ac:dyDescent="0.3">
      <c r="A2250" t="s">
        <v>17</v>
      </c>
      <c r="B2250" t="str">
        <f>"603390"</f>
        <v>603390</v>
      </c>
      <c r="C2250" t="s">
        <v>4837</v>
      </c>
      <c r="D2250" t="s">
        <v>575</v>
      </c>
      <c r="F2250">
        <v>34427977</v>
      </c>
      <c r="G2250">
        <v>-90380282</v>
      </c>
      <c r="H2250">
        <v>170049555</v>
      </c>
      <c r="I2250">
        <v>107956992</v>
      </c>
      <c r="J2250">
        <v>82238668</v>
      </c>
      <c r="K2250">
        <v>36945547</v>
      </c>
      <c r="P2250">
        <v>89</v>
      </c>
      <c r="Q2250" t="s">
        <v>4838</v>
      </c>
    </row>
    <row r="2251" spans="1:17" x14ac:dyDescent="0.3">
      <c r="A2251" t="s">
        <v>59</v>
      </c>
      <c r="B2251" t="str">
        <f>"300164"</f>
        <v>300164</v>
      </c>
      <c r="C2251" t="s">
        <v>4839</v>
      </c>
      <c r="D2251" t="s">
        <v>3536</v>
      </c>
      <c r="F2251">
        <v>81445689</v>
      </c>
      <c r="G2251">
        <v>3992645</v>
      </c>
      <c r="H2251">
        <v>170005662</v>
      </c>
      <c r="I2251">
        <v>201884717</v>
      </c>
      <c r="J2251">
        <v>13134159</v>
      </c>
      <c r="K2251">
        <v>-15405247</v>
      </c>
      <c r="L2251">
        <v>197633293</v>
      </c>
      <c r="M2251">
        <v>-39731431</v>
      </c>
      <c r="N2251">
        <v>-82442507</v>
      </c>
      <c r="O2251">
        <v>16832042</v>
      </c>
      <c r="P2251">
        <v>82</v>
      </c>
      <c r="Q2251" t="s">
        <v>4840</v>
      </c>
    </row>
    <row r="2252" spans="1:17" x14ac:dyDescent="0.3">
      <c r="A2252" t="s">
        <v>17</v>
      </c>
      <c r="B2252" t="str">
        <f>"605288"</f>
        <v>605288</v>
      </c>
      <c r="C2252" t="s">
        <v>4841</v>
      </c>
      <c r="D2252" t="s">
        <v>1426</v>
      </c>
      <c r="F2252">
        <v>-43373797</v>
      </c>
      <c r="G2252">
        <v>57936837</v>
      </c>
      <c r="H2252">
        <v>169866302</v>
      </c>
      <c r="I2252">
        <v>287198675</v>
      </c>
      <c r="J2252">
        <v>108723143</v>
      </c>
      <c r="P2252">
        <v>86</v>
      </c>
      <c r="Q2252" t="s">
        <v>4842</v>
      </c>
    </row>
    <row r="2253" spans="1:17" x14ac:dyDescent="0.3">
      <c r="A2253" t="s">
        <v>59</v>
      </c>
      <c r="B2253" t="str">
        <f>"300341"</f>
        <v>300341</v>
      </c>
      <c r="C2253" t="s">
        <v>4843</v>
      </c>
      <c r="D2253" t="s">
        <v>560</v>
      </c>
      <c r="F2253">
        <v>234367770</v>
      </c>
      <c r="G2253">
        <v>170335328</v>
      </c>
      <c r="H2253">
        <v>169844754</v>
      </c>
      <c r="I2253">
        <v>154965204</v>
      </c>
      <c r="J2253">
        <v>161469559</v>
      </c>
      <c r="K2253">
        <v>112991329</v>
      </c>
      <c r="L2253">
        <v>122988100</v>
      </c>
      <c r="M2253">
        <v>37494660</v>
      </c>
      <c r="N2253">
        <v>36734528</v>
      </c>
      <c r="O2253">
        <v>38395213</v>
      </c>
      <c r="P2253">
        <v>142</v>
      </c>
      <c r="Q2253" t="s">
        <v>4844</v>
      </c>
    </row>
    <row r="2254" spans="1:17" x14ac:dyDescent="0.3">
      <c r="A2254" t="s">
        <v>59</v>
      </c>
      <c r="B2254" t="str">
        <f>"300684"</f>
        <v>300684</v>
      </c>
      <c r="C2254" t="s">
        <v>4845</v>
      </c>
      <c r="D2254" t="s">
        <v>349</v>
      </c>
      <c r="F2254">
        <v>158457485</v>
      </c>
      <c r="G2254">
        <v>154802420</v>
      </c>
      <c r="H2254">
        <v>169220891</v>
      </c>
      <c r="I2254">
        <v>185242490</v>
      </c>
      <c r="J2254">
        <v>-38908322</v>
      </c>
      <c r="K2254">
        <v>44949812</v>
      </c>
      <c r="L2254">
        <v>15175313</v>
      </c>
      <c r="M2254">
        <v>86816901</v>
      </c>
      <c r="P2254">
        <v>348</v>
      </c>
      <c r="Q2254" t="s">
        <v>4846</v>
      </c>
    </row>
    <row r="2255" spans="1:17" x14ac:dyDescent="0.3">
      <c r="A2255" t="s">
        <v>17</v>
      </c>
      <c r="B2255" t="str">
        <f>"600831"</f>
        <v>600831</v>
      </c>
      <c r="C2255" t="s">
        <v>4847</v>
      </c>
      <c r="D2255" t="s">
        <v>775</v>
      </c>
      <c r="F2255">
        <v>120077790</v>
      </c>
      <c r="G2255">
        <v>211693206</v>
      </c>
      <c r="H2255">
        <v>169102507</v>
      </c>
      <c r="I2255">
        <v>553349598</v>
      </c>
      <c r="J2255">
        <v>665099836</v>
      </c>
      <c r="K2255">
        <v>653714398</v>
      </c>
      <c r="L2255">
        <v>709191181</v>
      </c>
      <c r="M2255">
        <v>799507182</v>
      </c>
      <c r="N2255">
        <v>828673924</v>
      </c>
      <c r="O2255">
        <v>775679979</v>
      </c>
      <c r="P2255">
        <v>199</v>
      </c>
      <c r="Q2255" t="s">
        <v>4848</v>
      </c>
    </row>
    <row r="2256" spans="1:17" x14ac:dyDescent="0.3">
      <c r="A2256" t="s">
        <v>59</v>
      </c>
      <c r="B2256" t="str">
        <f>"000700"</f>
        <v>000700</v>
      </c>
      <c r="C2256" t="s">
        <v>4849</v>
      </c>
      <c r="D2256" t="s">
        <v>289</v>
      </c>
      <c r="F2256">
        <v>419597352</v>
      </c>
      <c r="G2256">
        <v>249575704</v>
      </c>
      <c r="H2256">
        <v>168816495</v>
      </c>
      <c r="I2256">
        <v>-14652886</v>
      </c>
      <c r="J2256">
        <v>76141929</v>
      </c>
      <c r="K2256">
        <v>312205636</v>
      </c>
      <c r="L2256">
        <v>260624344</v>
      </c>
      <c r="M2256">
        <v>384945047</v>
      </c>
      <c r="N2256">
        <v>458402641</v>
      </c>
      <c r="O2256">
        <v>310918094</v>
      </c>
      <c r="P2256">
        <v>259</v>
      </c>
      <c r="Q2256" t="s">
        <v>4850</v>
      </c>
    </row>
    <row r="2257" spans="1:17" x14ac:dyDescent="0.3">
      <c r="A2257" t="s">
        <v>59</v>
      </c>
      <c r="B2257" t="str">
        <f>"000801"</f>
        <v>000801</v>
      </c>
      <c r="C2257" t="s">
        <v>4851</v>
      </c>
      <c r="D2257" t="s">
        <v>3070</v>
      </c>
      <c r="F2257">
        <v>324812567</v>
      </c>
      <c r="G2257">
        <v>362044455</v>
      </c>
      <c r="H2257">
        <v>168420853</v>
      </c>
      <c r="I2257">
        <v>79904104</v>
      </c>
      <c r="J2257">
        <v>-172985823</v>
      </c>
      <c r="K2257">
        <v>64100621</v>
      </c>
      <c r="L2257">
        <v>164356287</v>
      </c>
      <c r="M2257">
        <v>85056937</v>
      </c>
      <c r="N2257">
        <v>44545270</v>
      </c>
      <c r="O2257">
        <v>-163062710</v>
      </c>
      <c r="P2257">
        <v>218</v>
      </c>
      <c r="Q2257" t="s">
        <v>4852</v>
      </c>
    </row>
    <row r="2258" spans="1:17" x14ac:dyDescent="0.3">
      <c r="A2258" t="s">
        <v>59</v>
      </c>
      <c r="B2258" t="str">
        <f>"300306"</f>
        <v>300306</v>
      </c>
      <c r="C2258" t="s">
        <v>4853</v>
      </c>
      <c r="D2258" t="s">
        <v>2382</v>
      </c>
      <c r="F2258">
        <v>89906436</v>
      </c>
      <c r="G2258">
        <v>116582206</v>
      </c>
      <c r="H2258">
        <v>168412518</v>
      </c>
      <c r="I2258">
        <v>73558940</v>
      </c>
      <c r="J2258">
        <v>84638322</v>
      </c>
      <c r="K2258">
        <v>101361464</v>
      </c>
      <c r="L2258">
        <v>76628461</v>
      </c>
      <c r="M2258">
        <v>91733241</v>
      </c>
      <c r="N2258">
        <v>103371987</v>
      </c>
      <c r="O2258">
        <v>71403323</v>
      </c>
      <c r="P2258">
        <v>169</v>
      </c>
      <c r="Q2258" t="s">
        <v>4854</v>
      </c>
    </row>
    <row r="2259" spans="1:17" x14ac:dyDescent="0.3">
      <c r="A2259" t="s">
        <v>17</v>
      </c>
      <c r="B2259" t="str">
        <f>"688222"</f>
        <v>688222</v>
      </c>
      <c r="C2259" t="s">
        <v>4855</v>
      </c>
      <c r="D2259" t="s">
        <v>751</v>
      </c>
      <c r="F2259">
        <v>43496009</v>
      </c>
      <c r="G2259">
        <v>1585475</v>
      </c>
      <c r="H2259">
        <v>168250744</v>
      </c>
      <c r="I2259">
        <v>50695782</v>
      </c>
      <c r="J2259">
        <v>-1812108</v>
      </c>
      <c r="K2259">
        <v>-9243093</v>
      </c>
      <c r="P2259">
        <v>128</v>
      </c>
      <c r="Q2259" t="s">
        <v>4856</v>
      </c>
    </row>
    <row r="2260" spans="1:17" x14ac:dyDescent="0.3">
      <c r="A2260" t="s">
        <v>59</v>
      </c>
      <c r="B2260" t="str">
        <f>"002707"</f>
        <v>002707</v>
      </c>
      <c r="C2260" t="s">
        <v>4857</v>
      </c>
      <c r="D2260" t="s">
        <v>3549</v>
      </c>
      <c r="F2260">
        <v>-257420896</v>
      </c>
      <c r="G2260">
        <v>177102411</v>
      </c>
      <c r="H2260">
        <v>168160233</v>
      </c>
      <c r="I2260">
        <v>-2514695</v>
      </c>
      <c r="J2260">
        <v>192938477</v>
      </c>
      <c r="K2260">
        <v>50387660</v>
      </c>
      <c r="L2260">
        <v>12507458</v>
      </c>
      <c r="M2260">
        <v>69455632</v>
      </c>
      <c r="N2260">
        <v>68231045</v>
      </c>
      <c r="O2260">
        <v>62513823</v>
      </c>
      <c r="P2260">
        <v>295</v>
      </c>
      <c r="Q2260" t="s">
        <v>4858</v>
      </c>
    </row>
    <row r="2261" spans="1:17" x14ac:dyDescent="0.3">
      <c r="A2261" t="s">
        <v>59</v>
      </c>
      <c r="B2261" t="str">
        <f>"300955"</f>
        <v>300955</v>
      </c>
      <c r="C2261" t="s">
        <v>4859</v>
      </c>
      <c r="D2261" t="s">
        <v>2271</v>
      </c>
      <c r="F2261">
        <v>99936854</v>
      </c>
      <c r="G2261">
        <v>75484675</v>
      </c>
      <c r="H2261">
        <v>168135642</v>
      </c>
      <c r="I2261">
        <v>40445624</v>
      </c>
      <c r="J2261">
        <v>58234611</v>
      </c>
      <c r="P2261">
        <v>42</v>
      </c>
      <c r="Q2261" t="s">
        <v>4860</v>
      </c>
    </row>
    <row r="2262" spans="1:17" x14ac:dyDescent="0.3">
      <c r="A2262" t="s">
        <v>59</v>
      </c>
      <c r="B2262" t="str">
        <f>"002331"</f>
        <v>002331</v>
      </c>
      <c r="C2262" t="s">
        <v>4861</v>
      </c>
      <c r="D2262" t="s">
        <v>1189</v>
      </c>
      <c r="F2262">
        <v>-78968625</v>
      </c>
      <c r="G2262">
        <v>77110840</v>
      </c>
      <c r="H2262">
        <v>168115075</v>
      </c>
      <c r="I2262">
        <v>65325002</v>
      </c>
      <c r="J2262">
        <v>29908987</v>
      </c>
      <c r="K2262">
        <v>110386023</v>
      </c>
      <c r="L2262">
        <v>123928174</v>
      </c>
      <c r="M2262">
        <v>-9092586</v>
      </c>
      <c r="N2262">
        <v>54869612</v>
      </c>
      <c r="O2262">
        <v>41002428</v>
      </c>
      <c r="P2262">
        <v>121</v>
      </c>
      <c r="Q2262" t="s">
        <v>4862</v>
      </c>
    </row>
    <row r="2263" spans="1:17" x14ac:dyDescent="0.3">
      <c r="A2263" t="s">
        <v>59</v>
      </c>
      <c r="B2263" t="str">
        <f>"002279"</f>
        <v>002279</v>
      </c>
      <c r="C2263" t="s">
        <v>4863</v>
      </c>
      <c r="D2263" t="s">
        <v>789</v>
      </c>
      <c r="F2263">
        <v>202118790</v>
      </c>
      <c r="G2263">
        <v>196546348</v>
      </c>
      <c r="H2263">
        <v>168011622</v>
      </c>
      <c r="I2263">
        <v>442286465</v>
      </c>
      <c r="J2263">
        <v>127919926</v>
      </c>
      <c r="K2263">
        <v>96467348</v>
      </c>
      <c r="L2263">
        <v>173522161</v>
      </c>
      <c r="M2263">
        <v>83342997</v>
      </c>
      <c r="N2263">
        <v>72100950</v>
      </c>
      <c r="O2263">
        <v>42588216</v>
      </c>
      <c r="P2263">
        <v>323</v>
      </c>
      <c r="Q2263" t="s">
        <v>4864</v>
      </c>
    </row>
    <row r="2264" spans="1:17" x14ac:dyDescent="0.3">
      <c r="A2264" t="s">
        <v>59</v>
      </c>
      <c r="B2264" t="str">
        <f>"300833"</f>
        <v>300833</v>
      </c>
      <c r="C2264" t="s">
        <v>4865</v>
      </c>
      <c r="D2264" t="s">
        <v>1351</v>
      </c>
      <c r="F2264">
        <v>61445880</v>
      </c>
      <c r="G2264">
        <v>55752518</v>
      </c>
      <c r="H2264">
        <v>167950817</v>
      </c>
      <c r="I2264">
        <v>133385961</v>
      </c>
      <c r="J2264">
        <v>89997608</v>
      </c>
      <c r="P2264">
        <v>89</v>
      </c>
      <c r="Q2264" t="s">
        <v>4866</v>
      </c>
    </row>
    <row r="2265" spans="1:17" x14ac:dyDescent="0.3">
      <c r="A2265" t="s">
        <v>59</v>
      </c>
      <c r="B2265" t="str">
        <f>"001203"</f>
        <v>001203</v>
      </c>
      <c r="C2265" t="s">
        <v>4867</v>
      </c>
      <c r="D2265" t="s">
        <v>1705</v>
      </c>
      <c r="F2265">
        <v>1918160711</v>
      </c>
      <c r="G2265">
        <v>738638319</v>
      </c>
      <c r="H2265">
        <v>167913447</v>
      </c>
      <c r="I2265">
        <v>346171298</v>
      </c>
      <c r="J2265">
        <v>219936062</v>
      </c>
      <c r="P2265">
        <v>80</v>
      </c>
      <c r="Q2265" t="s">
        <v>4868</v>
      </c>
    </row>
    <row r="2266" spans="1:17" x14ac:dyDescent="0.3">
      <c r="A2266" t="s">
        <v>59</v>
      </c>
      <c r="B2266" t="str">
        <f>"002412"</f>
        <v>002412</v>
      </c>
      <c r="C2266" t="s">
        <v>4869</v>
      </c>
      <c r="D2266" t="s">
        <v>455</v>
      </c>
      <c r="F2266">
        <v>212536479</v>
      </c>
      <c r="G2266">
        <v>163505166</v>
      </c>
      <c r="H2266">
        <v>167788108</v>
      </c>
      <c r="I2266">
        <v>224290282</v>
      </c>
      <c r="J2266">
        <v>117841943</v>
      </c>
      <c r="K2266">
        <v>172016235</v>
      </c>
      <c r="L2266">
        <v>70135820</v>
      </c>
      <c r="M2266">
        <v>92280170</v>
      </c>
      <c r="N2266">
        <v>76091512</v>
      </c>
      <c r="O2266">
        <v>100226721</v>
      </c>
      <c r="P2266">
        <v>155</v>
      </c>
      <c r="Q2266" t="s">
        <v>4870</v>
      </c>
    </row>
    <row r="2267" spans="1:17" x14ac:dyDescent="0.3">
      <c r="A2267" t="s">
        <v>17</v>
      </c>
      <c r="B2267" t="str">
        <f>"600400"</f>
        <v>600400</v>
      </c>
      <c r="C2267" t="s">
        <v>4871</v>
      </c>
      <c r="D2267" t="s">
        <v>646</v>
      </c>
      <c r="F2267">
        <v>2602494</v>
      </c>
      <c r="G2267">
        <v>243108775</v>
      </c>
      <c r="H2267">
        <v>167733807</v>
      </c>
      <c r="I2267">
        <v>-35959439</v>
      </c>
      <c r="J2267">
        <v>-1422691115</v>
      </c>
      <c r="K2267">
        <v>-1071895355</v>
      </c>
      <c r="L2267">
        <v>837471816</v>
      </c>
      <c r="M2267">
        <v>688638498</v>
      </c>
      <c r="N2267">
        <v>806122945</v>
      </c>
      <c r="O2267">
        <v>221585427</v>
      </c>
      <c r="P2267">
        <v>165</v>
      </c>
      <c r="Q2267" t="s">
        <v>4872</v>
      </c>
    </row>
    <row r="2268" spans="1:17" x14ac:dyDescent="0.3">
      <c r="A2268" t="s">
        <v>17</v>
      </c>
      <c r="B2268" t="str">
        <f>"600387"</f>
        <v>600387</v>
      </c>
      <c r="C2268" t="s">
        <v>4873</v>
      </c>
      <c r="D2268" t="s">
        <v>553</v>
      </c>
      <c r="F2268">
        <v>518530308</v>
      </c>
      <c r="G2268">
        <v>-398547577</v>
      </c>
      <c r="H2268">
        <v>167729072</v>
      </c>
      <c r="I2268">
        <v>791358147</v>
      </c>
      <c r="J2268">
        <v>552275127</v>
      </c>
      <c r="K2268">
        <v>1138397961</v>
      </c>
      <c r="L2268">
        <v>255667602</v>
      </c>
      <c r="M2268">
        <v>-123345375</v>
      </c>
      <c r="N2268">
        <v>-190659720</v>
      </c>
      <c r="O2268">
        <v>87252442</v>
      </c>
      <c r="P2268">
        <v>116</v>
      </c>
      <c r="Q2268" t="s">
        <v>4874</v>
      </c>
    </row>
    <row r="2269" spans="1:17" x14ac:dyDescent="0.3">
      <c r="A2269" t="s">
        <v>59</v>
      </c>
      <c r="B2269" t="str">
        <f>"300453"</f>
        <v>300453</v>
      </c>
      <c r="C2269" t="s">
        <v>4875</v>
      </c>
      <c r="D2269" t="s">
        <v>1036</v>
      </c>
      <c r="F2269">
        <v>329716957</v>
      </c>
      <c r="G2269">
        <v>272895487</v>
      </c>
      <c r="H2269">
        <v>167355014</v>
      </c>
      <c r="I2269">
        <v>58886773</v>
      </c>
      <c r="J2269">
        <v>62262101</v>
      </c>
      <c r="K2269">
        <v>61303421</v>
      </c>
      <c r="L2269">
        <v>62880191</v>
      </c>
      <c r="M2269">
        <v>68896531</v>
      </c>
      <c r="N2269">
        <v>31456756</v>
      </c>
      <c r="O2269">
        <v>43328058</v>
      </c>
      <c r="P2269">
        <v>226</v>
      </c>
      <c r="Q2269" t="s">
        <v>4876</v>
      </c>
    </row>
    <row r="2270" spans="1:17" x14ac:dyDescent="0.3">
      <c r="A2270" t="s">
        <v>59</v>
      </c>
      <c r="B2270" t="str">
        <f>"301042"</f>
        <v>301042</v>
      </c>
      <c r="C2270" t="s">
        <v>4877</v>
      </c>
      <c r="D2270" t="s">
        <v>344</v>
      </c>
      <c r="F2270">
        <v>31751658</v>
      </c>
      <c r="G2270">
        <v>7000822</v>
      </c>
      <c r="H2270">
        <v>166852774</v>
      </c>
      <c r="I2270">
        <v>34077995</v>
      </c>
      <c r="J2270">
        <v>78640416</v>
      </c>
      <c r="K2270">
        <v>36442866</v>
      </c>
      <c r="P2270">
        <v>14</v>
      </c>
      <c r="Q2270" t="s">
        <v>4878</v>
      </c>
    </row>
    <row r="2271" spans="1:17" x14ac:dyDescent="0.3">
      <c r="A2271" t="s">
        <v>59</v>
      </c>
      <c r="B2271" t="str">
        <f>"002360"</f>
        <v>002360</v>
      </c>
      <c r="C2271" t="s">
        <v>4879</v>
      </c>
      <c r="D2271" t="s">
        <v>1986</v>
      </c>
      <c r="F2271">
        <v>112350689</v>
      </c>
      <c r="G2271">
        <v>204830938</v>
      </c>
      <c r="H2271">
        <v>166728091</v>
      </c>
      <c r="I2271">
        <v>203661619</v>
      </c>
      <c r="J2271">
        <v>155075104</v>
      </c>
      <c r="K2271">
        <v>149819426</v>
      </c>
      <c r="L2271">
        <v>107703990</v>
      </c>
      <c r="M2271">
        <v>245326244</v>
      </c>
      <c r="N2271">
        <v>203599431</v>
      </c>
      <c r="O2271">
        <v>105395910</v>
      </c>
      <c r="P2271">
        <v>111</v>
      </c>
      <c r="Q2271" t="s">
        <v>4880</v>
      </c>
    </row>
    <row r="2272" spans="1:17" x14ac:dyDescent="0.3">
      <c r="A2272" t="s">
        <v>59</v>
      </c>
      <c r="B2272" t="str">
        <f>"300168"</f>
        <v>300168</v>
      </c>
      <c r="C2272" t="s">
        <v>4881</v>
      </c>
      <c r="D2272" t="s">
        <v>1189</v>
      </c>
      <c r="F2272">
        <v>63987419</v>
      </c>
      <c r="G2272">
        <v>257541355</v>
      </c>
      <c r="H2272">
        <v>166675057</v>
      </c>
      <c r="I2272">
        <v>72256131</v>
      </c>
      <c r="J2272">
        <v>-234039911</v>
      </c>
      <c r="K2272">
        <v>115167031</v>
      </c>
      <c r="L2272">
        <v>12495205</v>
      </c>
      <c r="M2272">
        <v>-100319321</v>
      </c>
      <c r="N2272">
        <v>11729018</v>
      </c>
      <c r="O2272">
        <v>60969984</v>
      </c>
      <c r="P2272">
        <v>368</v>
      </c>
      <c r="Q2272" t="s">
        <v>4882</v>
      </c>
    </row>
    <row r="2273" spans="1:17" x14ac:dyDescent="0.3">
      <c r="A2273" t="s">
        <v>17</v>
      </c>
      <c r="B2273" t="str">
        <f>"603901"</f>
        <v>603901</v>
      </c>
      <c r="C2273" t="s">
        <v>4883</v>
      </c>
      <c r="D2273" t="s">
        <v>3768</v>
      </c>
      <c r="F2273">
        <v>283956988</v>
      </c>
      <c r="G2273">
        <v>344364024</v>
      </c>
      <c r="H2273">
        <v>166603115</v>
      </c>
      <c r="I2273">
        <v>78258394</v>
      </c>
      <c r="J2273">
        <v>56136686</v>
      </c>
      <c r="K2273">
        <v>84982707</v>
      </c>
      <c r="L2273">
        <v>-6587904</v>
      </c>
      <c r="M2273">
        <v>55992145</v>
      </c>
      <c r="N2273">
        <v>47749674</v>
      </c>
      <c r="O2273">
        <v>50136896</v>
      </c>
      <c r="P2273">
        <v>140</v>
      </c>
      <c r="Q2273" t="s">
        <v>4884</v>
      </c>
    </row>
    <row r="2274" spans="1:17" x14ac:dyDescent="0.3">
      <c r="A2274" t="s">
        <v>17</v>
      </c>
      <c r="B2274" t="str">
        <f>"605088"</f>
        <v>605088</v>
      </c>
      <c r="C2274" t="s">
        <v>4885</v>
      </c>
      <c r="D2274" t="s">
        <v>156</v>
      </c>
      <c r="F2274">
        <v>36933017</v>
      </c>
      <c r="G2274">
        <v>218721330</v>
      </c>
      <c r="H2274">
        <v>166344496</v>
      </c>
      <c r="I2274">
        <v>152938524</v>
      </c>
      <c r="J2274">
        <v>72894414</v>
      </c>
      <c r="P2274">
        <v>47</v>
      </c>
      <c r="Q2274" t="s">
        <v>4886</v>
      </c>
    </row>
    <row r="2275" spans="1:17" x14ac:dyDescent="0.3">
      <c r="A2275" t="s">
        <v>59</v>
      </c>
      <c r="B2275" t="str">
        <f>"300201"</f>
        <v>300201</v>
      </c>
      <c r="C2275" t="s">
        <v>4887</v>
      </c>
      <c r="D2275" t="s">
        <v>235</v>
      </c>
      <c r="F2275">
        <v>-26567602</v>
      </c>
      <c r="G2275">
        <v>700722262</v>
      </c>
      <c r="H2275">
        <v>166163262</v>
      </c>
      <c r="I2275">
        <v>135970917</v>
      </c>
      <c r="J2275">
        <v>-13310908</v>
      </c>
      <c r="K2275">
        <v>-70683412</v>
      </c>
      <c r="L2275">
        <v>89405633</v>
      </c>
      <c r="M2275">
        <v>35238642</v>
      </c>
      <c r="N2275">
        <v>-48894713</v>
      </c>
      <c r="O2275">
        <v>-47213589</v>
      </c>
      <c r="P2275">
        <v>77</v>
      </c>
      <c r="Q2275" t="s">
        <v>4888</v>
      </c>
    </row>
    <row r="2276" spans="1:17" x14ac:dyDescent="0.3">
      <c r="A2276" t="s">
        <v>59</v>
      </c>
      <c r="B2276" t="str">
        <f>"000971"</f>
        <v>000971</v>
      </c>
      <c r="C2276" t="s">
        <v>4889</v>
      </c>
      <c r="D2276" t="s">
        <v>4468</v>
      </c>
      <c r="F2276">
        <v>-190265666</v>
      </c>
      <c r="G2276">
        <v>-69710330</v>
      </c>
      <c r="H2276">
        <v>166071996</v>
      </c>
      <c r="I2276">
        <v>15841547</v>
      </c>
      <c r="J2276">
        <v>180998507</v>
      </c>
      <c r="K2276">
        <v>59714888</v>
      </c>
      <c r="L2276">
        <v>-2849886</v>
      </c>
      <c r="M2276">
        <v>-27467307</v>
      </c>
      <c r="N2276">
        <v>1639159</v>
      </c>
      <c r="O2276">
        <v>-58884214</v>
      </c>
      <c r="P2276">
        <v>74</v>
      </c>
      <c r="Q2276" t="s">
        <v>4890</v>
      </c>
    </row>
    <row r="2277" spans="1:17" x14ac:dyDescent="0.3">
      <c r="A2277" t="s">
        <v>17</v>
      </c>
      <c r="B2277" t="str">
        <f>"600495"</f>
        <v>600495</v>
      </c>
      <c r="C2277" t="s">
        <v>4891</v>
      </c>
      <c r="D2277" t="s">
        <v>165</v>
      </c>
      <c r="F2277">
        <v>83786195</v>
      </c>
      <c r="G2277">
        <v>114853368</v>
      </c>
      <c r="H2277">
        <v>166058758</v>
      </c>
      <c r="I2277">
        <v>248311166</v>
      </c>
      <c r="J2277">
        <v>201730634</v>
      </c>
      <c r="K2277">
        <v>-135089470</v>
      </c>
      <c r="L2277">
        <v>32876849</v>
      </c>
      <c r="M2277">
        <v>97811523</v>
      </c>
      <c r="N2277">
        <v>169857543</v>
      </c>
      <c r="O2277">
        <v>-130746165</v>
      </c>
      <c r="P2277">
        <v>122</v>
      </c>
      <c r="Q2277" t="s">
        <v>4892</v>
      </c>
    </row>
    <row r="2278" spans="1:17" x14ac:dyDescent="0.3">
      <c r="A2278" t="s">
        <v>59</v>
      </c>
      <c r="B2278" t="str">
        <f>"300596"</f>
        <v>300596</v>
      </c>
      <c r="C2278" t="s">
        <v>4893</v>
      </c>
      <c r="D2278" t="s">
        <v>2104</v>
      </c>
      <c r="F2278">
        <v>312125695</v>
      </c>
      <c r="G2278">
        <v>186979247</v>
      </c>
      <c r="H2278">
        <v>165973520</v>
      </c>
      <c r="I2278">
        <v>35004145</v>
      </c>
      <c r="J2278">
        <v>31396413</v>
      </c>
      <c r="K2278">
        <v>23995644</v>
      </c>
      <c r="L2278">
        <v>80715746</v>
      </c>
      <c r="M2278">
        <v>34054009</v>
      </c>
      <c r="N2278">
        <v>17693389</v>
      </c>
      <c r="P2278">
        <v>391</v>
      </c>
      <c r="Q2278" t="s">
        <v>4894</v>
      </c>
    </row>
    <row r="2279" spans="1:17" x14ac:dyDescent="0.3">
      <c r="A2279" t="s">
        <v>59</v>
      </c>
      <c r="B2279" t="str">
        <f>"002540"</f>
        <v>002540</v>
      </c>
      <c r="C2279" t="s">
        <v>4895</v>
      </c>
      <c r="D2279" t="s">
        <v>238</v>
      </c>
      <c r="F2279">
        <v>-313067360</v>
      </c>
      <c r="G2279">
        <v>-32116681</v>
      </c>
      <c r="H2279">
        <v>165849611</v>
      </c>
      <c r="I2279">
        <v>430707154</v>
      </c>
      <c r="J2279">
        <v>-103343086</v>
      </c>
      <c r="K2279">
        <v>-104066989</v>
      </c>
      <c r="L2279">
        <v>163989637</v>
      </c>
      <c r="M2279">
        <v>88276680</v>
      </c>
      <c r="N2279">
        <v>48472321</v>
      </c>
      <c r="O2279">
        <v>-52150040</v>
      </c>
      <c r="P2279">
        <v>161</v>
      </c>
      <c r="Q2279" t="s">
        <v>4896</v>
      </c>
    </row>
    <row r="2280" spans="1:17" x14ac:dyDescent="0.3">
      <c r="A2280" t="s">
        <v>59</v>
      </c>
      <c r="B2280" t="str">
        <f>"301046"</f>
        <v>301046</v>
      </c>
      <c r="C2280" t="s">
        <v>4897</v>
      </c>
      <c r="D2280" t="s">
        <v>199</v>
      </c>
      <c r="F2280">
        <v>21817283</v>
      </c>
      <c r="G2280">
        <v>67573020</v>
      </c>
      <c r="H2280">
        <v>165732921</v>
      </c>
      <c r="I2280">
        <v>-22972353</v>
      </c>
      <c r="J2280">
        <v>-11207990</v>
      </c>
      <c r="P2280">
        <v>33</v>
      </c>
      <c r="Q2280" t="s">
        <v>4898</v>
      </c>
    </row>
    <row r="2281" spans="1:17" x14ac:dyDescent="0.3">
      <c r="A2281" t="s">
        <v>59</v>
      </c>
      <c r="B2281" t="str">
        <f>"300338"</f>
        <v>300338</v>
      </c>
      <c r="C2281" t="s">
        <v>4899</v>
      </c>
      <c r="D2281" t="s">
        <v>871</v>
      </c>
      <c r="F2281">
        <v>-7366539</v>
      </c>
      <c r="G2281">
        <v>-76168640</v>
      </c>
      <c r="H2281">
        <v>165559031</v>
      </c>
      <c r="I2281">
        <v>306044814</v>
      </c>
      <c r="J2281">
        <v>341745442</v>
      </c>
      <c r="K2281">
        <v>33415724</v>
      </c>
      <c r="L2281">
        <v>-21061144</v>
      </c>
      <c r="M2281">
        <v>36134926</v>
      </c>
      <c r="N2281">
        <v>27080701</v>
      </c>
      <c r="O2281">
        <v>-6116257</v>
      </c>
      <c r="P2281">
        <v>118</v>
      </c>
      <c r="Q2281" t="s">
        <v>4900</v>
      </c>
    </row>
    <row r="2282" spans="1:17" x14ac:dyDescent="0.3">
      <c r="A2282" t="s">
        <v>59</v>
      </c>
      <c r="B2282" t="str">
        <f>"000616"</f>
        <v>000616</v>
      </c>
      <c r="C2282" t="s">
        <v>4901</v>
      </c>
      <c r="D2282" t="s">
        <v>61</v>
      </c>
      <c r="F2282">
        <v>49737816</v>
      </c>
      <c r="G2282">
        <v>-63830455</v>
      </c>
      <c r="H2282">
        <v>165401460</v>
      </c>
      <c r="I2282">
        <v>681004808</v>
      </c>
      <c r="J2282">
        <v>7155391</v>
      </c>
      <c r="K2282">
        <v>46003191</v>
      </c>
      <c r="L2282">
        <v>275600930</v>
      </c>
      <c r="M2282">
        <v>-22176751</v>
      </c>
      <c r="N2282">
        <v>-1865188792</v>
      </c>
      <c r="O2282">
        <v>1214712919</v>
      </c>
      <c r="P2282">
        <v>140</v>
      </c>
      <c r="Q2282" t="s">
        <v>4902</v>
      </c>
    </row>
    <row r="2283" spans="1:17" x14ac:dyDescent="0.3">
      <c r="A2283" t="s">
        <v>17</v>
      </c>
      <c r="B2283" t="str">
        <f>"600114"</f>
        <v>600114</v>
      </c>
      <c r="C2283" t="s">
        <v>4903</v>
      </c>
      <c r="D2283" t="s">
        <v>637</v>
      </c>
      <c r="F2283">
        <v>268304871</v>
      </c>
      <c r="G2283">
        <v>127758997</v>
      </c>
      <c r="H2283">
        <v>165047685</v>
      </c>
      <c r="I2283">
        <v>276558509</v>
      </c>
      <c r="J2283">
        <v>181475955</v>
      </c>
      <c r="K2283">
        <v>305323554</v>
      </c>
      <c r="L2283">
        <v>184806088</v>
      </c>
      <c r="M2283">
        <v>197467120</v>
      </c>
      <c r="N2283">
        <v>224202611</v>
      </c>
      <c r="O2283">
        <v>181949566</v>
      </c>
      <c r="P2283">
        <v>302</v>
      </c>
      <c r="Q2283" t="s">
        <v>4904</v>
      </c>
    </row>
    <row r="2284" spans="1:17" x14ac:dyDescent="0.3">
      <c r="A2284" t="s">
        <v>17</v>
      </c>
      <c r="B2284" t="str">
        <f>"600517"</f>
        <v>600517</v>
      </c>
      <c r="C2284" t="s">
        <v>4905</v>
      </c>
      <c r="D2284" t="s">
        <v>560</v>
      </c>
      <c r="F2284">
        <v>761481738</v>
      </c>
      <c r="G2284">
        <v>-195512120</v>
      </c>
      <c r="H2284">
        <v>164910213</v>
      </c>
      <c r="I2284">
        <v>138525664</v>
      </c>
      <c r="J2284">
        <v>-757728627</v>
      </c>
      <c r="K2284">
        <v>1272224485</v>
      </c>
      <c r="L2284">
        <v>170954456</v>
      </c>
      <c r="M2284">
        <v>41436735</v>
      </c>
      <c r="N2284">
        <v>79078786</v>
      </c>
      <c r="O2284">
        <v>284125428</v>
      </c>
      <c r="P2284">
        <v>246</v>
      </c>
      <c r="Q2284" t="s">
        <v>4906</v>
      </c>
    </row>
    <row r="2285" spans="1:17" x14ac:dyDescent="0.3">
      <c r="A2285" t="s">
        <v>59</v>
      </c>
      <c r="B2285" t="str">
        <f>"300002"</f>
        <v>300002</v>
      </c>
      <c r="C2285" t="s">
        <v>4907</v>
      </c>
      <c r="D2285" t="s">
        <v>689</v>
      </c>
      <c r="F2285">
        <v>410600412</v>
      </c>
      <c r="G2285">
        <v>641503701</v>
      </c>
      <c r="H2285">
        <v>164886281</v>
      </c>
      <c r="I2285">
        <v>272148201</v>
      </c>
      <c r="J2285">
        <v>540664802</v>
      </c>
      <c r="K2285">
        <v>91291378</v>
      </c>
      <c r="L2285">
        <v>64239463</v>
      </c>
      <c r="M2285">
        <v>349523109</v>
      </c>
      <c r="N2285">
        <v>363194583</v>
      </c>
      <c r="O2285">
        <v>229043975</v>
      </c>
      <c r="P2285">
        <v>282</v>
      </c>
      <c r="Q2285" t="s">
        <v>4908</v>
      </c>
    </row>
    <row r="2286" spans="1:17" x14ac:dyDescent="0.3">
      <c r="A2286" t="s">
        <v>59</v>
      </c>
      <c r="B2286" t="str">
        <f>"300322"</f>
        <v>300322</v>
      </c>
      <c r="C2286" t="s">
        <v>4909</v>
      </c>
      <c r="D2286" t="s">
        <v>349</v>
      </c>
      <c r="F2286">
        <v>-62215469</v>
      </c>
      <c r="G2286">
        <v>85256424</v>
      </c>
      <c r="H2286">
        <v>164714163</v>
      </c>
      <c r="I2286">
        <v>395149916</v>
      </c>
      <c r="J2286">
        <v>44389582</v>
      </c>
      <c r="K2286">
        <v>6415849</v>
      </c>
      <c r="L2286">
        <v>-30605880</v>
      </c>
      <c r="M2286">
        <v>11360980</v>
      </c>
      <c r="N2286">
        <v>18768077</v>
      </c>
      <c r="O2286">
        <v>14499095</v>
      </c>
      <c r="P2286">
        <v>387</v>
      </c>
      <c r="Q2286" t="s">
        <v>4910</v>
      </c>
    </row>
    <row r="2287" spans="1:17" x14ac:dyDescent="0.3">
      <c r="A2287" t="s">
        <v>59</v>
      </c>
      <c r="B2287" t="str">
        <f>"002546"</f>
        <v>002546</v>
      </c>
      <c r="C2287" t="s">
        <v>4911</v>
      </c>
      <c r="D2287" t="s">
        <v>1828</v>
      </c>
      <c r="F2287">
        <v>28051391</v>
      </c>
      <c r="G2287">
        <v>150134074</v>
      </c>
      <c r="H2287">
        <v>164670334</v>
      </c>
      <c r="I2287">
        <v>151402934</v>
      </c>
      <c r="J2287">
        <v>199427852</v>
      </c>
      <c r="K2287">
        <v>101943043</v>
      </c>
      <c r="L2287">
        <v>128975263</v>
      </c>
      <c r="M2287">
        <v>103051710</v>
      </c>
      <c r="N2287">
        <v>206101604</v>
      </c>
      <c r="O2287">
        <v>177159221</v>
      </c>
      <c r="P2287">
        <v>76</v>
      </c>
      <c r="Q2287" t="s">
        <v>4912</v>
      </c>
    </row>
    <row r="2288" spans="1:17" x14ac:dyDescent="0.3">
      <c r="A2288" t="s">
        <v>17</v>
      </c>
      <c r="B2288" t="str">
        <f>"900909"</f>
        <v>900909</v>
      </c>
      <c r="C2288" t="s">
        <v>4913</v>
      </c>
      <c r="G2288">
        <v>169842003.3608</v>
      </c>
      <c r="H2288">
        <v>164592919.90000001</v>
      </c>
      <c r="I2288">
        <v>429428972.23339999</v>
      </c>
      <c r="J2288">
        <v>552907237.93920004</v>
      </c>
      <c r="K2288">
        <v>458068139.42400002</v>
      </c>
      <c r="L2288">
        <v>602549963.09200001</v>
      </c>
      <c r="M2288">
        <v>-5542017.4731999999</v>
      </c>
      <c r="N2288">
        <v>111601551.0316</v>
      </c>
      <c r="O2288">
        <v>152669859.51899999</v>
      </c>
      <c r="P2288">
        <v>24</v>
      </c>
      <c r="Q2288" t="s">
        <v>4914</v>
      </c>
    </row>
    <row r="2289" spans="1:17" x14ac:dyDescent="0.3">
      <c r="A2289" t="s">
        <v>59</v>
      </c>
      <c r="B2289" t="str">
        <f>"000608"</f>
        <v>000608</v>
      </c>
      <c r="C2289" t="s">
        <v>4915</v>
      </c>
      <c r="D2289" t="s">
        <v>70</v>
      </c>
      <c r="F2289">
        <v>214267234</v>
      </c>
      <c r="G2289">
        <v>372214126</v>
      </c>
      <c r="H2289">
        <v>164547000</v>
      </c>
      <c r="I2289">
        <v>-9407000</v>
      </c>
      <c r="J2289">
        <v>148489000</v>
      </c>
      <c r="K2289">
        <v>175947000</v>
      </c>
      <c r="L2289">
        <v>-15631000</v>
      </c>
      <c r="M2289">
        <v>-164531000</v>
      </c>
      <c r="N2289">
        <v>-447792000</v>
      </c>
      <c r="O2289">
        <v>-598264000</v>
      </c>
      <c r="P2289">
        <v>102</v>
      </c>
      <c r="Q2289" t="s">
        <v>4916</v>
      </c>
    </row>
    <row r="2290" spans="1:17" x14ac:dyDescent="0.3">
      <c r="A2290" t="s">
        <v>17</v>
      </c>
      <c r="B2290" t="str">
        <f>"688318"</f>
        <v>688318</v>
      </c>
      <c r="C2290" t="s">
        <v>4917</v>
      </c>
      <c r="D2290" t="s">
        <v>1528</v>
      </c>
      <c r="F2290">
        <v>245245889</v>
      </c>
      <c r="G2290">
        <v>235039565</v>
      </c>
      <c r="H2290">
        <v>164359045</v>
      </c>
      <c r="I2290">
        <v>135542907</v>
      </c>
      <c r="J2290">
        <v>135397670</v>
      </c>
      <c r="K2290">
        <v>137467944</v>
      </c>
      <c r="P2290">
        <v>155</v>
      </c>
      <c r="Q2290" t="s">
        <v>4918</v>
      </c>
    </row>
    <row r="2291" spans="1:17" x14ac:dyDescent="0.3">
      <c r="A2291" t="s">
        <v>59</v>
      </c>
      <c r="B2291" t="str">
        <f>"300384"</f>
        <v>300384</v>
      </c>
      <c r="C2291" t="s">
        <v>4919</v>
      </c>
      <c r="D2291" t="s">
        <v>482</v>
      </c>
      <c r="F2291">
        <v>155206120</v>
      </c>
      <c r="G2291">
        <v>325979608</v>
      </c>
      <c r="H2291">
        <v>164251411</v>
      </c>
      <c r="I2291">
        <v>281205981</v>
      </c>
      <c r="J2291">
        <v>24616160</v>
      </c>
      <c r="K2291">
        <v>38584682</v>
      </c>
      <c r="L2291">
        <v>-90383401</v>
      </c>
      <c r="M2291">
        <v>216276191</v>
      </c>
      <c r="N2291">
        <v>174082837</v>
      </c>
      <c r="O2291">
        <v>73629220</v>
      </c>
      <c r="P2291">
        <v>164</v>
      </c>
      <c r="Q2291" t="s">
        <v>4920</v>
      </c>
    </row>
    <row r="2292" spans="1:17" x14ac:dyDescent="0.3">
      <c r="A2292" t="s">
        <v>59</v>
      </c>
      <c r="B2292" t="str">
        <f>"000931"</f>
        <v>000931</v>
      </c>
      <c r="C2292" t="s">
        <v>4921</v>
      </c>
      <c r="D2292" t="s">
        <v>592</v>
      </c>
      <c r="F2292">
        <v>263413088</v>
      </c>
      <c r="G2292">
        <v>200200020</v>
      </c>
      <c r="H2292">
        <v>164165783</v>
      </c>
      <c r="I2292">
        <v>205222889</v>
      </c>
      <c r="J2292">
        <v>158797288</v>
      </c>
      <c r="K2292">
        <v>-32449536</v>
      </c>
      <c r="L2292">
        <v>-10945935</v>
      </c>
      <c r="M2292">
        <v>-391310674</v>
      </c>
      <c r="N2292">
        <v>497422725</v>
      </c>
      <c r="O2292">
        <v>-29676831</v>
      </c>
      <c r="P2292">
        <v>142</v>
      </c>
      <c r="Q2292" t="s">
        <v>4922</v>
      </c>
    </row>
    <row r="2293" spans="1:17" x14ac:dyDescent="0.3">
      <c r="A2293" t="s">
        <v>17</v>
      </c>
      <c r="B2293" t="str">
        <f>"603687"</f>
        <v>603687</v>
      </c>
      <c r="C2293" t="s">
        <v>4923</v>
      </c>
      <c r="D2293" t="s">
        <v>1416</v>
      </c>
      <c r="F2293">
        <v>14088245</v>
      </c>
      <c r="G2293">
        <v>164611489</v>
      </c>
      <c r="H2293">
        <v>163896756</v>
      </c>
      <c r="I2293">
        <v>180899854</v>
      </c>
      <c r="J2293">
        <v>124264919</v>
      </c>
      <c r="K2293">
        <v>130019238</v>
      </c>
      <c r="P2293">
        <v>92</v>
      </c>
      <c r="Q2293" t="s">
        <v>4924</v>
      </c>
    </row>
    <row r="2294" spans="1:17" x14ac:dyDescent="0.3">
      <c r="A2294" t="s">
        <v>59</v>
      </c>
      <c r="B2294" t="str">
        <f>"300627"</f>
        <v>300627</v>
      </c>
      <c r="C2294" t="s">
        <v>4925</v>
      </c>
      <c r="D2294" t="s">
        <v>1650</v>
      </c>
      <c r="F2294">
        <v>271452094</v>
      </c>
      <c r="G2294">
        <v>231157579</v>
      </c>
      <c r="H2294">
        <v>163871305</v>
      </c>
      <c r="I2294">
        <v>-26055001</v>
      </c>
      <c r="J2294">
        <v>79743358</v>
      </c>
      <c r="K2294">
        <v>60412436</v>
      </c>
      <c r="L2294">
        <v>56943378</v>
      </c>
      <c r="M2294">
        <v>-2929944</v>
      </c>
      <c r="P2294">
        <v>295</v>
      </c>
      <c r="Q2294" t="s">
        <v>4926</v>
      </c>
    </row>
    <row r="2295" spans="1:17" x14ac:dyDescent="0.3">
      <c r="A2295" t="s">
        <v>59</v>
      </c>
      <c r="B2295" t="str">
        <f>"002443"</f>
        <v>002443</v>
      </c>
      <c r="C2295" t="s">
        <v>4927</v>
      </c>
      <c r="D2295" t="s">
        <v>330</v>
      </c>
      <c r="F2295">
        <v>166170171</v>
      </c>
      <c r="G2295">
        <v>314130583</v>
      </c>
      <c r="H2295">
        <v>163775467</v>
      </c>
      <c r="I2295">
        <v>15176414</v>
      </c>
      <c r="J2295">
        <v>-64803484</v>
      </c>
      <c r="K2295">
        <v>29857874</v>
      </c>
      <c r="L2295">
        <v>393093664</v>
      </c>
      <c r="M2295">
        <v>176635439</v>
      </c>
      <c r="N2295">
        <v>-89335324</v>
      </c>
      <c r="O2295">
        <v>-9976574</v>
      </c>
      <c r="P2295">
        <v>257</v>
      </c>
      <c r="Q2295" t="s">
        <v>4928</v>
      </c>
    </row>
    <row r="2296" spans="1:17" x14ac:dyDescent="0.3">
      <c r="A2296" t="s">
        <v>59</v>
      </c>
      <c r="B2296" t="str">
        <f>"002066"</f>
        <v>002066</v>
      </c>
      <c r="C2296" t="s">
        <v>4929</v>
      </c>
      <c r="D2296" t="s">
        <v>2517</v>
      </c>
      <c r="F2296">
        <v>245629473</v>
      </c>
      <c r="G2296">
        <v>285002000</v>
      </c>
      <c r="H2296">
        <v>163684665</v>
      </c>
      <c r="I2296">
        <v>339292157</v>
      </c>
      <c r="J2296">
        <v>193741084</v>
      </c>
      <c r="K2296">
        <v>133481962</v>
      </c>
      <c r="L2296">
        <v>17717997</v>
      </c>
      <c r="M2296">
        <v>130223231</v>
      </c>
      <c r="N2296">
        <v>19248243</v>
      </c>
      <c r="O2296">
        <v>-164274513</v>
      </c>
      <c r="P2296">
        <v>74</v>
      </c>
      <c r="Q2296" t="s">
        <v>4930</v>
      </c>
    </row>
    <row r="2297" spans="1:17" x14ac:dyDescent="0.3">
      <c r="A2297" t="s">
        <v>59</v>
      </c>
      <c r="B2297" t="str">
        <f>"300286"</f>
        <v>300286</v>
      </c>
      <c r="C2297" t="s">
        <v>4931</v>
      </c>
      <c r="D2297" t="s">
        <v>1828</v>
      </c>
      <c r="F2297">
        <v>112476566</v>
      </c>
      <c r="G2297">
        <v>-44396951</v>
      </c>
      <c r="H2297">
        <v>163273265</v>
      </c>
      <c r="I2297">
        <v>86271556</v>
      </c>
      <c r="J2297">
        <v>101509034</v>
      </c>
      <c r="K2297">
        <v>108104768</v>
      </c>
      <c r="L2297">
        <v>83741319</v>
      </c>
      <c r="M2297">
        <v>98018602</v>
      </c>
      <c r="N2297">
        <v>66583026</v>
      </c>
      <c r="O2297">
        <v>46601638</v>
      </c>
      <c r="P2297">
        <v>272</v>
      </c>
      <c r="Q2297" t="s">
        <v>4932</v>
      </c>
    </row>
    <row r="2298" spans="1:17" x14ac:dyDescent="0.3">
      <c r="A2298" t="s">
        <v>17</v>
      </c>
      <c r="B2298" t="str">
        <f>"603380"</f>
        <v>603380</v>
      </c>
      <c r="C2298" t="s">
        <v>4933</v>
      </c>
      <c r="D2298" t="s">
        <v>349</v>
      </c>
      <c r="F2298">
        <v>98723953</v>
      </c>
      <c r="G2298">
        <v>202169837</v>
      </c>
      <c r="H2298">
        <v>163206435</v>
      </c>
      <c r="I2298">
        <v>105877740</v>
      </c>
      <c r="J2298">
        <v>81884385</v>
      </c>
      <c r="K2298">
        <v>78643316</v>
      </c>
      <c r="L2298">
        <v>58250235</v>
      </c>
      <c r="M2298">
        <v>85118005</v>
      </c>
      <c r="P2298">
        <v>209</v>
      </c>
      <c r="Q2298" t="s">
        <v>4934</v>
      </c>
    </row>
    <row r="2299" spans="1:17" x14ac:dyDescent="0.3">
      <c r="A2299" t="s">
        <v>59</v>
      </c>
      <c r="B2299" t="str">
        <f>"002792"</f>
        <v>002792</v>
      </c>
      <c r="C2299" t="s">
        <v>4935</v>
      </c>
      <c r="D2299" t="s">
        <v>352</v>
      </c>
      <c r="F2299">
        <v>169620913</v>
      </c>
      <c r="G2299">
        <v>82516372</v>
      </c>
      <c r="H2299">
        <v>163015407</v>
      </c>
      <c r="I2299">
        <v>21312732</v>
      </c>
      <c r="J2299">
        <v>26964156</v>
      </c>
      <c r="K2299">
        <v>170774608</v>
      </c>
      <c r="L2299">
        <v>232282111</v>
      </c>
      <c r="M2299">
        <v>282233999</v>
      </c>
      <c r="N2299">
        <v>68186363</v>
      </c>
      <c r="O2299">
        <v>75268542</v>
      </c>
      <c r="P2299">
        <v>343</v>
      </c>
      <c r="Q2299" t="s">
        <v>4936</v>
      </c>
    </row>
    <row r="2300" spans="1:17" x14ac:dyDescent="0.3">
      <c r="A2300" t="s">
        <v>59</v>
      </c>
      <c r="B2300" t="str">
        <f>"300265"</f>
        <v>300265</v>
      </c>
      <c r="C2300" t="s">
        <v>4937</v>
      </c>
      <c r="D2300" t="s">
        <v>1065</v>
      </c>
      <c r="F2300">
        <v>-60096051</v>
      </c>
      <c r="G2300">
        <v>58588949</v>
      </c>
      <c r="H2300">
        <v>162994922</v>
      </c>
      <c r="I2300">
        <v>23687002</v>
      </c>
      <c r="J2300">
        <v>182282595</v>
      </c>
      <c r="K2300">
        <v>-13193928</v>
      </c>
      <c r="L2300">
        <v>36770655</v>
      </c>
      <c r="M2300">
        <v>-61631785</v>
      </c>
      <c r="N2300">
        <v>87823584</v>
      </c>
      <c r="O2300">
        <v>-80027650</v>
      </c>
      <c r="P2300">
        <v>162</v>
      </c>
      <c r="Q2300" t="s">
        <v>4938</v>
      </c>
    </row>
    <row r="2301" spans="1:17" x14ac:dyDescent="0.3">
      <c r="A2301" t="s">
        <v>59</v>
      </c>
      <c r="B2301" t="str">
        <f>"300868"</f>
        <v>300868</v>
      </c>
      <c r="C2301" t="s">
        <v>4939</v>
      </c>
      <c r="D2301" t="s">
        <v>595</v>
      </c>
      <c r="F2301">
        <v>17896861</v>
      </c>
      <c r="G2301">
        <v>99000056</v>
      </c>
      <c r="H2301">
        <v>162972479</v>
      </c>
      <c r="I2301">
        <v>68773979</v>
      </c>
      <c r="J2301">
        <v>45207199</v>
      </c>
      <c r="K2301">
        <v>37863264</v>
      </c>
      <c r="P2301">
        <v>40</v>
      </c>
      <c r="Q2301" t="s">
        <v>4940</v>
      </c>
    </row>
    <row r="2302" spans="1:17" x14ac:dyDescent="0.3">
      <c r="A2302" t="s">
        <v>17</v>
      </c>
      <c r="B2302" t="str">
        <f>"603077"</f>
        <v>603077</v>
      </c>
      <c r="C2302" t="s">
        <v>4941</v>
      </c>
      <c r="D2302" t="s">
        <v>1310</v>
      </c>
      <c r="F2302">
        <v>3196718023</v>
      </c>
      <c r="G2302">
        <v>368854155</v>
      </c>
      <c r="H2302">
        <v>162920485</v>
      </c>
      <c r="I2302">
        <v>944392174</v>
      </c>
      <c r="J2302">
        <v>176944298</v>
      </c>
      <c r="K2302">
        <v>575257188</v>
      </c>
      <c r="L2302">
        <v>449197352</v>
      </c>
      <c r="M2302">
        <v>204674408</v>
      </c>
      <c r="N2302">
        <v>-407478019</v>
      </c>
      <c r="O2302">
        <v>134959762</v>
      </c>
      <c r="P2302">
        <v>265</v>
      </c>
      <c r="Q2302" t="s">
        <v>4942</v>
      </c>
    </row>
    <row r="2303" spans="1:17" x14ac:dyDescent="0.3">
      <c r="A2303" t="s">
        <v>59</v>
      </c>
      <c r="B2303" t="str">
        <f>"002996"</f>
        <v>002996</v>
      </c>
      <c r="C2303" t="s">
        <v>4943</v>
      </c>
      <c r="D2303" t="s">
        <v>238</v>
      </c>
      <c r="F2303">
        <v>-968666578</v>
      </c>
      <c r="G2303">
        <v>-207152135</v>
      </c>
      <c r="H2303">
        <v>162908020</v>
      </c>
      <c r="I2303">
        <v>120708667</v>
      </c>
      <c r="J2303">
        <v>72173703</v>
      </c>
      <c r="P2303">
        <v>73</v>
      </c>
      <c r="Q2303" t="s">
        <v>4944</v>
      </c>
    </row>
    <row r="2304" spans="1:17" x14ac:dyDescent="0.3">
      <c r="A2304" t="s">
        <v>59</v>
      </c>
      <c r="B2304" t="str">
        <f>"002093"</f>
        <v>002093</v>
      </c>
      <c r="C2304" t="s">
        <v>4945</v>
      </c>
      <c r="D2304" t="s">
        <v>2057</v>
      </c>
      <c r="F2304">
        <v>-12204714</v>
      </c>
      <c r="G2304">
        <v>-173850458</v>
      </c>
      <c r="H2304">
        <v>162846663</v>
      </c>
      <c r="I2304">
        <v>102011867</v>
      </c>
      <c r="J2304">
        <v>221308953</v>
      </c>
      <c r="K2304">
        <v>153030194</v>
      </c>
      <c r="L2304">
        <v>-216578408</v>
      </c>
      <c r="M2304">
        <v>-85797136</v>
      </c>
      <c r="N2304">
        <v>-63737961</v>
      </c>
      <c r="O2304">
        <v>-105232021</v>
      </c>
      <c r="P2304">
        <v>288</v>
      </c>
      <c r="Q2304" t="s">
        <v>4946</v>
      </c>
    </row>
    <row r="2305" spans="1:17" x14ac:dyDescent="0.3">
      <c r="A2305" t="s">
        <v>17</v>
      </c>
      <c r="B2305" t="str">
        <f>"603050"</f>
        <v>603050</v>
      </c>
      <c r="C2305" t="s">
        <v>4947</v>
      </c>
      <c r="D2305" t="s">
        <v>494</v>
      </c>
      <c r="F2305">
        <v>-155064433</v>
      </c>
      <c r="G2305">
        <v>19172665</v>
      </c>
      <c r="H2305">
        <v>162833578</v>
      </c>
      <c r="I2305">
        <v>47231098</v>
      </c>
      <c r="J2305">
        <v>22306908</v>
      </c>
      <c r="K2305">
        <v>84006693</v>
      </c>
      <c r="L2305">
        <v>81684796</v>
      </c>
      <c r="M2305">
        <v>-2067936</v>
      </c>
      <c r="P2305">
        <v>124</v>
      </c>
      <c r="Q2305" t="s">
        <v>4948</v>
      </c>
    </row>
    <row r="2306" spans="1:17" x14ac:dyDescent="0.3">
      <c r="A2306" t="s">
        <v>59</v>
      </c>
      <c r="B2306" t="str">
        <f>"000606"</f>
        <v>000606</v>
      </c>
      <c r="C2306" t="s">
        <v>4949</v>
      </c>
      <c r="D2306" t="s">
        <v>1189</v>
      </c>
      <c r="F2306">
        <v>-201588499</v>
      </c>
      <c r="G2306">
        <v>183585044</v>
      </c>
      <c r="H2306">
        <v>162715160</v>
      </c>
      <c r="I2306">
        <v>53874962</v>
      </c>
      <c r="J2306">
        <v>-30910948</v>
      </c>
      <c r="K2306">
        <v>22037147</v>
      </c>
      <c r="L2306">
        <v>20568531</v>
      </c>
      <c r="M2306">
        <v>1243893</v>
      </c>
      <c r="N2306">
        <v>-42277891</v>
      </c>
      <c r="O2306">
        <v>38596597</v>
      </c>
      <c r="P2306">
        <v>99</v>
      </c>
      <c r="Q2306" t="s">
        <v>4950</v>
      </c>
    </row>
    <row r="2307" spans="1:17" x14ac:dyDescent="0.3">
      <c r="A2307" t="s">
        <v>17</v>
      </c>
      <c r="B2307" t="str">
        <f>"603998"</f>
        <v>603998</v>
      </c>
      <c r="C2307" t="s">
        <v>4951</v>
      </c>
      <c r="D2307" t="s">
        <v>455</v>
      </c>
      <c r="F2307">
        <v>185626592</v>
      </c>
      <c r="G2307">
        <v>236661643</v>
      </c>
      <c r="H2307">
        <v>162578285</v>
      </c>
      <c r="I2307">
        <v>176061522</v>
      </c>
      <c r="J2307">
        <v>16002674</v>
      </c>
      <c r="K2307">
        <v>118700829</v>
      </c>
      <c r="L2307">
        <v>90574913</v>
      </c>
      <c r="M2307">
        <v>94161671</v>
      </c>
      <c r="N2307">
        <v>122966364</v>
      </c>
      <c r="O2307">
        <v>24209131</v>
      </c>
      <c r="P2307">
        <v>126</v>
      </c>
      <c r="Q2307" t="s">
        <v>4952</v>
      </c>
    </row>
    <row r="2308" spans="1:17" x14ac:dyDescent="0.3">
      <c r="A2308" t="s">
        <v>59</v>
      </c>
      <c r="B2308" t="str">
        <f>"301123"</f>
        <v>301123</v>
      </c>
      <c r="C2308" t="s">
        <v>4953</v>
      </c>
      <c r="F2308">
        <v>162597281</v>
      </c>
      <c r="G2308">
        <v>159201656</v>
      </c>
      <c r="H2308">
        <v>162488950</v>
      </c>
      <c r="I2308">
        <v>86041249</v>
      </c>
      <c r="J2308">
        <v>103370580</v>
      </c>
      <c r="P2308">
        <v>6</v>
      </c>
      <c r="Q2308" t="s">
        <v>4954</v>
      </c>
    </row>
    <row r="2309" spans="1:17" x14ac:dyDescent="0.3">
      <c r="A2309" t="s">
        <v>59</v>
      </c>
      <c r="B2309" t="str">
        <f>"000514"</f>
        <v>000514</v>
      </c>
      <c r="C2309" t="s">
        <v>4955</v>
      </c>
      <c r="D2309" t="s">
        <v>61</v>
      </c>
      <c r="F2309">
        <v>460955172</v>
      </c>
      <c r="G2309">
        <v>-1415274581</v>
      </c>
      <c r="H2309">
        <v>162298095</v>
      </c>
      <c r="I2309">
        <v>529428959</v>
      </c>
      <c r="J2309">
        <v>602702493</v>
      </c>
      <c r="K2309">
        <v>217262177</v>
      </c>
      <c r="L2309">
        <v>46659947</v>
      </c>
      <c r="M2309">
        <v>-204065654</v>
      </c>
      <c r="N2309">
        <v>219322106</v>
      </c>
      <c r="O2309">
        <v>-525049065</v>
      </c>
      <c r="P2309">
        <v>113</v>
      </c>
      <c r="Q2309" t="s">
        <v>4956</v>
      </c>
    </row>
    <row r="2310" spans="1:17" x14ac:dyDescent="0.3">
      <c r="A2310" t="s">
        <v>59</v>
      </c>
      <c r="B2310" t="str">
        <f>"000993"</f>
        <v>000993</v>
      </c>
      <c r="C2310" t="s">
        <v>4957</v>
      </c>
      <c r="D2310" t="s">
        <v>105</v>
      </c>
      <c r="F2310">
        <v>642093098</v>
      </c>
      <c r="G2310">
        <v>403139273</v>
      </c>
      <c r="H2310">
        <v>162237546</v>
      </c>
      <c r="I2310">
        <v>87679675</v>
      </c>
      <c r="J2310">
        <v>299380242</v>
      </c>
      <c r="K2310">
        <v>360646531</v>
      </c>
      <c r="L2310">
        <v>48840985</v>
      </c>
      <c r="M2310">
        <v>177191450</v>
      </c>
      <c r="N2310">
        <v>169620841</v>
      </c>
      <c r="O2310">
        <v>186170629</v>
      </c>
      <c r="P2310">
        <v>163</v>
      </c>
      <c r="Q2310" t="s">
        <v>4958</v>
      </c>
    </row>
    <row r="2311" spans="1:17" x14ac:dyDescent="0.3">
      <c r="A2311" t="s">
        <v>59</v>
      </c>
      <c r="B2311" t="str">
        <f>"002639"</f>
        <v>002639</v>
      </c>
      <c r="C2311" t="s">
        <v>4959</v>
      </c>
      <c r="D2311" t="s">
        <v>3158</v>
      </c>
      <c r="F2311">
        <v>-98676090</v>
      </c>
      <c r="G2311">
        <v>130697145</v>
      </c>
      <c r="H2311">
        <v>161874934</v>
      </c>
      <c r="I2311">
        <v>-7399302</v>
      </c>
      <c r="J2311">
        <v>-1456046</v>
      </c>
      <c r="K2311">
        <v>-152709</v>
      </c>
      <c r="L2311">
        <v>-92606678</v>
      </c>
      <c r="M2311">
        <v>-32661316</v>
      </c>
      <c r="N2311">
        <v>19832770</v>
      </c>
      <c r="O2311">
        <v>57548893</v>
      </c>
      <c r="P2311">
        <v>228</v>
      </c>
      <c r="Q2311" t="s">
        <v>4960</v>
      </c>
    </row>
    <row r="2312" spans="1:17" x14ac:dyDescent="0.3">
      <c r="A2312" t="s">
        <v>59</v>
      </c>
      <c r="B2312" t="str">
        <f>"002247"</f>
        <v>002247</v>
      </c>
      <c r="C2312" t="s">
        <v>4961</v>
      </c>
      <c r="D2312" t="s">
        <v>1889</v>
      </c>
      <c r="F2312">
        <v>88763888</v>
      </c>
      <c r="G2312">
        <v>202966175</v>
      </c>
      <c r="H2312">
        <v>161560991</v>
      </c>
      <c r="I2312">
        <v>-598098614</v>
      </c>
      <c r="J2312">
        <v>322592772</v>
      </c>
      <c r="K2312">
        <v>306135673</v>
      </c>
      <c r="L2312">
        <v>134286340</v>
      </c>
      <c r="M2312">
        <v>77257083</v>
      </c>
      <c r="N2312">
        <v>98719598</v>
      </c>
      <c r="O2312">
        <v>107774597</v>
      </c>
      <c r="P2312">
        <v>90</v>
      </c>
      <c r="Q2312" t="s">
        <v>4962</v>
      </c>
    </row>
    <row r="2313" spans="1:17" x14ac:dyDescent="0.3">
      <c r="A2313" t="s">
        <v>59</v>
      </c>
      <c r="B2313" t="str">
        <f>"002550"</f>
        <v>002550</v>
      </c>
      <c r="C2313" t="s">
        <v>4963</v>
      </c>
      <c r="D2313" t="s">
        <v>592</v>
      </c>
      <c r="F2313">
        <v>103560505</v>
      </c>
      <c r="G2313">
        <v>317277947</v>
      </c>
      <c r="H2313">
        <v>161547891</v>
      </c>
      <c r="I2313">
        <v>25445967</v>
      </c>
      <c r="J2313">
        <v>88518995</v>
      </c>
      <c r="K2313">
        <v>221014952</v>
      </c>
      <c r="L2313">
        <v>286504055</v>
      </c>
      <c r="M2313">
        <v>252012795</v>
      </c>
      <c r="N2313">
        <v>160472338</v>
      </c>
      <c r="O2313">
        <v>199823987</v>
      </c>
      <c r="P2313">
        <v>172</v>
      </c>
      <c r="Q2313" t="s">
        <v>4964</v>
      </c>
    </row>
    <row r="2314" spans="1:17" x14ac:dyDescent="0.3">
      <c r="A2314" t="s">
        <v>17</v>
      </c>
      <c r="B2314" t="str">
        <f>"603059"</f>
        <v>603059</v>
      </c>
      <c r="C2314" t="s">
        <v>4965</v>
      </c>
      <c r="D2314" t="s">
        <v>4966</v>
      </c>
      <c r="F2314">
        <v>57119823</v>
      </c>
      <c r="G2314">
        <v>120779396</v>
      </c>
      <c r="H2314">
        <v>161177820</v>
      </c>
      <c r="I2314">
        <v>67926964</v>
      </c>
      <c r="J2314">
        <v>102718454</v>
      </c>
      <c r="K2314">
        <v>79153933</v>
      </c>
      <c r="L2314">
        <v>77158765</v>
      </c>
      <c r="P2314">
        <v>99</v>
      </c>
      <c r="Q2314" t="s">
        <v>4967</v>
      </c>
    </row>
    <row r="2315" spans="1:17" x14ac:dyDescent="0.3">
      <c r="A2315" t="s">
        <v>59</v>
      </c>
      <c r="B2315" t="str">
        <f>"003028"</f>
        <v>003028</v>
      </c>
      <c r="C2315" t="s">
        <v>4968</v>
      </c>
      <c r="D2315" t="s">
        <v>349</v>
      </c>
      <c r="F2315">
        <v>7973767</v>
      </c>
      <c r="G2315">
        <v>137221536</v>
      </c>
      <c r="H2315">
        <v>161148482</v>
      </c>
      <c r="I2315">
        <v>60214487</v>
      </c>
      <c r="J2315">
        <v>58658565</v>
      </c>
      <c r="P2315">
        <v>83</v>
      </c>
      <c r="Q2315" t="s">
        <v>4969</v>
      </c>
    </row>
    <row r="2316" spans="1:17" x14ac:dyDescent="0.3">
      <c r="A2316" t="s">
        <v>17</v>
      </c>
      <c r="B2316" t="str">
        <f>"600671"</f>
        <v>600671</v>
      </c>
      <c r="C2316" t="s">
        <v>4970</v>
      </c>
      <c r="D2316" t="s">
        <v>455</v>
      </c>
      <c r="F2316">
        <v>-26421706</v>
      </c>
      <c r="G2316">
        <v>-8395915</v>
      </c>
      <c r="H2316">
        <v>161127709</v>
      </c>
      <c r="I2316">
        <v>70706116</v>
      </c>
      <c r="J2316">
        <v>24520320</v>
      </c>
      <c r="K2316">
        <v>1606850</v>
      </c>
      <c r="L2316">
        <v>-1465966</v>
      </c>
      <c r="M2316">
        <v>653791</v>
      </c>
      <c r="N2316">
        <v>12372831</v>
      </c>
      <c r="O2316">
        <v>-19822529</v>
      </c>
      <c r="P2316">
        <v>104</v>
      </c>
      <c r="Q2316" t="s">
        <v>4971</v>
      </c>
    </row>
    <row r="2317" spans="1:17" x14ac:dyDescent="0.3">
      <c r="A2317" t="s">
        <v>17</v>
      </c>
      <c r="B2317" t="str">
        <f>"603729"</f>
        <v>603729</v>
      </c>
      <c r="C2317" t="s">
        <v>4972</v>
      </c>
      <c r="D2317" t="s">
        <v>1889</v>
      </c>
      <c r="F2317">
        <v>20040040</v>
      </c>
      <c r="G2317">
        <v>-29063189</v>
      </c>
      <c r="H2317">
        <v>161024671</v>
      </c>
      <c r="I2317">
        <v>-29318386</v>
      </c>
      <c r="J2317">
        <v>-10645285</v>
      </c>
      <c r="K2317">
        <v>137658184</v>
      </c>
      <c r="L2317">
        <v>-142833282</v>
      </c>
      <c r="M2317">
        <v>31811780</v>
      </c>
      <c r="N2317">
        <v>37005003</v>
      </c>
      <c r="O2317">
        <v>-2370891</v>
      </c>
      <c r="P2317">
        <v>51</v>
      </c>
      <c r="Q2317" t="s">
        <v>4973</v>
      </c>
    </row>
    <row r="2318" spans="1:17" x14ac:dyDescent="0.3">
      <c r="A2318" t="s">
        <v>17</v>
      </c>
      <c r="B2318" t="str">
        <f>"600360"</f>
        <v>600360</v>
      </c>
      <c r="C2318" t="s">
        <v>4974</v>
      </c>
      <c r="D2318" t="s">
        <v>3230</v>
      </c>
      <c r="F2318">
        <v>324597385</v>
      </c>
      <c r="G2318">
        <v>291371935</v>
      </c>
      <c r="H2318">
        <v>160928274</v>
      </c>
      <c r="I2318">
        <v>423439353</v>
      </c>
      <c r="J2318">
        <v>101678870</v>
      </c>
      <c r="K2318">
        <v>75750345</v>
      </c>
      <c r="L2318">
        <v>236854046</v>
      </c>
      <c r="M2318">
        <v>236689598</v>
      </c>
      <c r="N2318">
        <v>167747932</v>
      </c>
      <c r="O2318">
        <v>240108179</v>
      </c>
      <c r="P2318">
        <v>318</v>
      </c>
      <c r="Q2318" t="s">
        <v>4975</v>
      </c>
    </row>
    <row r="2319" spans="1:17" x14ac:dyDescent="0.3">
      <c r="A2319" t="s">
        <v>59</v>
      </c>
      <c r="B2319" t="str">
        <f>"300218"</f>
        <v>300218</v>
      </c>
      <c r="C2319" t="s">
        <v>4976</v>
      </c>
      <c r="D2319" t="s">
        <v>2104</v>
      </c>
      <c r="F2319">
        <v>137238169</v>
      </c>
      <c r="G2319">
        <v>149702353</v>
      </c>
      <c r="H2319">
        <v>160871323</v>
      </c>
      <c r="I2319">
        <v>195680426</v>
      </c>
      <c r="J2319">
        <v>137445952</v>
      </c>
      <c r="K2319">
        <v>170784519</v>
      </c>
      <c r="L2319">
        <v>116642357</v>
      </c>
      <c r="M2319">
        <v>180697379</v>
      </c>
      <c r="N2319">
        <v>131145005</v>
      </c>
      <c r="O2319">
        <v>117909278</v>
      </c>
      <c r="P2319">
        <v>108</v>
      </c>
      <c r="Q2319" t="s">
        <v>4977</v>
      </c>
    </row>
    <row r="2320" spans="1:17" x14ac:dyDescent="0.3">
      <c r="A2320" t="s">
        <v>59</v>
      </c>
      <c r="B2320" t="str">
        <f>"200512"</f>
        <v>200512</v>
      </c>
      <c r="C2320" t="s">
        <v>4978</v>
      </c>
      <c r="F2320">
        <v>181617069.44159999</v>
      </c>
      <c r="G2320">
        <v>373943031.54629999</v>
      </c>
      <c r="H2320">
        <v>160639292.12799999</v>
      </c>
      <c r="I2320">
        <v>120767595.44850001</v>
      </c>
      <c r="J2320">
        <v>83672247.850799993</v>
      </c>
      <c r="K2320">
        <v>120737032.30400001</v>
      </c>
      <c r="L2320">
        <v>99600646.076700002</v>
      </c>
      <c r="M2320">
        <v>56288380.269599997</v>
      </c>
      <c r="N2320">
        <v>212476364.23789999</v>
      </c>
      <c r="O2320">
        <v>134041638.9774</v>
      </c>
      <c r="P2320">
        <v>34</v>
      </c>
      <c r="Q2320" t="s">
        <v>4979</v>
      </c>
    </row>
    <row r="2321" spans="1:17" x14ac:dyDescent="0.3">
      <c r="A2321" t="s">
        <v>59</v>
      </c>
      <c r="B2321" t="str">
        <f>"300697"</f>
        <v>300697</v>
      </c>
      <c r="C2321" t="s">
        <v>4980</v>
      </c>
      <c r="D2321" t="s">
        <v>259</v>
      </c>
      <c r="F2321">
        <v>-90081605</v>
      </c>
      <c r="G2321">
        <v>-21401997</v>
      </c>
      <c r="H2321">
        <v>160599059</v>
      </c>
      <c r="I2321">
        <v>32058310</v>
      </c>
      <c r="J2321">
        <v>-36108656</v>
      </c>
      <c r="K2321">
        <v>-77609632</v>
      </c>
      <c r="L2321">
        <v>146452644</v>
      </c>
      <c r="M2321">
        <v>320150219</v>
      </c>
      <c r="P2321">
        <v>77</v>
      </c>
      <c r="Q2321" t="s">
        <v>4981</v>
      </c>
    </row>
    <row r="2322" spans="1:17" x14ac:dyDescent="0.3">
      <c r="A2322" t="s">
        <v>59</v>
      </c>
      <c r="B2322" t="str">
        <f>"300135"</f>
        <v>300135</v>
      </c>
      <c r="C2322" t="s">
        <v>4982</v>
      </c>
      <c r="D2322" t="s">
        <v>445</v>
      </c>
      <c r="F2322">
        <v>88133440</v>
      </c>
      <c r="G2322">
        <v>64506679</v>
      </c>
      <c r="H2322">
        <v>160449618</v>
      </c>
      <c r="I2322">
        <v>196187581</v>
      </c>
      <c r="J2322">
        <v>364707757</v>
      </c>
      <c r="K2322">
        <v>192812546</v>
      </c>
      <c r="L2322">
        <v>-2880940</v>
      </c>
      <c r="M2322">
        <v>311041927</v>
      </c>
      <c r="N2322">
        <v>-566411085</v>
      </c>
      <c r="O2322">
        <v>207491976</v>
      </c>
      <c r="P2322">
        <v>49</v>
      </c>
      <c r="Q2322" t="s">
        <v>4983</v>
      </c>
    </row>
    <row r="2323" spans="1:17" x14ac:dyDescent="0.3">
      <c r="A2323" t="s">
        <v>17</v>
      </c>
      <c r="B2323" t="str">
        <f>"600113"</f>
        <v>600113</v>
      </c>
      <c r="C2323" t="s">
        <v>4984</v>
      </c>
      <c r="D2323" t="s">
        <v>548</v>
      </c>
      <c r="F2323">
        <v>251880482</v>
      </c>
      <c r="G2323">
        <v>201957902</v>
      </c>
      <c r="H2323">
        <v>160322148</v>
      </c>
      <c r="I2323">
        <v>125998538</v>
      </c>
      <c r="J2323">
        <v>163674999</v>
      </c>
      <c r="K2323">
        <v>158873515</v>
      </c>
      <c r="L2323">
        <v>239726395</v>
      </c>
      <c r="M2323">
        <v>47543320</v>
      </c>
      <c r="N2323">
        <v>-4297333</v>
      </c>
      <c r="O2323">
        <v>-125951261</v>
      </c>
      <c r="P2323">
        <v>136</v>
      </c>
      <c r="Q2323" t="s">
        <v>4985</v>
      </c>
    </row>
    <row r="2324" spans="1:17" x14ac:dyDescent="0.3">
      <c r="A2324" t="s">
        <v>59</v>
      </c>
      <c r="B2324" t="str">
        <f>"002811"</f>
        <v>002811</v>
      </c>
      <c r="C2324" t="s">
        <v>4986</v>
      </c>
      <c r="D2324" t="s">
        <v>1150</v>
      </c>
      <c r="F2324">
        <v>309158135</v>
      </c>
      <c r="G2324">
        <v>189057674</v>
      </c>
      <c r="H2324">
        <v>159836726</v>
      </c>
      <c r="I2324">
        <v>-23924647</v>
      </c>
      <c r="J2324">
        <v>26341750</v>
      </c>
      <c r="K2324">
        <v>-186146032</v>
      </c>
      <c r="L2324">
        <v>-43169814</v>
      </c>
      <c r="M2324">
        <v>35558186</v>
      </c>
      <c r="N2324">
        <v>-14140336</v>
      </c>
      <c r="P2324">
        <v>95</v>
      </c>
      <c r="Q2324" t="s">
        <v>4987</v>
      </c>
    </row>
    <row r="2325" spans="1:17" x14ac:dyDescent="0.3">
      <c r="A2325" t="s">
        <v>59</v>
      </c>
      <c r="B2325" t="str">
        <f>"002505"</f>
        <v>002505</v>
      </c>
      <c r="C2325" t="s">
        <v>4988</v>
      </c>
      <c r="D2325" t="s">
        <v>2329</v>
      </c>
      <c r="F2325">
        <v>-705500264</v>
      </c>
      <c r="G2325">
        <v>36259468</v>
      </c>
      <c r="H2325">
        <v>159460718</v>
      </c>
      <c r="I2325">
        <v>82771451</v>
      </c>
      <c r="J2325">
        <v>-975688388</v>
      </c>
      <c r="K2325">
        <v>-433506140</v>
      </c>
      <c r="L2325">
        <v>62653433</v>
      </c>
      <c r="M2325">
        <v>-472354531</v>
      </c>
      <c r="N2325">
        <v>61337264</v>
      </c>
      <c r="O2325">
        <v>44031775</v>
      </c>
      <c r="P2325">
        <v>209</v>
      </c>
      <c r="Q2325" t="s">
        <v>4989</v>
      </c>
    </row>
    <row r="2326" spans="1:17" x14ac:dyDescent="0.3">
      <c r="A2326" t="s">
        <v>17</v>
      </c>
      <c r="B2326" t="str">
        <f>"603083"</f>
        <v>603083</v>
      </c>
      <c r="C2326" t="s">
        <v>4990</v>
      </c>
      <c r="D2326" t="s">
        <v>1650</v>
      </c>
      <c r="F2326">
        <v>-61954736</v>
      </c>
      <c r="G2326">
        <v>-205266657</v>
      </c>
      <c r="H2326">
        <v>159394220</v>
      </c>
      <c r="I2326">
        <v>-167179238</v>
      </c>
      <c r="J2326">
        <v>197916499</v>
      </c>
      <c r="K2326">
        <v>34485705</v>
      </c>
      <c r="L2326">
        <v>285185616</v>
      </c>
      <c r="M2326">
        <v>304130650</v>
      </c>
      <c r="P2326">
        <v>272</v>
      </c>
      <c r="Q2326" t="s">
        <v>4991</v>
      </c>
    </row>
    <row r="2327" spans="1:17" x14ac:dyDescent="0.3">
      <c r="A2327" t="s">
        <v>59</v>
      </c>
      <c r="B2327" t="str">
        <f>"002282"</f>
        <v>002282</v>
      </c>
      <c r="C2327" t="s">
        <v>4992</v>
      </c>
      <c r="D2327" t="s">
        <v>1636</v>
      </c>
      <c r="F2327">
        <v>136453932</v>
      </c>
      <c r="G2327">
        <v>209575775</v>
      </c>
      <c r="H2327">
        <v>159253173</v>
      </c>
      <c r="I2327">
        <v>70307142</v>
      </c>
      <c r="J2327">
        <v>38271622</v>
      </c>
      <c r="K2327">
        <v>99929677</v>
      </c>
      <c r="L2327">
        <v>94923772</v>
      </c>
      <c r="M2327">
        <v>117291177</v>
      </c>
      <c r="N2327">
        <v>34114883</v>
      </c>
      <c r="O2327">
        <v>-18393260</v>
      </c>
      <c r="P2327">
        <v>97</v>
      </c>
      <c r="Q2327" t="s">
        <v>4993</v>
      </c>
    </row>
    <row r="2328" spans="1:17" x14ac:dyDescent="0.3">
      <c r="A2328" t="s">
        <v>59</v>
      </c>
      <c r="B2328" t="str">
        <f>"300774"</f>
        <v>300774</v>
      </c>
      <c r="C2328" t="s">
        <v>4994</v>
      </c>
      <c r="D2328" t="s">
        <v>669</v>
      </c>
      <c r="F2328">
        <v>-92487263</v>
      </c>
      <c r="G2328">
        <v>137802015</v>
      </c>
      <c r="H2328">
        <v>159156275</v>
      </c>
      <c r="I2328">
        <v>65102663</v>
      </c>
      <c r="J2328">
        <v>-36486214</v>
      </c>
      <c r="P2328">
        <v>24</v>
      </c>
      <c r="Q2328" t="s">
        <v>4995</v>
      </c>
    </row>
    <row r="2329" spans="1:17" x14ac:dyDescent="0.3">
      <c r="A2329" t="s">
        <v>17</v>
      </c>
      <c r="B2329" t="str">
        <f>"688002"</f>
        <v>688002</v>
      </c>
      <c r="C2329" t="s">
        <v>4996</v>
      </c>
      <c r="D2329" t="s">
        <v>1983</v>
      </c>
      <c r="F2329">
        <v>218793276</v>
      </c>
      <c r="G2329">
        <v>163867174</v>
      </c>
      <c r="H2329">
        <v>159138165</v>
      </c>
      <c r="I2329">
        <v>36248839</v>
      </c>
      <c r="J2329">
        <v>-7472598</v>
      </c>
      <c r="K2329">
        <v>-35300928</v>
      </c>
      <c r="P2329">
        <v>407</v>
      </c>
      <c r="Q2329" t="s">
        <v>4997</v>
      </c>
    </row>
    <row r="2330" spans="1:17" x14ac:dyDescent="0.3">
      <c r="A2330" t="s">
        <v>59</v>
      </c>
      <c r="B2330" t="str">
        <f>"002580"</f>
        <v>002580</v>
      </c>
      <c r="C2330" t="s">
        <v>4998</v>
      </c>
      <c r="D2330" t="s">
        <v>1107</v>
      </c>
      <c r="F2330">
        <v>-101571163</v>
      </c>
      <c r="G2330">
        <v>168853184</v>
      </c>
      <c r="H2330">
        <v>158790565</v>
      </c>
      <c r="I2330">
        <v>-28301645</v>
      </c>
      <c r="J2330">
        <v>22953258</v>
      </c>
      <c r="K2330">
        <v>17299004</v>
      </c>
      <c r="L2330">
        <v>40405025</v>
      </c>
      <c r="M2330">
        <v>112310249</v>
      </c>
      <c r="N2330">
        <v>-81604919</v>
      </c>
      <c r="O2330">
        <v>-58436780</v>
      </c>
      <c r="P2330">
        <v>114</v>
      </c>
      <c r="Q2330" t="s">
        <v>4999</v>
      </c>
    </row>
    <row r="2331" spans="1:17" x14ac:dyDescent="0.3">
      <c r="A2331" t="s">
        <v>59</v>
      </c>
      <c r="B2331" t="str">
        <f>"002404"</f>
        <v>002404</v>
      </c>
      <c r="C2331" t="s">
        <v>5000</v>
      </c>
      <c r="D2331" t="s">
        <v>3101</v>
      </c>
      <c r="F2331">
        <v>-237140531</v>
      </c>
      <c r="G2331">
        <v>143019155</v>
      </c>
      <c r="H2331">
        <v>158485122</v>
      </c>
      <c r="I2331">
        <v>84625496</v>
      </c>
      <c r="J2331">
        <v>51927902</v>
      </c>
      <c r="K2331">
        <v>64924090</v>
      </c>
      <c r="L2331">
        <v>162914837</v>
      </c>
      <c r="M2331">
        <v>25555010</v>
      </c>
      <c r="N2331">
        <v>20289065</v>
      </c>
      <c r="O2331">
        <v>12043962</v>
      </c>
      <c r="P2331">
        <v>108</v>
      </c>
      <c r="Q2331" t="s">
        <v>5001</v>
      </c>
    </row>
    <row r="2332" spans="1:17" x14ac:dyDescent="0.3">
      <c r="A2332" t="s">
        <v>17</v>
      </c>
      <c r="B2332" t="str">
        <f>"600865"</f>
        <v>600865</v>
      </c>
      <c r="C2332" t="s">
        <v>5002</v>
      </c>
      <c r="D2332" t="s">
        <v>1361</v>
      </c>
      <c r="F2332">
        <v>88135509</v>
      </c>
      <c r="G2332">
        <v>118826821</v>
      </c>
      <c r="H2332">
        <v>158361310</v>
      </c>
      <c r="I2332">
        <v>104389135</v>
      </c>
      <c r="J2332">
        <v>99424100</v>
      </c>
      <c r="K2332">
        <v>142511359</v>
      </c>
      <c r="L2332">
        <v>82511569</v>
      </c>
      <c r="M2332">
        <v>127705447</v>
      </c>
      <c r="N2332">
        <v>699748469</v>
      </c>
      <c r="O2332">
        <v>229073064</v>
      </c>
      <c r="P2332">
        <v>123</v>
      </c>
      <c r="Q2332" t="s">
        <v>5003</v>
      </c>
    </row>
    <row r="2333" spans="1:17" x14ac:dyDescent="0.3">
      <c r="A2333" t="s">
        <v>59</v>
      </c>
      <c r="B2333" t="str">
        <f>"301215"</f>
        <v>301215</v>
      </c>
      <c r="C2333" t="s">
        <v>5004</v>
      </c>
      <c r="F2333">
        <v>336666257</v>
      </c>
      <c r="G2333">
        <v>211870318</v>
      </c>
      <c r="H2333">
        <v>158342526</v>
      </c>
      <c r="I2333">
        <v>137520607</v>
      </c>
      <c r="J2333">
        <v>91490836</v>
      </c>
      <c r="P2333">
        <v>7</v>
      </c>
      <c r="Q2333" t="s">
        <v>5005</v>
      </c>
    </row>
    <row r="2334" spans="1:17" x14ac:dyDescent="0.3">
      <c r="A2334" t="s">
        <v>59</v>
      </c>
      <c r="B2334" t="str">
        <f>"300968"</f>
        <v>300968</v>
      </c>
      <c r="C2334" t="s">
        <v>5006</v>
      </c>
      <c r="D2334" t="s">
        <v>349</v>
      </c>
      <c r="F2334">
        <v>85455626</v>
      </c>
      <c r="G2334">
        <v>270967852</v>
      </c>
      <c r="H2334">
        <v>158266353</v>
      </c>
      <c r="I2334">
        <v>59366795</v>
      </c>
      <c r="J2334">
        <v>156585537</v>
      </c>
      <c r="K2334">
        <v>60050672</v>
      </c>
      <c r="P2334">
        <v>31</v>
      </c>
      <c r="Q2334" t="s">
        <v>5007</v>
      </c>
    </row>
    <row r="2335" spans="1:17" x14ac:dyDescent="0.3">
      <c r="A2335" t="s">
        <v>59</v>
      </c>
      <c r="B2335" t="str">
        <f>"002374"</f>
        <v>002374</v>
      </c>
      <c r="C2335" t="s">
        <v>5008</v>
      </c>
      <c r="D2335" t="s">
        <v>1328</v>
      </c>
      <c r="F2335">
        <v>253374266</v>
      </c>
      <c r="G2335">
        <v>33931950</v>
      </c>
      <c r="H2335">
        <v>158025341</v>
      </c>
      <c r="I2335">
        <v>-385434540</v>
      </c>
      <c r="J2335">
        <v>-524567953</v>
      </c>
      <c r="K2335">
        <v>-523707288</v>
      </c>
      <c r="L2335">
        <v>-284865934</v>
      </c>
      <c r="M2335">
        <v>97991912</v>
      </c>
      <c r="N2335">
        <v>87666111</v>
      </c>
      <c r="O2335">
        <v>48247484</v>
      </c>
      <c r="P2335">
        <v>92</v>
      </c>
      <c r="Q2335" t="s">
        <v>5009</v>
      </c>
    </row>
    <row r="2336" spans="1:17" x14ac:dyDescent="0.3">
      <c r="A2336" t="s">
        <v>17</v>
      </c>
      <c r="B2336" t="str">
        <f>"605555"</f>
        <v>605555</v>
      </c>
      <c r="C2336" t="s">
        <v>5010</v>
      </c>
      <c r="D2336" t="s">
        <v>1543</v>
      </c>
      <c r="F2336">
        <v>235033450</v>
      </c>
      <c r="G2336">
        <v>109418746</v>
      </c>
      <c r="H2336">
        <v>157895712</v>
      </c>
      <c r="I2336">
        <v>213762638</v>
      </c>
      <c r="J2336">
        <v>311016999</v>
      </c>
      <c r="P2336">
        <v>34</v>
      </c>
      <c r="Q2336" t="s">
        <v>5011</v>
      </c>
    </row>
    <row r="2337" spans="1:17" x14ac:dyDescent="0.3">
      <c r="A2337" t="s">
        <v>17</v>
      </c>
      <c r="B2337" t="str">
        <f>"688686"</f>
        <v>688686</v>
      </c>
      <c r="C2337" t="s">
        <v>5012</v>
      </c>
      <c r="D2337" t="s">
        <v>4218</v>
      </c>
      <c r="F2337">
        <v>173008609</v>
      </c>
      <c r="G2337">
        <v>95782921</v>
      </c>
      <c r="H2337">
        <v>157758691</v>
      </c>
      <c r="I2337">
        <v>83184456</v>
      </c>
      <c r="J2337">
        <v>30623443</v>
      </c>
      <c r="P2337">
        <v>117</v>
      </c>
      <c r="Q2337" t="s">
        <v>5013</v>
      </c>
    </row>
    <row r="2338" spans="1:17" x14ac:dyDescent="0.3">
      <c r="A2338" t="s">
        <v>59</v>
      </c>
      <c r="B2338" t="str">
        <f>"300856"</f>
        <v>300856</v>
      </c>
      <c r="C2338" t="s">
        <v>5014</v>
      </c>
      <c r="D2338" t="s">
        <v>2271</v>
      </c>
      <c r="F2338">
        <v>152054560</v>
      </c>
      <c r="G2338">
        <v>166282411</v>
      </c>
      <c r="H2338">
        <v>157562209</v>
      </c>
      <c r="I2338">
        <v>93515090</v>
      </c>
      <c r="J2338">
        <v>66685498</v>
      </c>
      <c r="K2338">
        <v>97357554</v>
      </c>
      <c r="P2338">
        <v>131</v>
      </c>
      <c r="Q2338" t="s">
        <v>5015</v>
      </c>
    </row>
    <row r="2339" spans="1:17" x14ac:dyDescent="0.3">
      <c r="A2339" t="s">
        <v>59</v>
      </c>
      <c r="B2339" t="str">
        <f>"000150"</f>
        <v>000150</v>
      </c>
      <c r="C2339" t="s">
        <v>5016</v>
      </c>
      <c r="D2339" t="s">
        <v>999</v>
      </c>
      <c r="F2339">
        <v>118737339</v>
      </c>
      <c r="G2339">
        <v>182034443</v>
      </c>
      <c r="H2339">
        <v>157361823</v>
      </c>
      <c r="I2339">
        <v>372738372</v>
      </c>
      <c r="J2339">
        <v>42982649</v>
      </c>
      <c r="K2339">
        <v>-565856040</v>
      </c>
      <c r="L2339">
        <v>376809404</v>
      </c>
      <c r="M2339">
        <v>-123687765</v>
      </c>
      <c r="N2339">
        <v>-798930415</v>
      </c>
      <c r="O2339">
        <v>-516680</v>
      </c>
      <c r="P2339">
        <v>184</v>
      </c>
      <c r="Q2339" t="s">
        <v>5017</v>
      </c>
    </row>
    <row r="2340" spans="1:17" x14ac:dyDescent="0.3">
      <c r="A2340" t="s">
        <v>59</v>
      </c>
      <c r="B2340" t="str">
        <f>"300179"</f>
        <v>300179</v>
      </c>
      <c r="C2340" t="s">
        <v>5018</v>
      </c>
      <c r="D2340" t="s">
        <v>1636</v>
      </c>
      <c r="F2340">
        <v>113775141</v>
      </c>
      <c r="G2340">
        <v>171454712</v>
      </c>
      <c r="H2340">
        <v>157272654</v>
      </c>
      <c r="I2340">
        <v>112055106</v>
      </c>
      <c r="J2340">
        <v>193298738</v>
      </c>
      <c r="K2340">
        <v>43170287</v>
      </c>
      <c r="L2340">
        <v>-9725873</v>
      </c>
      <c r="M2340">
        <v>38587390</v>
      </c>
      <c r="N2340">
        <v>50323030</v>
      </c>
      <c r="O2340">
        <v>30437029</v>
      </c>
      <c r="P2340">
        <v>166</v>
      </c>
      <c r="Q2340" t="s">
        <v>5019</v>
      </c>
    </row>
    <row r="2341" spans="1:17" x14ac:dyDescent="0.3">
      <c r="A2341" t="s">
        <v>59</v>
      </c>
      <c r="B2341" t="str">
        <f>"300564"</f>
        <v>300564</v>
      </c>
      <c r="C2341" t="s">
        <v>5020</v>
      </c>
      <c r="D2341" t="s">
        <v>2254</v>
      </c>
      <c r="F2341">
        <v>41856112</v>
      </c>
      <c r="G2341">
        <v>175754223</v>
      </c>
      <c r="H2341">
        <v>157228965</v>
      </c>
      <c r="I2341">
        <v>207918775</v>
      </c>
      <c r="J2341">
        <v>169199126</v>
      </c>
      <c r="K2341">
        <v>122343838</v>
      </c>
      <c r="P2341">
        <v>211</v>
      </c>
      <c r="Q2341" t="s">
        <v>5021</v>
      </c>
    </row>
    <row r="2342" spans="1:17" x14ac:dyDescent="0.3">
      <c r="A2342" t="s">
        <v>17</v>
      </c>
      <c r="B2342" t="str">
        <f>"600207"</f>
        <v>600207</v>
      </c>
      <c r="C2342" t="s">
        <v>5022</v>
      </c>
      <c r="D2342" t="s">
        <v>1340</v>
      </c>
      <c r="F2342">
        <v>-243297068</v>
      </c>
      <c r="G2342">
        <v>72847006</v>
      </c>
      <c r="H2342">
        <v>157174281</v>
      </c>
      <c r="I2342">
        <v>100305198</v>
      </c>
      <c r="J2342">
        <v>66570166</v>
      </c>
      <c r="K2342">
        <v>92483895</v>
      </c>
      <c r="L2342">
        <v>559022878</v>
      </c>
      <c r="M2342">
        <v>126992043</v>
      </c>
      <c r="N2342">
        <v>-13284616</v>
      </c>
      <c r="O2342">
        <v>-202758798</v>
      </c>
      <c r="P2342">
        <v>146</v>
      </c>
      <c r="Q2342" t="s">
        <v>5023</v>
      </c>
    </row>
    <row r="2343" spans="1:17" x14ac:dyDescent="0.3">
      <c r="A2343" t="s">
        <v>59</v>
      </c>
      <c r="B2343" t="str">
        <f>"300016"</f>
        <v>300016</v>
      </c>
      <c r="C2343" t="s">
        <v>5024</v>
      </c>
      <c r="D2343" t="s">
        <v>592</v>
      </c>
      <c r="F2343">
        <v>108726228</v>
      </c>
      <c r="G2343">
        <v>176002788</v>
      </c>
      <c r="H2343">
        <v>156808659</v>
      </c>
      <c r="I2343">
        <v>175754189</v>
      </c>
      <c r="J2343">
        <v>144924876</v>
      </c>
      <c r="K2343">
        <v>76167185</v>
      </c>
      <c r="L2343">
        <v>80853235</v>
      </c>
      <c r="M2343">
        <v>42107536</v>
      </c>
      <c r="N2343">
        <v>41369951</v>
      </c>
      <c r="O2343">
        <v>22856059</v>
      </c>
      <c r="P2343">
        <v>305</v>
      </c>
      <c r="Q2343" t="s">
        <v>5025</v>
      </c>
    </row>
    <row r="2344" spans="1:17" x14ac:dyDescent="0.3">
      <c r="A2344" t="s">
        <v>59</v>
      </c>
      <c r="B2344" t="str">
        <f>"301149"</f>
        <v>301149</v>
      </c>
      <c r="C2344" t="s">
        <v>5026</v>
      </c>
      <c r="D2344" t="s">
        <v>1252</v>
      </c>
      <c r="F2344">
        <v>193355146</v>
      </c>
      <c r="G2344">
        <v>81300032</v>
      </c>
      <c r="H2344">
        <v>156738089</v>
      </c>
      <c r="I2344">
        <v>79175631</v>
      </c>
      <c r="J2344">
        <v>17420321</v>
      </c>
      <c r="P2344">
        <v>17</v>
      </c>
      <c r="Q2344" t="s">
        <v>5027</v>
      </c>
    </row>
    <row r="2345" spans="1:17" x14ac:dyDescent="0.3">
      <c r="A2345" t="s">
        <v>59</v>
      </c>
      <c r="B2345" t="str">
        <f>"300304"</f>
        <v>300304</v>
      </c>
      <c r="C2345" t="s">
        <v>5028</v>
      </c>
      <c r="D2345" t="s">
        <v>575</v>
      </c>
      <c r="F2345">
        <v>216474300</v>
      </c>
      <c r="G2345">
        <v>117425275</v>
      </c>
      <c r="H2345">
        <v>156733736</v>
      </c>
      <c r="I2345">
        <v>113578483</v>
      </c>
      <c r="J2345">
        <v>127449393</v>
      </c>
      <c r="K2345">
        <v>92320380</v>
      </c>
      <c r="L2345">
        <v>103062915</v>
      </c>
      <c r="M2345">
        <v>66144734</v>
      </c>
      <c r="N2345">
        <v>35390357</v>
      </c>
      <c r="O2345">
        <v>88927234</v>
      </c>
      <c r="P2345">
        <v>114</v>
      </c>
      <c r="Q2345" t="s">
        <v>5029</v>
      </c>
    </row>
    <row r="2346" spans="1:17" x14ac:dyDescent="0.3">
      <c r="A2346" t="s">
        <v>59</v>
      </c>
      <c r="B2346" t="str">
        <f>"003018"</f>
        <v>003018</v>
      </c>
      <c r="C2346" t="s">
        <v>5030</v>
      </c>
      <c r="D2346" t="s">
        <v>1741</v>
      </c>
      <c r="F2346">
        <v>180025009</v>
      </c>
      <c r="G2346">
        <v>133745865</v>
      </c>
      <c r="H2346">
        <v>156490792</v>
      </c>
      <c r="I2346">
        <v>119015711</v>
      </c>
      <c r="J2346">
        <v>84438303</v>
      </c>
      <c r="K2346">
        <v>111006947</v>
      </c>
      <c r="P2346">
        <v>38</v>
      </c>
      <c r="Q2346" t="s">
        <v>5031</v>
      </c>
    </row>
    <row r="2347" spans="1:17" x14ac:dyDescent="0.3">
      <c r="A2347" t="s">
        <v>59</v>
      </c>
      <c r="B2347" t="str">
        <f>"000715"</f>
        <v>000715</v>
      </c>
      <c r="C2347" t="s">
        <v>5032</v>
      </c>
      <c r="D2347" t="s">
        <v>1361</v>
      </c>
      <c r="F2347">
        <v>158764772</v>
      </c>
      <c r="G2347">
        <v>145138094</v>
      </c>
      <c r="H2347">
        <v>156014295</v>
      </c>
      <c r="I2347">
        <v>105894699</v>
      </c>
      <c r="J2347">
        <v>105640209</v>
      </c>
      <c r="K2347">
        <v>50720349</v>
      </c>
      <c r="L2347">
        <v>73299458</v>
      </c>
      <c r="M2347">
        <v>28724395</v>
      </c>
      <c r="N2347">
        <v>157945241</v>
      </c>
      <c r="O2347">
        <v>278610618</v>
      </c>
      <c r="P2347">
        <v>103</v>
      </c>
      <c r="Q2347" t="s">
        <v>5033</v>
      </c>
    </row>
    <row r="2348" spans="1:17" x14ac:dyDescent="0.3">
      <c r="A2348" t="s">
        <v>17</v>
      </c>
      <c r="B2348" t="str">
        <f>"688626"</f>
        <v>688626</v>
      </c>
      <c r="C2348" t="s">
        <v>5034</v>
      </c>
      <c r="D2348" t="s">
        <v>485</v>
      </c>
      <c r="F2348">
        <v>165880604</v>
      </c>
      <c r="G2348">
        <v>216403459</v>
      </c>
      <c r="H2348">
        <v>155943756</v>
      </c>
      <c r="I2348">
        <v>74199041</v>
      </c>
      <c r="J2348">
        <v>59312943</v>
      </c>
      <c r="P2348">
        <v>82</v>
      </c>
      <c r="Q2348" t="s">
        <v>5035</v>
      </c>
    </row>
    <row r="2349" spans="1:17" x14ac:dyDescent="0.3">
      <c r="A2349" t="s">
        <v>17</v>
      </c>
      <c r="B2349" t="str">
        <f>"603989"</f>
        <v>603989</v>
      </c>
      <c r="C2349" t="s">
        <v>5036</v>
      </c>
      <c r="D2349" t="s">
        <v>1180</v>
      </c>
      <c r="F2349">
        <v>290936577</v>
      </c>
      <c r="G2349">
        <v>263611145</v>
      </c>
      <c r="H2349">
        <v>155887681</v>
      </c>
      <c r="I2349">
        <v>230461691</v>
      </c>
      <c r="J2349">
        <v>170191652</v>
      </c>
      <c r="K2349">
        <v>356632052</v>
      </c>
      <c r="L2349">
        <v>250616815</v>
      </c>
      <c r="M2349">
        <v>237356904</v>
      </c>
      <c r="N2349">
        <v>210172916</v>
      </c>
      <c r="O2349">
        <v>161361724</v>
      </c>
      <c r="P2349">
        <v>12177</v>
      </c>
      <c r="Q2349" t="s">
        <v>5037</v>
      </c>
    </row>
    <row r="2350" spans="1:17" x14ac:dyDescent="0.3">
      <c r="A2350" t="s">
        <v>59</v>
      </c>
      <c r="B2350" t="str">
        <f>"000430"</f>
        <v>000430</v>
      </c>
      <c r="C2350" t="s">
        <v>5038</v>
      </c>
      <c r="D2350" t="s">
        <v>2982</v>
      </c>
      <c r="F2350">
        <v>-12442893</v>
      </c>
      <c r="G2350">
        <v>-21621184</v>
      </c>
      <c r="H2350">
        <v>155829995</v>
      </c>
      <c r="I2350">
        <v>147534263</v>
      </c>
      <c r="J2350">
        <v>122326959</v>
      </c>
      <c r="K2350">
        <v>132474551</v>
      </c>
      <c r="L2350">
        <v>209063706</v>
      </c>
      <c r="M2350">
        <v>109346043</v>
      </c>
      <c r="N2350">
        <v>85056613</v>
      </c>
      <c r="O2350">
        <v>124408031</v>
      </c>
      <c r="P2350">
        <v>109</v>
      </c>
      <c r="Q2350" t="s">
        <v>5039</v>
      </c>
    </row>
    <row r="2351" spans="1:17" x14ac:dyDescent="0.3">
      <c r="A2351" t="s">
        <v>59</v>
      </c>
      <c r="B2351" t="str">
        <f>"002879"</f>
        <v>002879</v>
      </c>
      <c r="C2351" t="s">
        <v>5040</v>
      </c>
      <c r="D2351" t="s">
        <v>1065</v>
      </c>
      <c r="F2351">
        <v>101381992</v>
      </c>
      <c r="G2351">
        <v>80783606</v>
      </c>
      <c r="H2351">
        <v>155771477</v>
      </c>
      <c r="I2351">
        <v>60077135</v>
      </c>
      <c r="J2351">
        <v>54494827</v>
      </c>
      <c r="K2351">
        <v>111984072</v>
      </c>
      <c r="L2351">
        <v>63524404</v>
      </c>
      <c r="M2351">
        <v>96257277</v>
      </c>
      <c r="P2351">
        <v>266</v>
      </c>
      <c r="Q2351" t="s">
        <v>5041</v>
      </c>
    </row>
    <row r="2352" spans="1:17" x14ac:dyDescent="0.3">
      <c r="A2352" t="s">
        <v>59</v>
      </c>
      <c r="B2352" t="str">
        <f>"300829"</f>
        <v>300829</v>
      </c>
      <c r="C2352" t="s">
        <v>5042</v>
      </c>
      <c r="D2352" t="s">
        <v>853</v>
      </c>
      <c r="F2352">
        <v>48729701</v>
      </c>
      <c r="G2352">
        <v>152067535</v>
      </c>
      <c r="H2352">
        <v>155692960</v>
      </c>
      <c r="I2352">
        <v>95510582</v>
      </c>
      <c r="J2352">
        <v>105844882</v>
      </c>
      <c r="P2352">
        <v>125</v>
      </c>
      <c r="Q2352" t="s">
        <v>5043</v>
      </c>
    </row>
    <row r="2353" spans="1:17" x14ac:dyDescent="0.3">
      <c r="A2353" t="s">
        <v>59</v>
      </c>
      <c r="B2353" t="str">
        <f>"002618"</f>
        <v>002618</v>
      </c>
      <c r="C2353" t="s">
        <v>5044</v>
      </c>
      <c r="D2353" t="s">
        <v>539</v>
      </c>
      <c r="F2353">
        <v>-17907264</v>
      </c>
      <c r="G2353">
        <v>14679083</v>
      </c>
      <c r="H2353">
        <v>155676523</v>
      </c>
      <c r="I2353">
        <v>213484374</v>
      </c>
      <c r="J2353">
        <v>212631765</v>
      </c>
      <c r="K2353">
        <v>138973671</v>
      </c>
      <c r="L2353">
        <v>40557326</v>
      </c>
      <c r="M2353">
        <v>39338564</v>
      </c>
      <c r="N2353">
        <v>117352778</v>
      </c>
      <c r="O2353">
        <v>89983000</v>
      </c>
      <c r="P2353">
        <v>135</v>
      </c>
      <c r="Q2353" t="s">
        <v>5045</v>
      </c>
    </row>
    <row r="2354" spans="1:17" x14ac:dyDescent="0.3">
      <c r="A2354" t="s">
        <v>59</v>
      </c>
      <c r="B2354" t="str">
        <f>"300425"</f>
        <v>300425</v>
      </c>
      <c r="C2354" t="s">
        <v>5046</v>
      </c>
      <c r="D2354" t="s">
        <v>669</v>
      </c>
      <c r="F2354">
        <v>181923592</v>
      </c>
      <c r="G2354">
        <v>221109171</v>
      </c>
      <c r="H2354">
        <v>155511720</v>
      </c>
      <c r="I2354">
        <v>-80513622</v>
      </c>
      <c r="J2354">
        <v>54262101</v>
      </c>
      <c r="K2354">
        <v>61560643</v>
      </c>
      <c r="L2354">
        <v>11929352</v>
      </c>
      <c r="M2354">
        <v>24146495</v>
      </c>
      <c r="N2354">
        <v>69736449</v>
      </c>
      <c r="O2354">
        <v>44833548</v>
      </c>
      <c r="P2354">
        <v>121</v>
      </c>
      <c r="Q2354" t="s">
        <v>5047</v>
      </c>
    </row>
    <row r="2355" spans="1:17" x14ac:dyDescent="0.3">
      <c r="A2355" t="s">
        <v>17</v>
      </c>
      <c r="B2355" t="str">
        <f>"600479"</f>
        <v>600479</v>
      </c>
      <c r="C2355" t="s">
        <v>5048</v>
      </c>
      <c r="D2355" t="s">
        <v>455</v>
      </c>
      <c r="F2355">
        <v>485573059</v>
      </c>
      <c r="G2355">
        <v>542373093</v>
      </c>
      <c r="H2355">
        <v>155493891</v>
      </c>
      <c r="I2355">
        <v>383466470</v>
      </c>
      <c r="J2355">
        <v>283466754</v>
      </c>
      <c r="K2355">
        <v>140879319</v>
      </c>
      <c r="L2355">
        <v>67484547</v>
      </c>
      <c r="M2355">
        <v>183342688</v>
      </c>
      <c r="N2355">
        <v>137632243</v>
      </c>
      <c r="O2355">
        <v>197816675</v>
      </c>
      <c r="P2355">
        <v>605</v>
      </c>
      <c r="Q2355" t="s">
        <v>5049</v>
      </c>
    </row>
    <row r="2356" spans="1:17" x14ac:dyDescent="0.3">
      <c r="A2356" t="s">
        <v>59</v>
      </c>
      <c r="B2356" t="str">
        <f>"300382"</f>
        <v>300382</v>
      </c>
      <c r="C2356" t="s">
        <v>5050</v>
      </c>
      <c r="D2356" t="s">
        <v>1351</v>
      </c>
      <c r="F2356">
        <v>217625158</v>
      </c>
      <c r="G2356">
        <v>128762690</v>
      </c>
      <c r="H2356">
        <v>155390975</v>
      </c>
      <c r="I2356">
        <v>-59683624</v>
      </c>
      <c r="J2356">
        <v>2447380</v>
      </c>
      <c r="K2356">
        <v>21776525</v>
      </c>
      <c r="L2356">
        <v>-13107682</v>
      </c>
      <c r="M2356">
        <v>110330702</v>
      </c>
      <c r="N2356">
        <v>11180025</v>
      </c>
      <c r="O2356">
        <v>42669055</v>
      </c>
      <c r="P2356">
        <v>182</v>
      </c>
      <c r="Q2356" t="s">
        <v>5051</v>
      </c>
    </row>
    <row r="2357" spans="1:17" x14ac:dyDescent="0.3">
      <c r="A2357" t="s">
        <v>59</v>
      </c>
      <c r="B2357" t="str">
        <f>"000534"</f>
        <v>000534</v>
      </c>
      <c r="C2357" t="s">
        <v>5052</v>
      </c>
      <c r="D2357" t="s">
        <v>1062</v>
      </c>
      <c r="F2357">
        <v>136667739</v>
      </c>
      <c r="G2357">
        <v>142422523</v>
      </c>
      <c r="H2357">
        <v>155333410</v>
      </c>
      <c r="I2357">
        <v>-110532883</v>
      </c>
      <c r="J2357">
        <v>66809728</v>
      </c>
      <c r="K2357">
        <v>-204917461</v>
      </c>
      <c r="L2357">
        <v>-8213756</v>
      </c>
      <c r="M2357">
        <v>336490823</v>
      </c>
      <c r="N2357">
        <v>573042533</v>
      </c>
      <c r="O2357">
        <v>234995591</v>
      </c>
      <c r="P2357">
        <v>120</v>
      </c>
      <c r="Q2357" t="s">
        <v>5053</v>
      </c>
    </row>
    <row r="2358" spans="1:17" x14ac:dyDescent="0.3">
      <c r="A2358" t="s">
        <v>59</v>
      </c>
      <c r="B2358" t="str">
        <f>"002687"</f>
        <v>002687</v>
      </c>
      <c r="C2358" t="s">
        <v>5054</v>
      </c>
      <c r="D2358" t="s">
        <v>646</v>
      </c>
      <c r="F2358">
        <v>298047272</v>
      </c>
      <c r="G2358">
        <v>181271888</v>
      </c>
      <c r="H2358">
        <v>154992490</v>
      </c>
      <c r="I2358">
        <v>119600166</v>
      </c>
      <c r="J2358">
        <v>140256516</v>
      </c>
      <c r="K2358">
        <v>129202833</v>
      </c>
      <c r="L2358">
        <v>92944972</v>
      </c>
      <c r="M2358">
        <v>103718616</v>
      </c>
      <c r="N2358">
        <v>132090007</v>
      </c>
      <c r="O2358">
        <v>62715713</v>
      </c>
      <c r="P2358">
        <v>127</v>
      </c>
      <c r="Q2358" t="s">
        <v>5055</v>
      </c>
    </row>
    <row r="2359" spans="1:17" x14ac:dyDescent="0.3">
      <c r="A2359" t="s">
        <v>17</v>
      </c>
      <c r="B2359" t="str">
        <f>"688526"</f>
        <v>688526</v>
      </c>
      <c r="C2359" t="s">
        <v>5056</v>
      </c>
      <c r="D2359" t="s">
        <v>3061</v>
      </c>
      <c r="F2359">
        <v>531270021</v>
      </c>
      <c r="G2359">
        <v>400136846</v>
      </c>
      <c r="H2359">
        <v>154888411</v>
      </c>
      <c r="I2359">
        <v>351834753</v>
      </c>
      <c r="J2359">
        <v>337611846</v>
      </c>
      <c r="K2359">
        <v>220692785</v>
      </c>
      <c r="P2359">
        <v>147</v>
      </c>
      <c r="Q2359" t="s">
        <v>5057</v>
      </c>
    </row>
    <row r="2360" spans="1:17" x14ac:dyDescent="0.3">
      <c r="A2360" t="s">
        <v>59</v>
      </c>
      <c r="B2360" t="str">
        <f>"002742"</f>
        <v>002742</v>
      </c>
      <c r="C2360" t="s">
        <v>5058</v>
      </c>
      <c r="D2360" t="s">
        <v>1006</v>
      </c>
      <c r="F2360">
        <v>139837805</v>
      </c>
      <c r="G2360">
        <v>140899447</v>
      </c>
      <c r="H2360">
        <v>154662019</v>
      </c>
      <c r="I2360">
        <v>-85464594</v>
      </c>
      <c r="J2360">
        <v>179347703</v>
      </c>
      <c r="K2360">
        <v>125118624</v>
      </c>
      <c r="L2360">
        <v>56077731</v>
      </c>
      <c r="M2360">
        <v>-118954121</v>
      </c>
      <c r="N2360">
        <v>-47276330</v>
      </c>
      <c r="O2360">
        <v>23514803</v>
      </c>
      <c r="P2360">
        <v>67</v>
      </c>
      <c r="Q2360" t="s">
        <v>5059</v>
      </c>
    </row>
    <row r="2361" spans="1:17" x14ac:dyDescent="0.3">
      <c r="A2361" t="s">
        <v>17</v>
      </c>
      <c r="B2361" t="str">
        <f>"603212"</f>
        <v>603212</v>
      </c>
      <c r="C2361" t="s">
        <v>5060</v>
      </c>
      <c r="D2361" t="s">
        <v>1340</v>
      </c>
      <c r="F2361">
        <v>-177128808</v>
      </c>
      <c r="G2361">
        <v>28921770</v>
      </c>
      <c r="H2361">
        <v>154611645</v>
      </c>
      <c r="I2361">
        <v>86334248</v>
      </c>
      <c r="J2361">
        <v>81450871</v>
      </c>
      <c r="P2361">
        <v>129</v>
      </c>
      <c r="Q2361" t="s">
        <v>5061</v>
      </c>
    </row>
    <row r="2362" spans="1:17" x14ac:dyDescent="0.3">
      <c r="A2362" t="s">
        <v>59</v>
      </c>
      <c r="B2362" t="str">
        <f>"002286"</f>
        <v>002286</v>
      </c>
      <c r="C2362" t="s">
        <v>5062</v>
      </c>
      <c r="D2362" t="s">
        <v>623</v>
      </c>
      <c r="F2362">
        <v>206267703</v>
      </c>
      <c r="G2362">
        <v>398458456</v>
      </c>
      <c r="H2362">
        <v>153953676</v>
      </c>
      <c r="I2362">
        <v>133050032</v>
      </c>
      <c r="J2362">
        <v>-36907072</v>
      </c>
      <c r="K2362">
        <v>108983614</v>
      </c>
      <c r="L2362">
        <v>77485824</v>
      </c>
      <c r="M2362">
        <v>101769170</v>
      </c>
      <c r="N2362">
        <v>85597751</v>
      </c>
      <c r="O2362">
        <v>94152652</v>
      </c>
      <c r="P2362">
        <v>179</v>
      </c>
      <c r="Q2362" t="s">
        <v>5063</v>
      </c>
    </row>
    <row r="2363" spans="1:17" x14ac:dyDescent="0.3">
      <c r="A2363" t="s">
        <v>17</v>
      </c>
      <c r="B2363" t="str">
        <f>"688199"</f>
        <v>688199</v>
      </c>
      <c r="C2363" t="s">
        <v>5064</v>
      </c>
      <c r="D2363" t="s">
        <v>1252</v>
      </c>
      <c r="F2363">
        <v>73047039</v>
      </c>
      <c r="G2363">
        <v>190983693</v>
      </c>
      <c r="H2363">
        <v>153901917</v>
      </c>
      <c r="I2363">
        <v>126820621</v>
      </c>
      <c r="J2363">
        <v>68045758</v>
      </c>
      <c r="K2363">
        <v>18237041</v>
      </c>
      <c r="P2363">
        <v>94</v>
      </c>
      <c r="Q2363" t="s">
        <v>5065</v>
      </c>
    </row>
    <row r="2364" spans="1:17" x14ac:dyDescent="0.3">
      <c r="A2364" t="s">
        <v>59</v>
      </c>
      <c r="B2364" t="str">
        <f>"300282"</f>
        <v>300282</v>
      </c>
      <c r="C2364" t="s">
        <v>5066</v>
      </c>
      <c r="D2364" t="s">
        <v>904</v>
      </c>
      <c r="F2364">
        <v>-169959820</v>
      </c>
      <c r="G2364">
        <v>88838416</v>
      </c>
      <c r="H2364">
        <v>153552778</v>
      </c>
      <c r="I2364">
        <v>-65642440</v>
      </c>
      <c r="J2364">
        <v>-40889232</v>
      </c>
      <c r="K2364">
        <v>158514313</v>
      </c>
      <c r="L2364">
        <v>187449389</v>
      </c>
      <c r="M2364">
        <v>19267828</v>
      </c>
      <c r="N2364">
        <v>-12729599</v>
      </c>
      <c r="O2364">
        <v>-3737366</v>
      </c>
      <c r="P2364">
        <v>100</v>
      </c>
      <c r="Q2364" t="s">
        <v>5067</v>
      </c>
    </row>
    <row r="2365" spans="1:17" x14ac:dyDescent="0.3">
      <c r="A2365" t="s">
        <v>17</v>
      </c>
      <c r="B2365" t="str">
        <f>"603109"</f>
        <v>603109</v>
      </c>
      <c r="C2365" t="s">
        <v>5068</v>
      </c>
      <c r="D2365" t="s">
        <v>1226</v>
      </c>
      <c r="F2365">
        <v>-137402682</v>
      </c>
      <c r="G2365">
        <v>149798167</v>
      </c>
      <c r="H2365">
        <v>153461021</v>
      </c>
      <c r="I2365">
        <v>144550769</v>
      </c>
      <c r="J2365">
        <v>30774468</v>
      </c>
      <c r="K2365">
        <v>118134268</v>
      </c>
      <c r="P2365">
        <v>80</v>
      </c>
      <c r="Q2365" t="s">
        <v>5069</v>
      </c>
    </row>
    <row r="2366" spans="1:17" x14ac:dyDescent="0.3">
      <c r="A2366" t="s">
        <v>59</v>
      </c>
      <c r="B2366" t="str">
        <f>"002492"</f>
        <v>002492</v>
      </c>
      <c r="C2366" t="s">
        <v>5070</v>
      </c>
      <c r="D2366" t="s">
        <v>1734</v>
      </c>
      <c r="F2366">
        <v>195076324</v>
      </c>
      <c r="G2366">
        <v>117505989</v>
      </c>
      <c r="H2366">
        <v>153381134</v>
      </c>
      <c r="I2366">
        <v>108125383</v>
      </c>
      <c r="J2366">
        <v>127171268</v>
      </c>
      <c r="K2366">
        <v>110454398</v>
      </c>
      <c r="L2366">
        <v>27984114</v>
      </c>
      <c r="M2366">
        <v>88041062</v>
      </c>
      <c r="N2366">
        <v>89517059</v>
      </c>
      <c r="O2366">
        <v>103591215</v>
      </c>
      <c r="P2366">
        <v>94</v>
      </c>
      <c r="Q2366" t="s">
        <v>5071</v>
      </c>
    </row>
    <row r="2367" spans="1:17" x14ac:dyDescent="0.3">
      <c r="A2367" t="s">
        <v>17</v>
      </c>
      <c r="B2367" t="str">
        <f>"603607"</f>
        <v>603607</v>
      </c>
      <c r="C2367" t="s">
        <v>5072</v>
      </c>
      <c r="D2367" t="s">
        <v>5073</v>
      </c>
      <c r="F2367">
        <v>126788767</v>
      </c>
      <c r="G2367">
        <v>104408110</v>
      </c>
      <c r="H2367">
        <v>153347904</v>
      </c>
      <c r="I2367">
        <v>79738893</v>
      </c>
      <c r="J2367">
        <v>127954313</v>
      </c>
      <c r="K2367">
        <v>93266399</v>
      </c>
      <c r="L2367">
        <v>42092478</v>
      </c>
      <c r="M2367">
        <v>82351605</v>
      </c>
      <c r="P2367">
        <v>109</v>
      </c>
      <c r="Q2367" t="s">
        <v>5074</v>
      </c>
    </row>
    <row r="2368" spans="1:17" x14ac:dyDescent="0.3">
      <c r="A2368" t="s">
        <v>17</v>
      </c>
      <c r="B2368" t="str">
        <f>"603697"</f>
        <v>603697</v>
      </c>
      <c r="C2368" t="s">
        <v>5075</v>
      </c>
      <c r="D2368" t="s">
        <v>2353</v>
      </c>
      <c r="F2368">
        <v>247580890</v>
      </c>
      <c r="G2368">
        <v>120241317</v>
      </c>
      <c r="H2368">
        <v>153181025</v>
      </c>
      <c r="I2368">
        <v>65591351</v>
      </c>
      <c r="J2368">
        <v>240821063</v>
      </c>
      <c r="K2368">
        <v>174800751</v>
      </c>
      <c r="P2368">
        <v>394</v>
      </c>
      <c r="Q2368" t="s">
        <v>5076</v>
      </c>
    </row>
    <row r="2369" spans="1:17" x14ac:dyDescent="0.3">
      <c r="A2369" t="s">
        <v>59</v>
      </c>
      <c r="B2369" t="str">
        <f>"002510"</f>
        <v>002510</v>
      </c>
      <c r="C2369" t="s">
        <v>5077</v>
      </c>
      <c r="D2369" t="s">
        <v>1226</v>
      </c>
      <c r="F2369">
        <v>164144557</v>
      </c>
      <c r="G2369">
        <v>197540036</v>
      </c>
      <c r="H2369">
        <v>152994838</v>
      </c>
      <c r="I2369">
        <v>-260556493</v>
      </c>
      <c r="J2369">
        <v>134292646</v>
      </c>
      <c r="K2369">
        <v>97525715</v>
      </c>
      <c r="L2369">
        <v>73507839</v>
      </c>
      <c r="M2369">
        <v>-1902317</v>
      </c>
      <c r="N2369">
        <v>99420549</v>
      </c>
      <c r="O2369">
        <v>126534788</v>
      </c>
      <c r="P2369">
        <v>208</v>
      </c>
      <c r="Q2369" t="s">
        <v>5078</v>
      </c>
    </row>
    <row r="2370" spans="1:17" x14ac:dyDescent="0.3">
      <c r="A2370" t="s">
        <v>59</v>
      </c>
      <c r="B2370" t="str">
        <f>"300464"</f>
        <v>300464</v>
      </c>
      <c r="C2370" t="s">
        <v>5079</v>
      </c>
      <c r="D2370" t="s">
        <v>3040</v>
      </c>
      <c r="F2370">
        <v>209248476</v>
      </c>
      <c r="G2370">
        <v>-151994701</v>
      </c>
      <c r="H2370">
        <v>152886243</v>
      </c>
      <c r="I2370">
        <v>14471513</v>
      </c>
      <c r="J2370">
        <v>42930509</v>
      </c>
      <c r="K2370">
        <v>93226292</v>
      </c>
      <c r="L2370">
        <v>41542854</v>
      </c>
      <c r="M2370">
        <v>56169745</v>
      </c>
      <c r="N2370">
        <v>56694298</v>
      </c>
      <c r="O2370">
        <v>46474175</v>
      </c>
      <c r="P2370">
        <v>121</v>
      </c>
      <c r="Q2370" t="s">
        <v>5080</v>
      </c>
    </row>
    <row r="2371" spans="1:17" x14ac:dyDescent="0.3">
      <c r="A2371" t="s">
        <v>59</v>
      </c>
      <c r="B2371" t="str">
        <f>"002861"</f>
        <v>002861</v>
      </c>
      <c r="C2371" t="s">
        <v>5081</v>
      </c>
      <c r="D2371" t="s">
        <v>349</v>
      </c>
      <c r="F2371">
        <v>91753339</v>
      </c>
      <c r="G2371">
        <v>145276367</v>
      </c>
      <c r="H2371">
        <v>152846656</v>
      </c>
      <c r="I2371">
        <v>7449317</v>
      </c>
      <c r="J2371">
        <v>64439774</v>
      </c>
      <c r="K2371">
        <v>94907544</v>
      </c>
      <c r="L2371">
        <v>155646780</v>
      </c>
      <c r="M2371">
        <v>110358981</v>
      </c>
      <c r="P2371">
        <v>155</v>
      </c>
      <c r="Q2371" t="s">
        <v>5082</v>
      </c>
    </row>
    <row r="2372" spans="1:17" x14ac:dyDescent="0.3">
      <c r="A2372" t="s">
        <v>17</v>
      </c>
      <c r="B2372" t="str">
        <f>"603222"</f>
        <v>603222</v>
      </c>
      <c r="C2372" t="s">
        <v>5083</v>
      </c>
      <c r="D2372" t="s">
        <v>1036</v>
      </c>
      <c r="F2372">
        <v>289491046</v>
      </c>
      <c r="G2372">
        <v>166292927</v>
      </c>
      <c r="H2372">
        <v>152773604</v>
      </c>
      <c r="I2372">
        <v>123987470</v>
      </c>
      <c r="J2372">
        <v>66493812</v>
      </c>
      <c r="K2372">
        <v>72115825</v>
      </c>
      <c r="L2372">
        <v>87463446</v>
      </c>
      <c r="M2372">
        <v>77356249</v>
      </c>
      <c r="N2372">
        <v>108185757</v>
      </c>
      <c r="O2372">
        <v>169879358</v>
      </c>
      <c r="P2372">
        <v>171</v>
      </c>
      <c r="Q2372" t="s">
        <v>5084</v>
      </c>
    </row>
    <row r="2373" spans="1:17" x14ac:dyDescent="0.3">
      <c r="A2373" t="s">
        <v>59</v>
      </c>
      <c r="B2373" t="str">
        <f>"002315"</f>
        <v>002315</v>
      </c>
      <c r="C2373" t="s">
        <v>5085</v>
      </c>
      <c r="D2373" t="s">
        <v>3040</v>
      </c>
      <c r="F2373">
        <v>516353037</v>
      </c>
      <c r="G2373">
        <v>539857104</v>
      </c>
      <c r="H2373">
        <v>152302276</v>
      </c>
      <c r="I2373">
        <v>301457531</v>
      </c>
      <c r="J2373">
        <v>-117953484</v>
      </c>
      <c r="K2373">
        <v>86315187</v>
      </c>
      <c r="L2373">
        <v>68492473</v>
      </c>
      <c r="M2373">
        <v>99895923</v>
      </c>
      <c r="N2373">
        <v>182219745</v>
      </c>
      <c r="O2373">
        <v>102552304</v>
      </c>
      <c r="P2373">
        <v>221</v>
      </c>
      <c r="Q2373" t="s">
        <v>5086</v>
      </c>
    </row>
    <row r="2374" spans="1:17" x14ac:dyDescent="0.3">
      <c r="A2374" t="s">
        <v>17</v>
      </c>
      <c r="B2374" t="str">
        <f>"605228"</f>
        <v>605228</v>
      </c>
      <c r="C2374" t="s">
        <v>5087</v>
      </c>
      <c r="D2374" t="s">
        <v>289</v>
      </c>
      <c r="F2374">
        <v>145204400</v>
      </c>
      <c r="G2374">
        <v>235109348</v>
      </c>
      <c r="H2374">
        <v>152245733</v>
      </c>
      <c r="I2374">
        <v>60672109</v>
      </c>
      <c r="J2374">
        <v>227804413</v>
      </c>
      <c r="P2374">
        <v>30</v>
      </c>
      <c r="Q2374" t="s">
        <v>5088</v>
      </c>
    </row>
    <row r="2375" spans="1:17" x14ac:dyDescent="0.3">
      <c r="A2375" t="s">
        <v>17</v>
      </c>
      <c r="B2375" t="str">
        <f>"600680"</f>
        <v>600680</v>
      </c>
      <c r="C2375" t="s">
        <v>5089</v>
      </c>
      <c r="H2375">
        <v>152109017</v>
      </c>
      <c r="I2375">
        <v>56910847</v>
      </c>
      <c r="J2375">
        <v>-2734596</v>
      </c>
      <c r="K2375">
        <v>8486948</v>
      </c>
      <c r="L2375">
        <v>-173223024.84999999</v>
      </c>
      <c r="M2375">
        <v>-267182788.58000001</v>
      </c>
      <c r="N2375">
        <v>-271875294.17000002</v>
      </c>
      <c r="O2375">
        <v>-143715382.44999999</v>
      </c>
      <c r="P2375">
        <v>20</v>
      </c>
      <c r="Q2375" t="s">
        <v>5090</v>
      </c>
    </row>
    <row r="2376" spans="1:17" x14ac:dyDescent="0.3">
      <c r="A2376" t="s">
        <v>17</v>
      </c>
      <c r="B2376" t="str">
        <f>"603017"</f>
        <v>603017</v>
      </c>
      <c r="C2376" t="s">
        <v>5091</v>
      </c>
      <c r="D2376" t="s">
        <v>2254</v>
      </c>
      <c r="F2376">
        <v>354250886</v>
      </c>
      <c r="G2376">
        <v>255949637</v>
      </c>
      <c r="H2376">
        <v>152090570</v>
      </c>
      <c r="I2376">
        <v>89218268</v>
      </c>
      <c r="J2376">
        <v>179540902</v>
      </c>
      <c r="K2376">
        <v>93650513</v>
      </c>
      <c r="L2376">
        <v>55445288</v>
      </c>
      <c r="M2376">
        <v>90266681</v>
      </c>
      <c r="N2376">
        <v>96453085</v>
      </c>
      <c r="O2376">
        <v>105404158</v>
      </c>
      <c r="P2376">
        <v>121</v>
      </c>
      <c r="Q2376" t="s">
        <v>5092</v>
      </c>
    </row>
    <row r="2377" spans="1:17" x14ac:dyDescent="0.3">
      <c r="A2377" t="s">
        <v>59</v>
      </c>
      <c r="B2377" t="str">
        <f>"003019"</f>
        <v>003019</v>
      </c>
      <c r="C2377" t="s">
        <v>5093</v>
      </c>
      <c r="D2377" t="s">
        <v>139</v>
      </c>
      <c r="F2377">
        <v>-229445860</v>
      </c>
      <c r="G2377">
        <v>90686425</v>
      </c>
      <c r="H2377">
        <v>151873114</v>
      </c>
      <c r="I2377">
        <v>51246432</v>
      </c>
      <c r="J2377">
        <v>99404406</v>
      </c>
      <c r="K2377">
        <v>63763282</v>
      </c>
      <c r="P2377">
        <v>62</v>
      </c>
      <c r="Q2377" t="s">
        <v>5094</v>
      </c>
    </row>
    <row r="2378" spans="1:17" x14ac:dyDescent="0.3">
      <c r="A2378" t="s">
        <v>59</v>
      </c>
      <c r="B2378" t="str">
        <f>"002261"</f>
        <v>002261</v>
      </c>
      <c r="C2378" t="s">
        <v>5095</v>
      </c>
      <c r="D2378" t="s">
        <v>904</v>
      </c>
      <c r="F2378">
        <v>167888953</v>
      </c>
      <c r="G2378">
        <v>84477535</v>
      </c>
      <c r="H2378">
        <v>151872725</v>
      </c>
      <c r="I2378">
        <v>20240133</v>
      </c>
      <c r="J2378">
        <v>140955595</v>
      </c>
      <c r="K2378">
        <v>199336365</v>
      </c>
      <c r="L2378">
        <v>85570103</v>
      </c>
      <c r="M2378">
        <v>108736305</v>
      </c>
      <c r="N2378">
        <v>55533769</v>
      </c>
      <c r="O2378">
        <v>57617193</v>
      </c>
      <c r="P2378">
        <v>299</v>
      </c>
      <c r="Q2378" t="s">
        <v>5096</v>
      </c>
    </row>
    <row r="2379" spans="1:17" x14ac:dyDescent="0.3">
      <c r="A2379" t="s">
        <v>17</v>
      </c>
      <c r="B2379" t="str">
        <f>"603080"</f>
        <v>603080</v>
      </c>
      <c r="C2379" t="s">
        <v>5097</v>
      </c>
      <c r="D2379" t="s">
        <v>883</v>
      </c>
      <c r="F2379">
        <v>140886155</v>
      </c>
      <c r="G2379">
        <v>213662007</v>
      </c>
      <c r="H2379">
        <v>151667614</v>
      </c>
      <c r="I2379">
        <v>112429772</v>
      </c>
      <c r="J2379">
        <v>94899900</v>
      </c>
      <c r="K2379">
        <v>85383031</v>
      </c>
      <c r="L2379">
        <v>122535501</v>
      </c>
      <c r="M2379">
        <v>80220171</v>
      </c>
      <c r="P2379">
        <v>93</v>
      </c>
      <c r="Q2379" t="s">
        <v>5098</v>
      </c>
    </row>
    <row r="2380" spans="1:17" x14ac:dyDescent="0.3">
      <c r="A2380" t="s">
        <v>59</v>
      </c>
      <c r="B2380" t="str">
        <f>"300695"</f>
        <v>300695</v>
      </c>
      <c r="C2380" t="s">
        <v>5099</v>
      </c>
      <c r="D2380" t="s">
        <v>767</v>
      </c>
      <c r="F2380">
        <v>139706005</v>
      </c>
      <c r="G2380">
        <v>211355874</v>
      </c>
      <c r="H2380">
        <v>151654222</v>
      </c>
      <c r="I2380">
        <v>140978180</v>
      </c>
      <c r="J2380">
        <v>219674589</v>
      </c>
      <c r="K2380">
        <v>195283680</v>
      </c>
      <c r="L2380">
        <v>140775147</v>
      </c>
      <c r="M2380">
        <v>93639046</v>
      </c>
      <c r="P2380">
        <v>125</v>
      </c>
      <c r="Q2380" t="s">
        <v>5100</v>
      </c>
    </row>
    <row r="2381" spans="1:17" x14ac:dyDescent="0.3">
      <c r="A2381" t="s">
        <v>59</v>
      </c>
      <c r="B2381" t="str">
        <f>"300685"</f>
        <v>300685</v>
      </c>
      <c r="C2381" t="s">
        <v>5101</v>
      </c>
      <c r="D2381" t="s">
        <v>1953</v>
      </c>
      <c r="F2381">
        <v>168161324</v>
      </c>
      <c r="G2381">
        <v>220694485</v>
      </c>
      <c r="H2381">
        <v>151524818</v>
      </c>
      <c r="I2381">
        <v>93448159</v>
      </c>
      <c r="J2381">
        <v>91890088</v>
      </c>
      <c r="K2381">
        <v>32184851</v>
      </c>
      <c r="L2381">
        <v>19095867</v>
      </c>
      <c r="M2381">
        <v>15690814</v>
      </c>
      <c r="P2381">
        <v>974</v>
      </c>
      <c r="Q2381" t="s">
        <v>5102</v>
      </c>
    </row>
    <row r="2382" spans="1:17" x14ac:dyDescent="0.3">
      <c r="A2382" t="s">
        <v>17</v>
      </c>
      <c r="B2382" t="str">
        <f>"600439"</f>
        <v>600439</v>
      </c>
      <c r="C2382" t="s">
        <v>5103</v>
      </c>
      <c r="D2382" t="s">
        <v>5104</v>
      </c>
      <c r="F2382">
        <v>222530806</v>
      </c>
      <c r="G2382">
        <v>146726778</v>
      </c>
      <c r="H2382">
        <v>151436345</v>
      </c>
      <c r="I2382">
        <v>-106477783</v>
      </c>
      <c r="J2382">
        <v>168735399</v>
      </c>
      <c r="K2382">
        <v>523134811</v>
      </c>
      <c r="L2382">
        <v>31341521</v>
      </c>
      <c r="M2382">
        <v>-45353301</v>
      </c>
      <c r="N2382">
        <v>45103987</v>
      </c>
      <c r="O2382">
        <v>-83847373</v>
      </c>
      <c r="P2382">
        <v>186</v>
      </c>
      <c r="Q2382" t="s">
        <v>5105</v>
      </c>
    </row>
    <row r="2383" spans="1:17" x14ac:dyDescent="0.3">
      <c r="A2383" t="s">
        <v>17</v>
      </c>
      <c r="B2383" t="str">
        <f>"605123"</f>
        <v>605123</v>
      </c>
      <c r="C2383" t="s">
        <v>5106</v>
      </c>
      <c r="D2383" t="s">
        <v>448</v>
      </c>
      <c r="F2383">
        <v>6091051</v>
      </c>
      <c r="G2383">
        <v>13269612</v>
      </c>
      <c r="H2383">
        <v>151356850</v>
      </c>
      <c r="I2383">
        <v>5937970</v>
      </c>
      <c r="J2383">
        <v>32408620</v>
      </c>
      <c r="P2383">
        <v>143</v>
      </c>
      <c r="Q2383" t="s">
        <v>5107</v>
      </c>
    </row>
    <row r="2384" spans="1:17" x14ac:dyDescent="0.3">
      <c r="A2384" t="s">
        <v>17</v>
      </c>
      <c r="B2384" t="str">
        <f>"688135"</f>
        <v>688135</v>
      </c>
      <c r="C2384" t="s">
        <v>5108</v>
      </c>
      <c r="D2384" t="s">
        <v>704</v>
      </c>
      <c r="F2384">
        <v>191780318</v>
      </c>
      <c r="G2384">
        <v>105365346</v>
      </c>
      <c r="H2384">
        <v>151347137</v>
      </c>
      <c r="I2384">
        <v>42996082</v>
      </c>
      <c r="J2384">
        <v>56854560</v>
      </c>
      <c r="K2384">
        <v>31687078</v>
      </c>
      <c r="P2384">
        <v>87</v>
      </c>
      <c r="Q2384" t="s">
        <v>5109</v>
      </c>
    </row>
    <row r="2385" spans="1:17" x14ac:dyDescent="0.3">
      <c r="A2385" t="s">
        <v>59</v>
      </c>
      <c r="B2385" t="str">
        <f>"300809"</f>
        <v>300809</v>
      </c>
      <c r="C2385" t="s">
        <v>5110</v>
      </c>
      <c r="D2385" t="s">
        <v>2705</v>
      </c>
      <c r="F2385">
        <v>44528928</v>
      </c>
      <c r="G2385">
        <v>98795014</v>
      </c>
      <c r="H2385">
        <v>151310941</v>
      </c>
      <c r="I2385">
        <v>80601435</v>
      </c>
      <c r="J2385">
        <v>62272793</v>
      </c>
      <c r="K2385">
        <v>14225202</v>
      </c>
      <c r="P2385">
        <v>110</v>
      </c>
      <c r="Q2385" t="s">
        <v>5111</v>
      </c>
    </row>
    <row r="2386" spans="1:17" x14ac:dyDescent="0.3">
      <c r="A2386" t="s">
        <v>59</v>
      </c>
      <c r="B2386" t="str">
        <f>"002923"</f>
        <v>002923</v>
      </c>
      <c r="C2386" t="s">
        <v>5112</v>
      </c>
      <c r="D2386" t="s">
        <v>592</v>
      </c>
      <c r="F2386">
        <v>205906013</v>
      </c>
      <c r="G2386">
        <v>250346178</v>
      </c>
      <c r="H2386">
        <v>151299880</v>
      </c>
      <c r="I2386">
        <v>159043847</v>
      </c>
      <c r="J2386">
        <v>57952640</v>
      </c>
      <c r="K2386">
        <v>94069922</v>
      </c>
      <c r="L2386">
        <v>50138967</v>
      </c>
      <c r="M2386">
        <v>58011477</v>
      </c>
      <c r="P2386">
        <v>165</v>
      </c>
      <c r="Q2386" t="s">
        <v>5113</v>
      </c>
    </row>
    <row r="2387" spans="1:17" x14ac:dyDescent="0.3">
      <c r="A2387" t="s">
        <v>17</v>
      </c>
      <c r="B2387" t="str">
        <f>"688390"</f>
        <v>688390</v>
      </c>
      <c r="C2387" t="s">
        <v>5114</v>
      </c>
      <c r="D2387" t="s">
        <v>868</v>
      </c>
      <c r="F2387">
        <v>296059991</v>
      </c>
      <c r="G2387">
        <v>439758484</v>
      </c>
      <c r="H2387">
        <v>151277033</v>
      </c>
      <c r="I2387">
        <v>68181769</v>
      </c>
      <c r="J2387">
        <v>174190176</v>
      </c>
      <c r="K2387">
        <v>119407247</v>
      </c>
      <c r="P2387">
        <v>283</v>
      </c>
      <c r="Q2387" t="s">
        <v>5115</v>
      </c>
    </row>
    <row r="2388" spans="1:17" x14ac:dyDescent="0.3">
      <c r="A2388" t="s">
        <v>17</v>
      </c>
      <c r="B2388" t="str">
        <f>"605337"</f>
        <v>605337</v>
      </c>
      <c r="C2388" t="s">
        <v>5116</v>
      </c>
      <c r="D2388" t="s">
        <v>1209</v>
      </c>
      <c r="F2388">
        <v>219486046</v>
      </c>
      <c r="G2388">
        <v>297040771</v>
      </c>
      <c r="H2388">
        <v>151080249</v>
      </c>
      <c r="I2388">
        <v>80957261</v>
      </c>
      <c r="J2388">
        <v>205353928</v>
      </c>
      <c r="K2388">
        <v>116034248</v>
      </c>
      <c r="P2388">
        <v>146</v>
      </c>
      <c r="Q2388" t="s">
        <v>5117</v>
      </c>
    </row>
    <row r="2389" spans="1:17" x14ac:dyDescent="0.3">
      <c r="A2389" t="s">
        <v>17</v>
      </c>
      <c r="B2389" t="str">
        <f>"688175"</f>
        <v>688175</v>
      </c>
      <c r="C2389" t="s">
        <v>5118</v>
      </c>
      <c r="F2389">
        <v>117373232</v>
      </c>
      <c r="G2389">
        <v>62197340</v>
      </c>
      <c r="H2389">
        <v>151046650</v>
      </c>
      <c r="I2389">
        <v>37114626</v>
      </c>
      <c r="P2389">
        <v>3</v>
      </c>
      <c r="Q2389" t="s">
        <v>5119</v>
      </c>
    </row>
    <row r="2390" spans="1:17" x14ac:dyDescent="0.3">
      <c r="A2390" t="s">
        <v>17</v>
      </c>
      <c r="B2390" t="str">
        <f>"603779"</f>
        <v>603779</v>
      </c>
      <c r="C2390" t="s">
        <v>5120</v>
      </c>
      <c r="D2390" t="s">
        <v>1964</v>
      </c>
      <c r="F2390">
        <v>59771201</v>
      </c>
      <c r="G2390">
        <v>49134716</v>
      </c>
      <c r="H2390">
        <v>151037958</v>
      </c>
      <c r="I2390">
        <v>50116415</v>
      </c>
      <c r="J2390">
        <v>63706320</v>
      </c>
      <c r="K2390">
        <v>60922472</v>
      </c>
      <c r="L2390">
        <v>154687138</v>
      </c>
      <c r="M2390">
        <v>257255185</v>
      </c>
      <c r="N2390">
        <v>129276305</v>
      </c>
      <c r="P2390">
        <v>101</v>
      </c>
      <c r="Q2390" t="s">
        <v>5121</v>
      </c>
    </row>
    <row r="2391" spans="1:17" x14ac:dyDescent="0.3">
      <c r="A2391" t="s">
        <v>59</v>
      </c>
      <c r="B2391" t="str">
        <f>"301258"</f>
        <v>301258</v>
      </c>
      <c r="C2391" t="s">
        <v>5122</v>
      </c>
      <c r="F2391">
        <v>199729417</v>
      </c>
      <c r="G2391">
        <v>166849477</v>
      </c>
      <c r="H2391">
        <v>150551398</v>
      </c>
      <c r="I2391">
        <v>105829985</v>
      </c>
      <c r="J2391">
        <v>99451596</v>
      </c>
      <c r="P2391">
        <v>4</v>
      </c>
      <c r="Q2391" t="s">
        <v>5123</v>
      </c>
    </row>
    <row r="2392" spans="1:17" x14ac:dyDescent="0.3">
      <c r="A2392" t="s">
        <v>59</v>
      </c>
      <c r="B2392" t="str">
        <f>"000532"</f>
        <v>000532</v>
      </c>
      <c r="C2392" t="s">
        <v>5124</v>
      </c>
      <c r="D2392" t="s">
        <v>3832</v>
      </c>
      <c r="F2392">
        <v>192156066</v>
      </c>
      <c r="G2392">
        <v>162217835</v>
      </c>
      <c r="H2392">
        <v>150316662</v>
      </c>
      <c r="I2392">
        <v>101940702</v>
      </c>
      <c r="J2392">
        <v>126188668</v>
      </c>
      <c r="K2392">
        <v>89913591</v>
      </c>
      <c r="L2392">
        <v>18484340</v>
      </c>
      <c r="M2392">
        <v>28323852</v>
      </c>
      <c r="N2392">
        <v>36648301</v>
      </c>
      <c r="O2392">
        <v>31580332</v>
      </c>
      <c r="P2392">
        <v>140</v>
      </c>
      <c r="Q2392" t="s">
        <v>5125</v>
      </c>
    </row>
    <row r="2393" spans="1:17" x14ac:dyDescent="0.3">
      <c r="A2393" t="s">
        <v>59</v>
      </c>
      <c r="B2393" t="str">
        <f>"002801"</f>
        <v>002801</v>
      </c>
      <c r="C2393" t="s">
        <v>5126</v>
      </c>
      <c r="D2393" t="s">
        <v>1556</v>
      </c>
      <c r="F2393">
        <v>176723499</v>
      </c>
      <c r="G2393">
        <v>131817900</v>
      </c>
      <c r="H2393">
        <v>150191268</v>
      </c>
      <c r="I2393">
        <v>66499776</v>
      </c>
      <c r="J2393">
        <v>80988918</v>
      </c>
      <c r="K2393">
        <v>93100530</v>
      </c>
      <c r="L2393">
        <v>97576394</v>
      </c>
      <c r="M2393">
        <v>64765024</v>
      </c>
      <c r="N2393">
        <v>61488993</v>
      </c>
      <c r="P2393">
        <v>201</v>
      </c>
      <c r="Q2393" t="s">
        <v>5127</v>
      </c>
    </row>
    <row r="2394" spans="1:17" x14ac:dyDescent="0.3">
      <c r="A2394" t="s">
        <v>17</v>
      </c>
      <c r="B2394" t="str">
        <f>"603033"</f>
        <v>603033</v>
      </c>
      <c r="C2394" t="s">
        <v>5128</v>
      </c>
      <c r="D2394" t="s">
        <v>3821</v>
      </c>
      <c r="F2394">
        <v>164648616</v>
      </c>
      <c r="G2394">
        <v>137535979</v>
      </c>
      <c r="H2394">
        <v>149884265</v>
      </c>
      <c r="I2394">
        <v>20985637</v>
      </c>
      <c r="J2394">
        <v>-68782538</v>
      </c>
      <c r="K2394">
        <v>157259419</v>
      </c>
      <c r="L2394">
        <v>87336945</v>
      </c>
      <c r="M2394">
        <v>21244571</v>
      </c>
      <c r="N2394">
        <v>82581021</v>
      </c>
      <c r="P2394">
        <v>99</v>
      </c>
      <c r="Q2394" t="s">
        <v>5129</v>
      </c>
    </row>
    <row r="2395" spans="1:17" x14ac:dyDescent="0.3">
      <c r="A2395" t="s">
        <v>17</v>
      </c>
      <c r="B2395" t="str">
        <f>"601069"</f>
        <v>601069</v>
      </c>
      <c r="C2395" t="s">
        <v>5130</v>
      </c>
      <c r="D2395" t="s">
        <v>530</v>
      </c>
      <c r="F2395">
        <v>102368896</v>
      </c>
      <c r="G2395">
        <v>436695055</v>
      </c>
      <c r="H2395">
        <v>149877131</v>
      </c>
      <c r="I2395">
        <v>52939810</v>
      </c>
      <c r="J2395">
        <v>223174291</v>
      </c>
      <c r="K2395">
        <v>255320460</v>
      </c>
      <c r="L2395">
        <v>109333678</v>
      </c>
      <c r="M2395">
        <v>302229247</v>
      </c>
      <c r="N2395">
        <v>220737501</v>
      </c>
      <c r="O2395">
        <v>368346009</v>
      </c>
      <c r="P2395">
        <v>142</v>
      </c>
      <c r="Q2395" t="s">
        <v>5131</v>
      </c>
    </row>
    <row r="2396" spans="1:17" x14ac:dyDescent="0.3">
      <c r="A2396" t="s">
        <v>17</v>
      </c>
      <c r="B2396" t="str">
        <f>"603283"</f>
        <v>603283</v>
      </c>
      <c r="C2396" t="s">
        <v>5132</v>
      </c>
      <c r="D2396" t="s">
        <v>1426</v>
      </c>
      <c r="F2396">
        <v>438426529</v>
      </c>
      <c r="G2396">
        <v>-416093883</v>
      </c>
      <c r="H2396">
        <v>149834229</v>
      </c>
      <c r="I2396">
        <v>-69622356</v>
      </c>
      <c r="J2396">
        <v>152284375</v>
      </c>
      <c r="K2396">
        <v>31199815</v>
      </c>
      <c r="L2396">
        <v>65509559</v>
      </c>
      <c r="M2396">
        <v>172454899</v>
      </c>
      <c r="P2396">
        <v>216</v>
      </c>
      <c r="Q2396" t="s">
        <v>5133</v>
      </c>
    </row>
    <row r="2397" spans="1:17" x14ac:dyDescent="0.3">
      <c r="A2397" t="s">
        <v>59</v>
      </c>
      <c r="B2397" t="str">
        <f>"300939"</f>
        <v>300939</v>
      </c>
      <c r="C2397" t="s">
        <v>5134</v>
      </c>
      <c r="D2397" t="s">
        <v>139</v>
      </c>
      <c r="F2397">
        <v>78851692</v>
      </c>
      <c r="G2397">
        <v>77121317</v>
      </c>
      <c r="H2397">
        <v>149677520</v>
      </c>
      <c r="I2397">
        <v>75815662</v>
      </c>
      <c r="J2397">
        <v>42092961</v>
      </c>
      <c r="K2397">
        <v>19039600</v>
      </c>
      <c r="P2397">
        <v>31</v>
      </c>
      <c r="Q2397" t="s">
        <v>5135</v>
      </c>
    </row>
    <row r="2398" spans="1:17" x14ac:dyDescent="0.3">
      <c r="A2398" t="s">
        <v>59</v>
      </c>
      <c r="B2398" t="str">
        <f>"003020"</f>
        <v>003020</v>
      </c>
      <c r="C2398" t="s">
        <v>5136</v>
      </c>
      <c r="D2398" t="s">
        <v>592</v>
      </c>
      <c r="F2398">
        <v>158702671</v>
      </c>
      <c r="G2398">
        <v>172489276</v>
      </c>
      <c r="H2398">
        <v>149299647</v>
      </c>
      <c r="I2398">
        <v>64451514</v>
      </c>
      <c r="J2398">
        <v>11323898</v>
      </c>
      <c r="K2398">
        <v>58994952</v>
      </c>
      <c r="P2398">
        <v>78</v>
      </c>
      <c r="Q2398" t="s">
        <v>5137</v>
      </c>
    </row>
    <row r="2399" spans="1:17" x14ac:dyDescent="0.3">
      <c r="A2399" t="s">
        <v>59</v>
      </c>
      <c r="B2399" t="str">
        <f>"300187"</f>
        <v>300187</v>
      </c>
      <c r="C2399" t="s">
        <v>5138</v>
      </c>
      <c r="D2399" t="s">
        <v>894</v>
      </c>
      <c r="F2399">
        <v>237763162</v>
      </c>
      <c r="G2399">
        <v>217377836</v>
      </c>
      <c r="H2399">
        <v>149243758</v>
      </c>
      <c r="I2399">
        <v>127403562</v>
      </c>
      <c r="J2399">
        <v>-163288215</v>
      </c>
      <c r="K2399">
        <v>308187311</v>
      </c>
      <c r="L2399">
        <v>15461664</v>
      </c>
      <c r="M2399">
        <v>116590628</v>
      </c>
      <c r="N2399">
        <v>21886530</v>
      </c>
      <c r="O2399">
        <v>-66004788</v>
      </c>
      <c r="P2399">
        <v>110</v>
      </c>
      <c r="Q2399" t="s">
        <v>5139</v>
      </c>
    </row>
    <row r="2400" spans="1:17" x14ac:dyDescent="0.3">
      <c r="A2400" t="s">
        <v>59</v>
      </c>
      <c r="B2400" t="str">
        <f>"301206"</f>
        <v>301206</v>
      </c>
      <c r="C2400" t="s">
        <v>5140</v>
      </c>
      <c r="F2400">
        <v>642075356</v>
      </c>
      <c r="G2400">
        <v>217367949</v>
      </c>
      <c r="H2400">
        <v>149214238</v>
      </c>
      <c r="I2400">
        <v>65461977</v>
      </c>
      <c r="J2400">
        <v>20247238</v>
      </c>
      <c r="P2400">
        <v>24</v>
      </c>
      <c r="Q2400" t="s">
        <v>5141</v>
      </c>
    </row>
    <row r="2401" spans="1:17" x14ac:dyDescent="0.3">
      <c r="A2401" t="s">
        <v>17</v>
      </c>
      <c r="B2401" t="str">
        <f>"688308"</f>
        <v>688308</v>
      </c>
      <c r="C2401" t="s">
        <v>5142</v>
      </c>
      <c r="D2401" t="s">
        <v>637</v>
      </c>
      <c r="F2401">
        <v>159532717</v>
      </c>
      <c r="G2401">
        <v>125646440</v>
      </c>
      <c r="H2401">
        <v>149062879</v>
      </c>
      <c r="I2401">
        <v>53948754</v>
      </c>
      <c r="J2401">
        <v>51612953</v>
      </c>
      <c r="P2401">
        <v>91</v>
      </c>
      <c r="Q2401" t="s">
        <v>5143</v>
      </c>
    </row>
    <row r="2402" spans="1:17" x14ac:dyDescent="0.3">
      <c r="A2402" t="s">
        <v>59</v>
      </c>
      <c r="B2402" t="str">
        <f>"000529"</f>
        <v>000529</v>
      </c>
      <c r="C2402" t="s">
        <v>5144</v>
      </c>
      <c r="D2402" t="s">
        <v>721</v>
      </c>
      <c r="F2402">
        <v>199305207</v>
      </c>
      <c r="G2402">
        <v>575580973</v>
      </c>
      <c r="H2402">
        <v>149041526</v>
      </c>
      <c r="I2402">
        <v>127238191</v>
      </c>
      <c r="J2402">
        <v>290552478</v>
      </c>
      <c r="K2402">
        <v>186400665</v>
      </c>
      <c r="L2402">
        <v>53374875</v>
      </c>
      <c r="M2402">
        <v>148211213</v>
      </c>
      <c r="N2402">
        <v>34738583</v>
      </c>
      <c r="O2402">
        <v>55572335</v>
      </c>
      <c r="P2402">
        <v>298</v>
      </c>
      <c r="Q2402" t="s">
        <v>5145</v>
      </c>
    </row>
    <row r="2403" spans="1:17" x14ac:dyDescent="0.3">
      <c r="A2403" t="s">
        <v>59</v>
      </c>
      <c r="B2403" t="str">
        <f>"001318"</f>
        <v>001318</v>
      </c>
      <c r="C2403" t="s">
        <v>5146</v>
      </c>
      <c r="F2403">
        <v>177137606</v>
      </c>
      <c r="G2403">
        <v>140200333</v>
      </c>
      <c r="H2403">
        <v>149027794</v>
      </c>
      <c r="I2403">
        <v>190430280</v>
      </c>
      <c r="Q2403" t="s">
        <v>5147</v>
      </c>
    </row>
    <row r="2404" spans="1:17" x14ac:dyDescent="0.3">
      <c r="A2404" t="s">
        <v>17</v>
      </c>
      <c r="B2404" t="str">
        <f>"603937"</f>
        <v>603937</v>
      </c>
      <c r="C2404" t="s">
        <v>5148</v>
      </c>
      <c r="D2404" t="s">
        <v>238</v>
      </c>
      <c r="F2404">
        <v>-17156649</v>
      </c>
      <c r="G2404">
        <v>136164916</v>
      </c>
      <c r="H2404">
        <v>148932408</v>
      </c>
      <c r="I2404">
        <v>43732811</v>
      </c>
      <c r="J2404">
        <v>56126374</v>
      </c>
      <c r="K2404">
        <v>-3434519</v>
      </c>
      <c r="L2404">
        <v>18312860</v>
      </c>
      <c r="M2404">
        <v>78244600</v>
      </c>
      <c r="P2404">
        <v>61</v>
      </c>
      <c r="Q2404" t="s">
        <v>5149</v>
      </c>
    </row>
    <row r="2405" spans="1:17" x14ac:dyDescent="0.3">
      <c r="A2405" t="s">
        <v>59</v>
      </c>
      <c r="B2405" t="str">
        <f>"002485"</f>
        <v>002485</v>
      </c>
      <c r="C2405" t="s">
        <v>5150</v>
      </c>
      <c r="D2405" t="s">
        <v>646</v>
      </c>
      <c r="F2405">
        <v>107206983</v>
      </c>
      <c r="G2405">
        <v>-147671509</v>
      </c>
      <c r="H2405">
        <v>148891919</v>
      </c>
      <c r="I2405">
        <v>67434556</v>
      </c>
      <c r="J2405">
        <v>6960360</v>
      </c>
      <c r="K2405">
        <v>53049628</v>
      </c>
      <c r="L2405">
        <v>152544677</v>
      </c>
      <c r="M2405">
        <v>30460857</v>
      </c>
      <c r="N2405">
        <v>45268091</v>
      </c>
      <c r="O2405">
        <v>7664145</v>
      </c>
      <c r="P2405">
        <v>80</v>
      </c>
      <c r="Q2405" t="s">
        <v>5151</v>
      </c>
    </row>
    <row r="2406" spans="1:17" x14ac:dyDescent="0.3">
      <c r="A2406" t="s">
        <v>17</v>
      </c>
      <c r="B2406" t="str">
        <f>"688087"</f>
        <v>688087</v>
      </c>
      <c r="C2406" t="s">
        <v>5152</v>
      </c>
      <c r="D2406" t="s">
        <v>2104</v>
      </c>
      <c r="F2406">
        <v>281794390</v>
      </c>
      <c r="G2406">
        <v>219143567</v>
      </c>
      <c r="H2406">
        <v>148880034</v>
      </c>
      <c r="I2406">
        <v>122665765</v>
      </c>
      <c r="J2406">
        <v>106513518</v>
      </c>
      <c r="P2406">
        <v>36</v>
      </c>
      <c r="Q2406" t="s">
        <v>5153</v>
      </c>
    </row>
    <row r="2407" spans="1:17" x14ac:dyDescent="0.3">
      <c r="A2407" t="s">
        <v>59</v>
      </c>
      <c r="B2407" t="str">
        <f>"300686"</f>
        <v>300686</v>
      </c>
      <c r="C2407" t="s">
        <v>5154</v>
      </c>
      <c r="D2407" t="s">
        <v>349</v>
      </c>
      <c r="F2407">
        <v>142806612</v>
      </c>
      <c r="G2407">
        <v>253810783</v>
      </c>
      <c r="H2407">
        <v>148615138</v>
      </c>
      <c r="I2407">
        <v>29602846</v>
      </c>
      <c r="J2407">
        <v>13146888</v>
      </c>
      <c r="K2407">
        <v>154442863</v>
      </c>
      <c r="L2407">
        <v>18654347</v>
      </c>
      <c r="M2407">
        <v>90862298</v>
      </c>
      <c r="P2407">
        <v>192</v>
      </c>
      <c r="Q2407" t="s">
        <v>5155</v>
      </c>
    </row>
    <row r="2408" spans="1:17" x14ac:dyDescent="0.3">
      <c r="A2408" t="s">
        <v>59</v>
      </c>
      <c r="B2408" t="str">
        <f>"002985"</f>
        <v>002985</v>
      </c>
      <c r="C2408" t="s">
        <v>5156</v>
      </c>
      <c r="D2408" t="s">
        <v>448</v>
      </c>
      <c r="F2408">
        <v>147239226</v>
      </c>
      <c r="G2408">
        <v>107940749</v>
      </c>
      <c r="H2408">
        <v>148581633</v>
      </c>
      <c r="I2408">
        <v>118032534</v>
      </c>
      <c r="J2408">
        <v>6720007</v>
      </c>
      <c r="P2408">
        <v>548</v>
      </c>
      <c r="Q2408" t="s">
        <v>5157</v>
      </c>
    </row>
    <row r="2409" spans="1:17" x14ac:dyDescent="0.3">
      <c r="A2409" t="s">
        <v>59</v>
      </c>
      <c r="B2409" t="str">
        <f>"301118"</f>
        <v>301118</v>
      </c>
      <c r="C2409" t="s">
        <v>5158</v>
      </c>
      <c r="D2409" t="s">
        <v>1507</v>
      </c>
      <c r="F2409">
        <v>263280598</v>
      </c>
      <c r="G2409">
        <v>104101485</v>
      </c>
      <c r="H2409">
        <v>148143839</v>
      </c>
      <c r="I2409">
        <v>146699489</v>
      </c>
      <c r="J2409">
        <v>83544214</v>
      </c>
      <c r="P2409">
        <v>16</v>
      </c>
      <c r="Q2409" t="s">
        <v>5159</v>
      </c>
    </row>
    <row r="2410" spans="1:17" x14ac:dyDescent="0.3">
      <c r="A2410" t="s">
        <v>17</v>
      </c>
      <c r="B2410" t="str">
        <f>"601702"</f>
        <v>601702</v>
      </c>
      <c r="C2410" t="s">
        <v>5160</v>
      </c>
      <c r="D2410" t="s">
        <v>238</v>
      </c>
      <c r="F2410">
        <v>380578702</v>
      </c>
      <c r="G2410">
        <v>-26166976</v>
      </c>
      <c r="H2410">
        <v>148136538</v>
      </c>
      <c r="I2410">
        <v>294157858</v>
      </c>
      <c r="J2410">
        <v>-26488790</v>
      </c>
      <c r="P2410">
        <v>116</v>
      </c>
      <c r="Q2410" t="s">
        <v>5161</v>
      </c>
    </row>
    <row r="2411" spans="1:17" x14ac:dyDescent="0.3">
      <c r="A2411" t="s">
        <v>17</v>
      </c>
      <c r="B2411" t="str">
        <f>"603127"</f>
        <v>603127</v>
      </c>
      <c r="C2411" t="s">
        <v>5162</v>
      </c>
      <c r="D2411" t="s">
        <v>751</v>
      </c>
      <c r="F2411">
        <v>685655427</v>
      </c>
      <c r="G2411">
        <v>428385736</v>
      </c>
      <c r="H2411">
        <v>148092126</v>
      </c>
      <c r="I2411">
        <v>176075672</v>
      </c>
      <c r="J2411">
        <v>120006161</v>
      </c>
      <c r="K2411">
        <v>118822187</v>
      </c>
      <c r="L2411">
        <v>106225420</v>
      </c>
      <c r="M2411">
        <v>82375993</v>
      </c>
      <c r="P2411">
        <v>1812</v>
      </c>
      <c r="Q2411" t="s">
        <v>5163</v>
      </c>
    </row>
    <row r="2412" spans="1:17" x14ac:dyDescent="0.3">
      <c r="A2412" t="s">
        <v>17</v>
      </c>
      <c r="B2412" t="str">
        <f>"603069"</f>
        <v>603069</v>
      </c>
      <c r="C2412" t="s">
        <v>5164</v>
      </c>
      <c r="D2412" t="s">
        <v>2487</v>
      </c>
      <c r="F2412">
        <v>-18361389</v>
      </c>
      <c r="G2412">
        <v>21318349</v>
      </c>
      <c r="H2412">
        <v>147893981</v>
      </c>
      <c r="I2412">
        <v>202168323</v>
      </c>
      <c r="J2412">
        <v>206726800</v>
      </c>
      <c r="K2412">
        <v>176177378</v>
      </c>
      <c r="L2412">
        <v>233977267</v>
      </c>
      <c r="M2412">
        <v>271375307</v>
      </c>
      <c r="N2412">
        <v>273150182</v>
      </c>
      <c r="P2412">
        <v>98</v>
      </c>
      <c r="Q2412" t="s">
        <v>5165</v>
      </c>
    </row>
    <row r="2413" spans="1:17" x14ac:dyDescent="0.3">
      <c r="A2413" t="s">
        <v>59</v>
      </c>
      <c r="B2413" t="str">
        <f>"002542"</f>
        <v>002542</v>
      </c>
      <c r="C2413" t="s">
        <v>5166</v>
      </c>
      <c r="D2413" t="s">
        <v>199</v>
      </c>
      <c r="F2413">
        <v>215400638</v>
      </c>
      <c r="G2413">
        <v>-207957834</v>
      </c>
      <c r="H2413">
        <v>147675900</v>
      </c>
      <c r="I2413">
        <v>114992665</v>
      </c>
      <c r="J2413">
        <v>150214423</v>
      </c>
      <c r="K2413">
        <v>-161497320</v>
      </c>
      <c r="L2413">
        <v>-109834962</v>
      </c>
      <c r="M2413">
        <v>-239202894</v>
      </c>
      <c r="N2413">
        <v>53482644</v>
      </c>
      <c r="O2413">
        <v>-48545617</v>
      </c>
      <c r="P2413">
        <v>161</v>
      </c>
      <c r="Q2413" t="s">
        <v>5167</v>
      </c>
    </row>
    <row r="2414" spans="1:17" x14ac:dyDescent="0.3">
      <c r="A2414" t="s">
        <v>17</v>
      </c>
      <c r="B2414" t="str">
        <f>"603628"</f>
        <v>603628</v>
      </c>
      <c r="C2414" t="s">
        <v>5168</v>
      </c>
      <c r="D2414" t="s">
        <v>1340</v>
      </c>
      <c r="F2414">
        <v>64302629</v>
      </c>
      <c r="G2414">
        <v>339669082</v>
      </c>
      <c r="H2414">
        <v>147517136</v>
      </c>
      <c r="I2414">
        <v>69611017</v>
      </c>
      <c r="J2414">
        <v>-145183208</v>
      </c>
      <c r="K2414">
        <v>-149303056</v>
      </c>
      <c r="L2414">
        <v>1071547</v>
      </c>
      <c r="M2414">
        <v>161733</v>
      </c>
      <c r="N2414">
        <v>10843159</v>
      </c>
      <c r="P2414">
        <v>80</v>
      </c>
      <c r="Q2414" t="s">
        <v>5169</v>
      </c>
    </row>
    <row r="2415" spans="1:17" x14ac:dyDescent="0.3">
      <c r="A2415" t="s">
        <v>59</v>
      </c>
      <c r="B2415" t="str">
        <f>"002973"</f>
        <v>002973</v>
      </c>
      <c r="C2415" t="s">
        <v>5170</v>
      </c>
      <c r="D2415" t="s">
        <v>894</v>
      </c>
      <c r="F2415">
        <v>119095228</v>
      </c>
      <c r="G2415">
        <v>305474022</v>
      </c>
      <c r="H2415">
        <v>147383239</v>
      </c>
      <c r="I2415">
        <v>208279218</v>
      </c>
      <c r="J2415">
        <v>-79816870</v>
      </c>
      <c r="K2415">
        <v>58728682</v>
      </c>
      <c r="P2415">
        <v>212</v>
      </c>
      <c r="Q2415" t="s">
        <v>5171</v>
      </c>
    </row>
    <row r="2416" spans="1:17" x14ac:dyDescent="0.3">
      <c r="A2416" t="s">
        <v>17</v>
      </c>
      <c r="B2416" t="str">
        <f>"603116"</f>
        <v>603116</v>
      </c>
      <c r="C2416" t="s">
        <v>5172</v>
      </c>
      <c r="D2416" t="s">
        <v>3416</v>
      </c>
      <c r="F2416">
        <v>88521261</v>
      </c>
      <c r="G2416">
        <v>263776452</v>
      </c>
      <c r="H2416">
        <v>147369091</v>
      </c>
      <c r="I2416">
        <v>211061694</v>
      </c>
      <c r="J2416">
        <v>178628023</v>
      </c>
      <c r="K2416">
        <v>108392019</v>
      </c>
      <c r="L2416">
        <v>361689985</v>
      </c>
      <c r="M2416">
        <v>607512560</v>
      </c>
      <c r="N2416">
        <v>388878296</v>
      </c>
      <c r="O2416">
        <v>95135795</v>
      </c>
      <c r="P2416">
        <v>102</v>
      </c>
      <c r="Q2416" t="s">
        <v>5173</v>
      </c>
    </row>
    <row r="2417" spans="1:17" x14ac:dyDescent="0.3">
      <c r="A2417" t="s">
        <v>59</v>
      </c>
      <c r="B2417" t="str">
        <f>"300568"</f>
        <v>300568</v>
      </c>
      <c r="C2417" t="s">
        <v>5174</v>
      </c>
      <c r="D2417" t="s">
        <v>1444</v>
      </c>
      <c r="F2417">
        <v>399155160</v>
      </c>
      <c r="G2417">
        <v>287627534</v>
      </c>
      <c r="H2417">
        <v>147257116</v>
      </c>
      <c r="I2417">
        <v>239673898</v>
      </c>
      <c r="J2417">
        <v>39934707</v>
      </c>
      <c r="K2417">
        <v>169660356</v>
      </c>
      <c r="L2417">
        <v>115578179</v>
      </c>
      <c r="M2417">
        <v>135669646</v>
      </c>
      <c r="N2417">
        <v>80425404</v>
      </c>
      <c r="P2417">
        <v>474</v>
      </c>
      <c r="Q2417" t="s">
        <v>5175</v>
      </c>
    </row>
    <row r="2418" spans="1:17" x14ac:dyDescent="0.3">
      <c r="A2418" t="s">
        <v>59</v>
      </c>
      <c r="B2418" t="str">
        <f>"300390"</f>
        <v>300390</v>
      </c>
      <c r="C2418" t="s">
        <v>5176</v>
      </c>
      <c r="D2418" t="s">
        <v>595</v>
      </c>
      <c r="F2418">
        <v>180482014</v>
      </c>
      <c r="G2418">
        <v>349953493</v>
      </c>
      <c r="H2418">
        <v>147218590</v>
      </c>
      <c r="I2418">
        <v>117535231</v>
      </c>
      <c r="J2418">
        <v>88126802</v>
      </c>
      <c r="K2418">
        <v>21941084</v>
      </c>
      <c r="L2418">
        <v>54134225</v>
      </c>
      <c r="M2418">
        <v>36087679</v>
      </c>
      <c r="N2418">
        <v>29729474</v>
      </c>
      <c r="O2418">
        <v>34085670</v>
      </c>
      <c r="P2418">
        <v>460</v>
      </c>
      <c r="Q2418" t="s">
        <v>5177</v>
      </c>
    </row>
    <row r="2419" spans="1:17" x14ac:dyDescent="0.3">
      <c r="A2419" t="s">
        <v>17</v>
      </c>
      <c r="B2419" t="str">
        <f>"600722"</f>
        <v>600722</v>
      </c>
      <c r="C2419" t="s">
        <v>5178</v>
      </c>
      <c r="D2419" t="s">
        <v>317</v>
      </c>
      <c r="F2419">
        <v>161177824</v>
      </c>
      <c r="G2419">
        <v>32522587</v>
      </c>
      <c r="H2419">
        <v>147185894</v>
      </c>
      <c r="I2419">
        <v>216540812</v>
      </c>
      <c r="J2419">
        <v>-1956877</v>
      </c>
      <c r="K2419">
        <v>-35188969</v>
      </c>
      <c r="L2419">
        <v>-38746527</v>
      </c>
      <c r="M2419">
        <v>125657345</v>
      </c>
      <c r="N2419">
        <v>149249143</v>
      </c>
      <c r="O2419">
        <v>-539807540</v>
      </c>
      <c r="P2419">
        <v>97</v>
      </c>
      <c r="Q2419" t="s">
        <v>5179</v>
      </c>
    </row>
    <row r="2420" spans="1:17" x14ac:dyDescent="0.3">
      <c r="A2420" t="s">
        <v>17</v>
      </c>
      <c r="B2420" t="str">
        <f>"600468"</f>
        <v>600468</v>
      </c>
      <c r="C2420" t="s">
        <v>5180</v>
      </c>
      <c r="D2420" t="s">
        <v>458</v>
      </c>
      <c r="F2420">
        <v>214707891</v>
      </c>
      <c r="G2420">
        <v>154809802</v>
      </c>
      <c r="H2420">
        <v>147012521</v>
      </c>
      <c r="I2420">
        <v>94205595</v>
      </c>
      <c r="J2420">
        <v>-61078402</v>
      </c>
      <c r="K2420">
        <v>-13556603</v>
      </c>
      <c r="L2420">
        <v>74026271</v>
      </c>
      <c r="M2420">
        <v>289882865</v>
      </c>
      <c r="N2420">
        <v>10167274</v>
      </c>
      <c r="O2420">
        <v>41154621</v>
      </c>
      <c r="P2420">
        <v>89</v>
      </c>
      <c r="Q2420" t="s">
        <v>5181</v>
      </c>
    </row>
    <row r="2421" spans="1:17" x14ac:dyDescent="0.3">
      <c r="A2421" t="s">
        <v>59</v>
      </c>
      <c r="B2421" t="str">
        <f>"300792"</f>
        <v>300792</v>
      </c>
      <c r="C2421" t="s">
        <v>5182</v>
      </c>
      <c r="D2421" t="s">
        <v>1502</v>
      </c>
      <c r="F2421">
        <v>27511569</v>
      </c>
      <c r="G2421">
        <v>438497816</v>
      </c>
      <c r="H2421">
        <v>146902205</v>
      </c>
      <c r="I2421">
        <v>104873277</v>
      </c>
      <c r="J2421">
        <v>78848854</v>
      </c>
      <c r="K2421">
        <v>24995295</v>
      </c>
      <c r="P2421">
        <v>369</v>
      </c>
      <c r="Q2421" t="s">
        <v>5183</v>
      </c>
    </row>
    <row r="2422" spans="1:17" x14ac:dyDescent="0.3">
      <c r="A2422" t="s">
        <v>59</v>
      </c>
      <c r="B2422" t="str">
        <f>"300231"</f>
        <v>300231</v>
      </c>
      <c r="C2422" t="s">
        <v>5184</v>
      </c>
      <c r="D2422" t="s">
        <v>1189</v>
      </c>
      <c r="F2422">
        <v>276011771</v>
      </c>
      <c r="G2422">
        <v>-32077583</v>
      </c>
      <c r="H2422">
        <v>146865820</v>
      </c>
      <c r="I2422">
        <v>241750473</v>
      </c>
      <c r="J2422">
        <v>-33130945</v>
      </c>
      <c r="K2422">
        <v>78222</v>
      </c>
      <c r="L2422">
        <v>44961044</v>
      </c>
      <c r="M2422">
        <v>-19452418</v>
      </c>
      <c r="N2422">
        <v>34099034</v>
      </c>
      <c r="O2422">
        <v>29026949</v>
      </c>
      <c r="P2422">
        <v>264</v>
      </c>
      <c r="Q2422" t="s">
        <v>5185</v>
      </c>
    </row>
    <row r="2423" spans="1:17" x14ac:dyDescent="0.3">
      <c r="A2423" t="s">
        <v>59</v>
      </c>
      <c r="B2423" t="str">
        <f>"000707"</f>
        <v>000707</v>
      </c>
      <c r="C2423" t="s">
        <v>5186</v>
      </c>
      <c r="D2423" t="s">
        <v>1310</v>
      </c>
      <c r="F2423">
        <v>583163424</v>
      </c>
      <c r="G2423">
        <v>86192768</v>
      </c>
      <c r="H2423">
        <v>146800626</v>
      </c>
      <c r="I2423">
        <v>495268295</v>
      </c>
      <c r="J2423">
        <v>-371608952</v>
      </c>
      <c r="K2423">
        <v>177062553</v>
      </c>
      <c r="L2423">
        <v>663146914</v>
      </c>
      <c r="M2423">
        <v>501139709</v>
      </c>
      <c r="N2423">
        <v>-88682801</v>
      </c>
      <c r="O2423">
        <v>599998621</v>
      </c>
      <c r="P2423">
        <v>83</v>
      </c>
      <c r="Q2423" t="s">
        <v>5187</v>
      </c>
    </row>
    <row r="2424" spans="1:17" x14ac:dyDescent="0.3">
      <c r="A2424" t="s">
        <v>17</v>
      </c>
      <c r="B2424" t="str">
        <f>"600220"</f>
        <v>600220</v>
      </c>
      <c r="C2424" t="s">
        <v>5188</v>
      </c>
      <c r="D2424" t="s">
        <v>3101</v>
      </c>
      <c r="F2424">
        <v>669373039</v>
      </c>
      <c r="G2424">
        <v>23945570</v>
      </c>
      <c r="H2424">
        <v>146756606</v>
      </c>
      <c r="I2424">
        <v>137976797</v>
      </c>
      <c r="J2424">
        <v>394962697</v>
      </c>
      <c r="K2424">
        <v>276281392</v>
      </c>
      <c r="L2424">
        <v>480836428</v>
      </c>
      <c r="M2424">
        <v>219729602</v>
      </c>
      <c r="N2424">
        <v>411174980</v>
      </c>
      <c r="O2424">
        <v>39477699</v>
      </c>
      <c r="P2424">
        <v>118</v>
      </c>
      <c r="Q2424" t="s">
        <v>5189</v>
      </c>
    </row>
    <row r="2425" spans="1:17" x14ac:dyDescent="0.3">
      <c r="A2425" t="s">
        <v>59</v>
      </c>
      <c r="B2425" t="str">
        <f>"300873"</f>
        <v>300873</v>
      </c>
      <c r="C2425" t="s">
        <v>5190</v>
      </c>
      <c r="D2425" t="s">
        <v>838</v>
      </c>
      <c r="F2425">
        <v>366848915</v>
      </c>
      <c r="G2425">
        <v>202778009</v>
      </c>
      <c r="H2425">
        <v>146466123</v>
      </c>
      <c r="I2425">
        <v>123217137</v>
      </c>
      <c r="J2425">
        <v>122562076</v>
      </c>
      <c r="K2425">
        <v>158310667</v>
      </c>
      <c r="P2425">
        <v>88</v>
      </c>
      <c r="Q2425" t="s">
        <v>5191</v>
      </c>
    </row>
    <row r="2426" spans="1:17" x14ac:dyDescent="0.3">
      <c r="A2426" t="s">
        <v>59</v>
      </c>
      <c r="B2426" t="str">
        <f>"002830"</f>
        <v>002830</v>
      </c>
      <c r="C2426" t="s">
        <v>5192</v>
      </c>
      <c r="D2426" t="s">
        <v>1150</v>
      </c>
      <c r="F2426">
        <v>106013016</v>
      </c>
      <c r="G2426">
        <v>179841720</v>
      </c>
      <c r="H2426">
        <v>146356847</v>
      </c>
      <c r="I2426">
        <v>125837339</v>
      </c>
      <c r="J2426">
        <v>180522771</v>
      </c>
      <c r="K2426">
        <v>97199200</v>
      </c>
      <c r="L2426">
        <v>121074996</v>
      </c>
      <c r="M2426">
        <v>75760050</v>
      </c>
      <c r="N2426">
        <v>150110751</v>
      </c>
      <c r="P2426">
        <v>78</v>
      </c>
      <c r="Q2426" t="s">
        <v>5193</v>
      </c>
    </row>
    <row r="2427" spans="1:17" x14ac:dyDescent="0.3">
      <c r="A2427" t="s">
        <v>17</v>
      </c>
      <c r="B2427" t="str">
        <f>"603706"</f>
        <v>603706</v>
      </c>
      <c r="C2427" t="s">
        <v>5194</v>
      </c>
      <c r="D2427" t="s">
        <v>883</v>
      </c>
      <c r="F2427">
        <v>367432121</v>
      </c>
      <c r="G2427">
        <v>313090342</v>
      </c>
      <c r="H2427">
        <v>146284221</v>
      </c>
      <c r="I2427">
        <v>94400940</v>
      </c>
      <c r="J2427">
        <v>168417768</v>
      </c>
      <c r="K2427">
        <v>80989344</v>
      </c>
      <c r="L2427">
        <v>92770213</v>
      </c>
      <c r="P2427">
        <v>91</v>
      </c>
      <c r="Q2427" t="s">
        <v>5195</v>
      </c>
    </row>
    <row r="2428" spans="1:17" x14ac:dyDescent="0.3">
      <c r="A2428" t="s">
        <v>59</v>
      </c>
      <c r="B2428" t="str">
        <f>"002467"</f>
        <v>002467</v>
      </c>
      <c r="C2428" t="s">
        <v>5196</v>
      </c>
      <c r="D2428" t="s">
        <v>4468</v>
      </c>
      <c r="F2428">
        <v>127791974</v>
      </c>
      <c r="G2428">
        <v>220933220</v>
      </c>
      <c r="H2428">
        <v>146243613</v>
      </c>
      <c r="I2428">
        <v>127495670</v>
      </c>
      <c r="J2428">
        <v>141349981</v>
      </c>
      <c r="K2428">
        <v>100480521</v>
      </c>
      <c r="L2428">
        <v>129494640</v>
      </c>
      <c r="M2428">
        <v>200866659</v>
      </c>
      <c r="N2428">
        <v>176414926</v>
      </c>
      <c r="O2428">
        <v>73020482</v>
      </c>
      <c r="P2428">
        <v>200</v>
      </c>
      <c r="Q2428" t="s">
        <v>5197</v>
      </c>
    </row>
    <row r="2429" spans="1:17" x14ac:dyDescent="0.3">
      <c r="A2429" t="s">
        <v>59</v>
      </c>
      <c r="B2429" t="str">
        <f>"001216"</f>
        <v>001216</v>
      </c>
      <c r="C2429" t="s">
        <v>5198</v>
      </c>
      <c r="D2429" t="s">
        <v>923</v>
      </c>
      <c r="F2429">
        <v>162788794</v>
      </c>
      <c r="G2429">
        <v>166443437</v>
      </c>
      <c r="H2429">
        <v>145935803</v>
      </c>
      <c r="I2429">
        <v>157532353</v>
      </c>
      <c r="J2429">
        <v>148337293</v>
      </c>
      <c r="P2429">
        <v>19</v>
      </c>
      <c r="Q2429" t="s">
        <v>5199</v>
      </c>
    </row>
    <row r="2430" spans="1:17" x14ac:dyDescent="0.3">
      <c r="A2430" t="s">
        <v>59</v>
      </c>
      <c r="B2430" t="str">
        <f>"000506"</f>
        <v>000506</v>
      </c>
      <c r="C2430" t="s">
        <v>5200</v>
      </c>
      <c r="D2430" t="s">
        <v>61</v>
      </c>
      <c r="F2430">
        <v>54418031</v>
      </c>
      <c r="G2430">
        <v>133229486</v>
      </c>
      <c r="H2430">
        <v>145903962</v>
      </c>
      <c r="I2430">
        <v>288142965</v>
      </c>
      <c r="J2430">
        <v>110721662</v>
      </c>
      <c r="K2430">
        <v>-270652861</v>
      </c>
      <c r="L2430">
        <v>-101367928</v>
      </c>
      <c r="M2430">
        <v>-179100975</v>
      </c>
      <c r="N2430">
        <v>-34197576</v>
      </c>
      <c r="O2430">
        <v>210981590</v>
      </c>
      <c r="P2430">
        <v>85</v>
      </c>
      <c r="Q2430" t="s">
        <v>5201</v>
      </c>
    </row>
    <row r="2431" spans="1:17" x14ac:dyDescent="0.3">
      <c r="A2431" t="s">
        <v>59</v>
      </c>
      <c r="B2431" t="str">
        <f>"301196"</f>
        <v>301196</v>
      </c>
      <c r="C2431" t="s">
        <v>5202</v>
      </c>
      <c r="D2431" t="s">
        <v>2104</v>
      </c>
      <c r="F2431">
        <v>224441513</v>
      </c>
      <c r="G2431">
        <v>190551384</v>
      </c>
      <c r="H2431">
        <v>145845178</v>
      </c>
      <c r="I2431">
        <v>78110626</v>
      </c>
      <c r="J2431">
        <v>66945215</v>
      </c>
      <c r="P2431">
        <v>7</v>
      </c>
      <c r="Q2431" t="s">
        <v>5203</v>
      </c>
    </row>
    <row r="2432" spans="1:17" x14ac:dyDescent="0.3">
      <c r="A2432" t="s">
        <v>17</v>
      </c>
      <c r="B2432" t="str">
        <f>"688533"</f>
        <v>688533</v>
      </c>
      <c r="C2432" t="s">
        <v>5204</v>
      </c>
      <c r="D2432" t="s">
        <v>575</v>
      </c>
      <c r="F2432">
        <v>-22327341</v>
      </c>
      <c r="G2432">
        <v>98502689</v>
      </c>
      <c r="H2432">
        <v>145799730</v>
      </c>
      <c r="I2432">
        <v>46419706</v>
      </c>
      <c r="J2432">
        <v>106755651</v>
      </c>
      <c r="P2432">
        <v>39</v>
      </c>
      <c r="Q2432" t="s">
        <v>5205</v>
      </c>
    </row>
    <row r="2433" spans="1:17" x14ac:dyDescent="0.3">
      <c r="A2433" t="s">
        <v>17</v>
      </c>
      <c r="B2433" t="str">
        <f>"603353"</f>
        <v>603353</v>
      </c>
      <c r="C2433" t="s">
        <v>5206</v>
      </c>
      <c r="D2433" t="s">
        <v>553</v>
      </c>
      <c r="F2433">
        <v>-79184112</v>
      </c>
      <c r="G2433">
        <v>395195630</v>
      </c>
      <c r="H2433">
        <v>145715747</v>
      </c>
      <c r="I2433">
        <v>215621609</v>
      </c>
      <c r="J2433">
        <v>246755578</v>
      </c>
      <c r="P2433">
        <v>103</v>
      </c>
      <c r="Q2433" t="s">
        <v>5207</v>
      </c>
    </row>
    <row r="2434" spans="1:17" x14ac:dyDescent="0.3">
      <c r="A2434" t="s">
        <v>17</v>
      </c>
      <c r="B2434" t="str">
        <f>"605488"</f>
        <v>605488</v>
      </c>
      <c r="C2434" t="s">
        <v>5208</v>
      </c>
      <c r="D2434" t="s">
        <v>2104</v>
      </c>
      <c r="F2434">
        <v>102833836</v>
      </c>
      <c r="G2434">
        <v>169872491</v>
      </c>
      <c r="H2434">
        <v>145523517</v>
      </c>
      <c r="I2434">
        <v>71543172</v>
      </c>
      <c r="J2434">
        <v>54566900</v>
      </c>
      <c r="P2434">
        <v>28</v>
      </c>
      <c r="Q2434" t="s">
        <v>5209</v>
      </c>
    </row>
    <row r="2435" spans="1:17" x14ac:dyDescent="0.3">
      <c r="A2435" t="s">
        <v>59</v>
      </c>
      <c r="B2435" t="str">
        <f>"301256"</f>
        <v>301256</v>
      </c>
      <c r="C2435" t="s">
        <v>5210</v>
      </c>
      <c r="F2435">
        <v>36180513</v>
      </c>
      <c r="G2435">
        <v>73574578</v>
      </c>
      <c r="H2435">
        <v>145337407</v>
      </c>
      <c r="I2435">
        <v>123584291</v>
      </c>
      <c r="J2435">
        <v>-23343180</v>
      </c>
      <c r="P2435">
        <v>3</v>
      </c>
      <c r="Q2435" t="s">
        <v>5211</v>
      </c>
    </row>
    <row r="2436" spans="1:17" x14ac:dyDescent="0.3">
      <c r="A2436" t="s">
        <v>17</v>
      </c>
      <c r="B2436" t="str">
        <f>"605068"</f>
        <v>605068</v>
      </c>
      <c r="C2436" t="s">
        <v>5212</v>
      </c>
      <c r="D2436" t="s">
        <v>289</v>
      </c>
      <c r="F2436">
        <v>64616870</v>
      </c>
      <c r="G2436">
        <v>100169326</v>
      </c>
      <c r="H2436">
        <v>145333752</v>
      </c>
      <c r="I2436">
        <v>153343483</v>
      </c>
      <c r="J2436">
        <v>17166881</v>
      </c>
      <c r="K2436">
        <v>17905693</v>
      </c>
      <c r="P2436">
        <v>89</v>
      </c>
      <c r="Q2436" t="s">
        <v>5213</v>
      </c>
    </row>
    <row r="2437" spans="1:17" x14ac:dyDescent="0.3">
      <c r="A2437" t="s">
        <v>59</v>
      </c>
      <c r="B2437" t="str">
        <f>"300864"</f>
        <v>300864</v>
      </c>
      <c r="C2437" t="s">
        <v>5214</v>
      </c>
      <c r="D2437" t="s">
        <v>2700</v>
      </c>
      <c r="F2437">
        <v>87868510</v>
      </c>
      <c r="G2437">
        <v>105947808</v>
      </c>
      <c r="H2437">
        <v>145298564</v>
      </c>
      <c r="I2437">
        <v>74423791</v>
      </c>
      <c r="J2437">
        <v>40639766</v>
      </c>
      <c r="K2437">
        <v>19517500</v>
      </c>
      <c r="P2437">
        <v>121</v>
      </c>
      <c r="Q2437" t="s">
        <v>5215</v>
      </c>
    </row>
    <row r="2438" spans="1:17" x14ac:dyDescent="0.3">
      <c r="A2438" t="s">
        <v>59</v>
      </c>
      <c r="B2438" t="str">
        <f>"002073"</f>
        <v>002073</v>
      </c>
      <c r="C2438" t="s">
        <v>5216</v>
      </c>
      <c r="D2438" t="s">
        <v>1351</v>
      </c>
      <c r="F2438">
        <v>252585944</v>
      </c>
      <c r="G2438">
        <v>172492660</v>
      </c>
      <c r="H2438">
        <v>145105909</v>
      </c>
      <c r="I2438">
        <v>139879818</v>
      </c>
      <c r="J2438">
        <v>328104283</v>
      </c>
      <c r="K2438">
        <v>47202442</v>
      </c>
      <c r="L2438">
        <v>21936527</v>
      </c>
      <c r="M2438">
        <v>-289782381</v>
      </c>
      <c r="N2438">
        <v>406518189</v>
      </c>
      <c r="O2438">
        <v>52093508</v>
      </c>
      <c r="P2438">
        <v>150</v>
      </c>
      <c r="Q2438" t="s">
        <v>5217</v>
      </c>
    </row>
    <row r="2439" spans="1:17" x14ac:dyDescent="0.3">
      <c r="A2439" t="s">
        <v>59</v>
      </c>
      <c r="B2439" t="str">
        <f>"300375"</f>
        <v>300375</v>
      </c>
      <c r="C2439" t="s">
        <v>5218</v>
      </c>
      <c r="D2439" t="s">
        <v>156</v>
      </c>
      <c r="F2439">
        <v>215349920</v>
      </c>
      <c r="G2439">
        <v>200487449</v>
      </c>
      <c r="H2439">
        <v>144899777</v>
      </c>
      <c r="I2439">
        <v>-21929248</v>
      </c>
      <c r="J2439">
        <v>128843112</v>
      </c>
      <c r="K2439">
        <v>123829570</v>
      </c>
      <c r="L2439">
        <v>117479679</v>
      </c>
      <c r="M2439">
        <v>100675943</v>
      </c>
      <c r="N2439">
        <v>123400174</v>
      </c>
      <c r="O2439">
        <v>34204799</v>
      </c>
      <c r="P2439">
        <v>99</v>
      </c>
      <c r="Q2439" t="s">
        <v>5219</v>
      </c>
    </row>
    <row r="2440" spans="1:17" x14ac:dyDescent="0.3">
      <c r="A2440" t="s">
        <v>17</v>
      </c>
      <c r="B2440" t="str">
        <f>"600654"</f>
        <v>600654</v>
      </c>
      <c r="C2440" t="s">
        <v>5220</v>
      </c>
      <c r="D2440" t="s">
        <v>1528</v>
      </c>
      <c r="F2440">
        <v>-98893764</v>
      </c>
      <c r="G2440">
        <v>17941501</v>
      </c>
      <c r="H2440">
        <v>144757552</v>
      </c>
      <c r="I2440">
        <v>46894726</v>
      </c>
      <c r="J2440">
        <v>-330291428</v>
      </c>
      <c r="K2440">
        <v>-1269735659</v>
      </c>
      <c r="L2440">
        <v>-1147753081</v>
      </c>
      <c r="M2440">
        <v>-78218296</v>
      </c>
      <c r="N2440">
        <v>-9630003</v>
      </c>
      <c r="O2440">
        <v>41965067</v>
      </c>
      <c r="P2440">
        <v>76</v>
      </c>
      <c r="Q2440" t="s">
        <v>5221</v>
      </c>
    </row>
    <row r="2441" spans="1:17" x14ac:dyDescent="0.3">
      <c r="A2441" t="s">
        <v>59</v>
      </c>
      <c r="B2441" t="str">
        <f>"300889"</f>
        <v>300889</v>
      </c>
      <c r="C2441" t="s">
        <v>5222</v>
      </c>
      <c r="D2441" t="s">
        <v>772</v>
      </c>
      <c r="F2441">
        <v>118880895</v>
      </c>
      <c r="G2441">
        <v>-45972727</v>
      </c>
      <c r="H2441">
        <v>144548801</v>
      </c>
      <c r="I2441">
        <v>94835322</v>
      </c>
      <c r="J2441">
        <v>12329785</v>
      </c>
      <c r="K2441">
        <v>3655717</v>
      </c>
      <c r="P2441">
        <v>37</v>
      </c>
      <c r="Q2441" t="s">
        <v>5223</v>
      </c>
    </row>
    <row r="2442" spans="1:17" x14ac:dyDescent="0.3">
      <c r="A2442" t="s">
        <v>59</v>
      </c>
      <c r="B2442" t="str">
        <f>"002776"</f>
        <v>002776</v>
      </c>
      <c r="C2442" t="s">
        <v>5224</v>
      </c>
      <c r="D2442" t="s">
        <v>646</v>
      </c>
      <c r="G2442">
        <v>196731795</v>
      </c>
      <c r="H2442">
        <v>144518146</v>
      </c>
      <c r="I2442">
        <v>301891040</v>
      </c>
      <c r="J2442">
        <v>-14233108</v>
      </c>
      <c r="K2442">
        <v>113345677</v>
      </c>
      <c r="L2442">
        <v>186895696</v>
      </c>
      <c r="M2442">
        <v>143251455</v>
      </c>
      <c r="N2442">
        <v>110269774</v>
      </c>
      <c r="O2442">
        <v>44117115</v>
      </c>
      <c r="P2442">
        <v>125</v>
      </c>
      <c r="Q2442" t="s">
        <v>5225</v>
      </c>
    </row>
    <row r="2443" spans="1:17" x14ac:dyDescent="0.3">
      <c r="A2443" t="s">
        <v>59</v>
      </c>
      <c r="B2443" t="str">
        <f>"300661"</f>
        <v>300661</v>
      </c>
      <c r="C2443" t="s">
        <v>5226</v>
      </c>
      <c r="D2443" t="s">
        <v>759</v>
      </c>
      <c r="F2443">
        <v>763146770</v>
      </c>
      <c r="G2443">
        <v>324130609</v>
      </c>
      <c r="H2443">
        <v>144515528</v>
      </c>
      <c r="I2443">
        <v>83674688</v>
      </c>
      <c r="J2443">
        <v>121426643</v>
      </c>
      <c r="K2443">
        <v>77734169</v>
      </c>
      <c r="L2443">
        <v>75403050</v>
      </c>
      <c r="M2443">
        <v>74461545</v>
      </c>
      <c r="P2443">
        <v>1054</v>
      </c>
      <c r="Q2443" t="s">
        <v>5227</v>
      </c>
    </row>
    <row r="2444" spans="1:17" x14ac:dyDescent="0.3">
      <c r="A2444" t="s">
        <v>17</v>
      </c>
      <c r="B2444" t="str">
        <f>"605199"</f>
        <v>605199</v>
      </c>
      <c r="C2444" t="s">
        <v>5228</v>
      </c>
      <c r="D2444" t="s">
        <v>455</v>
      </c>
      <c r="F2444">
        <v>102483893</v>
      </c>
      <c r="G2444">
        <v>3299893</v>
      </c>
      <c r="H2444">
        <v>144512810</v>
      </c>
      <c r="I2444">
        <v>31796623</v>
      </c>
      <c r="J2444">
        <v>89962552</v>
      </c>
      <c r="K2444">
        <v>64964811</v>
      </c>
      <c r="P2444">
        <v>136</v>
      </c>
      <c r="Q2444" t="s">
        <v>5229</v>
      </c>
    </row>
    <row r="2445" spans="1:17" x14ac:dyDescent="0.3">
      <c r="A2445" t="s">
        <v>17</v>
      </c>
      <c r="B2445" t="str">
        <f>"688550"</f>
        <v>688550</v>
      </c>
      <c r="C2445" t="s">
        <v>5230</v>
      </c>
      <c r="D2445" t="s">
        <v>2111</v>
      </c>
      <c r="F2445">
        <v>179268572</v>
      </c>
      <c r="G2445">
        <v>191859728</v>
      </c>
      <c r="H2445">
        <v>144431204</v>
      </c>
      <c r="I2445">
        <v>175790713</v>
      </c>
      <c r="J2445">
        <v>99915065</v>
      </c>
      <c r="P2445">
        <v>54</v>
      </c>
      <c r="Q2445" t="s">
        <v>5231</v>
      </c>
    </row>
    <row r="2446" spans="1:17" x14ac:dyDescent="0.3">
      <c r="A2446" t="s">
        <v>17</v>
      </c>
      <c r="B2446" t="str">
        <f>"603616"</f>
        <v>603616</v>
      </c>
      <c r="C2446" t="s">
        <v>5232</v>
      </c>
      <c r="D2446" t="s">
        <v>1006</v>
      </c>
      <c r="F2446">
        <v>-103088692</v>
      </c>
      <c r="G2446">
        <v>271579278</v>
      </c>
      <c r="H2446">
        <v>144295207</v>
      </c>
      <c r="I2446">
        <v>75522235</v>
      </c>
      <c r="J2446">
        <v>-78614641</v>
      </c>
      <c r="K2446">
        <v>146898079</v>
      </c>
      <c r="L2446">
        <v>-81527980</v>
      </c>
      <c r="M2446">
        <v>16203875</v>
      </c>
      <c r="N2446">
        <v>186312938</v>
      </c>
      <c r="O2446">
        <v>69330735</v>
      </c>
      <c r="P2446">
        <v>71</v>
      </c>
      <c r="Q2446" t="s">
        <v>5233</v>
      </c>
    </row>
    <row r="2447" spans="1:17" x14ac:dyDescent="0.3">
      <c r="A2447" t="s">
        <v>59</v>
      </c>
      <c r="B2447" t="str">
        <f>"002872"</f>
        <v>002872</v>
      </c>
      <c r="C2447" t="s">
        <v>5234</v>
      </c>
      <c r="D2447" t="s">
        <v>396</v>
      </c>
      <c r="F2447">
        <v>18971793</v>
      </c>
      <c r="G2447">
        <v>189754330</v>
      </c>
      <c r="H2447">
        <v>144208287</v>
      </c>
      <c r="I2447">
        <v>153986688</v>
      </c>
      <c r="J2447">
        <v>-55748599</v>
      </c>
      <c r="K2447">
        <v>506677240</v>
      </c>
      <c r="L2447">
        <v>213538863</v>
      </c>
      <c r="M2447">
        <v>191988711</v>
      </c>
      <c r="P2447">
        <v>69</v>
      </c>
      <c r="Q2447" t="s">
        <v>5235</v>
      </c>
    </row>
    <row r="2448" spans="1:17" x14ac:dyDescent="0.3">
      <c r="A2448" t="s">
        <v>59</v>
      </c>
      <c r="B2448" t="str">
        <f>"000952"</f>
        <v>000952</v>
      </c>
      <c r="C2448" t="s">
        <v>5236</v>
      </c>
      <c r="D2448" t="s">
        <v>984</v>
      </c>
      <c r="F2448">
        <v>75907303</v>
      </c>
      <c r="G2448">
        <v>119381526</v>
      </c>
      <c r="H2448">
        <v>144200478</v>
      </c>
      <c r="I2448">
        <v>231438796</v>
      </c>
      <c r="J2448">
        <v>178828210</v>
      </c>
      <c r="K2448">
        <v>167074831</v>
      </c>
      <c r="L2448">
        <v>-33345831</v>
      </c>
      <c r="M2448">
        <v>-74693713</v>
      </c>
      <c r="N2448">
        <v>95158315</v>
      </c>
      <c r="O2448">
        <v>108020365</v>
      </c>
      <c r="P2448">
        <v>169</v>
      </c>
      <c r="Q2448" t="s">
        <v>5237</v>
      </c>
    </row>
    <row r="2449" spans="1:17" x14ac:dyDescent="0.3">
      <c r="A2449" t="s">
        <v>17</v>
      </c>
      <c r="B2449" t="str">
        <f>"603887"</f>
        <v>603887</v>
      </c>
      <c r="C2449" t="s">
        <v>5238</v>
      </c>
      <c r="D2449" t="s">
        <v>1189</v>
      </c>
      <c r="F2449">
        <v>-287328583</v>
      </c>
      <c r="G2449">
        <v>318743857</v>
      </c>
      <c r="H2449">
        <v>144196352</v>
      </c>
      <c r="I2449">
        <v>-193302929</v>
      </c>
      <c r="J2449">
        <v>-135524114</v>
      </c>
      <c r="K2449">
        <v>-47963447</v>
      </c>
      <c r="L2449">
        <v>9426048</v>
      </c>
      <c r="M2449">
        <v>29374814</v>
      </c>
      <c r="N2449">
        <v>-5455238</v>
      </c>
      <c r="P2449">
        <v>241</v>
      </c>
      <c r="Q2449" t="s">
        <v>5239</v>
      </c>
    </row>
    <row r="2450" spans="1:17" x14ac:dyDescent="0.3">
      <c r="A2450" t="s">
        <v>59</v>
      </c>
      <c r="B2450" t="str">
        <f>"300305"</f>
        <v>300305</v>
      </c>
      <c r="C2450" t="s">
        <v>5240</v>
      </c>
      <c r="D2450" t="s">
        <v>1674</v>
      </c>
      <c r="F2450">
        <v>168480216</v>
      </c>
      <c r="G2450">
        <v>122119173</v>
      </c>
      <c r="H2450">
        <v>144008993</v>
      </c>
      <c r="I2450">
        <v>-7660226</v>
      </c>
      <c r="J2450">
        <v>53699605</v>
      </c>
      <c r="K2450">
        <v>85129871</v>
      </c>
      <c r="L2450">
        <v>62280194</v>
      </c>
      <c r="M2450">
        <v>5488631</v>
      </c>
      <c r="N2450">
        <v>78251787</v>
      </c>
      <c r="O2450">
        <v>71870585</v>
      </c>
      <c r="P2450">
        <v>147</v>
      </c>
      <c r="Q2450" t="s">
        <v>5241</v>
      </c>
    </row>
    <row r="2451" spans="1:17" x14ac:dyDescent="0.3">
      <c r="A2451" t="s">
        <v>17</v>
      </c>
      <c r="B2451" t="str">
        <f>"600558"</f>
        <v>600558</v>
      </c>
      <c r="C2451" t="s">
        <v>5242</v>
      </c>
      <c r="D2451" t="s">
        <v>637</v>
      </c>
      <c r="F2451">
        <v>106135495</v>
      </c>
      <c r="G2451">
        <v>99897704</v>
      </c>
      <c r="H2451">
        <v>143689293</v>
      </c>
      <c r="I2451">
        <v>48445695</v>
      </c>
      <c r="J2451">
        <v>25253780</v>
      </c>
      <c r="K2451">
        <v>52939394</v>
      </c>
      <c r="L2451">
        <v>143635900</v>
      </c>
      <c r="M2451">
        <v>71249256</v>
      </c>
      <c r="N2451">
        <v>27897709</v>
      </c>
      <c r="O2451">
        <v>116911293</v>
      </c>
      <c r="P2451">
        <v>72</v>
      </c>
      <c r="Q2451" t="s">
        <v>5243</v>
      </c>
    </row>
    <row r="2452" spans="1:17" x14ac:dyDescent="0.3">
      <c r="A2452" t="s">
        <v>59</v>
      </c>
      <c r="B2452" t="str">
        <f>"002149"</f>
        <v>002149</v>
      </c>
      <c r="C2452" t="s">
        <v>5244</v>
      </c>
      <c r="D2452" t="s">
        <v>987</v>
      </c>
      <c r="F2452">
        <v>-4447002</v>
      </c>
      <c r="G2452">
        <v>-267307534</v>
      </c>
      <c r="H2452">
        <v>143564422</v>
      </c>
      <c r="I2452">
        <v>113860105</v>
      </c>
      <c r="J2452">
        <v>-281336617</v>
      </c>
      <c r="K2452">
        <v>-71969310</v>
      </c>
      <c r="L2452">
        <v>-25767015</v>
      </c>
      <c r="M2452">
        <v>72337769</v>
      </c>
      <c r="N2452">
        <v>53656965</v>
      </c>
      <c r="O2452">
        <v>174903727</v>
      </c>
      <c r="P2452">
        <v>259</v>
      </c>
      <c r="Q2452" t="s">
        <v>5245</v>
      </c>
    </row>
    <row r="2453" spans="1:17" x14ac:dyDescent="0.3">
      <c r="A2453" t="s">
        <v>59</v>
      </c>
      <c r="B2453" t="str">
        <f>"300763"</f>
        <v>300763</v>
      </c>
      <c r="C2453" t="s">
        <v>5246</v>
      </c>
      <c r="D2453" t="s">
        <v>868</v>
      </c>
      <c r="F2453">
        <v>632512385</v>
      </c>
      <c r="G2453">
        <v>364725828</v>
      </c>
      <c r="H2453">
        <v>143465554</v>
      </c>
      <c r="I2453">
        <v>107335992</v>
      </c>
      <c r="J2453">
        <v>149276353</v>
      </c>
      <c r="K2453">
        <v>32714607</v>
      </c>
      <c r="P2453">
        <v>582</v>
      </c>
      <c r="Q2453" t="s">
        <v>5247</v>
      </c>
    </row>
    <row r="2454" spans="1:17" x14ac:dyDescent="0.3">
      <c r="A2454" t="s">
        <v>17</v>
      </c>
      <c r="B2454" t="str">
        <f>"688016"</f>
        <v>688016</v>
      </c>
      <c r="C2454" t="s">
        <v>5248</v>
      </c>
      <c r="D2454" t="s">
        <v>1036</v>
      </c>
      <c r="F2454">
        <v>300252679</v>
      </c>
      <c r="G2454">
        <v>217439813</v>
      </c>
      <c r="H2454">
        <v>143202857</v>
      </c>
      <c r="I2454">
        <v>106851842</v>
      </c>
      <c r="J2454">
        <v>69355284</v>
      </c>
      <c r="K2454">
        <v>30134909</v>
      </c>
      <c r="P2454">
        <v>551</v>
      </c>
      <c r="Q2454" t="s">
        <v>5249</v>
      </c>
    </row>
    <row r="2455" spans="1:17" x14ac:dyDescent="0.3">
      <c r="A2455" t="s">
        <v>17</v>
      </c>
      <c r="B2455" t="str">
        <f>"603931"</f>
        <v>603931</v>
      </c>
      <c r="C2455" t="s">
        <v>5250</v>
      </c>
      <c r="D2455" t="s">
        <v>2111</v>
      </c>
      <c r="F2455">
        <v>112300559</v>
      </c>
      <c r="G2455">
        <v>126565753</v>
      </c>
      <c r="H2455">
        <v>143112172</v>
      </c>
      <c r="I2455">
        <v>103656647</v>
      </c>
      <c r="J2455">
        <v>130712417</v>
      </c>
      <c r="P2455">
        <v>88</v>
      </c>
      <c r="Q2455" t="s">
        <v>5251</v>
      </c>
    </row>
    <row r="2456" spans="1:17" x14ac:dyDescent="0.3">
      <c r="A2456" t="s">
        <v>17</v>
      </c>
      <c r="B2456" t="str">
        <f>"600693"</f>
        <v>600693</v>
      </c>
      <c r="C2456" t="s">
        <v>5252</v>
      </c>
      <c r="D2456" t="s">
        <v>1361</v>
      </c>
      <c r="F2456">
        <v>409916768</v>
      </c>
      <c r="G2456">
        <v>-68434219</v>
      </c>
      <c r="H2456">
        <v>142782606</v>
      </c>
      <c r="I2456">
        <v>-158260114</v>
      </c>
      <c r="J2456">
        <v>305322547</v>
      </c>
      <c r="K2456">
        <v>-29820463</v>
      </c>
      <c r="L2456">
        <v>-84071550</v>
      </c>
      <c r="M2456">
        <v>-380655605</v>
      </c>
      <c r="N2456">
        <v>-719457802</v>
      </c>
      <c r="O2456">
        <v>138824766</v>
      </c>
      <c r="P2456">
        <v>103</v>
      </c>
      <c r="Q2456" t="s">
        <v>5253</v>
      </c>
    </row>
    <row r="2457" spans="1:17" x14ac:dyDescent="0.3">
      <c r="A2457" t="s">
        <v>59</v>
      </c>
      <c r="B2457" t="str">
        <f>"000972"</f>
        <v>000972</v>
      </c>
      <c r="C2457" t="s">
        <v>5254</v>
      </c>
      <c r="D2457" t="s">
        <v>1518</v>
      </c>
      <c r="F2457">
        <v>-188674682</v>
      </c>
      <c r="G2457">
        <v>-9889117</v>
      </c>
      <c r="H2457">
        <v>142656995</v>
      </c>
      <c r="I2457">
        <v>416334994</v>
      </c>
      <c r="J2457">
        <v>-176599015</v>
      </c>
      <c r="K2457">
        <v>-206922771</v>
      </c>
      <c r="L2457">
        <v>-38448077</v>
      </c>
      <c r="M2457">
        <v>-156063601</v>
      </c>
      <c r="N2457">
        <v>345338729</v>
      </c>
      <c r="O2457">
        <v>-28310240</v>
      </c>
      <c r="P2457">
        <v>78</v>
      </c>
      <c r="Q2457" t="s">
        <v>5255</v>
      </c>
    </row>
    <row r="2458" spans="1:17" x14ac:dyDescent="0.3">
      <c r="A2458" t="s">
        <v>59</v>
      </c>
      <c r="B2458" t="str">
        <f>"300496"</f>
        <v>300496</v>
      </c>
      <c r="C2458" t="s">
        <v>5256</v>
      </c>
      <c r="D2458" t="s">
        <v>1189</v>
      </c>
      <c r="F2458">
        <v>139090537</v>
      </c>
      <c r="G2458">
        <v>341332454</v>
      </c>
      <c r="H2458">
        <v>142211597</v>
      </c>
      <c r="I2458">
        <v>253327253</v>
      </c>
      <c r="J2458">
        <v>181362773</v>
      </c>
      <c r="K2458">
        <v>73962922</v>
      </c>
      <c r="L2458">
        <v>31628999</v>
      </c>
      <c r="M2458">
        <v>70404118</v>
      </c>
      <c r="N2458">
        <v>121265530</v>
      </c>
      <c r="O2458">
        <v>43093344</v>
      </c>
      <c r="P2458">
        <v>1141</v>
      </c>
      <c r="Q2458" t="s">
        <v>5257</v>
      </c>
    </row>
    <row r="2459" spans="1:17" x14ac:dyDescent="0.3">
      <c r="A2459" t="s">
        <v>59</v>
      </c>
      <c r="B2459" t="str">
        <f>"300577"</f>
        <v>300577</v>
      </c>
      <c r="C2459" t="s">
        <v>5258</v>
      </c>
      <c r="D2459" t="s">
        <v>3416</v>
      </c>
      <c r="F2459">
        <v>47431155</v>
      </c>
      <c r="G2459">
        <v>134387479</v>
      </c>
      <c r="H2459">
        <v>142144975</v>
      </c>
      <c r="I2459">
        <v>145950803</v>
      </c>
      <c r="J2459">
        <v>154014559</v>
      </c>
      <c r="K2459">
        <v>87995799</v>
      </c>
      <c r="L2459">
        <v>60264588</v>
      </c>
      <c r="M2459">
        <v>32539831</v>
      </c>
      <c r="N2459">
        <v>13988603</v>
      </c>
      <c r="P2459">
        <v>486</v>
      </c>
      <c r="Q2459" t="s">
        <v>5259</v>
      </c>
    </row>
    <row r="2460" spans="1:17" x14ac:dyDescent="0.3">
      <c r="A2460" t="s">
        <v>17</v>
      </c>
      <c r="B2460" t="str">
        <f>"688326"</f>
        <v>688326</v>
      </c>
      <c r="C2460" t="s">
        <v>5260</v>
      </c>
      <c r="F2460">
        <v>310728457</v>
      </c>
      <c r="G2460">
        <v>46475710</v>
      </c>
      <c r="H2460">
        <v>142024366</v>
      </c>
      <c r="I2460">
        <v>122504417</v>
      </c>
      <c r="P2460">
        <v>3</v>
      </c>
      <c r="Q2460" t="s">
        <v>5261</v>
      </c>
    </row>
    <row r="2461" spans="1:17" x14ac:dyDescent="0.3">
      <c r="A2461" t="s">
        <v>17</v>
      </c>
      <c r="B2461" t="str">
        <f>"605058"</f>
        <v>605058</v>
      </c>
      <c r="C2461" t="s">
        <v>5262</v>
      </c>
      <c r="D2461" t="s">
        <v>539</v>
      </c>
      <c r="F2461">
        <v>201132612</v>
      </c>
      <c r="G2461">
        <v>155993792</v>
      </c>
      <c r="H2461">
        <v>141960156</v>
      </c>
      <c r="I2461">
        <v>124047453</v>
      </c>
      <c r="J2461">
        <v>38959094</v>
      </c>
      <c r="K2461">
        <v>56201925</v>
      </c>
      <c r="P2461">
        <v>48</v>
      </c>
      <c r="Q2461" t="s">
        <v>5263</v>
      </c>
    </row>
    <row r="2462" spans="1:17" x14ac:dyDescent="0.3">
      <c r="A2462" t="s">
        <v>17</v>
      </c>
      <c r="B2462" t="str">
        <f>"600477"</f>
        <v>600477</v>
      </c>
      <c r="C2462" t="s">
        <v>5264</v>
      </c>
      <c r="D2462" t="s">
        <v>1903</v>
      </c>
      <c r="F2462">
        <v>-903777843</v>
      </c>
      <c r="G2462">
        <v>-14310541</v>
      </c>
      <c r="H2462">
        <v>141904177</v>
      </c>
      <c r="I2462">
        <v>651921545</v>
      </c>
      <c r="J2462">
        <v>919477800</v>
      </c>
      <c r="K2462">
        <v>1255774224</v>
      </c>
      <c r="L2462">
        <v>94377306</v>
      </c>
      <c r="M2462">
        <v>-230053853</v>
      </c>
      <c r="N2462">
        <v>89056468</v>
      </c>
      <c r="O2462">
        <v>-93485477</v>
      </c>
      <c r="P2462">
        <v>347</v>
      </c>
      <c r="Q2462" t="s">
        <v>5265</v>
      </c>
    </row>
    <row r="2463" spans="1:17" x14ac:dyDescent="0.3">
      <c r="A2463" t="s">
        <v>17</v>
      </c>
      <c r="B2463" t="str">
        <f>"688513"</f>
        <v>688513</v>
      </c>
      <c r="C2463" t="s">
        <v>5266</v>
      </c>
      <c r="D2463" t="s">
        <v>592</v>
      </c>
      <c r="F2463">
        <v>147596571</v>
      </c>
      <c r="G2463">
        <v>156524544</v>
      </c>
      <c r="H2463">
        <v>141830212</v>
      </c>
      <c r="I2463">
        <v>166787530</v>
      </c>
      <c r="J2463">
        <v>85699817</v>
      </c>
      <c r="K2463">
        <v>106057814</v>
      </c>
      <c r="P2463">
        <v>58</v>
      </c>
      <c r="Q2463" t="s">
        <v>5267</v>
      </c>
    </row>
    <row r="2464" spans="1:17" x14ac:dyDescent="0.3">
      <c r="A2464" t="s">
        <v>17</v>
      </c>
      <c r="B2464" t="str">
        <f>"603324"</f>
        <v>603324</v>
      </c>
      <c r="C2464" t="s">
        <v>5268</v>
      </c>
      <c r="D2464" t="s">
        <v>1337</v>
      </c>
      <c r="F2464">
        <v>34428164</v>
      </c>
      <c r="G2464">
        <v>89736334</v>
      </c>
      <c r="H2464">
        <v>141728694</v>
      </c>
      <c r="I2464">
        <v>76920980</v>
      </c>
      <c r="J2464">
        <v>-23320833</v>
      </c>
      <c r="P2464">
        <v>29</v>
      </c>
      <c r="Q2464" t="s">
        <v>5269</v>
      </c>
    </row>
    <row r="2465" spans="1:17" x14ac:dyDescent="0.3">
      <c r="A2465" t="s">
        <v>17</v>
      </c>
      <c r="B2465" t="str">
        <f>"688213"</f>
        <v>688213</v>
      </c>
      <c r="C2465" t="s">
        <v>5270</v>
      </c>
      <c r="F2465">
        <v>-1261896357</v>
      </c>
      <c r="G2465">
        <v>23164903</v>
      </c>
      <c r="H2465">
        <v>141570229</v>
      </c>
      <c r="I2465">
        <v>19297747</v>
      </c>
      <c r="Q2465" t="s">
        <v>5271</v>
      </c>
    </row>
    <row r="2466" spans="1:17" x14ac:dyDescent="0.3">
      <c r="A2466" t="s">
        <v>17</v>
      </c>
      <c r="B2466" t="str">
        <f>"688580"</f>
        <v>688580</v>
      </c>
      <c r="C2466" t="s">
        <v>5272</v>
      </c>
      <c r="D2466" t="s">
        <v>485</v>
      </c>
      <c r="F2466">
        <v>157367013</v>
      </c>
      <c r="G2466">
        <v>120763255</v>
      </c>
      <c r="H2466">
        <v>141472082</v>
      </c>
      <c r="I2466">
        <v>85844946</v>
      </c>
      <c r="J2466">
        <v>52349515</v>
      </c>
      <c r="K2466">
        <v>30980905</v>
      </c>
      <c r="P2466">
        <v>246</v>
      </c>
      <c r="Q2466" t="s">
        <v>5273</v>
      </c>
    </row>
    <row r="2467" spans="1:17" x14ac:dyDescent="0.3">
      <c r="A2467" t="s">
        <v>59</v>
      </c>
      <c r="B2467" t="str">
        <f>"300127"</f>
        <v>300127</v>
      </c>
      <c r="C2467" t="s">
        <v>5274</v>
      </c>
      <c r="D2467" t="s">
        <v>2132</v>
      </c>
      <c r="F2467">
        <v>97209405</v>
      </c>
      <c r="G2467">
        <v>156696098</v>
      </c>
      <c r="H2467">
        <v>141465643</v>
      </c>
      <c r="I2467">
        <v>120315990</v>
      </c>
      <c r="J2467">
        <v>70912102</v>
      </c>
      <c r="K2467">
        <v>70013850</v>
      </c>
      <c r="L2467">
        <v>76980301</v>
      </c>
      <c r="M2467">
        <v>103472718</v>
      </c>
      <c r="N2467">
        <v>34718453</v>
      </c>
      <c r="O2467">
        <v>89275114</v>
      </c>
      <c r="P2467">
        <v>205</v>
      </c>
      <c r="Q2467" t="s">
        <v>5275</v>
      </c>
    </row>
    <row r="2468" spans="1:17" x14ac:dyDescent="0.3">
      <c r="A2468" t="s">
        <v>17</v>
      </c>
      <c r="B2468" t="str">
        <f>"603922"</f>
        <v>603922</v>
      </c>
      <c r="C2468" t="s">
        <v>5276</v>
      </c>
      <c r="D2468" t="s">
        <v>1226</v>
      </c>
      <c r="F2468">
        <v>125511622</v>
      </c>
      <c r="G2468">
        <v>106117442</v>
      </c>
      <c r="H2468">
        <v>141439239</v>
      </c>
      <c r="I2468">
        <v>49781633</v>
      </c>
      <c r="J2468">
        <v>-676548</v>
      </c>
      <c r="K2468">
        <v>107651444</v>
      </c>
      <c r="L2468">
        <v>176759101</v>
      </c>
      <c r="M2468">
        <v>137286658</v>
      </c>
      <c r="P2468">
        <v>54</v>
      </c>
      <c r="Q2468" t="s">
        <v>5277</v>
      </c>
    </row>
    <row r="2469" spans="1:17" x14ac:dyDescent="0.3">
      <c r="A2469" t="s">
        <v>17</v>
      </c>
      <c r="B2469" t="str">
        <f>"605258"</f>
        <v>605258</v>
      </c>
      <c r="C2469" t="s">
        <v>5278</v>
      </c>
      <c r="D2469" t="s">
        <v>539</v>
      </c>
      <c r="F2469">
        <v>62407063</v>
      </c>
      <c r="G2469">
        <v>40149578</v>
      </c>
      <c r="H2469">
        <v>141415828</v>
      </c>
      <c r="I2469">
        <v>75486513</v>
      </c>
      <c r="J2469">
        <v>1503936</v>
      </c>
      <c r="K2469">
        <v>42731780</v>
      </c>
      <c r="P2469">
        <v>51</v>
      </c>
      <c r="Q2469" t="s">
        <v>5279</v>
      </c>
    </row>
    <row r="2470" spans="1:17" x14ac:dyDescent="0.3">
      <c r="A2470" t="s">
        <v>17</v>
      </c>
      <c r="B2470" t="str">
        <f>"688559"</f>
        <v>688559</v>
      </c>
      <c r="C2470" t="s">
        <v>5280</v>
      </c>
      <c r="D2470" t="s">
        <v>975</v>
      </c>
      <c r="F2470">
        <v>486926939</v>
      </c>
      <c r="G2470">
        <v>196268296</v>
      </c>
      <c r="H2470">
        <v>141351009</v>
      </c>
      <c r="I2470">
        <v>-6032189</v>
      </c>
      <c r="J2470">
        <v>-140047896</v>
      </c>
      <c r="K2470">
        <v>-95016011</v>
      </c>
      <c r="P2470">
        <v>68</v>
      </c>
      <c r="Q2470" t="s">
        <v>5281</v>
      </c>
    </row>
    <row r="2471" spans="1:17" x14ac:dyDescent="0.3">
      <c r="A2471" t="s">
        <v>59</v>
      </c>
      <c r="B2471" t="str">
        <f>"300582"</f>
        <v>300582</v>
      </c>
      <c r="C2471" t="s">
        <v>5282</v>
      </c>
      <c r="D2471" t="s">
        <v>772</v>
      </c>
      <c r="F2471">
        <v>23767796</v>
      </c>
      <c r="G2471">
        <v>150492296</v>
      </c>
      <c r="H2471">
        <v>141176650</v>
      </c>
      <c r="I2471">
        <v>102532381</v>
      </c>
      <c r="J2471">
        <v>55236978</v>
      </c>
      <c r="K2471">
        <v>20853547</v>
      </c>
      <c r="L2471">
        <v>94508876</v>
      </c>
      <c r="M2471">
        <v>85036786</v>
      </c>
      <c r="N2471">
        <v>53454726</v>
      </c>
      <c r="P2471">
        <v>152</v>
      </c>
      <c r="Q2471" t="s">
        <v>5283</v>
      </c>
    </row>
    <row r="2472" spans="1:17" x14ac:dyDescent="0.3">
      <c r="A2472" t="s">
        <v>17</v>
      </c>
      <c r="B2472" t="str">
        <f>"688378"</f>
        <v>688378</v>
      </c>
      <c r="C2472" t="s">
        <v>5284</v>
      </c>
      <c r="D2472" t="s">
        <v>1351</v>
      </c>
      <c r="F2472">
        <v>140907242</v>
      </c>
      <c r="G2472">
        <v>120457669</v>
      </c>
      <c r="H2472">
        <v>141089906</v>
      </c>
      <c r="I2472">
        <v>78407914</v>
      </c>
      <c r="J2472">
        <v>53106650</v>
      </c>
      <c r="P2472">
        <v>50</v>
      </c>
      <c r="Q2472" t="s">
        <v>5285</v>
      </c>
    </row>
    <row r="2473" spans="1:17" x14ac:dyDescent="0.3">
      <c r="A2473" t="s">
        <v>59</v>
      </c>
      <c r="B2473" t="str">
        <f>"002239"</f>
        <v>002239</v>
      </c>
      <c r="C2473" t="s">
        <v>5286</v>
      </c>
      <c r="D2473" t="s">
        <v>575</v>
      </c>
      <c r="F2473">
        <v>257502288</v>
      </c>
      <c r="G2473">
        <v>283181629</v>
      </c>
      <c r="H2473">
        <v>140865888</v>
      </c>
      <c r="I2473">
        <v>306224062</v>
      </c>
      <c r="J2473">
        <v>519960102</v>
      </c>
      <c r="K2473">
        <v>507637217</v>
      </c>
      <c r="L2473">
        <v>146103234</v>
      </c>
      <c r="M2473">
        <v>52368572</v>
      </c>
      <c r="N2473">
        <v>-19022804</v>
      </c>
      <c r="O2473">
        <v>32342899</v>
      </c>
      <c r="P2473">
        <v>242</v>
      </c>
      <c r="Q2473" t="s">
        <v>5287</v>
      </c>
    </row>
    <row r="2474" spans="1:17" x14ac:dyDescent="0.3">
      <c r="A2474" t="s">
        <v>17</v>
      </c>
      <c r="B2474" t="str">
        <f>"603826"</f>
        <v>603826</v>
      </c>
      <c r="C2474" t="s">
        <v>5288</v>
      </c>
      <c r="D2474" t="s">
        <v>1408</v>
      </c>
      <c r="F2474">
        <v>180504623</v>
      </c>
      <c r="G2474">
        <v>161904403</v>
      </c>
      <c r="H2474">
        <v>140586686</v>
      </c>
      <c r="I2474">
        <v>70420827</v>
      </c>
      <c r="J2474">
        <v>63408984</v>
      </c>
      <c r="K2474">
        <v>73686341</v>
      </c>
      <c r="L2474">
        <v>105611572</v>
      </c>
      <c r="M2474">
        <v>89785647</v>
      </c>
      <c r="P2474">
        <v>265</v>
      </c>
      <c r="Q2474" t="s">
        <v>5289</v>
      </c>
    </row>
    <row r="2475" spans="1:17" x14ac:dyDescent="0.3">
      <c r="A2475" t="s">
        <v>59</v>
      </c>
      <c r="B2475" t="str">
        <f>"000533"</f>
        <v>000533</v>
      </c>
      <c r="C2475" t="s">
        <v>5290</v>
      </c>
      <c r="D2475" t="s">
        <v>560</v>
      </c>
      <c r="F2475">
        <v>54404583</v>
      </c>
      <c r="G2475">
        <v>38337487</v>
      </c>
      <c r="H2475">
        <v>140583971</v>
      </c>
      <c r="I2475">
        <v>-39002248</v>
      </c>
      <c r="J2475">
        <v>-144759278</v>
      </c>
      <c r="K2475">
        <v>261643973</v>
      </c>
      <c r="L2475">
        <v>502865785</v>
      </c>
      <c r="M2475">
        <v>-18377172</v>
      </c>
      <c r="N2475">
        <v>44343231</v>
      </c>
      <c r="O2475">
        <v>21650649</v>
      </c>
      <c r="P2475">
        <v>101</v>
      </c>
      <c r="Q2475" t="s">
        <v>5291</v>
      </c>
    </row>
    <row r="2476" spans="1:17" x14ac:dyDescent="0.3">
      <c r="A2476" t="s">
        <v>17</v>
      </c>
      <c r="B2476" t="str">
        <f>"605168"</f>
        <v>605168</v>
      </c>
      <c r="C2476" t="s">
        <v>5292</v>
      </c>
      <c r="D2476" t="s">
        <v>1889</v>
      </c>
      <c r="F2476">
        <v>295402279</v>
      </c>
      <c r="G2476">
        <v>115853313</v>
      </c>
      <c r="H2476">
        <v>140503595</v>
      </c>
      <c r="I2476">
        <v>77946921</v>
      </c>
      <c r="J2476">
        <v>131690016</v>
      </c>
      <c r="P2476">
        <v>317</v>
      </c>
      <c r="Q2476" t="s">
        <v>5293</v>
      </c>
    </row>
    <row r="2477" spans="1:17" x14ac:dyDescent="0.3">
      <c r="A2477" t="s">
        <v>59</v>
      </c>
      <c r="B2477" t="str">
        <f>"002151"</f>
        <v>002151</v>
      </c>
      <c r="C2477" t="s">
        <v>5294</v>
      </c>
      <c r="D2477" t="s">
        <v>1983</v>
      </c>
      <c r="F2477">
        <v>304902936</v>
      </c>
      <c r="G2477">
        <v>425903486</v>
      </c>
      <c r="H2477">
        <v>140438638</v>
      </c>
      <c r="I2477">
        <v>254226874</v>
      </c>
      <c r="J2477">
        <v>-25432659</v>
      </c>
      <c r="K2477">
        <v>-41866957</v>
      </c>
      <c r="L2477">
        <v>100014773</v>
      </c>
      <c r="M2477">
        <v>29464808</v>
      </c>
      <c r="N2477">
        <v>108954452</v>
      </c>
      <c r="O2477">
        <v>67550719</v>
      </c>
      <c r="P2477">
        <v>3423</v>
      </c>
      <c r="Q2477" t="s">
        <v>5295</v>
      </c>
    </row>
    <row r="2478" spans="1:17" x14ac:dyDescent="0.3">
      <c r="A2478" t="s">
        <v>17</v>
      </c>
      <c r="B2478" t="str">
        <f>"600636"</f>
        <v>600636</v>
      </c>
      <c r="C2478" t="s">
        <v>5296</v>
      </c>
      <c r="D2478" t="s">
        <v>904</v>
      </c>
      <c r="F2478">
        <v>85675858</v>
      </c>
      <c r="G2478">
        <v>205246379</v>
      </c>
      <c r="H2478">
        <v>140306668</v>
      </c>
      <c r="I2478">
        <v>-22365998</v>
      </c>
      <c r="J2478">
        <v>68852791</v>
      </c>
      <c r="K2478">
        <v>204388542</v>
      </c>
      <c r="L2478">
        <v>-74342170</v>
      </c>
      <c r="M2478">
        <v>-35664225</v>
      </c>
      <c r="N2478">
        <v>294805517</v>
      </c>
      <c r="O2478">
        <v>182761311</v>
      </c>
      <c r="P2478">
        <v>136</v>
      </c>
      <c r="Q2478" t="s">
        <v>5297</v>
      </c>
    </row>
    <row r="2479" spans="1:17" x14ac:dyDescent="0.3">
      <c r="A2479" t="s">
        <v>59</v>
      </c>
      <c r="B2479" t="str">
        <f>"002910"</f>
        <v>002910</v>
      </c>
      <c r="C2479" t="s">
        <v>5298</v>
      </c>
      <c r="D2479" t="s">
        <v>308</v>
      </c>
      <c r="F2479">
        <v>206991244</v>
      </c>
      <c r="G2479">
        <v>141646871</v>
      </c>
      <c r="H2479">
        <v>140276745</v>
      </c>
      <c r="I2479">
        <v>95168725</v>
      </c>
      <c r="J2479">
        <v>133639798</v>
      </c>
      <c r="K2479">
        <v>174187079</v>
      </c>
      <c r="L2479">
        <v>141138342</v>
      </c>
      <c r="M2479">
        <v>248244933</v>
      </c>
      <c r="P2479">
        <v>147</v>
      </c>
      <c r="Q2479" t="s">
        <v>5299</v>
      </c>
    </row>
    <row r="2480" spans="1:17" x14ac:dyDescent="0.3">
      <c r="A2480" t="s">
        <v>59</v>
      </c>
      <c r="B2480" t="str">
        <f>"300481"</f>
        <v>300481</v>
      </c>
      <c r="C2480" t="s">
        <v>5300</v>
      </c>
      <c r="D2480" t="s">
        <v>2111</v>
      </c>
      <c r="F2480">
        <v>86266623</v>
      </c>
      <c r="G2480">
        <v>58267003</v>
      </c>
      <c r="H2480">
        <v>140210978</v>
      </c>
      <c r="I2480">
        <v>67874413</v>
      </c>
      <c r="J2480">
        <v>41999797</v>
      </c>
      <c r="K2480">
        <v>57929945</v>
      </c>
      <c r="L2480">
        <v>60165832</v>
      </c>
      <c r="M2480">
        <v>22946410</v>
      </c>
      <c r="N2480">
        <v>38406004</v>
      </c>
      <c r="O2480">
        <v>42680442</v>
      </c>
      <c r="P2480">
        <v>352</v>
      </c>
      <c r="Q2480" t="s">
        <v>5301</v>
      </c>
    </row>
    <row r="2481" spans="1:17" x14ac:dyDescent="0.3">
      <c r="A2481" t="s">
        <v>59</v>
      </c>
      <c r="B2481" t="str">
        <f>"300032"</f>
        <v>300032</v>
      </c>
      <c r="C2481" t="s">
        <v>5302</v>
      </c>
      <c r="D2481" t="s">
        <v>349</v>
      </c>
      <c r="F2481">
        <v>-77366844</v>
      </c>
      <c r="G2481">
        <v>-36238650</v>
      </c>
      <c r="H2481">
        <v>140150113</v>
      </c>
      <c r="I2481">
        <v>349299240</v>
      </c>
      <c r="J2481">
        <v>-73420118</v>
      </c>
      <c r="K2481">
        <v>211223395</v>
      </c>
      <c r="L2481">
        <v>84252185</v>
      </c>
      <c r="M2481">
        <v>89645542</v>
      </c>
      <c r="N2481">
        <v>-17181769</v>
      </c>
      <c r="O2481">
        <v>-2271743</v>
      </c>
      <c r="P2481">
        <v>152</v>
      </c>
      <c r="Q2481" t="s">
        <v>5303</v>
      </c>
    </row>
    <row r="2482" spans="1:17" x14ac:dyDescent="0.3">
      <c r="A2482" t="s">
        <v>17</v>
      </c>
      <c r="B2482" t="str">
        <f>"603566"</f>
        <v>603566</v>
      </c>
      <c r="C2482" t="s">
        <v>5304</v>
      </c>
      <c r="D2482" t="s">
        <v>3061</v>
      </c>
      <c r="F2482">
        <v>212533723</v>
      </c>
      <c r="G2482">
        <v>261831612</v>
      </c>
      <c r="H2482">
        <v>140103015</v>
      </c>
      <c r="I2482">
        <v>126271903</v>
      </c>
      <c r="J2482">
        <v>140861979</v>
      </c>
      <c r="K2482">
        <v>253026483</v>
      </c>
      <c r="L2482">
        <v>187086132</v>
      </c>
      <c r="M2482">
        <v>151206580</v>
      </c>
      <c r="N2482">
        <v>181213820</v>
      </c>
      <c r="O2482">
        <v>147960867</v>
      </c>
      <c r="P2482">
        <v>233</v>
      </c>
      <c r="Q2482" t="s">
        <v>5305</v>
      </c>
    </row>
    <row r="2483" spans="1:17" x14ac:dyDescent="0.3">
      <c r="A2483" t="s">
        <v>17</v>
      </c>
      <c r="B2483" t="str">
        <f>"600227"</f>
        <v>600227</v>
      </c>
      <c r="C2483" t="s">
        <v>5306</v>
      </c>
      <c r="D2483" t="s">
        <v>592</v>
      </c>
      <c r="F2483">
        <v>276666953</v>
      </c>
      <c r="G2483">
        <v>264557039</v>
      </c>
      <c r="H2483">
        <v>140093494</v>
      </c>
      <c r="I2483">
        <v>523349444</v>
      </c>
      <c r="J2483">
        <v>-32546822</v>
      </c>
      <c r="K2483">
        <v>129178627</v>
      </c>
      <c r="L2483">
        <v>38264931</v>
      </c>
      <c r="M2483">
        <v>339410397</v>
      </c>
      <c r="N2483">
        <v>183510247</v>
      </c>
      <c r="O2483">
        <v>592122979</v>
      </c>
      <c r="P2483">
        <v>114</v>
      </c>
      <c r="Q2483" t="s">
        <v>5307</v>
      </c>
    </row>
    <row r="2484" spans="1:17" x14ac:dyDescent="0.3">
      <c r="A2484" t="s">
        <v>17</v>
      </c>
      <c r="B2484" t="str">
        <f>"688679"</f>
        <v>688679</v>
      </c>
      <c r="C2484" t="s">
        <v>5308</v>
      </c>
      <c r="D2484" t="s">
        <v>894</v>
      </c>
      <c r="F2484">
        <v>-136589040</v>
      </c>
      <c r="G2484">
        <v>102982307</v>
      </c>
      <c r="H2484">
        <v>139971608</v>
      </c>
      <c r="I2484">
        <v>6538615</v>
      </c>
      <c r="J2484">
        <v>-45009867</v>
      </c>
      <c r="K2484">
        <v>-41735155</v>
      </c>
      <c r="P2484">
        <v>31</v>
      </c>
      <c r="Q2484" t="s">
        <v>5309</v>
      </c>
    </row>
    <row r="2485" spans="1:17" x14ac:dyDescent="0.3">
      <c r="A2485" t="s">
        <v>59</v>
      </c>
      <c r="B2485" t="str">
        <f>"002253"</f>
        <v>002253</v>
      </c>
      <c r="C2485" t="s">
        <v>5310</v>
      </c>
      <c r="D2485" t="s">
        <v>1528</v>
      </c>
      <c r="F2485">
        <v>29142701</v>
      </c>
      <c r="G2485">
        <v>30440409</v>
      </c>
      <c r="H2485">
        <v>139963435</v>
      </c>
      <c r="I2485">
        <v>117067225</v>
      </c>
      <c r="J2485">
        <v>99615139</v>
      </c>
      <c r="K2485">
        <v>56476808</v>
      </c>
      <c r="L2485">
        <v>122710571</v>
      </c>
      <c r="M2485">
        <v>75663408</v>
      </c>
      <c r="N2485">
        <v>20219274</v>
      </c>
      <c r="O2485">
        <v>104030887</v>
      </c>
      <c r="P2485">
        <v>151</v>
      </c>
      <c r="Q2485" t="s">
        <v>5311</v>
      </c>
    </row>
    <row r="2486" spans="1:17" x14ac:dyDescent="0.3">
      <c r="A2486" t="s">
        <v>59</v>
      </c>
      <c r="B2486" t="str">
        <f>"002799"</f>
        <v>002799</v>
      </c>
      <c r="C2486" t="s">
        <v>5312</v>
      </c>
      <c r="D2486" t="s">
        <v>1416</v>
      </c>
      <c r="F2486">
        <v>117613585</v>
      </c>
      <c r="G2486">
        <v>-44471118</v>
      </c>
      <c r="H2486">
        <v>139913384</v>
      </c>
      <c r="I2486">
        <v>85553435</v>
      </c>
      <c r="J2486">
        <v>51911950</v>
      </c>
      <c r="K2486">
        <v>41266282</v>
      </c>
      <c r="L2486">
        <v>63098085</v>
      </c>
      <c r="M2486">
        <v>72938496</v>
      </c>
      <c r="N2486">
        <v>55008273</v>
      </c>
      <c r="P2486">
        <v>109</v>
      </c>
      <c r="Q2486" t="s">
        <v>5313</v>
      </c>
    </row>
    <row r="2487" spans="1:17" x14ac:dyDescent="0.3">
      <c r="A2487" t="s">
        <v>59</v>
      </c>
      <c r="B2487" t="str">
        <f>"002551"</f>
        <v>002551</v>
      </c>
      <c r="C2487" t="s">
        <v>5314</v>
      </c>
      <c r="D2487" t="s">
        <v>1036</v>
      </c>
      <c r="F2487">
        <v>242597270</v>
      </c>
      <c r="G2487">
        <v>497535713</v>
      </c>
      <c r="H2487">
        <v>139878758</v>
      </c>
      <c r="I2487">
        <v>42215864</v>
      </c>
      <c r="J2487">
        <v>235393625</v>
      </c>
      <c r="K2487">
        <v>281418286</v>
      </c>
      <c r="L2487">
        <v>217624979</v>
      </c>
      <c r="M2487">
        <v>-14052014</v>
      </c>
      <c r="N2487">
        <v>-84572546</v>
      </c>
      <c r="O2487">
        <v>31734304</v>
      </c>
      <c r="P2487">
        <v>242</v>
      </c>
      <c r="Q2487" t="s">
        <v>5315</v>
      </c>
    </row>
    <row r="2488" spans="1:17" x14ac:dyDescent="0.3">
      <c r="A2488" t="s">
        <v>17</v>
      </c>
      <c r="B2488" t="str">
        <f>"603615"</f>
        <v>603615</v>
      </c>
      <c r="C2488" t="s">
        <v>5316</v>
      </c>
      <c r="D2488" t="s">
        <v>923</v>
      </c>
      <c r="F2488">
        <v>-7448300</v>
      </c>
      <c r="G2488">
        <v>1712357</v>
      </c>
      <c r="H2488">
        <v>139744660</v>
      </c>
      <c r="I2488">
        <v>97782809</v>
      </c>
      <c r="J2488">
        <v>77501985</v>
      </c>
      <c r="K2488">
        <v>146116579</v>
      </c>
      <c r="L2488">
        <v>183580656</v>
      </c>
      <c r="M2488">
        <v>66026976</v>
      </c>
      <c r="N2488">
        <v>116169449</v>
      </c>
      <c r="P2488">
        <v>107</v>
      </c>
      <c r="Q2488" t="s">
        <v>5317</v>
      </c>
    </row>
    <row r="2489" spans="1:17" x14ac:dyDescent="0.3">
      <c r="A2489" t="s">
        <v>17</v>
      </c>
      <c r="B2489" t="str">
        <f>"603700"</f>
        <v>603700</v>
      </c>
      <c r="C2489" t="s">
        <v>5318</v>
      </c>
      <c r="D2489" t="s">
        <v>2382</v>
      </c>
      <c r="F2489">
        <v>161012833</v>
      </c>
      <c r="G2489">
        <v>126758760</v>
      </c>
      <c r="H2489">
        <v>139720757</v>
      </c>
      <c r="I2489">
        <v>102141250</v>
      </c>
      <c r="J2489">
        <v>133848774</v>
      </c>
      <c r="K2489">
        <v>153478127</v>
      </c>
      <c r="L2489">
        <v>75912082</v>
      </c>
      <c r="P2489">
        <v>395</v>
      </c>
      <c r="Q2489" t="s">
        <v>5319</v>
      </c>
    </row>
    <row r="2490" spans="1:17" x14ac:dyDescent="0.3">
      <c r="A2490" t="s">
        <v>17</v>
      </c>
      <c r="B2490" t="str">
        <f>"688560"</f>
        <v>688560</v>
      </c>
      <c r="C2490" t="s">
        <v>5320</v>
      </c>
      <c r="D2490" t="s">
        <v>1340</v>
      </c>
      <c r="F2490">
        <v>-93255131</v>
      </c>
      <c r="G2490">
        <v>33622169</v>
      </c>
      <c r="H2490">
        <v>139608188</v>
      </c>
      <c r="I2490">
        <v>48974613</v>
      </c>
      <c r="J2490">
        <v>99111246</v>
      </c>
      <c r="K2490">
        <v>-22332435</v>
      </c>
      <c r="P2490">
        <v>38</v>
      </c>
      <c r="Q2490" t="s">
        <v>5321</v>
      </c>
    </row>
    <row r="2491" spans="1:17" x14ac:dyDescent="0.3">
      <c r="A2491" t="s">
        <v>17</v>
      </c>
      <c r="B2491" t="str">
        <f>"603955"</f>
        <v>603955</v>
      </c>
      <c r="C2491" t="s">
        <v>5322</v>
      </c>
      <c r="D2491" t="s">
        <v>1489</v>
      </c>
      <c r="F2491">
        <v>23050186</v>
      </c>
      <c r="G2491">
        <v>31079034</v>
      </c>
      <c r="H2491">
        <v>139369512</v>
      </c>
      <c r="I2491">
        <v>-277330250</v>
      </c>
      <c r="J2491">
        <v>-314242178</v>
      </c>
      <c r="K2491">
        <v>72375372</v>
      </c>
      <c r="L2491">
        <v>15973362</v>
      </c>
      <c r="M2491">
        <v>-94350545</v>
      </c>
      <c r="N2491">
        <v>-126947182</v>
      </c>
      <c r="P2491">
        <v>60</v>
      </c>
      <c r="Q2491" t="s">
        <v>5323</v>
      </c>
    </row>
    <row r="2492" spans="1:17" x14ac:dyDescent="0.3">
      <c r="A2492" t="s">
        <v>59</v>
      </c>
      <c r="B2492" t="str">
        <f>"300504"</f>
        <v>300504</v>
      </c>
      <c r="C2492" t="s">
        <v>5324</v>
      </c>
      <c r="D2492" t="s">
        <v>1650</v>
      </c>
      <c r="F2492">
        <v>-152874871</v>
      </c>
      <c r="G2492">
        <v>208401441</v>
      </c>
      <c r="H2492">
        <v>139367096</v>
      </c>
      <c r="I2492">
        <v>152925141</v>
      </c>
      <c r="J2492">
        <v>76631651</v>
      </c>
      <c r="K2492">
        <v>115170236</v>
      </c>
      <c r="L2492">
        <v>42417645</v>
      </c>
      <c r="M2492">
        <v>87955993</v>
      </c>
      <c r="P2492">
        <v>176</v>
      </c>
      <c r="Q2492" t="s">
        <v>5325</v>
      </c>
    </row>
    <row r="2493" spans="1:17" x14ac:dyDescent="0.3">
      <c r="A2493" t="s">
        <v>59</v>
      </c>
      <c r="B2493" t="str">
        <f>"300787"</f>
        <v>300787</v>
      </c>
      <c r="C2493" t="s">
        <v>5326</v>
      </c>
      <c r="D2493" t="s">
        <v>349</v>
      </c>
      <c r="F2493">
        <v>2140170</v>
      </c>
      <c r="G2493">
        <v>63851380</v>
      </c>
      <c r="H2493">
        <v>139303057</v>
      </c>
      <c r="I2493">
        <v>144850224</v>
      </c>
      <c r="J2493">
        <v>126397599</v>
      </c>
      <c r="K2493">
        <v>71341393</v>
      </c>
      <c r="P2493">
        <v>87</v>
      </c>
      <c r="Q2493" t="s">
        <v>5327</v>
      </c>
    </row>
    <row r="2494" spans="1:17" x14ac:dyDescent="0.3">
      <c r="A2494" t="s">
        <v>59</v>
      </c>
      <c r="B2494" t="str">
        <f>"300775"</f>
        <v>300775</v>
      </c>
      <c r="C2494" t="s">
        <v>5328</v>
      </c>
      <c r="D2494" t="s">
        <v>448</v>
      </c>
      <c r="F2494">
        <v>373770694</v>
      </c>
      <c r="G2494">
        <v>-73495375</v>
      </c>
      <c r="H2494">
        <v>139241156</v>
      </c>
      <c r="I2494">
        <v>79913485</v>
      </c>
      <c r="J2494">
        <v>173241618</v>
      </c>
      <c r="K2494">
        <v>-25872811</v>
      </c>
      <c r="P2494">
        <v>186</v>
      </c>
      <c r="Q2494" t="s">
        <v>5329</v>
      </c>
    </row>
    <row r="2495" spans="1:17" x14ac:dyDescent="0.3">
      <c r="A2495" t="s">
        <v>17</v>
      </c>
      <c r="B2495" t="str">
        <f>"605259"</f>
        <v>605259</v>
      </c>
      <c r="C2495" t="s">
        <v>5330</v>
      </c>
      <c r="D2495" t="s">
        <v>1351</v>
      </c>
      <c r="F2495">
        <v>57096110</v>
      </c>
      <c r="G2495">
        <v>191609084</v>
      </c>
      <c r="H2495">
        <v>139208314</v>
      </c>
      <c r="I2495">
        <v>95040304</v>
      </c>
      <c r="J2495">
        <v>28933306</v>
      </c>
      <c r="P2495">
        <v>17</v>
      </c>
      <c r="Q2495" t="s">
        <v>5331</v>
      </c>
    </row>
    <row r="2496" spans="1:17" x14ac:dyDescent="0.3">
      <c r="A2496" t="s">
        <v>59</v>
      </c>
      <c r="B2496" t="str">
        <f>"301073"</f>
        <v>301073</v>
      </c>
      <c r="C2496" t="s">
        <v>5332</v>
      </c>
      <c r="D2496" t="s">
        <v>824</v>
      </c>
      <c r="F2496">
        <v>134505702</v>
      </c>
      <c r="G2496">
        <v>49324698</v>
      </c>
      <c r="H2496">
        <v>138956030</v>
      </c>
      <c r="I2496">
        <v>74718569</v>
      </c>
      <c r="J2496">
        <v>105383608</v>
      </c>
      <c r="K2496">
        <v>78342031</v>
      </c>
      <c r="P2496">
        <v>22</v>
      </c>
      <c r="Q2496" t="s">
        <v>5333</v>
      </c>
    </row>
    <row r="2497" spans="1:17" x14ac:dyDescent="0.3">
      <c r="A2497" t="s">
        <v>17</v>
      </c>
      <c r="B2497" t="str">
        <f>"600321"</f>
        <v>600321</v>
      </c>
      <c r="C2497" t="s">
        <v>5334</v>
      </c>
      <c r="D2497" t="s">
        <v>1041</v>
      </c>
      <c r="F2497">
        <v>227329479</v>
      </c>
      <c r="G2497">
        <v>-1697834819</v>
      </c>
      <c r="H2497">
        <v>138840870</v>
      </c>
      <c r="I2497">
        <v>136395121</v>
      </c>
      <c r="J2497">
        <v>128096530</v>
      </c>
      <c r="K2497">
        <v>-17340466</v>
      </c>
      <c r="L2497">
        <v>-11992126</v>
      </c>
      <c r="M2497">
        <v>50995862</v>
      </c>
      <c r="N2497">
        <v>77252427</v>
      </c>
      <c r="O2497">
        <v>-42219377</v>
      </c>
      <c r="P2497">
        <v>74</v>
      </c>
      <c r="Q2497" t="s">
        <v>5335</v>
      </c>
    </row>
    <row r="2498" spans="1:17" x14ac:dyDescent="0.3">
      <c r="A2498" t="s">
        <v>59</v>
      </c>
      <c r="B2498" t="str">
        <f>"002889"</f>
        <v>002889</v>
      </c>
      <c r="C2498" t="s">
        <v>5336</v>
      </c>
      <c r="D2498" t="s">
        <v>838</v>
      </c>
      <c r="F2498">
        <v>-215573085</v>
      </c>
      <c r="G2498">
        <v>49114635</v>
      </c>
      <c r="H2498">
        <v>138753469</v>
      </c>
      <c r="I2498">
        <v>153415761</v>
      </c>
      <c r="J2498">
        <v>190724855</v>
      </c>
      <c r="K2498">
        <v>-314487597</v>
      </c>
      <c r="L2498">
        <v>20569328</v>
      </c>
      <c r="M2498">
        <v>162605385</v>
      </c>
      <c r="P2498">
        <v>123</v>
      </c>
      <c r="Q2498" t="s">
        <v>5337</v>
      </c>
    </row>
    <row r="2499" spans="1:17" x14ac:dyDescent="0.3">
      <c r="A2499" t="s">
        <v>59</v>
      </c>
      <c r="B2499" t="str">
        <f>"300025"</f>
        <v>300025</v>
      </c>
      <c r="C2499" t="s">
        <v>5338</v>
      </c>
      <c r="D2499" t="s">
        <v>2057</v>
      </c>
      <c r="F2499">
        <v>46464637</v>
      </c>
      <c r="G2499">
        <v>-4124254</v>
      </c>
      <c r="H2499">
        <v>138733071</v>
      </c>
      <c r="I2499">
        <v>179184286</v>
      </c>
      <c r="J2499">
        <v>68221163</v>
      </c>
      <c r="K2499">
        <v>2783614</v>
      </c>
      <c r="L2499">
        <v>34878306</v>
      </c>
      <c r="M2499">
        <v>-63503795</v>
      </c>
      <c r="N2499">
        <v>9969851</v>
      </c>
      <c r="O2499">
        <v>-4772920</v>
      </c>
      <c r="P2499">
        <v>223</v>
      </c>
      <c r="Q2499" t="s">
        <v>5339</v>
      </c>
    </row>
    <row r="2500" spans="1:17" x14ac:dyDescent="0.3">
      <c r="A2500" t="s">
        <v>59</v>
      </c>
      <c r="B2500" t="str">
        <f>"300891"</f>
        <v>300891</v>
      </c>
      <c r="C2500" t="s">
        <v>5340</v>
      </c>
      <c r="D2500" t="s">
        <v>1029</v>
      </c>
      <c r="F2500">
        <v>174026364</v>
      </c>
      <c r="G2500">
        <v>64563872</v>
      </c>
      <c r="H2500">
        <v>138662095</v>
      </c>
      <c r="I2500">
        <v>66384437</v>
      </c>
      <c r="J2500">
        <v>130525148</v>
      </c>
      <c r="K2500">
        <v>85288689</v>
      </c>
      <c r="P2500">
        <v>59</v>
      </c>
      <c r="Q2500" t="s">
        <v>5341</v>
      </c>
    </row>
    <row r="2501" spans="1:17" x14ac:dyDescent="0.3">
      <c r="A2501" t="s">
        <v>17</v>
      </c>
      <c r="B2501" t="str">
        <f>"600203"</f>
        <v>600203</v>
      </c>
      <c r="C2501" t="s">
        <v>5342</v>
      </c>
      <c r="D2501" t="s">
        <v>349</v>
      </c>
      <c r="F2501">
        <v>75301602</v>
      </c>
      <c r="G2501">
        <v>257818253</v>
      </c>
      <c r="H2501">
        <v>138589860</v>
      </c>
      <c r="I2501">
        <v>-280065669</v>
      </c>
      <c r="J2501">
        <v>59531635</v>
      </c>
      <c r="K2501">
        <v>75438844</v>
      </c>
      <c r="L2501">
        <v>-110347059</v>
      </c>
      <c r="M2501">
        <v>-68114514</v>
      </c>
      <c r="N2501">
        <v>-18496372</v>
      </c>
      <c r="O2501">
        <v>-30420538</v>
      </c>
      <c r="P2501">
        <v>143</v>
      </c>
      <c r="Q2501" t="s">
        <v>5343</v>
      </c>
    </row>
    <row r="2502" spans="1:17" x14ac:dyDescent="0.3">
      <c r="A2502" t="s">
        <v>59</v>
      </c>
      <c r="B2502" t="str">
        <f>"002123"</f>
        <v>002123</v>
      </c>
      <c r="C2502" t="s">
        <v>5344</v>
      </c>
      <c r="D2502" t="s">
        <v>4468</v>
      </c>
      <c r="F2502">
        <v>-681524915</v>
      </c>
      <c r="G2502">
        <v>397096505</v>
      </c>
      <c r="H2502">
        <v>137823114</v>
      </c>
      <c r="I2502">
        <v>251890590</v>
      </c>
      <c r="J2502">
        <v>249110695</v>
      </c>
      <c r="K2502">
        <v>312822454</v>
      </c>
      <c r="L2502">
        <v>48986159</v>
      </c>
      <c r="M2502">
        <v>-112482507</v>
      </c>
      <c r="N2502">
        <v>-160368308</v>
      </c>
      <c r="O2502">
        <v>-176363519</v>
      </c>
      <c r="P2502">
        <v>364</v>
      </c>
      <c r="Q2502" t="s">
        <v>5345</v>
      </c>
    </row>
    <row r="2503" spans="1:17" x14ac:dyDescent="0.3">
      <c r="A2503" t="s">
        <v>17</v>
      </c>
      <c r="B2503" t="str">
        <f>"605055"</f>
        <v>605055</v>
      </c>
      <c r="C2503" t="s">
        <v>5346</v>
      </c>
      <c r="D2503" t="s">
        <v>1725</v>
      </c>
      <c r="F2503">
        <v>287638679</v>
      </c>
      <c r="G2503">
        <v>122521460</v>
      </c>
      <c r="H2503">
        <v>137758653</v>
      </c>
      <c r="I2503">
        <v>168682344</v>
      </c>
      <c r="J2503">
        <v>324839506</v>
      </c>
      <c r="K2503">
        <v>349765852</v>
      </c>
      <c r="P2503">
        <v>38</v>
      </c>
      <c r="Q2503" t="s">
        <v>5347</v>
      </c>
    </row>
    <row r="2504" spans="1:17" x14ac:dyDescent="0.3">
      <c r="A2504" t="s">
        <v>59</v>
      </c>
      <c r="B2504" t="str">
        <f>"300405"</f>
        <v>300405</v>
      </c>
      <c r="C2504" t="s">
        <v>5348</v>
      </c>
      <c r="D2504" t="s">
        <v>1252</v>
      </c>
      <c r="F2504">
        <v>17983507</v>
      </c>
      <c r="G2504">
        <v>-20762169</v>
      </c>
      <c r="H2504">
        <v>137674692</v>
      </c>
      <c r="I2504">
        <v>255062704</v>
      </c>
      <c r="J2504">
        <v>-57057012</v>
      </c>
      <c r="K2504">
        <v>20831719</v>
      </c>
      <c r="L2504">
        <v>17921272</v>
      </c>
      <c r="M2504">
        <v>8612541</v>
      </c>
      <c r="N2504">
        <v>-112992895</v>
      </c>
      <c r="O2504">
        <v>108189284</v>
      </c>
      <c r="P2504">
        <v>59</v>
      </c>
      <c r="Q2504" t="s">
        <v>5349</v>
      </c>
    </row>
    <row r="2505" spans="1:17" x14ac:dyDescent="0.3">
      <c r="A2505" t="s">
        <v>59</v>
      </c>
      <c r="B2505" t="str">
        <f>"003041"</f>
        <v>003041</v>
      </c>
      <c r="C2505" t="s">
        <v>5350</v>
      </c>
      <c r="D2505" t="s">
        <v>1920</v>
      </c>
      <c r="F2505">
        <v>126030930</v>
      </c>
      <c r="G2505">
        <v>179027232</v>
      </c>
      <c r="H2505">
        <v>137671244</v>
      </c>
      <c r="I2505">
        <v>81948479</v>
      </c>
      <c r="J2505">
        <v>56244848</v>
      </c>
      <c r="P2505">
        <v>30</v>
      </c>
      <c r="Q2505" t="s">
        <v>5351</v>
      </c>
    </row>
    <row r="2506" spans="1:17" x14ac:dyDescent="0.3">
      <c r="A2506" t="s">
        <v>17</v>
      </c>
      <c r="B2506" t="str">
        <f>"605003"</f>
        <v>605003</v>
      </c>
      <c r="C2506" t="s">
        <v>5352</v>
      </c>
      <c r="D2506" t="s">
        <v>1920</v>
      </c>
      <c r="F2506">
        <v>135766839</v>
      </c>
      <c r="G2506">
        <v>144200515</v>
      </c>
      <c r="H2506">
        <v>137663146</v>
      </c>
      <c r="I2506">
        <v>71293790</v>
      </c>
      <c r="J2506">
        <v>68912182</v>
      </c>
      <c r="P2506">
        <v>75</v>
      </c>
      <c r="Q2506" t="s">
        <v>5353</v>
      </c>
    </row>
    <row r="2507" spans="1:17" x14ac:dyDescent="0.3">
      <c r="A2507" t="s">
        <v>17</v>
      </c>
      <c r="B2507" t="str">
        <f>"688108"</f>
        <v>688108</v>
      </c>
      <c r="C2507" t="s">
        <v>5354</v>
      </c>
      <c r="D2507" t="s">
        <v>1036</v>
      </c>
      <c r="F2507">
        <v>-60133405</v>
      </c>
      <c r="G2507">
        <v>70512754</v>
      </c>
      <c r="H2507">
        <v>137605141</v>
      </c>
      <c r="I2507">
        <v>97562212</v>
      </c>
      <c r="J2507">
        <v>70322854</v>
      </c>
      <c r="K2507">
        <v>42244314</v>
      </c>
      <c r="P2507">
        <v>104</v>
      </c>
      <c r="Q2507" t="s">
        <v>5355</v>
      </c>
    </row>
    <row r="2508" spans="1:17" x14ac:dyDescent="0.3">
      <c r="A2508" t="s">
        <v>59</v>
      </c>
      <c r="B2508" t="str">
        <f>"300128"</f>
        <v>300128</v>
      </c>
      <c r="C2508" t="s">
        <v>5356</v>
      </c>
      <c r="D2508" t="s">
        <v>139</v>
      </c>
      <c r="F2508">
        <v>167179584</v>
      </c>
      <c r="G2508">
        <v>201682910</v>
      </c>
      <c r="H2508">
        <v>137299302</v>
      </c>
      <c r="I2508">
        <v>-252850441</v>
      </c>
      <c r="J2508">
        <v>18833363</v>
      </c>
      <c r="K2508">
        <v>9952277</v>
      </c>
      <c r="L2508">
        <v>334911245</v>
      </c>
      <c r="M2508">
        <v>309460412</v>
      </c>
      <c r="N2508">
        <v>27003989</v>
      </c>
      <c r="O2508">
        <v>-20067721</v>
      </c>
      <c r="P2508">
        <v>145</v>
      </c>
      <c r="Q2508" t="s">
        <v>5357</v>
      </c>
    </row>
    <row r="2509" spans="1:17" x14ac:dyDescent="0.3">
      <c r="A2509" t="s">
        <v>17</v>
      </c>
      <c r="B2509" t="str">
        <f>"603630"</f>
        <v>603630</v>
      </c>
      <c r="C2509" t="s">
        <v>5358</v>
      </c>
      <c r="D2509" t="s">
        <v>2118</v>
      </c>
      <c r="F2509">
        <v>-19352475</v>
      </c>
      <c r="G2509">
        <v>108652783</v>
      </c>
      <c r="H2509">
        <v>137282154</v>
      </c>
      <c r="I2509">
        <v>24181388</v>
      </c>
      <c r="J2509">
        <v>59394396</v>
      </c>
      <c r="K2509">
        <v>184123642</v>
      </c>
      <c r="L2509">
        <v>108215268</v>
      </c>
      <c r="M2509">
        <v>78266173</v>
      </c>
      <c r="P2509">
        <v>148</v>
      </c>
      <c r="Q2509" t="s">
        <v>5359</v>
      </c>
    </row>
    <row r="2510" spans="1:17" x14ac:dyDescent="0.3">
      <c r="A2510" t="s">
        <v>59</v>
      </c>
      <c r="B2510" t="str">
        <f>"002988"</f>
        <v>002988</v>
      </c>
      <c r="C2510" t="s">
        <v>5360</v>
      </c>
      <c r="D2510" t="s">
        <v>238</v>
      </c>
      <c r="F2510">
        <v>-332823648</v>
      </c>
      <c r="G2510">
        <v>20278776</v>
      </c>
      <c r="H2510">
        <v>137265331</v>
      </c>
      <c r="I2510">
        <v>125300354</v>
      </c>
      <c r="J2510">
        <v>136301748</v>
      </c>
      <c r="P2510">
        <v>61</v>
      </c>
      <c r="Q2510" t="s">
        <v>5361</v>
      </c>
    </row>
    <row r="2511" spans="1:17" x14ac:dyDescent="0.3">
      <c r="A2511" t="s">
        <v>17</v>
      </c>
      <c r="B2511" t="str">
        <f>"688588"</f>
        <v>688588</v>
      </c>
      <c r="C2511" t="s">
        <v>5362</v>
      </c>
      <c r="D2511" t="s">
        <v>1528</v>
      </c>
      <c r="F2511">
        <v>126983458</v>
      </c>
      <c r="G2511">
        <v>169322043</v>
      </c>
      <c r="H2511">
        <v>136570310</v>
      </c>
      <c r="I2511">
        <v>92650582</v>
      </c>
      <c r="J2511">
        <v>73249685</v>
      </c>
      <c r="K2511">
        <v>47314175</v>
      </c>
      <c r="P2511">
        <v>79</v>
      </c>
      <c r="Q2511" t="s">
        <v>5363</v>
      </c>
    </row>
    <row r="2512" spans="1:17" x14ac:dyDescent="0.3">
      <c r="A2512" t="s">
        <v>59</v>
      </c>
      <c r="B2512" t="str">
        <f>"300738"</f>
        <v>300738</v>
      </c>
      <c r="C2512" t="s">
        <v>5364</v>
      </c>
      <c r="D2512" t="s">
        <v>1189</v>
      </c>
      <c r="F2512">
        <v>385452112</v>
      </c>
      <c r="G2512">
        <v>193525152</v>
      </c>
      <c r="H2512">
        <v>136461964</v>
      </c>
      <c r="I2512">
        <v>-61689339</v>
      </c>
      <c r="J2512">
        <v>49355806</v>
      </c>
      <c r="K2512">
        <v>31847861</v>
      </c>
      <c r="L2512">
        <v>14125385</v>
      </c>
      <c r="M2512">
        <v>-174196</v>
      </c>
      <c r="P2512">
        <v>300</v>
      </c>
      <c r="Q2512" t="s">
        <v>5365</v>
      </c>
    </row>
    <row r="2513" spans="1:17" x14ac:dyDescent="0.3">
      <c r="A2513" t="s">
        <v>59</v>
      </c>
      <c r="B2513" t="str">
        <f>"300214"</f>
        <v>300214</v>
      </c>
      <c r="C2513" t="s">
        <v>5366</v>
      </c>
      <c r="D2513" t="s">
        <v>2104</v>
      </c>
      <c r="F2513">
        <v>106960548</v>
      </c>
      <c r="G2513">
        <v>463349035</v>
      </c>
      <c r="H2513">
        <v>136236696</v>
      </c>
      <c r="I2513">
        <v>55615077</v>
      </c>
      <c r="J2513">
        <v>49906177</v>
      </c>
      <c r="K2513">
        <v>-56083716</v>
      </c>
      <c r="L2513">
        <v>206721644</v>
      </c>
      <c r="M2513">
        <v>47942962</v>
      </c>
      <c r="N2513">
        <v>-17311284</v>
      </c>
      <c r="O2513">
        <v>67559984</v>
      </c>
      <c r="P2513">
        <v>107</v>
      </c>
      <c r="Q2513" t="s">
        <v>5367</v>
      </c>
    </row>
    <row r="2514" spans="1:17" x14ac:dyDescent="0.3">
      <c r="A2514" t="s">
        <v>17</v>
      </c>
      <c r="B2514" t="str">
        <f>"688267"</f>
        <v>688267</v>
      </c>
      <c r="C2514" t="s">
        <v>5368</v>
      </c>
      <c r="F2514">
        <v>138610166</v>
      </c>
      <c r="G2514">
        <v>65333587</v>
      </c>
      <c r="H2514">
        <v>136222306</v>
      </c>
      <c r="I2514">
        <v>-64303683</v>
      </c>
      <c r="P2514">
        <v>7</v>
      </c>
      <c r="Q2514" t="s">
        <v>5369</v>
      </c>
    </row>
    <row r="2515" spans="1:17" x14ac:dyDescent="0.3">
      <c r="A2515" t="s">
        <v>59</v>
      </c>
      <c r="B2515" t="str">
        <f>"000880"</f>
        <v>000880</v>
      </c>
      <c r="C2515" t="s">
        <v>5370</v>
      </c>
      <c r="D2515" t="s">
        <v>156</v>
      </c>
      <c r="F2515">
        <v>180735043</v>
      </c>
      <c r="G2515">
        <v>251180086</v>
      </c>
      <c r="H2515">
        <v>135920331</v>
      </c>
      <c r="I2515">
        <v>24382481</v>
      </c>
      <c r="J2515">
        <v>385741506</v>
      </c>
      <c r="K2515">
        <v>-71612055</v>
      </c>
      <c r="L2515">
        <v>119427646</v>
      </c>
      <c r="M2515">
        <v>366307192</v>
      </c>
      <c r="N2515">
        <v>-68437464</v>
      </c>
      <c r="O2515">
        <v>92634156</v>
      </c>
      <c r="P2515">
        <v>102</v>
      </c>
      <c r="Q2515" t="s">
        <v>5371</v>
      </c>
    </row>
    <row r="2516" spans="1:17" x14ac:dyDescent="0.3">
      <c r="A2516" t="s">
        <v>59</v>
      </c>
      <c r="B2516" t="str">
        <f>"301126"</f>
        <v>301126</v>
      </c>
      <c r="C2516" t="s">
        <v>5372</v>
      </c>
      <c r="D2516" t="s">
        <v>396</v>
      </c>
      <c r="F2516">
        <v>-161809130</v>
      </c>
      <c r="G2516">
        <v>-151464858</v>
      </c>
      <c r="H2516">
        <v>135914492</v>
      </c>
      <c r="I2516">
        <v>-12643565</v>
      </c>
      <c r="J2516">
        <v>-100651531</v>
      </c>
      <c r="P2516">
        <v>14</v>
      </c>
      <c r="Q2516" t="s">
        <v>5373</v>
      </c>
    </row>
    <row r="2517" spans="1:17" x14ac:dyDescent="0.3">
      <c r="A2517" t="s">
        <v>17</v>
      </c>
      <c r="B2517" t="str">
        <f>"688006"</f>
        <v>688006</v>
      </c>
      <c r="C2517" t="s">
        <v>5374</v>
      </c>
      <c r="D2517" t="s">
        <v>2601</v>
      </c>
      <c r="F2517">
        <v>481661447</v>
      </c>
      <c r="G2517">
        <v>292316221</v>
      </c>
      <c r="H2517">
        <v>135696594</v>
      </c>
      <c r="I2517">
        <v>252831391</v>
      </c>
      <c r="J2517">
        <v>277605196</v>
      </c>
      <c r="K2517">
        <v>131451346</v>
      </c>
      <c r="P2517">
        <v>255</v>
      </c>
      <c r="Q2517" t="s">
        <v>5375</v>
      </c>
    </row>
    <row r="2518" spans="1:17" x14ac:dyDescent="0.3">
      <c r="A2518" t="s">
        <v>59</v>
      </c>
      <c r="B2518" t="str">
        <f>"300500"</f>
        <v>300500</v>
      </c>
      <c r="C2518" t="s">
        <v>5376</v>
      </c>
      <c r="D2518" t="s">
        <v>2254</v>
      </c>
      <c r="F2518">
        <v>157444479</v>
      </c>
      <c r="G2518">
        <v>258392808</v>
      </c>
      <c r="H2518">
        <v>135387184</v>
      </c>
      <c r="I2518">
        <v>80851504</v>
      </c>
      <c r="J2518">
        <v>85132824</v>
      </c>
      <c r="K2518">
        <v>101559641</v>
      </c>
      <c r="L2518">
        <v>29430767</v>
      </c>
      <c r="M2518">
        <v>47294714</v>
      </c>
      <c r="N2518">
        <v>68668053</v>
      </c>
      <c r="O2518">
        <v>66168802</v>
      </c>
      <c r="P2518">
        <v>100</v>
      </c>
      <c r="Q2518" t="s">
        <v>5377</v>
      </c>
    </row>
    <row r="2519" spans="1:17" x14ac:dyDescent="0.3">
      <c r="A2519" t="s">
        <v>17</v>
      </c>
      <c r="B2519" t="str">
        <f>"688312"</f>
        <v>688312</v>
      </c>
      <c r="C2519" t="s">
        <v>5378</v>
      </c>
      <c r="D2519" t="s">
        <v>1351</v>
      </c>
      <c r="F2519">
        <v>157374954</v>
      </c>
      <c r="G2519">
        <v>20998943</v>
      </c>
      <c r="H2519">
        <v>135066186</v>
      </c>
      <c r="I2519">
        <v>55505635</v>
      </c>
      <c r="J2519">
        <v>-9634214</v>
      </c>
      <c r="K2519">
        <v>109973513</v>
      </c>
      <c r="P2519">
        <v>64</v>
      </c>
      <c r="Q2519" t="s">
        <v>5379</v>
      </c>
    </row>
    <row r="2520" spans="1:17" x14ac:dyDescent="0.3">
      <c r="A2520" t="s">
        <v>17</v>
      </c>
      <c r="B2520" t="str">
        <f>"600171"</f>
        <v>600171</v>
      </c>
      <c r="C2520" t="s">
        <v>5380</v>
      </c>
      <c r="D2520" t="s">
        <v>759</v>
      </c>
      <c r="F2520">
        <v>385343475</v>
      </c>
      <c r="G2520">
        <v>75447595</v>
      </c>
      <c r="H2520">
        <v>135040047</v>
      </c>
      <c r="I2520">
        <v>102396972</v>
      </c>
      <c r="J2520">
        <v>18674684</v>
      </c>
      <c r="K2520">
        <v>59757736</v>
      </c>
      <c r="L2520">
        <v>50594185</v>
      </c>
      <c r="M2520">
        <v>14818521</v>
      </c>
      <c r="N2520">
        <v>41725424</v>
      </c>
      <c r="O2520">
        <v>53647867</v>
      </c>
      <c r="P2520">
        <v>574</v>
      </c>
      <c r="Q2520" t="s">
        <v>5381</v>
      </c>
    </row>
    <row r="2521" spans="1:17" x14ac:dyDescent="0.3">
      <c r="A2521" t="s">
        <v>59</v>
      </c>
      <c r="B2521" t="str">
        <f>"300061"</f>
        <v>300061</v>
      </c>
      <c r="C2521" t="s">
        <v>5382</v>
      </c>
      <c r="D2521" t="s">
        <v>1889</v>
      </c>
      <c r="F2521">
        <v>271873</v>
      </c>
      <c r="G2521">
        <v>-12427179</v>
      </c>
      <c r="H2521">
        <v>134954577</v>
      </c>
      <c r="I2521">
        <v>344539540</v>
      </c>
      <c r="J2521">
        <v>395699701</v>
      </c>
      <c r="K2521">
        <v>167219358</v>
      </c>
      <c r="L2521">
        <v>78202109</v>
      </c>
      <c r="M2521">
        <v>46379167</v>
      </c>
      <c r="N2521">
        <v>24593361</v>
      </c>
      <c r="O2521">
        <v>9938964</v>
      </c>
      <c r="P2521">
        <v>120</v>
      </c>
      <c r="Q2521" t="s">
        <v>5383</v>
      </c>
    </row>
    <row r="2522" spans="1:17" x14ac:dyDescent="0.3">
      <c r="A2522" t="s">
        <v>17</v>
      </c>
      <c r="B2522" t="str">
        <f>"600405"</f>
        <v>600405</v>
      </c>
      <c r="C2522" t="s">
        <v>5384</v>
      </c>
      <c r="D2522" t="s">
        <v>1746</v>
      </c>
      <c r="F2522">
        <v>13601738</v>
      </c>
      <c r="G2522">
        <v>138254950</v>
      </c>
      <c r="H2522">
        <v>134907440</v>
      </c>
      <c r="I2522">
        <v>-63844435</v>
      </c>
      <c r="J2522">
        <v>-73813453</v>
      </c>
      <c r="K2522">
        <v>222158018</v>
      </c>
      <c r="L2522">
        <v>13390314</v>
      </c>
      <c r="M2522">
        <v>42801553</v>
      </c>
      <c r="N2522">
        <v>2916521</v>
      </c>
      <c r="O2522">
        <v>1027198</v>
      </c>
      <c r="P2522">
        <v>255</v>
      </c>
      <c r="Q2522" t="s">
        <v>5385</v>
      </c>
    </row>
    <row r="2523" spans="1:17" x14ac:dyDescent="0.3">
      <c r="A2523" t="s">
        <v>59</v>
      </c>
      <c r="B2523" t="str">
        <f>"300518"</f>
        <v>300518</v>
      </c>
      <c r="C2523" t="s">
        <v>5386</v>
      </c>
      <c r="D2523" t="s">
        <v>689</v>
      </c>
      <c r="F2523">
        <v>315438478</v>
      </c>
      <c r="G2523">
        <v>116121063</v>
      </c>
      <c r="H2523">
        <v>134767165</v>
      </c>
      <c r="I2523">
        <v>86195913</v>
      </c>
      <c r="J2523">
        <v>39780880</v>
      </c>
      <c r="K2523">
        <v>88414827</v>
      </c>
      <c r="L2523">
        <v>88442180</v>
      </c>
      <c r="M2523">
        <v>129866991</v>
      </c>
      <c r="N2523">
        <v>108586150</v>
      </c>
      <c r="P2523">
        <v>91</v>
      </c>
      <c r="Q2523" t="s">
        <v>5387</v>
      </c>
    </row>
    <row r="2524" spans="1:17" x14ac:dyDescent="0.3">
      <c r="A2524" t="s">
        <v>59</v>
      </c>
      <c r="B2524" t="str">
        <f>"300155"</f>
        <v>300155</v>
      </c>
      <c r="C2524" t="s">
        <v>5388</v>
      </c>
      <c r="D2524" t="s">
        <v>344</v>
      </c>
      <c r="F2524">
        <v>33138164</v>
      </c>
      <c r="G2524">
        <v>-8784252</v>
      </c>
      <c r="H2524">
        <v>134255536</v>
      </c>
      <c r="I2524">
        <v>-32619794</v>
      </c>
      <c r="J2524">
        <v>-19949150</v>
      </c>
      <c r="K2524">
        <v>40935309</v>
      </c>
      <c r="L2524">
        <v>-49152253</v>
      </c>
      <c r="M2524">
        <v>-48138325</v>
      </c>
      <c r="N2524">
        <v>55627387</v>
      </c>
      <c r="O2524">
        <v>65794883</v>
      </c>
      <c r="P2524">
        <v>68</v>
      </c>
      <c r="Q2524" t="s">
        <v>5389</v>
      </c>
    </row>
    <row r="2525" spans="1:17" x14ac:dyDescent="0.3">
      <c r="A2525" t="s">
        <v>59</v>
      </c>
      <c r="B2525" t="str">
        <f>"002231"</f>
        <v>002231</v>
      </c>
      <c r="C2525" t="s">
        <v>5390</v>
      </c>
      <c r="D2525" t="s">
        <v>1983</v>
      </c>
      <c r="F2525">
        <v>82768792</v>
      </c>
      <c r="G2525">
        <v>-109104731</v>
      </c>
      <c r="H2525">
        <v>134169915</v>
      </c>
      <c r="I2525">
        <v>55517428</v>
      </c>
      <c r="J2525">
        <v>-91579261</v>
      </c>
      <c r="K2525">
        <v>35448988</v>
      </c>
      <c r="L2525">
        <v>60311735</v>
      </c>
      <c r="M2525">
        <v>-3787494</v>
      </c>
      <c r="N2525">
        <v>-112998343</v>
      </c>
      <c r="O2525">
        <v>-95157875</v>
      </c>
      <c r="P2525">
        <v>155</v>
      </c>
      <c r="Q2525" t="s">
        <v>5391</v>
      </c>
    </row>
    <row r="2526" spans="1:17" x14ac:dyDescent="0.3">
      <c r="A2526" t="s">
        <v>17</v>
      </c>
      <c r="B2526" t="str">
        <f>"605122"</f>
        <v>605122</v>
      </c>
      <c r="C2526" t="s">
        <v>5392</v>
      </c>
      <c r="D2526" t="s">
        <v>1006</v>
      </c>
      <c r="F2526">
        <v>-222363715</v>
      </c>
      <c r="G2526">
        <v>56554283</v>
      </c>
      <c r="H2526">
        <v>134122830</v>
      </c>
      <c r="I2526">
        <v>-43833730</v>
      </c>
      <c r="J2526">
        <v>-19108424</v>
      </c>
      <c r="K2526">
        <v>46320838</v>
      </c>
      <c r="P2526">
        <v>36</v>
      </c>
      <c r="Q2526" t="s">
        <v>5393</v>
      </c>
    </row>
    <row r="2527" spans="1:17" x14ac:dyDescent="0.3">
      <c r="A2527" t="s">
        <v>59</v>
      </c>
      <c r="B2527" t="str">
        <f>"003032"</f>
        <v>003032</v>
      </c>
      <c r="C2527" t="s">
        <v>5394</v>
      </c>
      <c r="D2527" t="s">
        <v>871</v>
      </c>
      <c r="F2527">
        <v>190798223</v>
      </c>
      <c r="G2527">
        <v>16093294</v>
      </c>
      <c r="H2527">
        <v>133964006</v>
      </c>
      <c r="I2527">
        <v>185781200</v>
      </c>
      <c r="J2527">
        <v>177068005</v>
      </c>
      <c r="P2527">
        <v>59</v>
      </c>
      <c r="Q2527" t="s">
        <v>5395</v>
      </c>
    </row>
    <row r="2528" spans="1:17" x14ac:dyDescent="0.3">
      <c r="A2528" t="s">
        <v>59</v>
      </c>
      <c r="B2528" t="str">
        <f>"300626"</f>
        <v>300626</v>
      </c>
      <c r="C2528" t="s">
        <v>5396</v>
      </c>
      <c r="D2528" t="s">
        <v>1556</v>
      </c>
      <c r="F2528">
        <v>32852820</v>
      </c>
      <c r="G2528">
        <v>9734280</v>
      </c>
      <c r="H2528">
        <v>133824258</v>
      </c>
      <c r="I2528">
        <v>12828285</v>
      </c>
      <c r="J2528">
        <v>31921707</v>
      </c>
      <c r="K2528">
        <v>93697063</v>
      </c>
      <c r="L2528">
        <v>97190480</v>
      </c>
      <c r="M2528">
        <v>78753872</v>
      </c>
      <c r="P2528">
        <v>55</v>
      </c>
      <c r="Q2528" t="s">
        <v>5397</v>
      </c>
    </row>
    <row r="2529" spans="1:17" x14ac:dyDescent="0.3">
      <c r="A2529" t="s">
        <v>59</v>
      </c>
      <c r="B2529" t="str">
        <f>"300440"</f>
        <v>300440</v>
      </c>
      <c r="C2529" t="s">
        <v>5398</v>
      </c>
      <c r="D2529" t="s">
        <v>1189</v>
      </c>
      <c r="F2529">
        <v>-16066772</v>
      </c>
      <c r="G2529">
        <v>98553847</v>
      </c>
      <c r="H2529">
        <v>133659585</v>
      </c>
      <c r="I2529">
        <v>-10970520</v>
      </c>
      <c r="J2529">
        <v>86417813</v>
      </c>
      <c r="K2529">
        <v>66219199</v>
      </c>
      <c r="L2529">
        <v>79587594</v>
      </c>
      <c r="M2529">
        <v>102795133</v>
      </c>
      <c r="N2529">
        <v>-6494006</v>
      </c>
      <c r="O2529">
        <v>33380377</v>
      </c>
      <c r="P2529">
        <v>151</v>
      </c>
      <c r="Q2529" t="s">
        <v>5399</v>
      </c>
    </row>
    <row r="2530" spans="1:17" x14ac:dyDescent="0.3">
      <c r="A2530" t="s">
        <v>17</v>
      </c>
      <c r="B2530" t="str">
        <f>"605255"</f>
        <v>605255</v>
      </c>
      <c r="C2530" t="s">
        <v>5400</v>
      </c>
      <c r="D2530" t="s">
        <v>156</v>
      </c>
      <c r="F2530">
        <v>77941529</v>
      </c>
      <c r="G2530">
        <v>58595118</v>
      </c>
      <c r="H2530">
        <v>133562049</v>
      </c>
      <c r="I2530">
        <v>102482096</v>
      </c>
      <c r="J2530">
        <v>96480193</v>
      </c>
      <c r="P2530">
        <v>51</v>
      </c>
      <c r="Q2530" t="s">
        <v>5401</v>
      </c>
    </row>
    <row r="2531" spans="1:17" x14ac:dyDescent="0.3">
      <c r="A2531" t="s">
        <v>59</v>
      </c>
      <c r="B2531" t="str">
        <f>"002363"</f>
        <v>002363</v>
      </c>
      <c r="C2531" t="s">
        <v>5402</v>
      </c>
      <c r="D2531" t="s">
        <v>156</v>
      </c>
      <c r="F2531">
        <v>197599349</v>
      </c>
      <c r="G2531">
        <v>9168809</v>
      </c>
      <c r="H2531">
        <v>133536845</v>
      </c>
      <c r="I2531">
        <v>249576352</v>
      </c>
      <c r="J2531">
        <v>278169683</v>
      </c>
      <c r="K2531">
        <v>181461386</v>
      </c>
      <c r="L2531">
        <v>293918676</v>
      </c>
      <c r="M2531">
        <v>171506457</v>
      </c>
      <c r="N2531">
        <v>130482341</v>
      </c>
      <c r="O2531">
        <v>98560554</v>
      </c>
      <c r="P2531">
        <v>126</v>
      </c>
      <c r="Q2531" t="s">
        <v>5403</v>
      </c>
    </row>
    <row r="2532" spans="1:17" x14ac:dyDescent="0.3">
      <c r="A2532" t="s">
        <v>17</v>
      </c>
      <c r="B2532" t="str">
        <f>"603005"</f>
        <v>603005</v>
      </c>
      <c r="C2532" t="s">
        <v>5404</v>
      </c>
      <c r="D2532" t="s">
        <v>704</v>
      </c>
      <c r="F2532">
        <v>613101286</v>
      </c>
      <c r="G2532">
        <v>483912740</v>
      </c>
      <c r="H2532">
        <v>133527705</v>
      </c>
      <c r="I2532">
        <v>292157470</v>
      </c>
      <c r="J2532">
        <v>234538004</v>
      </c>
      <c r="K2532">
        <v>110533011</v>
      </c>
      <c r="L2532">
        <v>206656322</v>
      </c>
      <c r="M2532">
        <v>239583810</v>
      </c>
      <c r="N2532">
        <v>203819607</v>
      </c>
      <c r="O2532">
        <v>147500362</v>
      </c>
      <c r="P2532">
        <v>3661</v>
      </c>
      <c r="Q2532" t="s">
        <v>5405</v>
      </c>
    </row>
    <row r="2533" spans="1:17" x14ac:dyDescent="0.3">
      <c r="A2533" t="s">
        <v>17</v>
      </c>
      <c r="B2533" t="str">
        <f>"688012"</f>
        <v>688012</v>
      </c>
      <c r="C2533" t="s">
        <v>5406</v>
      </c>
      <c r="D2533" t="s">
        <v>5407</v>
      </c>
      <c r="F2533">
        <v>1016256088</v>
      </c>
      <c r="G2533">
        <v>846292855</v>
      </c>
      <c r="H2533">
        <v>133270992</v>
      </c>
      <c r="I2533">
        <v>261107142</v>
      </c>
      <c r="J2533">
        <v>-150087013</v>
      </c>
      <c r="K2533">
        <v>-101601436</v>
      </c>
      <c r="P2533">
        <v>620</v>
      </c>
      <c r="Q2533" t="s">
        <v>5408</v>
      </c>
    </row>
    <row r="2534" spans="1:17" x14ac:dyDescent="0.3">
      <c r="A2534" t="s">
        <v>59</v>
      </c>
      <c r="B2534" t="str">
        <f>"300092"</f>
        <v>300092</v>
      </c>
      <c r="C2534" t="s">
        <v>5409</v>
      </c>
      <c r="D2534" t="s">
        <v>637</v>
      </c>
      <c r="F2534">
        <v>60267192</v>
      </c>
      <c r="G2534">
        <v>-9016269</v>
      </c>
      <c r="H2534">
        <v>132977383</v>
      </c>
      <c r="I2534">
        <v>31071383</v>
      </c>
      <c r="J2534">
        <v>-54463445</v>
      </c>
      <c r="K2534">
        <v>-24274912</v>
      </c>
      <c r="L2534">
        <v>22362273</v>
      </c>
      <c r="M2534">
        <v>9538632</v>
      </c>
      <c r="N2534">
        <v>-11065149</v>
      </c>
      <c r="O2534">
        <v>-2435134</v>
      </c>
      <c r="P2534">
        <v>81</v>
      </c>
      <c r="Q2534" t="s">
        <v>5410</v>
      </c>
    </row>
    <row r="2535" spans="1:17" x14ac:dyDescent="0.3">
      <c r="A2535" t="s">
        <v>59</v>
      </c>
      <c r="B2535" t="str">
        <f>"002871"</f>
        <v>002871</v>
      </c>
      <c r="C2535" t="s">
        <v>5411</v>
      </c>
      <c r="D2535" t="s">
        <v>637</v>
      </c>
      <c r="F2535">
        <v>11387330</v>
      </c>
      <c r="G2535">
        <v>89946130</v>
      </c>
      <c r="H2535">
        <v>132922717</v>
      </c>
      <c r="I2535">
        <v>29872088</v>
      </c>
      <c r="J2535">
        <v>63088726</v>
      </c>
      <c r="K2535">
        <v>68688536</v>
      </c>
      <c r="L2535">
        <v>57868675</v>
      </c>
      <c r="M2535">
        <v>47164869</v>
      </c>
      <c r="P2535">
        <v>66</v>
      </c>
      <c r="Q2535" t="s">
        <v>5412</v>
      </c>
    </row>
    <row r="2536" spans="1:17" x14ac:dyDescent="0.3">
      <c r="A2536" t="s">
        <v>17</v>
      </c>
      <c r="B2536" t="str">
        <f>"688571"</f>
        <v>688571</v>
      </c>
      <c r="C2536" t="s">
        <v>5413</v>
      </c>
      <c r="D2536" t="s">
        <v>4667</v>
      </c>
      <c r="F2536">
        <v>118316305</v>
      </c>
      <c r="G2536">
        <v>131052686</v>
      </c>
      <c r="H2536">
        <v>132783612</v>
      </c>
      <c r="I2536">
        <v>68004388</v>
      </c>
      <c r="J2536">
        <v>88254969</v>
      </c>
      <c r="P2536">
        <v>29</v>
      </c>
      <c r="Q2536" t="s">
        <v>5414</v>
      </c>
    </row>
    <row r="2537" spans="1:17" x14ac:dyDescent="0.3">
      <c r="A2537" t="s">
        <v>17</v>
      </c>
      <c r="B2537" t="str">
        <f>"600460"</f>
        <v>600460</v>
      </c>
      <c r="C2537" t="s">
        <v>5415</v>
      </c>
      <c r="D2537" t="s">
        <v>3230</v>
      </c>
      <c r="F2537">
        <v>959754526</v>
      </c>
      <c r="G2537">
        <v>145025395</v>
      </c>
      <c r="H2537">
        <v>132603445</v>
      </c>
      <c r="I2537">
        <v>240596119</v>
      </c>
      <c r="J2537">
        <v>352397125</v>
      </c>
      <c r="K2537">
        <v>381758829</v>
      </c>
      <c r="L2537">
        <v>201510774</v>
      </c>
      <c r="M2537">
        <v>267189510</v>
      </c>
      <c r="N2537">
        <v>202934742</v>
      </c>
      <c r="O2537">
        <v>168159849</v>
      </c>
      <c r="P2537">
        <v>1167</v>
      </c>
      <c r="Q2537" t="s">
        <v>5416</v>
      </c>
    </row>
    <row r="2538" spans="1:17" x14ac:dyDescent="0.3">
      <c r="A2538" t="s">
        <v>17</v>
      </c>
      <c r="B2538" t="str">
        <f>"603822"</f>
        <v>603822</v>
      </c>
      <c r="C2538" t="s">
        <v>5417</v>
      </c>
      <c r="D2538" t="s">
        <v>1252</v>
      </c>
      <c r="F2538">
        <v>39081741</v>
      </c>
      <c r="G2538">
        <v>-72254309</v>
      </c>
      <c r="H2538">
        <v>132261067</v>
      </c>
      <c r="I2538">
        <v>-57932586</v>
      </c>
      <c r="J2538">
        <v>155757128</v>
      </c>
      <c r="K2538">
        <v>50064905</v>
      </c>
      <c r="L2538">
        <v>51036723</v>
      </c>
      <c r="M2538">
        <v>-2941871</v>
      </c>
      <c r="N2538">
        <v>14012001</v>
      </c>
      <c r="P2538">
        <v>124</v>
      </c>
      <c r="Q2538" t="s">
        <v>5418</v>
      </c>
    </row>
    <row r="2539" spans="1:17" x14ac:dyDescent="0.3">
      <c r="A2539" t="s">
        <v>17</v>
      </c>
      <c r="B2539" t="str">
        <f>"603928"</f>
        <v>603928</v>
      </c>
      <c r="C2539" t="s">
        <v>5419</v>
      </c>
      <c r="D2539" t="s">
        <v>2385</v>
      </c>
      <c r="F2539">
        <v>14549876</v>
      </c>
      <c r="G2539">
        <v>131959822</v>
      </c>
      <c r="H2539">
        <v>132228700</v>
      </c>
      <c r="I2539">
        <v>108402358</v>
      </c>
      <c r="J2539">
        <v>-31873363</v>
      </c>
      <c r="K2539">
        <v>99539811</v>
      </c>
      <c r="L2539">
        <v>137583744</v>
      </c>
      <c r="M2539">
        <v>78562000</v>
      </c>
      <c r="N2539">
        <v>73261069</v>
      </c>
      <c r="P2539">
        <v>102</v>
      </c>
      <c r="Q2539" t="s">
        <v>5420</v>
      </c>
    </row>
    <row r="2540" spans="1:17" x14ac:dyDescent="0.3">
      <c r="A2540" t="s">
        <v>17</v>
      </c>
      <c r="B2540" t="str">
        <f>"601177"</f>
        <v>601177</v>
      </c>
      <c r="C2540" t="s">
        <v>5421</v>
      </c>
      <c r="D2540" t="s">
        <v>637</v>
      </c>
      <c r="F2540">
        <v>162453778</v>
      </c>
      <c r="G2540">
        <v>410407610</v>
      </c>
      <c r="H2540">
        <v>132221707</v>
      </c>
      <c r="I2540">
        <v>124507082</v>
      </c>
      <c r="J2540">
        <v>189656401</v>
      </c>
      <c r="K2540">
        <v>35984634</v>
      </c>
      <c r="L2540">
        <v>-93085120</v>
      </c>
      <c r="M2540">
        <v>152531901</v>
      </c>
      <c r="N2540">
        <v>139046399</v>
      </c>
      <c r="O2540">
        <v>67313868</v>
      </c>
      <c r="P2540">
        <v>74</v>
      </c>
      <c r="Q2540" t="s">
        <v>5422</v>
      </c>
    </row>
    <row r="2541" spans="1:17" x14ac:dyDescent="0.3">
      <c r="A2541" t="s">
        <v>59</v>
      </c>
      <c r="B2541" t="str">
        <f>"002162"</f>
        <v>002162</v>
      </c>
      <c r="C2541" t="s">
        <v>5423</v>
      </c>
      <c r="D2541" t="s">
        <v>1791</v>
      </c>
      <c r="F2541">
        <v>153243763</v>
      </c>
      <c r="G2541">
        <v>152455605</v>
      </c>
      <c r="H2541">
        <v>132140708</v>
      </c>
      <c r="I2541">
        <v>135507797</v>
      </c>
      <c r="J2541">
        <v>110234818</v>
      </c>
      <c r="K2541">
        <v>125004518</v>
      </c>
      <c r="L2541">
        <v>24502017</v>
      </c>
      <c r="M2541">
        <v>35246985</v>
      </c>
      <c r="N2541">
        <v>142705679</v>
      </c>
      <c r="O2541">
        <v>52558200</v>
      </c>
      <c r="P2541">
        <v>137</v>
      </c>
      <c r="Q2541" t="s">
        <v>5424</v>
      </c>
    </row>
    <row r="2542" spans="1:17" x14ac:dyDescent="0.3">
      <c r="A2542" t="s">
        <v>59</v>
      </c>
      <c r="B2542" t="str">
        <f>"003006"</f>
        <v>003006</v>
      </c>
      <c r="C2542" t="s">
        <v>5425</v>
      </c>
      <c r="D2542" t="s">
        <v>1429</v>
      </c>
      <c r="F2542">
        <v>197249470</v>
      </c>
      <c r="G2542">
        <v>250774493</v>
      </c>
      <c r="H2542">
        <v>132017167</v>
      </c>
      <c r="I2542">
        <v>73621383</v>
      </c>
      <c r="J2542">
        <v>102232577</v>
      </c>
      <c r="K2542">
        <v>99395300</v>
      </c>
      <c r="P2542">
        <v>172</v>
      </c>
      <c r="Q2542" t="s">
        <v>5426</v>
      </c>
    </row>
    <row r="2543" spans="1:17" x14ac:dyDescent="0.3">
      <c r="A2543" t="s">
        <v>59</v>
      </c>
      <c r="B2543" t="str">
        <f>"000713"</f>
        <v>000713</v>
      </c>
      <c r="C2543" t="s">
        <v>5427</v>
      </c>
      <c r="D2543" t="s">
        <v>4417</v>
      </c>
      <c r="F2543">
        <v>77269519</v>
      </c>
      <c r="G2543">
        <v>199476258</v>
      </c>
      <c r="H2543">
        <v>131969392</v>
      </c>
      <c r="I2543">
        <v>-66965431</v>
      </c>
      <c r="J2543">
        <v>-141740246</v>
      </c>
      <c r="K2543">
        <v>-267984305</v>
      </c>
      <c r="L2543">
        <v>112718785</v>
      </c>
      <c r="M2543">
        <v>248397278</v>
      </c>
      <c r="N2543">
        <v>201139042</v>
      </c>
      <c r="O2543">
        <v>53349943</v>
      </c>
      <c r="P2543">
        <v>237</v>
      </c>
      <c r="Q2543" t="s">
        <v>5428</v>
      </c>
    </row>
    <row r="2544" spans="1:17" x14ac:dyDescent="0.3">
      <c r="A2544" t="s">
        <v>17</v>
      </c>
      <c r="B2544" t="str">
        <f>"603297"</f>
        <v>603297</v>
      </c>
      <c r="C2544" t="s">
        <v>5429</v>
      </c>
      <c r="D2544" t="s">
        <v>692</v>
      </c>
      <c r="F2544">
        <v>173231266</v>
      </c>
      <c r="G2544">
        <v>188752935</v>
      </c>
      <c r="H2544">
        <v>131951246</v>
      </c>
      <c r="I2544">
        <v>112030442</v>
      </c>
      <c r="J2544">
        <v>99129382</v>
      </c>
      <c r="K2544">
        <v>71221689</v>
      </c>
      <c r="L2544">
        <v>81037260</v>
      </c>
      <c r="P2544">
        <v>238</v>
      </c>
      <c r="Q2544" t="s">
        <v>5430</v>
      </c>
    </row>
    <row r="2545" spans="1:17" x14ac:dyDescent="0.3">
      <c r="A2545" t="s">
        <v>17</v>
      </c>
      <c r="B2545" t="str">
        <f>"688089"</f>
        <v>688089</v>
      </c>
      <c r="C2545" t="s">
        <v>5431</v>
      </c>
      <c r="D2545" t="s">
        <v>853</v>
      </c>
      <c r="F2545">
        <v>103291183</v>
      </c>
      <c r="G2545">
        <v>145882192</v>
      </c>
      <c r="H2545">
        <v>131947335</v>
      </c>
      <c r="I2545">
        <v>106162572</v>
      </c>
      <c r="J2545">
        <v>100663698</v>
      </c>
      <c r="K2545">
        <v>62531823</v>
      </c>
      <c r="P2545">
        <v>150</v>
      </c>
      <c r="Q2545" t="s">
        <v>5432</v>
      </c>
    </row>
    <row r="2546" spans="1:17" x14ac:dyDescent="0.3">
      <c r="A2546" t="s">
        <v>59</v>
      </c>
      <c r="B2546" t="str">
        <f>"300004"</f>
        <v>300004</v>
      </c>
      <c r="C2546" t="s">
        <v>5433</v>
      </c>
      <c r="D2546" t="s">
        <v>1351</v>
      </c>
      <c r="F2546">
        <v>51618563</v>
      </c>
      <c r="G2546">
        <v>-191369768</v>
      </c>
      <c r="H2546">
        <v>131517012</v>
      </c>
      <c r="I2546">
        <v>142134367</v>
      </c>
      <c r="J2546">
        <v>-178316685</v>
      </c>
      <c r="K2546">
        <v>92233700</v>
      </c>
      <c r="L2546">
        <v>140205877</v>
      </c>
      <c r="M2546">
        <v>184925714</v>
      </c>
      <c r="N2546">
        <v>55695791</v>
      </c>
      <c r="O2546">
        <v>44653044</v>
      </c>
      <c r="P2546">
        <v>84</v>
      </c>
      <c r="Q2546" t="s">
        <v>5434</v>
      </c>
    </row>
    <row r="2547" spans="1:17" x14ac:dyDescent="0.3">
      <c r="A2547" t="s">
        <v>59</v>
      </c>
      <c r="B2547" t="str">
        <f>"301088"</f>
        <v>301088</v>
      </c>
      <c r="C2547" t="s">
        <v>5435</v>
      </c>
      <c r="D2547" t="s">
        <v>646</v>
      </c>
      <c r="F2547">
        <v>4202782</v>
      </c>
      <c r="G2547">
        <v>145117307</v>
      </c>
      <c r="H2547">
        <v>131507099</v>
      </c>
      <c r="I2547">
        <v>32039490</v>
      </c>
      <c r="J2547">
        <v>3710859</v>
      </c>
      <c r="P2547">
        <v>28</v>
      </c>
      <c r="Q2547" t="s">
        <v>5436</v>
      </c>
    </row>
    <row r="2548" spans="1:17" x14ac:dyDescent="0.3">
      <c r="A2548" t="s">
        <v>59</v>
      </c>
      <c r="B2548" t="str">
        <f>"300892"</f>
        <v>300892</v>
      </c>
      <c r="C2548" t="s">
        <v>5437</v>
      </c>
      <c r="D2548" t="s">
        <v>659</v>
      </c>
      <c r="F2548">
        <v>171349744</v>
      </c>
      <c r="G2548">
        <v>137071399</v>
      </c>
      <c r="H2548">
        <v>131290319</v>
      </c>
      <c r="I2548">
        <v>45827087</v>
      </c>
      <c r="J2548">
        <v>17781873</v>
      </c>
      <c r="K2548">
        <v>-23573123</v>
      </c>
      <c r="P2548">
        <v>99</v>
      </c>
      <c r="Q2548" t="s">
        <v>5438</v>
      </c>
    </row>
    <row r="2549" spans="1:17" x14ac:dyDescent="0.3">
      <c r="A2549" t="s">
        <v>59</v>
      </c>
      <c r="B2549" t="str">
        <f>"000933"</f>
        <v>000933</v>
      </c>
      <c r="C2549" t="s">
        <v>5439</v>
      </c>
      <c r="D2549" t="s">
        <v>238</v>
      </c>
      <c r="F2549">
        <v>11296305278</v>
      </c>
      <c r="G2549">
        <v>1721833259</v>
      </c>
      <c r="H2549">
        <v>131163045</v>
      </c>
      <c r="I2549">
        <v>421838800</v>
      </c>
      <c r="J2549">
        <v>1095993238</v>
      </c>
      <c r="K2549">
        <v>611268785</v>
      </c>
      <c r="L2549">
        <v>-735982788</v>
      </c>
      <c r="M2549">
        <v>752849882</v>
      </c>
      <c r="N2549">
        <v>1436410782</v>
      </c>
      <c r="O2549">
        <v>1667667351</v>
      </c>
      <c r="P2549">
        <v>461</v>
      </c>
      <c r="Q2549" t="s">
        <v>5440</v>
      </c>
    </row>
    <row r="2550" spans="1:17" x14ac:dyDescent="0.3">
      <c r="A2550" t="s">
        <v>17</v>
      </c>
      <c r="B2550" t="str">
        <f>"605222"</f>
        <v>605222</v>
      </c>
      <c r="C2550" t="s">
        <v>5441</v>
      </c>
      <c r="D2550" t="s">
        <v>1065</v>
      </c>
      <c r="F2550">
        <v>87586957</v>
      </c>
      <c r="G2550">
        <v>-1513764938</v>
      </c>
      <c r="H2550">
        <v>131048648</v>
      </c>
      <c r="I2550">
        <v>8347544</v>
      </c>
      <c r="J2550">
        <v>-28358031</v>
      </c>
      <c r="P2550">
        <v>110</v>
      </c>
      <c r="Q2550" t="s">
        <v>5442</v>
      </c>
    </row>
    <row r="2551" spans="1:17" x14ac:dyDescent="0.3">
      <c r="A2551" t="s">
        <v>17</v>
      </c>
      <c r="B2551" t="str">
        <f>"603089"</f>
        <v>603089</v>
      </c>
      <c r="C2551" t="s">
        <v>5443</v>
      </c>
      <c r="D2551" t="s">
        <v>156</v>
      </c>
      <c r="F2551">
        <v>-31766344</v>
      </c>
      <c r="G2551">
        <v>86309844</v>
      </c>
      <c r="H2551">
        <v>130774076</v>
      </c>
      <c r="I2551">
        <v>93170186</v>
      </c>
      <c r="J2551">
        <v>101895915</v>
      </c>
      <c r="K2551">
        <v>69328940</v>
      </c>
      <c r="L2551">
        <v>90741936</v>
      </c>
      <c r="M2551">
        <v>75948210</v>
      </c>
      <c r="N2551">
        <v>102115498</v>
      </c>
      <c r="P2551">
        <v>111</v>
      </c>
      <c r="Q2551" t="s">
        <v>5444</v>
      </c>
    </row>
    <row r="2552" spans="1:17" x14ac:dyDescent="0.3">
      <c r="A2552" t="s">
        <v>17</v>
      </c>
      <c r="B2552" t="str">
        <f>"688299"</f>
        <v>688299</v>
      </c>
      <c r="C2552" t="s">
        <v>5445</v>
      </c>
      <c r="D2552" t="s">
        <v>139</v>
      </c>
      <c r="F2552">
        <v>210982054</v>
      </c>
      <c r="G2552">
        <v>265886171</v>
      </c>
      <c r="H2552">
        <v>130713158</v>
      </c>
      <c r="I2552">
        <v>107865328</v>
      </c>
      <c r="J2552">
        <v>14862959</v>
      </c>
      <c r="K2552">
        <v>63766776</v>
      </c>
      <c r="P2552">
        <v>239</v>
      </c>
      <c r="Q2552" t="s">
        <v>5446</v>
      </c>
    </row>
    <row r="2553" spans="1:17" x14ac:dyDescent="0.3">
      <c r="A2553" t="s">
        <v>17</v>
      </c>
      <c r="B2553" t="str">
        <f>"603028"</f>
        <v>603028</v>
      </c>
      <c r="C2553" t="s">
        <v>5447</v>
      </c>
      <c r="D2553" t="s">
        <v>637</v>
      </c>
      <c r="F2553">
        <v>13535201</v>
      </c>
      <c r="G2553">
        <v>51132097</v>
      </c>
      <c r="H2553">
        <v>130700015</v>
      </c>
      <c r="I2553">
        <v>-20698259</v>
      </c>
      <c r="J2553">
        <v>79166726</v>
      </c>
      <c r="K2553">
        <v>34133489</v>
      </c>
      <c r="L2553">
        <v>78215091</v>
      </c>
      <c r="M2553">
        <v>47252445</v>
      </c>
      <c r="N2553">
        <v>56154611</v>
      </c>
      <c r="P2553">
        <v>52</v>
      </c>
      <c r="Q2553" t="s">
        <v>5448</v>
      </c>
    </row>
    <row r="2554" spans="1:17" x14ac:dyDescent="0.3">
      <c r="A2554" t="s">
        <v>59</v>
      </c>
      <c r="B2554" t="str">
        <f>"300435"</f>
        <v>300435</v>
      </c>
      <c r="C2554" t="s">
        <v>5449</v>
      </c>
      <c r="D2554" t="s">
        <v>883</v>
      </c>
      <c r="F2554">
        <v>314956858</v>
      </c>
      <c r="G2554">
        <v>419450921</v>
      </c>
      <c r="H2554">
        <v>130607715</v>
      </c>
      <c r="I2554">
        <v>102617330</v>
      </c>
      <c r="J2554">
        <v>25026687</v>
      </c>
      <c r="K2554">
        <v>50133429</v>
      </c>
      <c r="L2554">
        <v>-61000202</v>
      </c>
      <c r="M2554">
        <v>134477769</v>
      </c>
      <c r="N2554">
        <v>56658745</v>
      </c>
      <c r="O2554">
        <v>-11288964</v>
      </c>
      <c r="P2554">
        <v>111</v>
      </c>
      <c r="Q2554" t="s">
        <v>5450</v>
      </c>
    </row>
    <row r="2555" spans="1:17" x14ac:dyDescent="0.3">
      <c r="A2555" t="s">
        <v>17</v>
      </c>
      <c r="B2555" t="str">
        <f>"603176"</f>
        <v>603176</v>
      </c>
      <c r="C2555" t="s">
        <v>5451</v>
      </c>
      <c r="D2555" t="s">
        <v>85</v>
      </c>
      <c r="F2555">
        <v>-22738711</v>
      </c>
      <c r="G2555">
        <v>303278614</v>
      </c>
      <c r="H2555">
        <v>130497431</v>
      </c>
      <c r="I2555">
        <v>150045737</v>
      </c>
      <c r="J2555">
        <v>-241934901</v>
      </c>
      <c r="P2555">
        <v>17</v>
      </c>
      <c r="Q2555" t="s">
        <v>5452</v>
      </c>
    </row>
    <row r="2556" spans="1:17" x14ac:dyDescent="0.3">
      <c r="A2556" t="s">
        <v>59</v>
      </c>
      <c r="B2556" t="str">
        <f>"300067"</f>
        <v>300067</v>
      </c>
      <c r="C2556" t="s">
        <v>5453</v>
      </c>
      <c r="D2556" t="s">
        <v>372</v>
      </c>
      <c r="F2556">
        <v>168840026</v>
      </c>
      <c r="G2556">
        <v>70771182</v>
      </c>
      <c r="H2556">
        <v>130391967</v>
      </c>
      <c r="I2556">
        <v>9693543</v>
      </c>
      <c r="J2556">
        <v>67047614</v>
      </c>
      <c r="K2556">
        <v>108065283</v>
      </c>
      <c r="L2556">
        <v>-25491078</v>
      </c>
      <c r="M2556">
        <v>46773</v>
      </c>
      <c r="N2556">
        <v>-26913523</v>
      </c>
      <c r="O2556">
        <v>13502479</v>
      </c>
      <c r="P2556">
        <v>100</v>
      </c>
      <c r="Q2556" t="s">
        <v>5454</v>
      </c>
    </row>
    <row r="2557" spans="1:17" x14ac:dyDescent="0.3">
      <c r="A2557" t="s">
        <v>59</v>
      </c>
      <c r="B2557" t="str">
        <f>"300785"</f>
        <v>300785</v>
      </c>
      <c r="C2557" t="s">
        <v>5455</v>
      </c>
      <c r="D2557" t="s">
        <v>2530</v>
      </c>
      <c r="F2557">
        <v>94808156</v>
      </c>
      <c r="G2557">
        <v>166755239</v>
      </c>
      <c r="H2557">
        <v>130045958</v>
      </c>
      <c r="I2557">
        <v>53493239</v>
      </c>
      <c r="J2557">
        <v>112042024</v>
      </c>
      <c r="K2557">
        <v>30066036</v>
      </c>
      <c r="P2557">
        <v>332</v>
      </c>
      <c r="Q2557" t="s">
        <v>5456</v>
      </c>
    </row>
    <row r="2558" spans="1:17" x14ac:dyDescent="0.3">
      <c r="A2558" t="s">
        <v>17</v>
      </c>
      <c r="B2558" t="str">
        <f>"688020"</f>
        <v>688020</v>
      </c>
      <c r="C2558" t="s">
        <v>5457</v>
      </c>
      <c r="D2558" t="s">
        <v>539</v>
      </c>
      <c r="F2558">
        <v>35105967</v>
      </c>
      <c r="G2558">
        <v>145057114</v>
      </c>
      <c r="H2558">
        <v>129936444</v>
      </c>
      <c r="I2558">
        <v>125392531</v>
      </c>
      <c r="J2558">
        <v>75989262</v>
      </c>
      <c r="K2558">
        <v>44479957</v>
      </c>
      <c r="P2558">
        <v>253</v>
      </c>
      <c r="Q2558" t="s">
        <v>5458</v>
      </c>
    </row>
    <row r="2559" spans="1:17" x14ac:dyDescent="0.3">
      <c r="A2559" t="s">
        <v>17</v>
      </c>
      <c r="B2559" t="str">
        <f>"605389"</f>
        <v>605389</v>
      </c>
      <c r="C2559" t="s">
        <v>5459</v>
      </c>
      <c r="D2559" t="s">
        <v>1214</v>
      </c>
      <c r="F2559">
        <v>108358517</v>
      </c>
      <c r="G2559">
        <v>205803137</v>
      </c>
      <c r="H2559">
        <v>129913628</v>
      </c>
      <c r="I2559">
        <v>91506249</v>
      </c>
      <c r="J2559">
        <v>57500000</v>
      </c>
      <c r="P2559">
        <v>64</v>
      </c>
      <c r="Q2559" t="s">
        <v>5460</v>
      </c>
    </row>
    <row r="2560" spans="1:17" x14ac:dyDescent="0.3">
      <c r="A2560" t="s">
        <v>17</v>
      </c>
      <c r="B2560" t="str">
        <f>"603313"</f>
        <v>603313</v>
      </c>
      <c r="C2560" t="s">
        <v>5461</v>
      </c>
      <c r="D2560" t="s">
        <v>972</v>
      </c>
      <c r="F2560">
        <v>67922545</v>
      </c>
      <c r="G2560">
        <v>582525962</v>
      </c>
      <c r="H2560">
        <v>129794963</v>
      </c>
      <c r="I2560">
        <v>175035817</v>
      </c>
      <c r="J2560">
        <v>58817414</v>
      </c>
      <c r="K2560">
        <v>149698733</v>
      </c>
      <c r="L2560">
        <v>167182990</v>
      </c>
      <c r="M2560">
        <v>114194886</v>
      </c>
      <c r="N2560">
        <v>91340772</v>
      </c>
      <c r="P2560">
        <v>580</v>
      </c>
      <c r="Q2560" t="s">
        <v>5462</v>
      </c>
    </row>
    <row r="2561" spans="1:17" x14ac:dyDescent="0.3">
      <c r="A2561" t="s">
        <v>17</v>
      </c>
      <c r="B2561" t="str">
        <f>"603351"</f>
        <v>603351</v>
      </c>
      <c r="C2561" t="s">
        <v>5463</v>
      </c>
      <c r="D2561" t="s">
        <v>984</v>
      </c>
      <c r="F2561">
        <v>-11536768</v>
      </c>
      <c r="G2561">
        <v>93304353</v>
      </c>
      <c r="H2561">
        <v>129694100</v>
      </c>
      <c r="I2561">
        <v>63758147</v>
      </c>
      <c r="J2561">
        <v>71271474</v>
      </c>
      <c r="K2561">
        <v>128181466</v>
      </c>
      <c r="L2561">
        <v>81135873</v>
      </c>
      <c r="P2561">
        <v>87</v>
      </c>
      <c r="Q2561" t="s">
        <v>5464</v>
      </c>
    </row>
    <row r="2562" spans="1:17" x14ac:dyDescent="0.3">
      <c r="A2562" t="s">
        <v>17</v>
      </c>
      <c r="B2562" t="str">
        <f>"688662"</f>
        <v>688662</v>
      </c>
      <c r="C2562" t="s">
        <v>5465</v>
      </c>
      <c r="D2562" t="s">
        <v>595</v>
      </c>
      <c r="F2562">
        <v>55995128</v>
      </c>
      <c r="G2562">
        <v>65233440</v>
      </c>
      <c r="H2562">
        <v>129522069</v>
      </c>
      <c r="I2562">
        <v>8782391</v>
      </c>
      <c r="J2562">
        <v>42859064</v>
      </c>
      <c r="P2562">
        <v>23</v>
      </c>
      <c r="Q2562" t="s">
        <v>5466</v>
      </c>
    </row>
    <row r="2563" spans="1:17" x14ac:dyDescent="0.3">
      <c r="A2563" t="s">
        <v>59</v>
      </c>
      <c r="B2563" t="str">
        <f>"300729"</f>
        <v>300729</v>
      </c>
      <c r="C2563" t="s">
        <v>5467</v>
      </c>
      <c r="D2563" t="s">
        <v>923</v>
      </c>
      <c r="F2563">
        <v>265418175</v>
      </c>
      <c r="G2563">
        <v>216443876</v>
      </c>
      <c r="H2563">
        <v>129314247</v>
      </c>
      <c r="I2563">
        <v>96118019</v>
      </c>
      <c r="J2563">
        <v>67370627</v>
      </c>
      <c r="K2563">
        <v>38892502</v>
      </c>
      <c r="L2563">
        <v>72873629</v>
      </c>
      <c r="M2563">
        <v>25167916</v>
      </c>
      <c r="P2563">
        <v>219</v>
      </c>
      <c r="Q2563" t="s">
        <v>5468</v>
      </c>
    </row>
    <row r="2564" spans="1:17" x14ac:dyDescent="0.3">
      <c r="A2564" t="s">
        <v>59</v>
      </c>
      <c r="B2564" t="str">
        <f>"000676"</f>
        <v>000676</v>
      </c>
      <c r="C2564" t="s">
        <v>5469</v>
      </c>
      <c r="D2564" t="s">
        <v>1889</v>
      </c>
      <c r="F2564">
        <v>181437904</v>
      </c>
      <c r="G2564">
        <v>-221105115</v>
      </c>
      <c r="H2564">
        <v>129280873</v>
      </c>
      <c r="I2564">
        <v>301192025</v>
      </c>
      <c r="J2564">
        <v>-11123590</v>
      </c>
      <c r="K2564">
        <v>167544206</v>
      </c>
      <c r="L2564">
        <v>31336390</v>
      </c>
      <c r="M2564">
        <v>69812435</v>
      </c>
      <c r="N2564">
        <v>28521153</v>
      </c>
      <c r="O2564">
        <v>5951389</v>
      </c>
      <c r="P2564">
        <v>215</v>
      </c>
      <c r="Q2564" t="s">
        <v>5470</v>
      </c>
    </row>
    <row r="2565" spans="1:17" x14ac:dyDescent="0.3">
      <c r="A2565" t="s">
        <v>59</v>
      </c>
      <c r="B2565" t="str">
        <f>"000722"</f>
        <v>000722</v>
      </c>
      <c r="C2565" t="s">
        <v>5471</v>
      </c>
      <c r="D2565" t="s">
        <v>105</v>
      </c>
      <c r="F2565">
        <v>-20556599</v>
      </c>
      <c r="G2565">
        <v>-186187388</v>
      </c>
      <c r="H2565">
        <v>129171693</v>
      </c>
      <c r="I2565">
        <v>109887904</v>
      </c>
      <c r="J2565">
        <v>101583918</v>
      </c>
      <c r="K2565">
        <v>113702861</v>
      </c>
      <c r="L2565">
        <v>124949413</v>
      </c>
      <c r="M2565">
        <v>175926334</v>
      </c>
      <c r="N2565">
        <v>170845957</v>
      </c>
      <c r="O2565">
        <v>199592154</v>
      </c>
      <c r="P2565">
        <v>104</v>
      </c>
      <c r="Q2565" t="s">
        <v>5472</v>
      </c>
    </row>
    <row r="2566" spans="1:17" x14ac:dyDescent="0.3">
      <c r="A2566" t="s">
        <v>17</v>
      </c>
      <c r="B2566" t="str">
        <f>"603214"</f>
        <v>603214</v>
      </c>
      <c r="C2566" t="s">
        <v>5473</v>
      </c>
      <c r="D2566" t="s">
        <v>1194</v>
      </c>
      <c r="F2566">
        <v>-174341594</v>
      </c>
      <c r="G2566">
        <v>199632764</v>
      </c>
      <c r="H2566">
        <v>129104161</v>
      </c>
      <c r="I2566">
        <v>104300749</v>
      </c>
      <c r="J2566">
        <v>108264808</v>
      </c>
      <c r="K2566">
        <v>120778817</v>
      </c>
      <c r="L2566">
        <v>41683919</v>
      </c>
      <c r="P2566">
        <v>290</v>
      </c>
      <c r="Q2566" t="s">
        <v>5474</v>
      </c>
    </row>
    <row r="2567" spans="1:17" x14ac:dyDescent="0.3">
      <c r="A2567" t="s">
        <v>59</v>
      </c>
      <c r="B2567" t="str">
        <f>"300181"</f>
        <v>300181</v>
      </c>
      <c r="C2567" t="s">
        <v>5475</v>
      </c>
      <c r="D2567" t="s">
        <v>455</v>
      </c>
      <c r="F2567">
        <v>251798512</v>
      </c>
      <c r="G2567">
        <v>279691036</v>
      </c>
      <c r="H2567">
        <v>128942614</v>
      </c>
      <c r="I2567">
        <v>78284594</v>
      </c>
      <c r="J2567">
        <v>6506364</v>
      </c>
      <c r="K2567">
        <v>58304457</v>
      </c>
      <c r="L2567">
        <v>97128290</v>
      </c>
      <c r="M2567">
        <v>13695171</v>
      </c>
      <c r="N2567">
        <v>29503767</v>
      </c>
      <c r="O2567">
        <v>30509258</v>
      </c>
      <c r="P2567">
        <v>174</v>
      </c>
      <c r="Q2567" t="s">
        <v>5476</v>
      </c>
    </row>
    <row r="2568" spans="1:17" x14ac:dyDescent="0.3">
      <c r="A2568" t="s">
        <v>59</v>
      </c>
      <c r="B2568" t="str">
        <f>"002962"</f>
        <v>002962</v>
      </c>
      <c r="C2568" t="s">
        <v>5477</v>
      </c>
      <c r="D2568" t="s">
        <v>692</v>
      </c>
      <c r="F2568">
        <v>142191299</v>
      </c>
      <c r="G2568">
        <v>264651765</v>
      </c>
      <c r="H2568">
        <v>128862845</v>
      </c>
      <c r="I2568">
        <v>215995590</v>
      </c>
      <c r="J2568">
        <v>146524584</v>
      </c>
      <c r="K2568">
        <v>41949299</v>
      </c>
      <c r="P2568">
        <v>137</v>
      </c>
      <c r="Q2568" t="s">
        <v>5478</v>
      </c>
    </row>
    <row r="2569" spans="1:17" x14ac:dyDescent="0.3">
      <c r="A2569" t="s">
        <v>17</v>
      </c>
      <c r="B2569" t="str">
        <f>"600735"</f>
        <v>600735</v>
      </c>
      <c r="C2569" t="s">
        <v>5479</v>
      </c>
      <c r="D2569" t="s">
        <v>5104</v>
      </c>
      <c r="F2569">
        <v>18137046</v>
      </c>
      <c r="G2569">
        <v>105987283</v>
      </c>
      <c r="H2569">
        <v>128645229</v>
      </c>
      <c r="I2569">
        <v>133142897</v>
      </c>
      <c r="J2569">
        <v>91889031</v>
      </c>
      <c r="K2569">
        <v>127936748</v>
      </c>
      <c r="L2569">
        <v>124580922</v>
      </c>
      <c r="M2569">
        <v>85269750</v>
      </c>
      <c r="N2569">
        <v>112179452</v>
      </c>
      <c r="O2569">
        <v>95961247</v>
      </c>
      <c r="P2569">
        <v>105</v>
      </c>
      <c r="Q2569" t="s">
        <v>5480</v>
      </c>
    </row>
    <row r="2570" spans="1:17" x14ac:dyDescent="0.3">
      <c r="A2570" t="s">
        <v>17</v>
      </c>
      <c r="B2570" t="str">
        <f>"605033"</f>
        <v>605033</v>
      </c>
      <c r="C2570" t="s">
        <v>5481</v>
      </c>
      <c r="D2570" t="s">
        <v>1356</v>
      </c>
      <c r="F2570">
        <v>-108753546</v>
      </c>
      <c r="G2570">
        <v>74875302</v>
      </c>
      <c r="H2570">
        <v>128449238</v>
      </c>
      <c r="I2570">
        <v>16958993</v>
      </c>
      <c r="J2570">
        <v>29405202</v>
      </c>
      <c r="P2570">
        <v>14</v>
      </c>
      <c r="Q2570" t="s">
        <v>5482</v>
      </c>
    </row>
    <row r="2571" spans="1:17" x14ac:dyDescent="0.3">
      <c r="A2571" t="s">
        <v>59</v>
      </c>
      <c r="B2571" t="str">
        <f>"002012"</f>
        <v>002012</v>
      </c>
      <c r="C2571" t="s">
        <v>5483</v>
      </c>
      <c r="D2571" t="s">
        <v>2856</v>
      </c>
      <c r="F2571">
        <v>192248051</v>
      </c>
      <c r="G2571">
        <v>85057128</v>
      </c>
      <c r="H2571">
        <v>128344413</v>
      </c>
      <c r="I2571">
        <v>54492201</v>
      </c>
      <c r="J2571">
        <v>62014702</v>
      </c>
      <c r="K2571">
        <v>89602950</v>
      </c>
      <c r="L2571">
        <v>53945167</v>
      </c>
      <c r="M2571">
        <v>148518218</v>
      </c>
      <c r="N2571">
        <v>42393312</v>
      </c>
      <c r="O2571">
        <v>144190746</v>
      </c>
      <c r="P2571">
        <v>131</v>
      </c>
      <c r="Q2571" t="s">
        <v>5484</v>
      </c>
    </row>
    <row r="2572" spans="1:17" x14ac:dyDescent="0.3">
      <c r="A2572" t="s">
        <v>17</v>
      </c>
      <c r="B2572" t="str">
        <f>"600613"</f>
        <v>600613</v>
      </c>
      <c r="C2572" t="s">
        <v>5485</v>
      </c>
      <c r="D2572" t="s">
        <v>592</v>
      </c>
      <c r="F2572">
        <v>184263469</v>
      </c>
      <c r="G2572">
        <v>99097235</v>
      </c>
      <c r="H2572">
        <v>128279888</v>
      </c>
      <c r="I2572">
        <v>148525998</v>
      </c>
      <c r="J2572">
        <v>66987418</v>
      </c>
      <c r="K2572">
        <v>570414</v>
      </c>
      <c r="L2572">
        <v>30117673</v>
      </c>
      <c r="M2572">
        <v>-8619657</v>
      </c>
      <c r="N2572">
        <v>74749395</v>
      </c>
      <c r="O2572">
        <v>-11181604</v>
      </c>
      <c r="P2572">
        <v>121</v>
      </c>
      <c r="Q2572" t="s">
        <v>5486</v>
      </c>
    </row>
    <row r="2573" spans="1:17" x14ac:dyDescent="0.3">
      <c r="A2573" t="s">
        <v>59</v>
      </c>
      <c r="B2573" t="str">
        <f>"300703"</f>
        <v>300703</v>
      </c>
      <c r="C2573" t="s">
        <v>5487</v>
      </c>
      <c r="D2573" t="s">
        <v>1657</v>
      </c>
      <c r="F2573">
        <v>16886824</v>
      </c>
      <c r="G2573">
        <v>-21686152</v>
      </c>
      <c r="H2573">
        <v>128150498</v>
      </c>
      <c r="I2573">
        <v>51070560</v>
      </c>
      <c r="J2573">
        <v>98538039</v>
      </c>
      <c r="K2573">
        <v>88662198</v>
      </c>
      <c r="L2573">
        <v>58900525</v>
      </c>
      <c r="M2573">
        <v>46014193</v>
      </c>
      <c r="P2573">
        <v>109</v>
      </c>
      <c r="Q2573" t="s">
        <v>5488</v>
      </c>
    </row>
    <row r="2574" spans="1:17" x14ac:dyDescent="0.3">
      <c r="A2574" t="s">
        <v>17</v>
      </c>
      <c r="B2574" t="str">
        <f>"605151"</f>
        <v>605151</v>
      </c>
      <c r="C2574" t="s">
        <v>5489</v>
      </c>
      <c r="D2574" t="s">
        <v>2334</v>
      </c>
      <c r="F2574">
        <v>133098781</v>
      </c>
      <c r="G2574">
        <v>199631385</v>
      </c>
      <c r="H2574">
        <v>128090232</v>
      </c>
      <c r="I2574">
        <v>162056309</v>
      </c>
      <c r="J2574">
        <v>217133033</v>
      </c>
      <c r="K2574">
        <v>104902100</v>
      </c>
      <c r="P2574">
        <v>55</v>
      </c>
      <c r="Q2574" t="s">
        <v>5490</v>
      </c>
    </row>
    <row r="2575" spans="1:17" x14ac:dyDescent="0.3">
      <c r="A2575" t="s">
        <v>17</v>
      </c>
      <c r="B2575" t="str">
        <f>"605128"</f>
        <v>605128</v>
      </c>
      <c r="C2575" t="s">
        <v>5491</v>
      </c>
      <c r="D2575" t="s">
        <v>289</v>
      </c>
      <c r="F2575">
        <v>100150786</v>
      </c>
      <c r="G2575">
        <v>121013483</v>
      </c>
      <c r="H2575">
        <v>127832566</v>
      </c>
      <c r="I2575">
        <v>212790356</v>
      </c>
      <c r="J2575">
        <v>43004001</v>
      </c>
      <c r="P2575">
        <v>53</v>
      </c>
      <c r="Q2575" t="s">
        <v>5492</v>
      </c>
    </row>
    <row r="2576" spans="1:17" x14ac:dyDescent="0.3">
      <c r="A2576" t="s">
        <v>59</v>
      </c>
      <c r="B2576" t="str">
        <f>"002265"</f>
        <v>002265</v>
      </c>
      <c r="C2576" t="s">
        <v>5493</v>
      </c>
      <c r="D2576" t="s">
        <v>156</v>
      </c>
      <c r="F2576">
        <v>82514568</v>
      </c>
      <c r="G2576">
        <v>69345776</v>
      </c>
      <c r="H2576">
        <v>127739511</v>
      </c>
      <c r="I2576">
        <v>92441213</v>
      </c>
      <c r="J2576">
        <v>136151047</v>
      </c>
      <c r="K2576">
        <v>26144518</v>
      </c>
      <c r="L2576">
        <v>18142704</v>
      </c>
      <c r="M2576">
        <v>7084108</v>
      </c>
      <c r="N2576">
        <v>11988615</v>
      </c>
      <c r="O2576">
        <v>-47218246</v>
      </c>
      <c r="P2576">
        <v>86</v>
      </c>
      <c r="Q2576" t="s">
        <v>5494</v>
      </c>
    </row>
    <row r="2577" spans="1:17" x14ac:dyDescent="0.3">
      <c r="A2577" t="s">
        <v>59</v>
      </c>
      <c r="B2577" t="str">
        <f>"300517"</f>
        <v>300517</v>
      </c>
      <c r="C2577" t="s">
        <v>5495</v>
      </c>
      <c r="D2577" t="s">
        <v>1903</v>
      </c>
      <c r="F2577">
        <v>-97878210</v>
      </c>
      <c r="G2577">
        <v>12460151</v>
      </c>
      <c r="H2577">
        <v>127738552</v>
      </c>
      <c r="I2577">
        <v>34564000</v>
      </c>
      <c r="J2577">
        <v>-141321905</v>
      </c>
      <c r="K2577">
        <v>43809840</v>
      </c>
      <c r="L2577">
        <v>74649291</v>
      </c>
      <c r="M2577">
        <v>38546170</v>
      </c>
      <c r="N2577">
        <v>-49103052</v>
      </c>
      <c r="P2577">
        <v>76</v>
      </c>
      <c r="Q2577" t="s">
        <v>5496</v>
      </c>
    </row>
    <row r="2578" spans="1:17" x14ac:dyDescent="0.3">
      <c r="A2578" t="s">
        <v>59</v>
      </c>
      <c r="B2578" t="str">
        <f>"300120"</f>
        <v>300120</v>
      </c>
      <c r="C2578" t="s">
        <v>5497</v>
      </c>
      <c r="D2578" t="s">
        <v>139</v>
      </c>
      <c r="F2578">
        <v>157869811</v>
      </c>
      <c r="G2578">
        <v>-56910781</v>
      </c>
      <c r="H2578">
        <v>127722992</v>
      </c>
      <c r="I2578">
        <v>107365291</v>
      </c>
      <c r="J2578">
        <v>17332176</v>
      </c>
      <c r="K2578">
        <v>-19237391</v>
      </c>
      <c r="L2578">
        <v>2769228</v>
      </c>
      <c r="M2578">
        <v>-30512321</v>
      </c>
      <c r="N2578">
        <v>-22415369</v>
      </c>
      <c r="O2578">
        <v>25000139</v>
      </c>
      <c r="P2578">
        <v>105</v>
      </c>
      <c r="Q2578" t="s">
        <v>5498</v>
      </c>
    </row>
    <row r="2579" spans="1:17" x14ac:dyDescent="0.3">
      <c r="A2579" t="s">
        <v>59</v>
      </c>
      <c r="B2579" t="str">
        <f>"002840"</f>
        <v>002840</v>
      </c>
      <c r="C2579" t="s">
        <v>5499</v>
      </c>
      <c r="D2579" t="s">
        <v>514</v>
      </c>
      <c r="F2579">
        <v>251565009</v>
      </c>
      <c r="G2579">
        <v>360617568</v>
      </c>
      <c r="H2579">
        <v>127624636</v>
      </c>
      <c r="I2579">
        <v>260851202</v>
      </c>
      <c r="J2579">
        <v>182966692</v>
      </c>
      <c r="K2579">
        <v>264127315</v>
      </c>
      <c r="L2579">
        <v>138596917</v>
      </c>
      <c r="M2579">
        <v>122130080</v>
      </c>
      <c r="N2579">
        <v>81684561</v>
      </c>
      <c r="P2579">
        <v>600</v>
      </c>
      <c r="Q2579" t="s">
        <v>5500</v>
      </c>
    </row>
    <row r="2580" spans="1:17" x14ac:dyDescent="0.3">
      <c r="A2580" t="s">
        <v>59</v>
      </c>
      <c r="B2580" t="str">
        <f>"300993"</f>
        <v>300993</v>
      </c>
      <c r="C2580" t="s">
        <v>5501</v>
      </c>
      <c r="D2580" t="s">
        <v>923</v>
      </c>
      <c r="F2580">
        <v>151548080</v>
      </c>
      <c r="G2580">
        <v>148550030</v>
      </c>
      <c r="H2580">
        <v>127588285</v>
      </c>
      <c r="I2580">
        <v>86776320</v>
      </c>
      <c r="J2580">
        <v>81114796</v>
      </c>
      <c r="P2580">
        <v>31</v>
      </c>
      <c r="Q2580" t="s">
        <v>5502</v>
      </c>
    </row>
    <row r="2581" spans="1:17" x14ac:dyDescent="0.3">
      <c r="A2581" t="s">
        <v>17</v>
      </c>
      <c r="B2581" t="str">
        <f>"605286"</f>
        <v>605286</v>
      </c>
      <c r="C2581" t="s">
        <v>5503</v>
      </c>
      <c r="D2581" t="s">
        <v>3004</v>
      </c>
      <c r="F2581">
        <v>-134920135</v>
      </c>
      <c r="G2581">
        <v>127532574</v>
      </c>
      <c r="H2581">
        <v>127524073</v>
      </c>
      <c r="I2581">
        <v>101724432</v>
      </c>
      <c r="J2581">
        <v>206342827</v>
      </c>
      <c r="P2581">
        <v>27</v>
      </c>
      <c r="Q2581" t="s">
        <v>5504</v>
      </c>
    </row>
    <row r="2582" spans="1:17" x14ac:dyDescent="0.3">
      <c r="A2582" t="s">
        <v>59</v>
      </c>
      <c r="B2582" t="str">
        <f>"300167"</f>
        <v>300167</v>
      </c>
      <c r="C2582" t="s">
        <v>5505</v>
      </c>
      <c r="D2582" t="s">
        <v>1189</v>
      </c>
      <c r="F2582">
        <v>9601717</v>
      </c>
      <c r="G2582">
        <v>38856984</v>
      </c>
      <c r="H2582">
        <v>127489479</v>
      </c>
      <c r="I2582">
        <v>-6840966</v>
      </c>
      <c r="J2582">
        <v>-58816251</v>
      </c>
      <c r="K2582">
        <v>-113006269</v>
      </c>
      <c r="L2582">
        <v>54963947</v>
      </c>
      <c r="M2582">
        <v>-294050341</v>
      </c>
      <c r="N2582">
        <v>24215869</v>
      </c>
      <c r="O2582">
        <v>-81815966</v>
      </c>
      <c r="P2582">
        <v>131</v>
      </c>
      <c r="Q2582" t="s">
        <v>5506</v>
      </c>
    </row>
    <row r="2583" spans="1:17" x14ac:dyDescent="0.3">
      <c r="A2583" t="s">
        <v>17</v>
      </c>
      <c r="B2583" t="str">
        <f>"605086"</f>
        <v>605086</v>
      </c>
      <c r="C2583" t="s">
        <v>5507</v>
      </c>
      <c r="D2583" t="s">
        <v>1408</v>
      </c>
      <c r="F2583">
        <v>123053306</v>
      </c>
      <c r="G2583">
        <v>108730224</v>
      </c>
      <c r="H2583">
        <v>127399105</v>
      </c>
      <c r="I2583">
        <v>101122793</v>
      </c>
      <c r="J2583">
        <v>81025367</v>
      </c>
      <c r="P2583">
        <v>29</v>
      </c>
      <c r="Q2583" t="s">
        <v>5508</v>
      </c>
    </row>
    <row r="2584" spans="1:17" x14ac:dyDescent="0.3">
      <c r="A2584" t="s">
        <v>17</v>
      </c>
      <c r="B2584" t="str">
        <f>"900926"</f>
        <v>900926</v>
      </c>
      <c r="C2584" t="s">
        <v>5509</v>
      </c>
      <c r="G2584">
        <v>224138813.12</v>
      </c>
      <c r="H2584">
        <v>127377574.4868</v>
      </c>
      <c r="I2584">
        <v>140250713.37959999</v>
      </c>
      <c r="J2584">
        <v>119024249.54880001</v>
      </c>
      <c r="K2584">
        <v>119032261.344</v>
      </c>
      <c r="L2584">
        <v>42175576.982000001</v>
      </c>
      <c r="M2584">
        <v>37264945.744000003</v>
      </c>
      <c r="N2584">
        <v>32627836.077199999</v>
      </c>
      <c r="O2584">
        <v>9044272.5840000007</v>
      </c>
      <c r="P2584">
        <v>63</v>
      </c>
      <c r="Q2584" t="s">
        <v>5510</v>
      </c>
    </row>
    <row r="2585" spans="1:17" x14ac:dyDescent="0.3">
      <c r="A2585" t="s">
        <v>59</v>
      </c>
      <c r="B2585" t="str">
        <f>"002571"</f>
        <v>002571</v>
      </c>
      <c r="C2585" t="s">
        <v>5511</v>
      </c>
      <c r="D2585" t="s">
        <v>923</v>
      </c>
      <c r="F2585">
        <v>3136086</v>
      </c>
      <c r="G2585">
        <v>29867756</v>
      </c>
      <c r="H2585">
        <v>127235271</v>
      </c>
      <c r="I2585">
        <v>38911663</v>
      </c>
      <c r="J2585">
        <v>122505884</v>
      </c>
      <c r="K2585">
        <v>133321909</v>
      </c>
      <c r="L2585">
        <v>49687780</v>
      </c>
      <c r="M2585">
        <v>75702205</v>
      </c>
      <c r="N2585">
        <v>-523849</v>
      </c>
      <c r="O2585">
        <v>-11709073</v>
      </c>
      <c r="P2585">
        <v>92</v>
      </c>
      <c r="Q2585" t="s">
        <v>5512</v>
      </c>
    </row>
    <row r="2586" spans="1:17" x14ac:dyDescent="0.3">
      <c r="A2586" t="s">
        <v>59</v>
      </c>
      <c r="B2586" t="str">
        <f>"002103"</f>
        <v>002103</v>
      </c>
      <c r="C2586" t="s">
        <v>5513</v>
      </c>
      <c r="D2586" t="s">
        <v>1889</v>
      </c>
      <c r="F2586">
        <v>38763902</v>
      </c>
      <c r="G2586">
        <v>7649545</v>
      </c>
      <c r="H2586">
        <v>127198552</v>
      </c>
      <c r="I2586">
        <v>162428778</v>
      </c>
      <c r="J2586">
        <v>78916799</v>
      </c>
      <c r="K2586">
        <v>208215608</v>
      </c>
      <c r="L2586">
        <v>-16906698</v>
      </c>
      <c r="M2586">
        <v>831262</v>
      </c>
      <c r="N2586">
        <v>68416291</v>
      </c>
      <c r="O2586">
        <v>60321550</v>
      </c>
      <c r="P2586">
        <v>108</v>
      </c>
      <c r="Q2586" t="s">
        <v>5514</v>
      </c>
    </row>
    <row r="2587" spans="1:17" x14ac:dyDescent="0.3">
      <c r="A2587" t="s">
        <v>59</v>
      </c>
      <c r="B2587" t="str">
        <f>"300725"</f>
        <v>300725</v>
      </c>
      <c r="C2587" t="s">
        <v>5515</v>
      </c>
      <c r="D2587" t="s">
        <v>751</v>
      </c>
      <c r="F2587">
        <v>238029950</v>
      </c>
      <c r="G2587">
        <v>271505518</v>
      </c>
      <c r="H2587">
        <v>127044731</v>
      </c>
      <c r="I2587">
        <v>160161085</v>
      </c>
      <c r="J2587">
        <v>54639658</v>
      </c>
      <c r="K2587">
        <v>22757689</v>
      </c>
      <c r="L2587">
        <v>27524485</v>
      </c>
      <c r="M2587">
        <v>11909555</v>
      </c>
      <c r="P2587">
        <v>1114</v>
      </c>
      <c r="Q2587" t="s">
        <v>5516</v>
      </c>
    </row>
    <row r="2588" spans="1:17" x14ac:dyDescent="0.3">
      <c r="A2588" t="s">
        <v>17</v>
      </c>
      <c r="B2588" t="str">
        <f>"603416"</f>
        <v>603416</v>
      </c>
      <c r="C2588" t="s">
        <v>5517</v>
      </c>
      <c r="D2588" t="s">
        <v>3323</v>
      </c>
      <c r="F2588">
        <v>178431431</v>
      </c>
      <c r="G2588">
        <v>206697308</v>
      </c>
      <c r="H2588">
        <v>127007965</v>
      </c>
      <c r="I2588">
        <v>64156305</v>
      </c>
      <c r="J2588">
        <v>109830842</v>
      </c>
      <c r="K2588">
        <v>95547709</v>
      </c>
      <c r="L2588">
        <v>75703877</v>
      </c>
      <c r="M2588">
        <v>59289354</v>
      </c>
      <c r="N2588">
        <v>41164491</v>
      </c>
      <c r="P2588">
        <v>325</v>
      </c>
      <c r="Q2588" t="s">
        <v>5518</v>
      </c>
    </row>
    <row r="2589" spans="1:17" x14ac:dyDescent="0.3">
      <c r="A2589" t="s">
        <v>59</v>
      </c>
      <c r="B2589" t="str">
        <f>"300514"</f>
        <v>300514</v>
      </c>
      <c r="C2589" t="s">
        <v>5519</v>
      </c>
      <c r="D2589" t="s">
        <v>1828</v>
      </c>
      <c r="F2589">
        <v>196582890</v>
      </c>
      <c r="G2589">
        <v>107440633</v>
      </c>
      <c r="H2589">
        <v>126945616</v>
      </c>
      <c r="I2589">
        <v>42866292</v>
      </c>
      <c r="J2589">
        <v>25133277</v>
      </c>
      <c r="K2589">
        <v>75518517</v>
      </c>
      <c r="L2589">
        <v>-27550375</v>
      </c>
      <c r="M2589">
        <v>32373757</v>
      </c>
      <c r="P2589">
        <v>148</v>
      </c>
      <c r="Q2589" t="s">
        <v>5520</v>
      </c>
    </row>
    <row r="2590" spans="1:17" x14ac:dyDescent="0.3">
      <c r="A2590" t="s">
        <v>59</v>
      </c>
      <c r="B2590" t="str">
        <f>"003008"</f>
        <v>003008</v>
      </c>
      <c r="C2590" t="s">
        <v>5521</v>
      </c>
      <c r="D2590" t="s">
        <v>2028</v>
      </c>
      <c r="F2590">
        <v>88698141</v>
      </c>
      <c r="G2590">
        <v>102184193</v>
      </c>
      <c r="H2590">
        <v>126923799</v>
      </c>
      <c r="I2590">
        <v>119836007</v>
      </c>
      <c r="J2590">
        <v>105603242</v>
      </c>
      <c r="K2590">
        <v>100695640</v>
      </c>
      <c r="P2590">
        <v>68</v>
      </c>
      <c r="Q2590" t="s">
        <v>5522</v>
      </c>
    </row>
    <row r="2591" spans="1:17" x14ac:dyDescent="0.3">
      <c r="A2591" t="s">
        <v>59</v>
      </c>
      <c r="B2591" t="str">
        <f>"003013"</f>
        <v>003013</v>
      </c>
      <c r="C2591" t="s">
        <v>5523</v>
      </c>
      <c r="D2591" t="s">
        <v>2254</v>
      </c>
      <c r="F2591">
        <v>404743761</v>
      </c>
      <c r="G2591">
        <v>277870773</v>
      </c>
      <c r="H2591">
        <v>126836836</v>
      </c>
      <c r="I2591">
        <v>546476820</v>
      </c>
      <c r="J2591">
        <v>-21463380</v>
      </c>
      <c r="K2591">
        <v>917299753</v>
      </c>
      <c r="P2591">
        <v>101</v>
      </c>
      <c r="Q2591" t="s">
        <v>5524</v>
      </c>
    </row>
    <row r="2592" spans="1:17" x14ac:dyDescent="0.3">
      <c r="A2592" t="s">
        <v>59</v>
      </c>
      <c r="B2592" t="str">
        <f>"301193"</f>
        <v>301193</v>
      </c>
      <c r="C2592" t="s">
        <v>5525</v>
      </c>
      <c r="D2592" t="s">
        <v>923</v>
      </c>
      <c r="F2592">
        <v>108196650</v>
      </c>
      <c r="G2592">
        <v>179598876</v>
      </c>
      <c r="H2592">
        <v>126643933</v>
      </c>
      <c r="I2592">
        <v>43906560</v>
      </c>
      <c r="J2592">
        <v>66844290</v>
      </c>
      <c r="P2592">
        <v>15</v>
      </c>
      <c r="Q2592" t="s">
        <v>5526</v>
      </c>
    </row>
    <row r="2593" spans="1:17" x14ac:dyDescent="0.3">
      <c r="A2593" t="s">
        <v>59</v>
      </c>
      <c r="B2593" t="str">
        <f>"002933"</f>
        <v>002933</v>
      </c>
      <c r="C2593" t="s">
        <v>5527</v>
      </c>
      <c r="D2593" t="s">
        <v>448</v>
      </c>
      <c r="F2593">
        <v>131639397</v>
      </c>
      <c r="G2593">
        <v>156214971</v>
      </c>
      <c r="H2593">
        <v>126305978</v>
      </c>
      <c r="I2593">
        <v>94624426</v>
      </c>
      <c r="J2593">
        <v>97743078</v>
      </c>
      <c r="K2593">
        <v>80106057</v>
      </c>
      <c r="L2593">
        <v>121055873</v>
      </c>
      <c r="P2593">
        <v>314</v>
      </c>
      <c r="Q2593" t="s">
        <v>5528</v>
      </c>
    </row>
    <row r="2594" spans="1:17" x14ac:dyDescent="0.3">
      <c r="A2594" t="s">
        <v>17</v>
      </c>
      <c r="B2594" t="str">
        <f>"603657"</f>
        <v>603657</v>
      </c>
      <c r="C2594" t="s">
        <v>5529</v>
      </c>
      <c r="D2594" t="s">
        <v>1087</v>
      </c>
      <c r="F2594">
        <v>78713182</v>
      </c>
      <c r="G2594">
        <v>58795802</v>
      </c>
      <c r="H2594">
        <v>126218926</v>
      </c>
      <c r="I2594">
        <v>104297022</v>
      </c>
      <c r="J2594">
        <v>62493581</v>
      </c>
      <c r="K2594">
        <v>85230752</v>
      </c>
      <c r="L2594">
        <v>48498829</v>
      </c>
      <c r="P2594">
        <v>152</v>
      </c>
      <c r="Q2594" t="s">
        <v>5530</v>
      </c>
    </row>
    <row r="2595" spans="1:17" x14ac:dyDescent="0.3">
      <c r="A2595" t="s">
        <v>59</v>
      </c>
      <c r="B2595" t="str">
        <f>"300962"</f>
        <v>300962</v>
      </c>
      <c r="C2595" t="s">
        <v>5531</v>
      </c>
      <c r="D2595" t="s">
        <v>5532</v>
      </c>
      <c r="F2595">
        <v>175550140</v>
      </c>
      <c r="G2595">
        <v>140517445</v>
      </c>
      <c r="H2595">
        <v>125899701</v>
      </c>
      <c r="I2595">
        <v>147179991</v>
      </c>
      <c r="J2595">
        <v>126398804</v>
      </c>
      <c r="K2595">
        <v>120385786</v>
      </c>
      <c r="P2595">
        <v>32</v>
      </c>
      <c r="Q2595" t="s">
        <v>5533</v>
      </c>
    </row>
    <row r="2596" spans="1:17" x14ac:dyDescent="0.3">
      <c r="A2596" t="s">
        <v>59</v>
      </c>
      <c r="B2596" t="str">
        <f>"002136"</f>
        <v>002136</v>
      </c>
      <c r="C2596" t="s">
        <v>5534</v>
      </c>
      <c r="D2596" t="s">
        <v>1029</v>
      </c>
      <c r="F2596">
        <v>92847350</v>
      </c>
      <c r="G2596">
        <v>32712662</v>
      </c>
      <c r="H2596">
        <v>125855063</v>
      </c>
      <c r="I2596">
        <v>34589109</v>
      </c>
      <c r="J2596">
        <v>211371481</v>
      </c>
      <c r="K2596">
        <v>65128928</v>
      </c>
      <c r="L2596">
        <v>3924813</v>
      </c>
      <c r="M2596">
        <v>67121386</v>
      </c>
      <c r="N2596">
        <v>-139287213</v>
      </c>
      <c r="O2596">
        <v>13148606</v>
      </c>
      <c r="P2596">
        <v>131</v>
      </c>
      <c r="Q2596" t="s">
        <v>5535</v>
      </c>
    </row>
    <row r="2597" spans="1:17" x14ac:dyDescent="0.3">
      <c r="A2597" t="s">
        <v>59</v>
      </c>
      <c r="B2597" t="str">
        <f>"300457"</f>
        <v>300457</v>
      </c>
      <c r="C2597" t="s">
        <v>5536</v>
      </c>
      <c r="D2597" t="s">
        <v>2601</v>
      </c>
      <c r="F2597">
        <v>450695142</v>
      </c>
      <c r="G2597">
        <v>203700152</v>
      </c>
      <c r="H2597">
        <v>125636112</v>
      </c>
      <c r="I2597">
        <v>78377035</v>
      </c>
      <c r="J2597">
        <v>-47207414</v>
      </c>
      <c r="K2597">
        <v>28462923</v>
      </c>
      <c r="L2597">
        <v>17767191</v>
      </c>
      <c r="M2597">
        <v>30654636</v>
      </c>
      <c r="N2597">
        <v>58852016</v>
      </c>
      <c r="O2597">
        <v>37907687</v>
      </c>
      <c r="P2597">
        <v>359</v>
      </c>
      <c r="Q2597" t="s">
        <v>5537</v>
      </c>
    </row>
    <row r="2598" spans="1:17" x14ac:dyDescent="0.3">
      <c r="A2598" t="s">
        <v>59</v>
      </c>
      <c r="B2598" t="str">
        <f>"002782"</f>
        <v>002782</v>
      </c>
      <c r="C2598" t="s">
        <v>5538</v>
      </c>
      <c r="D2598" t="s">
        <v>349</v>
      </c>
      <c r="F2598">
        <v>-134027607</v>
      </c>
      <c r="G2598">
        <v>145282764</v>
      </c>
      <c r="H2598">
        <v>125376250</v>
      </c>
      <c r="I2598">
        <v>27007557</v>
      </c>
      <c r="J2598">
        <v>81137691</v>
      </c>
      <c r="K2598">
        <v>43433163</v>
      </c>
      <c r="L2598">
        <v>52178869</v>
      </c>
      <c r="M2598">
        <v>71920695</v>
      </c>
      <c r="N2598">
        <v>30045004</v>
      </c>
      <c r="O2598">
        <v>67897679</v>
      </c>
      <c r="P2598">
        <v>167</v>
      </c>
      <c r="Q2598" t="s">
        <v>5539</v>
      </c>
    </row>
    <row r="2599" spans="1:17" x14ac:dyDescent="0.3">
      <c r="A2599" t="s">
        <v>17</v>
      </c>
      <c r="B2599" t="str">
        <f>"603186"</f>
        <v>603186</v>
      </c>
      <c r="C2599" t="s">
        <v>5540</v>
      </c>
      <c r="D2599" t="s">
        <v>539</v>
      </c>
      <c r="F2599">
        <v>275489647</v>
      </c>
      <c r="G2599">
        <v>165105541</v>
      </c>
      <c r="H2599">
        <v>125338964</v>
      </c>
      <c r="I2599">
        <v>92321217</v>
      </c>
      <c r="J2599">
        <v>79296308</v>
      </c>
      <c r="K2599">
        <v>5614184</v>
      </c>
      <c r="L2599">
        <v>31569863</v>
      </c>
      <c r="M2599">
        <v>108407319</v>
      </c>
      <c r="N2599">
        <v>30670109</v>
      </c>
      <c r="P2599">
        <v>328</v>
      </c>
      <c r="Q2599" t="s">
        <v>5541</v>
      </c>
    </row>
    <row r="2600" spans="1:17" x14ac:dyDescent="0.3">
      <c r="A2600" t="s">
        <v>17</v>
      </c>
      <c r="B2600" t="str">
        <f>"601616"</f>
        <v>601616</v>
      </c>
      <c r="C2600" t="s">
        <v>5542</v>
      </c>
      <c r="D2600" t="s">
        <v>458</v>
      </c>
      <c r="F2600">
        <v>161834247</v>
      </c>
      <c r="G2600">
        <v>170974949</v>
      </c>
      <c r="H2600">
        <v>125015847</v>
      </c>
      <c r="I2600">
        <v>232776508</v>
      </c>
      <c r="J2600">
        <v>31182736</v>
      </c>
      <c r="K2600">
        <v>76441136</v>
      </c>
      <c r="L2600">
        <v>57103998</v>
      </c>
      <c r="M2600">
        <v>36442599</v>
      </c>
      <c r="N2600">
        <v>85570133</v>
      </c>
      <c r="O2600">
        <v>86901763</v>
      </c>
      <c r="P2600">
        <v>72</v>
      </c>
      <c r="Q2600" t="s">
        <v>5543</v>
      </c>
    </row>
    <row r="2601" spans="1:17" x14ac:dyDescent="0.3">
      <c r="A2601" t="s">
        <v>59</v>
      </c>
      <c r="B2601" t="str">
        <f>"300256"</f>
        <v>300256</v>
      </c>
      <c r="C2601" t="s">
        <v>5544</v>
      </c>
      <c r="D2601" t="s">
        <v>349</v>
      </c>
      <c r="F2601">
        <v>-383369667</v>
      </c>
      <c r="G2601">
        <v>70474368</v>
      </c>
      <c r="H2601">
        <v>124872355</v>
      </c>
      <c r="I2601">
        <v>-81053734</v>
      </c>
      <c r="J2601">
        <v>-221438106</v>
      </c>
      <c r="K2601">
        <v>305583474</v>
      </c>
      <c r="L2601">
        <v>-41927570</v>
      </c>
      <c r="M2601">
        <v>-161506377</v>
      </c>
      <c r="N2601">
        <v>77610329</v>
      </c>
      <c r="O2601">
        <v>21312936</v>
      </c>
      <c r="P2601">
        <v>206</v>
      </c>
      <c r="Q2601" t="s">
        <v>5545</v>
      </c>
    </row>
    <row r="2602" spans="1:17" x14ac:dyDescent="0.3">
      <c r="A2602" t="s">
        <v>59</v>
      </c>
      <c r="B2602" t="str">
        <f>"002786"</f>
        <v>002786</v>
      </c>
      <c r="C2602" t="s">
        <v>5546</v>
      </c>
      <c r="D2602" t="s">
        <v>1351</v>
      </c>
      <c r="F2602">
        <v>-245765456</v>
      </c>
      <c r="G2602">
        <v>-42157350</v>
      </c>
      <c r="H2602">
        <v>124829711</v>
      </c>
      <c r="I2602">
        <v>68383558</v>
      </c>
      <c r="J2602">
        <v>-5836388</v>
      </c>
      <c r="K2602">
        <v>88812563</v>
      </c>
      <c r="L2602">
        <v>76398952</v>
      </c>
      <c r="M2602">
        <v>111032353</v>
      </c>
      <c r="N2602">
        <v>110682097</v>
      </c>
      <c r="O2602">
        <v>25481933</v>
      </c>
      <c r="P2602">
        <v>176</v>
      </c>
      <c r="Q2602" t="s">
        <v>5547</v>
      </c>
    </row>
    <row r="2603" spans="1:17" x14ac:dyDescent="0.3">
      <c r="A2603" t="s">
        <v>59</v>
      </c>
      <c r="B2603" t="str">
        <f>"002144"</f>
        <v>002144</v>
      </c>
      <c r="C2603" t="s">
        <v>5548</v>
      </c>
      <c r="D2603" t="s">
        <v>3101</v>
      </c>
      <c r="F2603">
        <v>108013105</v>
      </c>
      <c r="G2603">
        <v>88291794</v>
      </c>
      <c r="H2603">
        <v>124780704</v>
      </c>
      <c r="I2603">
        <v>36273065</v>
      </c>
      <c r="J2603">
        <v>147874699</v>
      </c>
      <c r="K2603">
        <v>138963106</v>
      </c>
      <c r="L2603">
        <v>40385838</v>
      </c>
      <c r="M2603">
        <v>118942758</v>
      </c>
      <c r="N2603">
        <v>80550580</v>
      </c>
      <c r="O2603">
        <v>96407550</v>
      </c>
      <c r="P2603">
        <v>115</v>
      </c>
      <c r="Q2603" t="s">
        <v>5549</v>
      </c>
    </row>
    <row r="2604" spans="1:17" x14ac:dyDescent="0.3">
      <c r="A2604" t="s">
        <v>59</v>
      </c>
      <c r="B2604" t="str">
        <f>"300289"</f>
        <v>300289</v>
      </c>
      <c r="C2604" t="s">
        <v>5550</v>
      </c>
      <c r="D2604" t="s">
        <v>1953</v>
      </c>
      <c r="F2604">
        <v>119058284</v>
      </c>
      <c r="G2604">
        <v>135559303</v>
      </c>
      <c r="H2604">
        <v>124648403</v>
      </c>
      <c r="I2604">
        <v>81020994</v>
      </c>
      <c r="J2604">
        <v>120965207</v>
      </c>
      <c r="K2604">
        <v>81775816</v>
      </c>
      <c r="L2604">
        <v>177817692</v>
      </c>
      <c r="M2604">
        <v>-13208546</v>
      </c>
      <c r="N2604">
        <v>90446014</v>
      </c>
      <c r="O2604">
        <v>57855641</v>
      </c>
      <c r="P2604">
        <v>132</v>
      </c>
      <c r="Q2604" t="s">
        <v>5551</v>
      </c>
    </row>
    <row r="2605" spans="1:17" x14ac:dyDescent="0.3">
      <c r="A2605" t="s">
        <v>17</v>
      </c>
      <c r="B2605" t="str">
        <f>"900908"</f>
        <v>900908</v>
      </c>
      <c r="C2605" t="s">
        <v>5552</v>
      </c>
      <c r="G2605">
        <v>62500922.559100002</v>
      </c>
      <c r="H2605">
        <v>124604151.57879999</v>
      </c>
      <c r="I2605">
        <v>129362150.26800001</v>
      </c>
      <c r="J2605">
        <v>154184558.74559999</v>
      </c>
      <c r="K2605">
        <v>70395373.584000006</v>
      </c>
      <c r="L2605">
        <v>47101274.527999997</v>
      </c>
      <c r="M2605">
        <v>-4684472</v>
      </c>
      <c r="N2605">
        <v>95820359.628000006</v>
      </c>
      <c r="O2605">
        <v>103411567.215</v>
      </c>
      <c r="P2605">
        <v>50</v>
      </c>
      <c r="Q2605" t="s">
        <v>5553</v>
      </c>
    </row>
    <row r="2606" spans="1:17" x14ac:dyDescent="0.3">
      <c r="A2606" t="s">
        <v>59</v>
      </c>
      <c r="B2606" t="str">
        <f>"300377"</f>
        <v>300377</v>
      </c>
      <c r="C2606" t="s">
        <v>5554</v>
      </c>
      <c r="D2606" t="s">
        <v>1528</v>
      </c>
      <c r="F2606">
        <v>106132963</v>
      </c>
      <c r="G2606">
        <v>140880374</v>
      </c>
      <c r="H2606">
        <v>124586918</v>
      </c>
      <c r="I2606">
        <v>-49044888</v>
      </c>
      <c r="J2606">
        <v>-117350432</v>
      </c>
      <c r="K2606">
        <v>52969544</v>
      </c>
      <c r="L2606">
        <v>64266592</v>
      </c>
      <c r="M2606">
        <v>37635136</v>
      </c>
      <c r="N2606">
        <v>22061013</v>
      </c>
      <c r="O2606">
        <v>26234993</v>
      </c>
      <c r="P2606">
        <v>3125</v>
      </c>
      <c r="Q2606" t="s">
        <v>5555</v>
      </c>
    </row>
    <row r="2607" spans="1:17" x14ac:dyDescent="0.3">
      <c r="A2607" t="s">
        <v>17</v>
      </c>
      <c r="B2607" t="str">
        <f>"688063"</f>
        <v>688063</v>
      </c>
      <c r="C2607" t="s">
        <v>5556</v>
      </c>
      <c r="D2607" t="s">
        <v>232</v>
      </c>
      <c r="F2607">
        <v>-330119814</v>
      </c>
      <c r="G2607">
        <v>280676809</v>
      </c>
      <c r="H2607">
        <v>124528719</v>
      </c>
      <c r="I2607">
        <v>7080951</v>
      </c>
      <c r="J2607">
        <v>-14067932</v>
      </c>
      <c r="P2607">
        <v>212</v>
      </c>
      <c r="Q2607" t="s">
        <v>5557</v>
      </c>
    </row>
    <row r="2608" spans="1:17" x14ac:dyDescent="0.3">
      <c r="A2608" t="s">
        <v>17</v>
      </c>
      <c r="B2608" t="str">
        <f>"688225"</f>
        <v>688225</v>
      </c>
      <c r="C2608" t="s">
        <v>5558</v>
      </c>
      <c r="F2608">
        <v>143648403</v>
      </c>
      <c r="G2608">
        <v>205070001</v>
      </c>
      <c r="H2608">
        <v>124477451</v>
      </c>
      <c r="I2608">
        <v>173986819</v>
      </c>
      <c r="J2608">
        <v>160000278</v>
      </c>
      <c r="P2608">
        <v>9</v>
      </c>
      <c r="Q2608" t="s">
        <v>5559</v>
      </c>
    </row>
    <row r="2609" spans="1:17" x14ac:dyDescent="0.3">
      <c r="A2609" t="s">
        <v>17</v>
      </c>
      <c r="B2609" t="str">
        <f>"605566"</f>
        <v>605566</v>
      </c>
      <c r="C2609" t="s">
        <v>5560</v>
      </c>
      <c r="D2609" t="s">
        <v>372</v>
      </c>
      <c r="F2609">
        <v>218807406</v>
      </c>
      <c r="G2609">
        <v>140601507</v>
      </c>
      <c r="H2609">
        <v>124470241</v>
      </c>
      <c r="I2609">
        <v>185279703</v>
      </c>
      <c r="J2609">
        <v>43824173</v>
      </c>
      <c r="P2609">
        <v>22</v>
      </c>
      <c r="Q2609" t="s">
        <v>5561</v>
      </c>
    </row>
    <row r="2610" spans="1:17" x14ac:dyDescent="0.3">
      <c r="A2610" t="s">
        <v>59</v>
      </c>
      <c r="B2610" t="str">
        <f>"300334"</f>
        <v>300334</v>
      </c>
      <c r="C2610" t="s">
        <v>5562</v>
      </c>
      <c r="D2610" t="s">
        <v>669</v>
      </c>
      <c r="F2610">
        <v>70856511</v>
      </c>
      <c r="G2610">
        <v>158270238</v>
      </c>
      <c r="H2610">
        <v>124423838</v>
      </c>
      <c r="I2610">
        <v>27314138</v>
      </c>
      <c r="J2610">
        <v>-72182225</v>
      </c>
      <c r="K2610">
        <v>-70233679</v>
      </c>
      <c r="L2610">
        <v>-181057051</v>
      </c>
      <c r="M2610">
        <v>-103958255</v>
      </c>
      <c r="N2610">
        <v>-36019727</v>
      </c>
      <c r="O2610">
        <v>-19042805</v>
      </c>
      <c r="P2610">
        <v>80</v>
      </c>
      <c r="Q2610" t="s">
        <v>5563</v>
      </c>
    </row>
    <row r="2611" spans="1:17" x14ac:dyDescent="0.3">
      <c r="A2611" t="s">
        <v>59</v>
      </c>
      <c r="B2611" t="str">
        <f>"001206"</f>
        <v>001206</v>
      </c>
      <c r="C2611" t="s">
        <v>5564</v>
      </c>
      <c r="D2611" t="s">
        <v>1429</v>
      </c>
      <c r="F2611">
        <v>19272907</v>
      </c>
      <c r="G2611">
        <v>183328992</v>
      </c>
      <c r="H2611">
        <v>124257901</v>
      </c>
      <c r="I2611">
        <v>41395993</v>
      </c>
      <c r="J2611">
        <v>4680696</v>
      </c>
      <c r="P2611">
        <v>53</v>
      </c>
      <c r="Q2611" t="s">
        <v>5565</v>
      </c>
    </row>
    <row r="2612" spans="1:17" x14ac:dyDescent="0.3">
      <c r="A2612" t="s">
        <v>59</v>
      </c>
      <c r="B2612" t="str">
        <f>"002084"</f>
        <v>002084</v>
      </c>
      <c r="C2612" t="s">
        <v>5566</v>
      </c>
      <c r="D2612" t="s">
        <v>2853</v>
      </c>
      <c r="F2612">
        <v>111200828</v>
      </c>
      <c r="G2612">
        <v>92781898</v>
      </c>
      <c r="H2612">
        <v>124147512</v>
      </c>
      <c r="I2612">
        <v>63121056</v>
      </c>
      <c r="J2612">
        <v>182357527</v>
      </c>
      <c r="K2612">
        <v>206784984</v>
      </c>
      <c r="L2612">
        <v>184060387</v>
      </c>
      <c r="M2612">
        <v>154145267</v>
      </c>
      <c r="N2612">
        <v>109884296</v>
      </c>
      <c r="O2612">
        <v>77851880</v>
      </c>
      <c r="P2612">
        <v>148</v>
      </c>
      <c r="Q2612" t="s">
        <v>5567</v>
      </c>
    </row>
    <row r="2613" spans="1:17" x14ac:dyDescent="0.3">
      <c r="A2613" t="s">
        <v>59</v>
      </c>
      <c r="B2613" t="str">
        <f>"300956"</f>
        <v>300956</v>
      </c>
      <c r="C2613" t="s">
        <v>5568</v>
      </c>
      <c r="D2613" t="s">
        <v>349</v>
      </c>
      <c r="F2613">
        <v>-42234731</v>
      </c>
      <c r="G2613">
        <v>47273699</v>
      </c>
      <c r="H2613">
        <v>123976262</v>
      </c>
      <c r="I2613">
        <v>47863050</v>
      </c>
      <c r="J2613">
        <v>4045222</v>
      </c>
      <c r="P2613">
        <v>45</v>
      </c>
      <c r="Q2613" t="s">
        <v>5569</v>
      </c>
    </row>
    <row r="2614" spans="1:17" x14ac:dyDescent="0.3">
      <c r="A2614" t="s">
        <v>59</v>
      </c>
      <c r="B2614" t="str">
        <f>"001217"</f>
        <v>001217</v>
      </c>
      <c r="C2614" t="s">
        <v>5570</v>
      </c>
      <c r="D2614" t="s">
        <v>1507</v>
      </c>
      <c r="F2614">
        <v>364811250</v>
      </c>
      <c r="G2614">
        <v>106601497</v>
      </c>
      <c r="H2614">
        <v>123782550</v>
      </c>
      <c r="I2614">
        <v>60715264</v>
      </c>
      <c r="J2614">
        <v>159040448</v>
      </c>
      <c r="P2614">
        <v>27</v>
      </c>
      <c r="Q2614" t="s">
        <v>5571</v>
      </c>
    </row>
    <row r="2615" spans="1:17" x14ac:dyDescent="0.3">
      <c r="A2615" t="s">
        <v>17</v>
      </c>
      <c r="B2615" t="str">
        <f>"603099"</f>
        <v>603099</v>
      </c>
      <c r="C2615" t="s">
        <v>5572</v>
      </c>
      <c r="D2615" t="s">
        <v>2982</v>
      </c>
      <c r="F2615">
        <v>-5836248</v>
      </c>
      <c r="G2615">
        <v>-8572988</v>
      </c>
      <c r="H2615">
        <v>123503823</v>
      </c>
      <c r="I2615">
        <v>100092275</v>
      </c>
      <c r="J2615">
        <v>112891509</v>
      </c>
      <c r="K2615">
        <v>129489950</v>
      </c>
      <c r="L2615">
        <v>109974574</v>
      </c>
      <c r="M2615">
        <v>123376001</v>
      </c>
      <c r="N2615">
        <v>89545738</v>
      </c>
      <c r="O2615">
        <v>103424348</v>
      </c>
      <c r="P2615">
        <v>97</v>
      </c>
      <c r="Q2615" t="s">
        <v>5573</v>
      </c>
    </row>
    <row r="2616" spans="1:17" x14ac:dyDescent="0.3">
      <c r="A2616" t="s">
        <v>59</v>
      </c>
      <c r="B2616" t="str">
        <f>"200992"</f>
        <v>200992</v>
      </c>
      <c r="C2616" t="s">
        <v>5574</v>
      </c>
      <c r="F2616">
        <v>207748614.81</v>
      </c>
      <c r="G2616">
        <v>134320737.81709999</v>
      </c>
      <c r="H2616">
        <v>123366683.34550001</v>
      </c>
      <c r="I2616">
        <v>79280467.596000001</v>
      </c>
      <c r="J2616">
        <v>75859713.978799999</v>
      </c>
      <c r="K2616">
        <v>97595754.012600005</v>
      </c>
      <c r="L2616">
        <v>66182774.642999999</v>
      </c>
      <c r="M2616">
        <v>81676729.442399994</v>
      </c>
      <c r="N2616">
        <v>26391670.546500001</v>
      </c>
      <c r="O2616">
        <v>45085728.344999999</v>
      </c>
      <c r="P2616">
        <v>22</v>
      </c>
      <c r="Q2616" t="s">
        <v>5575</v>
      </c>
    </row>
    <row r="2617" spans="1:17" x14ac:dyDescent="0.3">
      <c r="A2617" t="s">
        <v>59</v>
      </c>
      <c r="B2617" t="str">
        <f>"002380"</f>
        <v>002380</v>
      </c>
      <c r="C2617" t="s">
        <v>5576</v>
      </c>
      <c r="D2617" t="s">
        <v>1189</v>
      </c>
      <c r="F2617">
        <v>-349468747</v>
      </c>
      <c r="G2617">
        <v>187020286</v>
      </c>
      <c r="H2617">
        <v>123351138</v>
      </c>
      <c r="I2617">
        <v>75170158</v>
      </c>
      <c r="J2617">
        <v>138692712</v>
      </c>
      <c r="K2617">
        <v>24634349</v>
      </c>
      <c r="L2617">
        <v>20134818</v>
      </c>
      <c r="M2617">
        <v>21954798</v>
      </c>
      <c r="N2617">
        <v>53604172</v>
      </c>
      <c r="O2617">
        <v>61895356</v>
      </c>
      <c r="P2617">
        <v>131</v>
      </c>
      <c r="Q2617" t="s">
        <v>5577</v>
      </c>
    </row>
    <row r="2618" spans="1:17" x14ac:dyDescent="0.3">
      <c r="A2618" t="s">
        <v>17</v>
      </c>
      <c r="B2618" t="str">
        <f>"688278"</f>
        <v>688278</v>
      </c>
      <c r="C2618" t="s">
        <v>5578</v>
      </c>
      <c r="D2618" t="s">
        <v>1062</v>
      </c>
      <c r="F2618">
        <v>234781024</v>
      </c>
      <c r="G2618">
        <v>92608251</v>
      </c>
      <c r="H2618">
        <v>123301259</v>
      </c>
      <c r="I2618">
        <v>89146936</v>
      </c>
      <c r="J2618">
        <v>-11405318</v>
      </c>
      <c r="K2618">
        <v>42427163</v>
      </c>
      <c r="P2618">
        <v>154</v>
      </c>
      <c r="Q2618" t="s">
        <v>5579</v>
      </c>
    </row>
    <row r="2619" spans="1:17" x14ac:dyDescent="0.3">
      <c r="A2619" t="s">
        <v>59</v>
      </c>
      <c r="B2619" t="str">
        <f>"300662"</f>
        <v>300662</v>
      </c>
      <c r="C2619" t="s">
        <v>5580</v>
      </c>
      <c r="D2619" t="s">
        <v>5581</v>
      </c>
      <c r="F2619">
        <v>-42728239</v>
      </c>
      <c r="G2619">
        <v>200931773</v>
      </c>
      <c r="H2619">
        <v>123257774</v>
      </c>
      <c r="I2619">
        <v>133258591</v>
      </c>
      <c r="J2619">
        <v>93420194</v>
      </c>
      <c r="K2619">
        <v>20069342</v>
      </c>
      <c r="L2619">
        <v>35576979</v>
      </c>
      <c r="M2619">
        <v>57179594</v>
      </c>
      <c r="P2619">
        <v>688</v>
      </c>
      <c r="Q2619" t="s">
        <v>5582</v>
      </c>
    </row>
    <row r="2620" spans="1:17" x14ac:dyDescent="0.3">
      <c r="A2620" t="s">
        <v>59</v>
      </c>
      <c r="B2620" t="str">
        <f>"300624"</f>
        <v>300624</v>
      </c>
      <c r="C2620" t="s">
        <v>5583</v>
      </c>
      <c r="D2620" t="s">
        <v>789</v>
      </c>
      <c r="F2620">
        <v>141988389</v>
      </c>
      <c r="G2620">
        <v>195357832</v>
      </c>
      <c r="H2620">
        <v>123244800</v>
      </c>
      <c r="I2620">
        <v>86177881</v>
      </c>
      <c r="J2620">
        <v>80164156</v>
      </c>
      <c r="K2620">
        <v>68398678</v>
      </c>
      <c r="L2620">
        <v>66619872</v>
      </c>
      <c r="M2620">
        <v>59962824</v>
      </c>
      <c r="P2620">
        <v>332</v>
      </c>
      <c r="Q2620" t="s">
        <v>5584</v>
      </c>
    </row>
    <row r="2621" spans="1:17" x14ac:dyDescent="0.3">
      <c r="A2621" t="s">
        <v>59</v>
      </c>
      <c r="B2621" t="str">
        <f>"300350"</f>
        <v>300350</v>
      </c>
      <c r="C2621" t="s">
        <v>5585</v>
      </c>
      <c r="D2621" t="s">
        <v>838</v>
      </c>
      <c r="F2621">
        <v>176731640</v>
      </c>
      <c r="G2621">
        <v>57139909</v>
      </c>
      <c r="H2621">
        <v>123201454</v>
      </c>
      <c r="I2621">
        <v>148490757</v>
      </c>
      <c r="J2621">
        <v>34232047</v>
      </c>
      <c r="K2621">
        <v>335856621</v>
      </c>
      <c r="L2621">
        <v>192321449</v>
      </c>
      <c r="M2621">
        <v>-33342463</v>
      </c>
      <c r="N2621">
        <v>-60602035</v>
      </c>
      <c r="O2621">
        <v>-10167436</v>
      </c>
      <c r="P2621">
        <v>106</v>
      </c>
      <c r="Q2621" t="s">
        <v>5586</v>
      </c>
    </row>
    <row r="2622" spans="1:17" x14ac:dyDescent="0.3">
      <c r="A2622" t="s">
        <v>59</v>
      </c>
      <c r="B2622" t="str">
        <f>"300301"</f>
        <v>300301</v>
      </c>
      <c r="C2622" t="s">
        <v>5587</v>
      </c>
      <c r="D2622" t="s">
        <v>772</v>
      </c>
      <c r="F2622">
        <v>-98820242</v>
      </c>
      <c r="G2622">
        <v>146741880</v>
      </c>
      <c r="H2622">
        <v>123188770</v>
      </c>
      <c r="I2622">
        <v>-187622055</v>
      </c>
      <c r="J2622">
        <v>205629013</v>
      </c>
      <c r="K2622">
        <v>-3998427</v>
      </c>
      <c r="L2622">
        <v>144832176</v>
      </c>
      <c r="M2622">
        <v>31891915</v>
      </c>
      <c r="N2622">
        <v>122547229</v>
      </c>
      <c r="O2622">
        <v>3494626</v>
      </c>
      <c r="P2622">
        <v>75</v>
      </c>
      <c r="Q2622" t="s">
        <v>5588</v>
      </c>
    </row>
    <row r="2623" spans="1:17" x14ac:dyDescent="0.3">
      <c r="A2623" t="s">
        <v>17</v>
      </c>
      <c r="B2623" t="str">
        <f>"605155"</f>
        <v>605155</v>
      </c>
      <c r="C2623" t="s">
        <v>5589</v>
      </c>
      <c r="D2623" t="s">
        <v>923</v>
      </c>
      <c r="F2623">
        <v>76838436</v>
      </c>
      <c r="G2623">
        <v>125249372</v>
      </c>
      <c r="H2623">
        <v>123134230</v>
      </c>
      <c r="I2623">
        <v>81449603</v>
      </c>
      <c r="J2623">
        <v>62233959</v>
      </c>
      <c r="K2623">
        <v>63142546</v>
      </c>
      <c r="P2623">
        <v>45</v>
      </c>
      <c r="Q2623" t="s">
        <v>5590</v>
      </c>
    </row>
    <row r="2624" spans="1:17" x14ac:dyDescent="0.3">
      <c r="A2624" t="s">
        <v>17</v>
      </c>
      <c r="B2624" t="str">
        <f>"688519"</f>
        <v>688519</v>
      </c>
      <c r="C2624" t="s">
        <v>5591</v>
      </c>
      <c r="D2624" t="s">
        <v>539</v>
      </c>
      <c r="F2624">
        <v>48587615</v>
      </c>
      <c r="G2624">
        <v>-30800200</v>
      </c>
      <c r="H2624">
        <v>123111738</v>
      </c>
      <c r="I2624">
        <v>204336824</v>
      </c>
      <c r="J2624">
        <v>82549929</v>
      </c>
      <c r="P2624">
        <v>80</v>
      </c>
      <c r="Q2624" t="s">
        <v>5592</v>
      </c>
    </row>
    <row r="2625" spans="1:17" x14ac:dyDescent="0.3">
      <c r="A2625" t="s">
        <v>17</v>
      </c>
      <c r="B2625" t="str">
        <f>"600192"</f>
        <v>600192</v>
      </c>
      <c r="C2625" t="s">
        <v>5593</v>
      </c>
      <c r="D2625" t="s">
        <v>560</v>
      </c>
      <c r="F2625">
        <v>-10965219</v>
      </c>
      <c r="G2625">
        <v>-246834575</v>
      </c>
      <c r="H2625">
        <v>123062166</v>
      </c>
      <c r="I2625">
        <v>68285540</v>
      </c>
      <c r="J2625">
        <v>-99711647</v>
      </c>
      <c r="K2625">
        <v>3308890</v>
      </c>
      <c r="L2625">
        <v>4360409</v>
      </c>
      <c r="M2625">
        <v>118878807</v>
      </c>
      <c r="N2625">
        <v>-11134289</v>
      </c>
      <c r="O2625">
        <v>-89853998</v>
      </c>
      <c r="P2625">
        <v>76</v>
      </c>
      <c r="Q2625" t="s">
        <v>5594</v>
      </c>
    </row>
    <row r="2626" spans="1:17" x14ac:dyDescent="0.3">
      <c r="A2626" t="s">
        <v>59</v>
      </c>
      <c r="B2626" t="str">
        <f>"000710"</f>
        <v>000710</v>
      </c>
      <c r="C2626" t="s">
        <v>5595</v>
      </c>
      <c r="D2626" t="s">
        <v>1953</v>
      </c>
      <c r="F2626">
        <v>94031453</v>
      </c>
      <c r="G2626">
        <v>161310075</v>
      </c>
      <c r="H2626">
        <v>123056710</v>
      </c>
      <c r="I2626">
        <v>165331570</v>
      </c>
      <c r="J2626">
        <v>74350103</v>
      </c>
      <c r="K2626">
        <v>-14191558</v>
      </c>
      <c r="L2626">
        <v>-70809802</v>
      </c>
      <c r="M2626">
        <v>18909920</v>
      </c>
      <c r="N2626">
        <v>15627955</v>
      </c>
      <c r="O2626">
        <v>48265432</v>
      </c>
      <c r="P2626">
        <v>460</v>
      </c>
      <c r="Q2626" t="s">
        <v>5596</v>
      </c>
    </row>
    <row r="2627" spans="1:17" x14ac:dyDescent="0.3">
      <c r="A2627" t="s">
        <v>59</v>
      </c>
      <c r="B2627" t="str">
        <f>"301221"</f>
        <v>301221</v>
      </c>
      <c r="C2627" t="s">
        <v>5597</v>
      </c>
      <c r="D2627" t="s">
        <v>575</v>
      </c>
      <c r="F2627">
        <v>24547414</v>
      </c>
      <c r="G2627">
        <v>82041885</v>
      </c>
      <c r="H2627">
        <v>122795949</v>
      </c>
      <c r="I2627">
        <v>17020811</v>
      </c>
      <c r="J2627">
        <v>14765188</v>
      </c>
      <c r="P2627">
        <v>16</v>
      </c>
      <c r="Q2627" t="s">
        <v>5598</v>
      </c>
    </row>
    <row r="2628" spans="1:17" x14ac:dyDescent="0.3">
      <c r="A2628" t="s">
        <v>59</v>
      </c>
      <c r="B2628" t="str">
        <f>"301017"</f>
        <v>301017</v>
      </c>
      <c r="C2628" t="s">
        <v>5599</v>
      </c>
      <c r="D2628" t="s">
        <v>1183</v>
      </c>
      <c r="F2628">
        <v>237526004</v>
      </c>
      <c r="G2628">
        <v>234499600</v>
      </c>
      <c r="H2628">
        <v>122771230</v>
      </c>
      <c r="I2628">
        <v>112844870</v>
      </c>
      <c r="J2628">
        <v>130554954</v>
      </c>
      <c r="P2628">
        <v>36</v>
      </c>
      <c r="Q2628" t="s">
        <v>5600</v>
      </c>
    </row>
    <row r="2629" spans="1:17" x14ac:dyDescent="0.3">
      <c r="A2629" t="s">
        <v>17</v>
      </c>
      <c r="B2629" t="str">
        <f>"600333"</f>
        <v>600333</v>
      </c>
      <c r="C2629" t="s">
        <v>5601</v>
      </c>
      <c r="D2629" t="s">
        <v>883</v>
      </c>
      <c r="F2629">
        <v>241467445</v>
      </c>
      <c r="G2629">
        <v>48241703</v>
      </c>
      <c r="H2629">
        <v>122540927</v>
      </c>
      <c r="I2629">
        <v>8816535</v>
      </c>
      <c r="J2629">
        <v>22146838</v>
      </c>
      <c r="K2629">
        <v>138191355</v>
      </c>
      <c r="L2629">
        <v>-91690091</v>
      </c>
      <c r="M2629">
        <v>-31183033</v>
      </c>
      <c r="N2629">
        <v>-17078841</v>
      </c>
      <c r="O2629">
        <v>-5713705</v>
      </c>
      <c r="P2629">
        <v>103</v>
      </c>
      <c r="Q2629" t="s">
        <v>5602</v>
      </c>
    </row>
    <row r="2630" spans="1:17" x14ac:dyDescent="0.3">
      <c r="A2630" t="s">
        <v>59</v>
      </c>
      <c r="B2630" t="str">
        <f>"300470"</f>
        <v>300470</v>
      </c>
      <c r="C2630" t="s">
        <v>5603</v>
      </c>
      <c r="D2630" t="s">
        <v>1838</v>
      </c>
      <c r="F2630">
        <v>265032878</v>
      </c>
      <c r="G2630">
        <v>187838910</v>
      </c>
      <c r="H2630">
        <v>122402802</v>
      </c>
      <c r="I2630">
        <v>52554610</v>
      </c>
      <c r="J2630">
        <v>72202715</v>
      </c>
      <c r="K2630">
        <v>69961461</v>
      </c>
      <c r="L2630">
        <v>25286051</v>
      </c>
      <c r="M2630">
        <v>38535260</v>
      </c>
      <c r="N2630">
        <v>35251185</v>
      </c>
      <c r="O2630">
        <v>32455697</v>
      </c>
      <c r="P2630">
        <v>347</v>
      </c>
      <c r="Q2630" t="s">
        <v>5604</v>
      </c>
    </row>
    <row r="2631" spans="1:17" x14ac:dyDescent="0.3">
      <c r="A2631" t="s">
        <v>17</v>
      </c>
      <c r="B2631" t="str">
        <f>"603810"</f>
        <v>603810</v>
      </c>
      <c r="C2631" t="s">
        <v>5605</v>
      </c>
      <c r="D2631" t="s">
        <v>1356</v>
      </c>
      <c r="F2631">
        <v>59758888</v>
      </c>
      <c r="G2631">
        <v>157462098</v>
      </c>
      <c r="H2631">
        <v>122401532</v>
      </c>
      <c r="I2631">
        <v>152900739</v>
      </c>
      <c r="J2631">
        <v>198488219</v>
      </c>
      <c r="K2631">
        <v>9915040</v>
      </c>
      <c r="L2631">
        <v>106360146</v>
      </c>
      <c r="P2631">
        <v>79</v>
      </c>
      <c r="Q2631" t="s">
        <v>5606</v>
      </c>
    </row>
    <row r="2632" spans="1:17" x14ac:dyDescent="0.3">
      <c r="A2632" t="s">
        <v>59</v>
      </c>
      <c r="B2632" t="str">
        <f>"300243"</f>
        <v>300243</v>
      </c>
      <c r="C2632" t="s">
        <v>5607</v>
      </c>
      <c r="D2632" t="s">
        <v>2104</v>
      </c>
      <c r="F2632">
        <v>111139670</v>
      </c>
      <c r="G2632">
        <v>50227628</v>
      </c>
      <c r="H2632">
        <v>122339677</v>
      </c>
      <c r="I2632">
        <v>61997618</v>
      </c>
      <c r="J2632">
        <v>63201137</v>
      </c>
      <c r="K2632">
        <v>421338942</v>
      </c>
      <c r="L2632">
        <v>-244204323</v>
      </c>
      <c r="M2632">
        <v>-13189612</v>
      </c>
      <c r="N2632">
        <v>12363167</v>
      </c>
      <c r="O2632">
        <v>58965219</v>
      </c>
      <c r="P2632">
        <v>103</v>
      </c>
      <c r="Q2632" t="s">
        <v>5608</v>
      </c>
    </row>
    <row r="2633" spans="1:17" x14ac:dyDescent="0.3">
      <c r="A2633" t="s">
        <v>17</v>
      </c>
      <c r="B2633" t="str">
        <f>"605369"</f>
        <v>605369</v>
      </c>
      <c r="C2633" t="s">
        <v>5609</v>
      </c>
      <c r="D2633" t="s">
        <v>1036</v>
      </c>
      <c r="F2633">
        <v>372986188</v>
      </c>
      <c r="G2633">
        <v>242182457</v>
      </c>
      <c r="H2633">
        <v>122334145</v>
      </c>
      <c r="I2633">
        <v>102424454</v>
      </c>
      <c r="J2633">
        <v>85543723</v>
      </c>
      <c r="P2633">
        <v>177</v>
      </c>
      <c r="Q2633" t="s">
        <v>5610</v>
      </c>
    </row>
    <row r="2634" spans="1:17" x14ac:dyDescent="0.3">
      <c r="A2634" t="s">
        <v>59</v>
      </c>
      <c r="B2634" t="str">
        <f>"300857"</f>
        <v>300857</v>
      </c>
      <c r="C2634" t="s">
        <v>5611</v>
      </c>
      <c r="D2634" t="s">
        <v>349</v>
      </c>
      <c r="F2634">
        <v>93405115</v>
      </c>
      <c r="G2634">
        <v>28613436</v>
      </c>
      <c r="H2634">
        <v>122296731</v>
      </c>
      <c r="I2634">
        <v>-35489061</v>
      </c>
      <c r="J2634">
        <v>-31586117</v>
      </c>
      <c r="K2634">
        <v>69740777</v>
      </c>
      <c r="P2634">
        <v>59</v>
      </c>
      <c r="Q2634" t="s">
        <v>5612</v>
      </c>
    </row>
    <row r="2635" spans="1:17" x14ac:dyDescent="0.3">
      <c r="A2635" t="s">
        <v>17</v>
      </c>
      <c r="B2635" t="str">
        <f>"600148"</f>
        <v>600148</v>
      </c>
      <c r="C2635" t="s">
        <v>5613</v>
      </c>
      <c r="D2635" t="s">
        <v>156</v>
      </c>
      <c r="F2635">
        <v>-1218331</v>
      </c>
      <c r="G2635">
        <v>49796318</v>
      </c>
      <c r="H2635">
        <v>122223590</v>
      </c>
      <c r="I2635">
        <v>20442269</v>
      </c>
      <c r="J2635">
        <v>-11417887</v>
      </c>
      <c r="K2635">
        <v>43219458</v>
      </c>
      <c r="L2635">
        <v>31176896</v>
      </c>
      <c r="M2635">
        <v>57573332</v>
      </c>
      <c r="N2635">
        <v>49178316</v>
      </c>
      <c r="O2635">
        <v>40044410</v>
      </c>
      <c r="P2635">
        <v>75</v>
      </c>
      <c r="Q2635" t="s">
        <v>5614</v>
      </c>
    </row>
    <row r="2636" spans="1:17" x14ac:dyDescent="0.3">
      <c r="A2636" t="s">
        <v>59</v>
      </c>
      <c r="B2636" t="str">
        <f>"300607"</f>
        <v>300607</v>
      </c>
      <c r="C2636" t="s">
        <v>5615</v>
      </c>
      <c r="D2636" t="s">
        <v>3323</v>
      </c>
      <c r="F2636">
        <v>-328811707</v>
      </c>
      <c r="G2636">
        <v>1004240213</v>
      </c>
      <c r="H2636">
        <v>122201250</v>
      </c>
      <c r="I2636">
        <v>115214742</v>
      </c>
      <c r="J2636">
        <v>7278549</v>
      </c>
      <c r="K2636">
        <v>81373378</v>
      </c>
      <c r="L2636">
        <v>30598916</v>
      </c>
      <c r="M2636">
        <v>9410102</v>
      </c>
      <c r="N2636">
        <v>11064086</v>
      </c>
      <c r="P2636">
        <v>1388</v>
      </c>
      <c r="Q2636" t="s">
        <v>5616</v>
      </c>
    </row>
    <row r="2637" spans="1:17" x14ac:dyDescent="0.3">
      <c r="A2637" t="s">
        <v>59</v>
      </c>
      <c r="B2637" t="str">
        <f>"300505"</f>
        <v>300505</v>
      </c>
      <c r="C2637" t="s">
        <v>5617</v>
      </c>
      <c r="D2637" t="s">
        <v>533</v>
      </c>
      <c r="F2637">
        <v>151995256</v>
      </c>
      <c r="G2637">
        <v>138806514</v>
      </c>
      <c r="H2637">
        <v>122139939</v>
      </c>
      <c r="I2637">
        <v>112544822</v>
      </c>
      <c r="J2637">
        <v>95983169</v>
      </c>
      <c r="K2637">
        <v>51550496</v>
      </c>
      <c r="L2637">
        <v>60295375</v>
      </c>
      <c r="M2637">
        <v>43398244</v>
      </c>
      <c r="N2637">
        <v>66199365</v>
      </c>
      <c r="P2637">
        <v>97</v>
      </c>
      <c r="Q2637" t="s">
        <v>5618</v>
      </c>
    </row>
    <row r="2638" spans="1:17" x14ac:dyDescent="0.3">
      <c r="A2638" t="s">
        <v>59</v>
      </c>
      <c r="B2638" t="str">
        <f>"300269"</f>
        <v>300269</v>
      </c>
      <c r="C2638" t="s">
        <v>5619</v>
      </c>
      <c r="D2638" t="s">
        <v>1889</v>
      </c>
      <c r="F2638">
        <v>102978614</v>
      </c>
      <c r="G2638">
        <v>77769179</v>
      </c>
      <c r="H2638">
        <v>122106117</v>
      </c>
      <c r="I2638">
        <v>161554300</v>
      </c>
      <c r="J2638">
        <v>303029628</v>
      </c>
      <c r="K2638">
        <v>452796475</v>
      </c>
      <c r="L2638">
        <v>230167309</v>
      </c>
      <c r="M2638">
        <v>183741678</v>
      </c>
      <c r="N2638">
        <v>11158681</v>
      </c>
      <c r="O2638">
        <v>-28922996</v>
      </c>
      <c r="P2638">
        <v>125</v>
      </c>
      <c r="Q2638" t="s">
        <v>5620</v>
      </c>
    </row>
    <row r="2639" spans="1:17" x14ac:dyDescent="0.3">
      <c r="A2639" t="s">
        <v>59</v>
      </c>
      <c r="B2639" t="str">
        <f>"300952"</f>
        <v>300952</v>
      </c>
      <c r="C2639" t="s">
        <v>5621</v>
      </c>
      <c r="D2639" t="s">
        <v>3416</v>
      </c>
      <c r="F2639">
        <v>107459920</v>
      </c>
      <c r="G2639">
        <v>107168336</v>
      </c>
      <c r="H2639">
        <v>121880586</v>
      </c>
      <c r="I2639">
        <v>75645443</v>
      </c>
      <c r="J2639">
        <v>52086155</v>
      </c>
      <c r="K2639">
        <v>37530427</v>
      </c>
      <c r="P2639">
        <v>38</v>
      </c>
      <c r="Q2639" t="s">
        <v>5622</v>
      </c>
    </row>
    <row r="2640" spans="1:17" x14ac:dyDescent="0.3">
      <c r="A2640" t="s">
        <v>17</v>
      </c>
      <c r="B2640" t="str">
        <f>"600230"</f>
        <v>600230</v>
      </c>
      <c r="C2640" t="s">
        <v>5623</v>
      </c>
      <c r="D2640" t="s">
        <v>144</v>
      </c>
      <c r="F2640">
        <v>376994279</v>
      </c>
      <c r="G2640">
        <v>170911382</v>
      </c>
      <c r="H2640">
        <v>121776630</v>
      </c>
      <c r="I2640">
        <v>1500350636</v>
      </c>
      <c r="J2640">
        <v>1765554538</v>
      </c>
      <c r="K2640">
        <v>666195419</v>
      </c>
      <c r="L2640">
        <v>-133492730</v>
      </c>
      <c r="M2640">
        <v>154592255</v>
      </c>
      <c r="N2640">
        <v>700655157</v>
      </c>
      <c r="O2640">
        <v>482608563</v>
      </c>
      <c r="P2640">
        <v>382</v>
      </c>
      <c r="Q2640" t="s">
        <v>5624</v>
      </c>
    </row>
    <row r="2641" spans="1:17" x14ac:dyDescent="0.3">
      <c r="A2641" t="s">
        <v>17</v>
      </c>
      <c r="B2641" t="str">
        <f>"605100"</f>
        <v>605100</v>
      </c>
      <c r="C2641" t="s">
        <v>5625</v>
      </c>
      <c r="D2641" t="s">
        <v>637</v>
      </c>
      <c r="F2641">
        <v>311512940</v>
      </c>
      <c r="G2641">
        <v>226954287</v>
      </c>
      <c r="H2641">
        <v>121729769</v>
      </c>
      <c r="I2641">
        <v>158515831</v>
      </c>
      <c r="J2641">
        <v>36583511</v>
      </c>
      <c r="P2641">
        <v>60</v>
      </c>
      <c r="Q2641" t="s">
        <v>5626</v>
      </c>
    </row>
    <row r="2642" spans="1:17" x14ac:dyDescent="0.3">
      <c r="A2642" t="s">
        <v>17</v>
      </c>
      <c r="B2642" t="str">
        <f>"603239"</f>
        <v>603239</v>
      </c>
      <c r="C2642" t="s">
        <v>5627</v>
      </c>
      <c r="D2642" t="s">
        <v>1226</v>
      </c>
      <c r="F2642">
        <v>-22196565</v>
      </c>
      <c r="G2642">
        <v>101342169</v>
      </c>
      <c r="H2642">
        <v>121441807</v>
      </c>
      <c r="I2642">
        <v>121620931</v>
      </c>
      <c r="J2642">
        <v>57127146</v>
      </c>
      <c r="K2642">
        <v>106176021</v>
      </c>
      <c r="L2642">
        <v>71109394</v>
      </c>
      <c r="M2642">
        <v>114213289</v>
      </c>
      <c r="N2642">
        <v>19872733</v>
      </c>
      <c r="P2642">
        <v>166</v>
      </c>
      <c r="Q2642" t="s">
        <v>5628</v>
      </c>
    </row>
    <row r="2643" spans="1:17" x14ac:dyDescent="0.3">
      <c r="A2643" t="s">
        <v>17</v>
      </c>
      <c r="B2643" t="str">
        <f>"603126"</f>
        <v>603126</v>
      </c>
      <c r="C2643" t="s">
        <v>5629</v>
      </c>
      <c r="D2643" t="s">
        <v>894</v>
      </c>
      <c r="F2643">
        <v>45119560</v>
      </c>
      <c r="G2643">
        <v>144927010</v>
      </c>
      <c r="H2643">
        <v>121412023</v>
      </c>
      <c r="I2643">
        <v>297112385</v>
      </c>
      <c r="J2643">
        <v>-18340498</v>
      </c>
      <c r="K2643">
        <v>370696251</v>
      </c>
      <c r="L2643">
        <v>216970544</v>
      </c>
      <c r="M2643">
        <v>202121404</v>
      </c>
      <c r="N2643">
        <v>79303291</v>
      </c>
      <c r="O2643">
        <v>-44200707</v>
      </c>
      <c r="P2643">
        <v>196</v>
      </c>
      <c r="Q2643" t="s">
        <v>5630</v>
      </c>
    </row>
    <row r="2644" spans="1:17" x14ac:dyDescent="0.3">
      <c r="A2644" t="s">
        <v>17</v>
      </c>
      <c r="B2644" t="str">
        <f>"603102"</f>
        <v>603102</v>
      </c>
      <c r="C2644" t="s">
        <v>5631</v>
      </c>
      <c r="F2644">
        <v>169149697</v>
      </c>
      <c r="G2644">
        <v>149997635</v>
      </c>
      <c r="H2644">
        <v>121358894</v>
      </c>
      <c r="I2644">
        <v>73267728</v>
      </c>
      <c r="J2644">
        <v>85766313</v>
      </c>
      <c r="P2644">
        <v>13</v>
      </c>
      <c r="Q2644" t="s">
        <v>5632</v>
      </c>
    </row>
    <row r="2645" spans="1:17" x14ac:dyDescent="0.3">
      <c r="A2645" t="s">
        <v>17</v>
      </c>
      <c r="B2645" t="str">
        <f>"603530"</f>
        <v>603530</v>
      </c>
      <c r="C2645" t="s">
        <v>5633</v>
      </c>
      <c r="D2645" t="s">
        <v>1065</v>
      </c>
      <c r="F2645">
        <v>45376680</v>
      </c>
      <c r="G2645">
        <v>98312872</v>
      </c>
      <c r="H2645">
        <v>121357814</v>
      </c>
      <c r="I2645">
        <v>166193415</v>
      </c>
      <c r="J2645">
        <v>74948630</v>
      </c>
      <c r="K2645">
        <v>18326525</v>
      </c>
      <c r="P2645">
        <v>88</v>
      </c>
      <c r="Q2645" t="s">
        <v>5634</v>
      </c>
    </row>
    <row r="2646" spans="1:17" x14ac:dyDescent="0.3">
      <c r="A2646" t="s">
        <v>59</v>
      </c>
      <c r="B2646" t="str">
        <f>"301020"</f>
        <v>301020</v>
      </c>
      <c r="C2646" t="s">
        <v>5635</v>
      </c>
      <c r="D2646" t="s">
        <v>156</v>
      </c>
      <c r="F2646">
        <v>105564640</v>
      </c>
      <c r="G2646">
        <v>87312360</v>
      </c>
      <c r="H2646">
        <v>121245947</v>
      </c>
      <c r="I2646">
        <v>73471692</v>
      </c>
      <c r="J2646">
        <v>25784389</v>
      </c>
      <c r="P2646">
        <v>54</v>
      </c>
      <c r="Q2646" t="s">
        <v>5636</v>
      </c>
    </row>
    <row r="2647" spans="1:17" x14ac:dyDescent="0.3">
      <c r="A2647" t="s">
        <v>59</v>
      </c>
      <c r="B2647" t="str">
        <f>"003033"</f>
        <v>003033</v>
      </c>
      <c r="C2647" t="s">
        <v>5637</v>
      </c>
      <c r="D2647" t="s">
        <v>1639</v>
      </c>
      <c r="F2647">
        <v>17387318</v>
      </c>
      <c r="G2647">
        <v>103376030</v>
      </c>
      <c r="H2647">
        <v>121063057</v>
      </c>
      <c r="I2647">
        <v>111924315</v>
      </c>
      <c r="J2647">
        <v>64219537</v>
      </c>
      <c r="P2647">
        <v>67</v>
      </c>
      <c r="Q2647" t="s">
        <v>5638</v>
      </c>
    </row>
    <row r="2648" spans="1:17" x14ac:dyDescent="0.3">
      <c r="A2648" t="s">
        <v>59</v>
      </c>
      <c r="B2648" t="str">
        <f>"301151"</f>
        <v>301151</v>
      </c>
      <c r="C2648" t="s">
        <v>5639</v>
      </c>
      <c r="F2648">
        <v>217452373</v>
      </c>
      <c r="G2648">
        <v>128156215</v>
      </c>
      <c r="H2648">
        <v>120958032</v>
      </c>
      <c r="I2648">
        <v>60029126</v>
      </c>
      <c r="J2648">
        <v>40682841</v>
      </c>
      <c r="P2648">
        <v>5</v>
      </c>
      <c r="Q2648" t="s">
        <v>5640</v>
      </c>
    </row>
    <row r="2649" spans="1:17" x14ac:dyDescent="0.3">
      <c r="A2649" t="s">
        <v>17</v>
      </c>
      <c r="B2649" t="str">
        <f>"603383"</f>
        <v>603383</v>
      </c>
      <c r="C2649" t="s">
        <v>5641</v>
      </c>
      <c r="D2649" t="s">
        <v>1528</v>
      </c>
      <c r="F2649">
        <v>146868923</v>
      </c>
      <c r="G2649">
        <v>161969594</v>
      </c>
      <c r="H2649">
        <v>120940523</v>
      </c>
      <c r="I2649">
        <v>92652549</v>
      </c>
      <c r="J2649">
        <v>103665536</v>
      </c>
      <c r="K2649">
        <v>95193529</v>
      </c>
      <c r="L2649">
        <v>113929454</v>
      </c>
      <c r="M2649">
        <v>60115243</v>
      </c>
      <c r="P2649">
        <v>190</v>
      </c>
      <c r="Q2649" t="s">
        <v>5642</v>
      </c>
    </row>
    <row r="2650" spans="1:17" x14ac:dyDescent="0.3">
      <c r="A2650" t="s">
        <v>17</v>
      </c>
      <c r="B2650" t="str">
        <f>"600237"</f>
        <v>600237</v>
      </c>
      <c r="C2650" t="s">
        <v>5643</v>
      </c>
      <c r="D2650" t="s">
        <v>1180</v>
      </c>
      <c r="F2650">
        <v>204422641</v>
      </c>
      <c r="G2650">
        <v>69025898</v>
      </c>
      <c r="H2650">
        <v>120916976</v>
      </c>
      <c r="I2650">
        <v>6091460</v>
      </c>
      <c r="J2650">
        <v>38803005</v>
      </c>
      <c r="K2650">
        <v>58941519</v>
      </c>
      <c r="L2650">
        <v>-34116012</v>
      </c>
      <c r="M2650">
        <v>45568890</v>
      </c>
      <c r="N2650">
        <v>-27091074</v>
      </c>
      <c r="O2650">
        <v>-49436239</v>
      </c>
      <c r="P2650">
        <v>152</v>
      </c>
      <c r="Q2650" t="s">
        <v>5644</v>
      </c>
    </row>
    <row r="2651" spans="1:17" x14ac:dyDescent="0.3">
      <c r="A2651" t="s">
        <v>17</v>
      </c>
      <c r="B2651" t="str">
        <f>"601588"</f>
        <v>601588</v>
      </c>
      <c r="C2651" t="s">
        <v>5645</v>
      </c>
      <c r="D2651" t="s">
        <v>61</v>
      </c>
      <c r="F2651">
        <v>6937977114</v>
      </c>
      <c r="G2651">
        <v>251508726</v>
      </c>
      <c r="H2651">
        <v>120895125</v>
      </c>
      <c r="I2651">
        <v>2532908272</v>
      </c>
      <c r="J2651">
        <v>-1628276493</v>
      </c>
      <c r="K2651">
        <v>2060181798</v>
      </c>
      <c r="L2651">
        <v>-3160931546</v>
      </c>
      <c r="M2651">
        <v>-1255190859</v>
      </c>
      <c r="N2651">
        <v>1134105223</v>
      </c>
      <c r="O2651">
        <v>473534358</v>
      </c>
      <c r="P2651">
        <v>536</v>
      </c>
      <c r="Q2651" t="s">
        <v>5646</v>
      </c>
    </row>
    <row r="2652" spans="1:17" x14ac:dyDescent="0.3">
      <c r="A2652" t="s">
        <v>59</v>
      </c>
      <c r="B2652" t="str">
        <f>"300566"</f>
        <v>300566</v>
      </c>
      <c r="C2652" t="s">
        <v>5647</v>
      </c>
      <c r="D2652" t="s">
        <v>692</v>
      </c>
      <c r="F2652">
        <v>-3115213</v>
      </c>
      <c r="G2652">
        <v>153475381</v>
      </c>
      <c r="H2652">
        <v>120830682</v>
      </c>
      <c r="I2652">
        <v>-33955612</v>
      </c>
      <c r="J2652">
        <v>45456782</v>
      </c>
      <c r="K2652">
        <v>-33278792</v>
      </c>
      <c r="L2652">
        <v>24669960</v>
      </c>
      <c r="M2652">
        <v>-25266526</v>
      </c>
      <c r="N2652">
        <v>27458798</v>
      </c>
      <c r="P2652">
        <v>197</v>
      </c>
      <c r="Q2652" t="s">
        <v>5648</v>
      </c>
    </row>
    <row r="2653" spans="1:17" x14ac:dyDescent="0.3">
      <c r="A2653" t="s">
        <v>17</v>
      </c>
      <c r="B2653" t="str">
        <f>"603038"</f>
        <v>603038</v>
      </c>
      <c r="C2653" t="s">
        <v>5649</v>
      </c>
      <c r="D2653" t="s">
        <v>1041</v>
      </c>
      <c r="F2653">
        <v>-10115612</v>
      </c>
      <c r="G2653">
        <v>38358651</v>
      </c>
      <c r="H2653">
        <v>120414529</v>
      </c>
      <c r="I2653">
        <v>109360565</v>
      </c>
      <c r="J2653">
        <v>65163292</v>
      </c>
      <c r="K2653">
        <v>88067203</v>
      </c>
      <c r="L2653">
        <v>129854296</v>
      </c>
      <c r="M2653">
        <v>49496772</v>
      </c>
      <c r="N2653">
        <v>46520233</v>
      </c>
      <c r="P2653">
        <v>70</v>
      </c>
      <c r="Q2653" t="s">
        <v>5650</v>
      </c>
    </row>
    <row r="2654" spans="1:17" x14ac:dyDescent="0.3">
      <c r="A2654" t="s">
        <v>59</v>
      </c>
      <c r="B2654" t="str">
        <f>"301103"</f>
        <v>301103</v>
      </c>
      <c r="C2654" t="s">
        <v>5651</v>
      </c>
      <c r="F2654">
        <v>213605811</v>
      </c>
      <c r="G2654">
        <v>169743992</v>
      </c>
      <c r="H2654">
        <v>120399918</v>
      </c>
      <c r="I2654">
        <v>81818779</v>
      </c>
      <c r="J2654">
        <v>67946325</v>
      </c>
      <c r="P2654">
        <v>5</v>
      </c>
      <c r="Q2654" t="s">
        <v>5652</v>
      </c>
    </row>
    <row r="2655" spans="1:17" x14ac:dyDescent="0.3">
      <c r="A2655" t="s">
        <v>59</v>
      </c>
      <c r="B2655" t="str">
        <f>"300151"</f>
        <v>300151</v>
      </c>
      <c r="C2655" t="s">
        <v>5653</v>
      </c>
      <c r="D2655" t="s">
        <v>1351</v>
      </c>
      <c r="F2655">
        <v>97106057</v>
      </c>
      <c r="G2655">
        <v>232620881</v>
      </c>
      <c r="H2655">
        <v>120268723</v>
      </c>
      <c r="I2655">
        <v>60132977</v>
      </c>
      <c r="J2655">
        <v>53122361</v>
      </c>
      <c r="K2655">
        <v>44357650</v>
      </c>
      <c r="L2655">
        <v>49246960</v>
      </c>
      <c r="M2655">
        <v>69234804</v>
      </c>
      <c r="N2655">
        <v>91249726</v>
      </c>
      <c r="O2655">
        <v>31204864</v>
      </c>
      <c r="P2655">
        <v>155</v>
      </c>
      <c r="Q2655" t="s">
        <v>5654</v>
      </c>
    </row>
    <row r="2656" spans="1:17" x14ac:dyDescent="0.3">
      <c r="A2656" t="s">
        <v>59</v>
      </c>
      <c r="B2656" t="str">
        <f>"301137"</f>
        <v>301137</v>
      </c>
      <c r="C2656" t="s">
        <v>5655</v>
      </c>
      <c r="F2656">
        <v>-58268900</v>
      </c>
      <c r="G2656">
        <v>150593619</v>
      </c>
      <c r="H2656">
        <v>120035996</v>
      </c>
      <c r="I2656">
        <v>78618880</v>
      </c>
      <c r="J2656">
        <v>45145049</v>
      </c>
      <c r="P2656">
        <v>3</v>
      </c>
      <c r="Q2656" t="s">
        <v>5656</v>
      </c>
    </row>
    <row r="2657" spans="1:17" x14ac:dyDescent="0.3">
      <c r="A2657" t="s">
        <v>17</v>
      </c>
      <c r="B2657" t="str">
        <f>"600641"</f>
        <v>600641</v>
      </c>
      <c r="C2657" t="s">
        <v>5657</v>
      </c>
      <c r="D2657" t="s">
        <v>61</v>
      </c>
      <c r="F2657">
        <v>358924004</v>
      </c>
      <c r="G2657">
        <v>500129004</v>
      </c>
      <c r="H2657">
        <v>120025973</v>
      </c>
      <c r="I2657">
        <v>563128629</v>
      </c>
      <c r="J2657">
        <v>730143768</v>
      </c>
      <c r="K2657">
        <v>2650644102</v>
      </c>
      <c r="L2657">
        <v>1503503944</v>
      </c>
      <c r="M2657">
        <v>639650199</v>
      </c>
      <c r="N2657">
        <v>455940840</v>
      </c>
      <c r="O2657">
        <v>166578567</v>
      </c>
      <c r="P2657">
        <v>404</v>
      </c>
      <c r="Q2657" t="s">
        <v>5658</v>
      </c>
    </row>
    <row r="2658" spans="1:17" x14ac:dyDescent="0.3">
      <c r="A2658" t="s">
        <v>59</v>
      </c>
      <c r="B2658" t="str">
        <f>"000673"</f>
        <v>000673</v>
      </c>
      <c r="C2658" t="s">
        <v>5659</v>
      </c>
      <c r="D2658" t="s">
        <v>1059</v>
      </c>
      <c r="F2658">
        <v>-33718370</v>
      </c>
      <c r="G2658">
        <v>47870594</v>
      </c>
      <c r="H2658">
        <v>120023345</v>
      </c>
      <c r="I2658">
        <v>-148703557</v>
      </c>
      <c r="J2658">
        <v>-465826088</v>
      </c>
      <c r="K2658">
        <v>-94118378</v>
      </c>
      <c r="L2658">
        <v>-489837995</v>
      </c>
      <c r="M2658">
        <v>-9652232</v>
      </c>
      <c r="N2658">
        <v>265988</v>
      </c>
      <c r="O2658">
        <v>4208780</v>
      </c>
      <c r="P2658">
        <v>90</v>
      </c>
      <c r="Q2658" t="s">
        <v>5660</v>
      </c>
    </row>
    <row r="2659" spans="1:17" x14ac:dyDescent="0.3">
      <c r="A2659" t="s">
        <v>59</v>
      </c>
      <c r="B2659" t="str">
        <f>"300851"</f>
        <v>300851</v>
      </c>
      <c r="C2659" t="s">
        <v>5661</v>
      </c>
      <c r="D2659" t="s">
        <v>165</v>
      </c>
      <c r="F2659">
        <v>34446401</v>
      </c>
      <c r="G2659">
        <v>101719886</v>
      </c>
      <c r="H2659">
        <v>119963617</v>
      </c>
      <c r="I2659">
        <v>-15427698</v>
      </c>
      <c r="J2659">
        <v>127738864</v>
      </c>
      <c r="K2659">
        <v>66404463</v>
      </c>
      <c r="P2659">
        <v>45</v>
      </c>
      <c r="Q2659" t="s">
        <v>5662</v>
      </c>
    </row>
    <row r="2660" spans="1:17" x14ac:dyDescent="0.3">
      <c r="A2660" t="s">
        <v>59</v>
      </c>
      <c r="B2660" t="str">
        <f>"000023"</f>
        <v>000023</v>
      </c>
      <c r="C2660" t="s">
        <v>5663</v>
      </c>
      <c r="D2660" t="s">
        <v>1006</v>
      </c>
      <c r="F2660">
        <v>141980387</v>
      </c>
      <c r="G2660">
        <v>88741855</v>
      </c>
      <c r="H2660">
        <v>119963142</v>
      </c>
      <c r="I2660">
        <v>120623195</v>
      </c>
      <c r="J2660">
        <v>248978260</v>
      </c>
      <c r="K2660">
        <v>70991276</v>
      </c>
      <c r="L2660">
        <v>29471808</v>
      </c>
      <c r="M2660">
        <v>-25009985</v>
      </c>
      <c r="N2660">
        <v>29297887</v>
      </c>
      <c r="O2660">
        <v>-80753805</v>
      </c>
      <c r="P2660">
        <v>78</v>
      </c>
      <c r="Q2660" t="s">
        <v>5664</v>
      </c>
    </row>
    <row r="2661" spans="1:17" x14ac:dyDescent="0.3">
      <c r="A2661" t="s">
        <v>59</v>
      </c>
      <c r="B2661" t="str">
        <f>"300855"</f>
        <v>300855</v>
      </c>
      <c r="C2661" t="s">
        <v>5665</v>
      </c>
      <c r="D2661" t="s">
        <v>2129</v>
      </c>
      <c r="F2661">
        <v>178840544</v>
      </c>
      <c r="G2661">
        <v>90214915</v>
      </c>
      <c r="H2661">
        <v>119951332</v>
      </c>
      <c r="I2661">
        <v>85193919</v>
      </c>
      <c r="J2661">
        <v>84825737</v>
      </c>
      <c r="K2661">
        <v>66557753</v>
      </c>
      <c r="P2661">
        <v>139</v>
      </c>
      <c r="Q2661" t="s">
        <v>5666</v>
      </c>
    </row>
    <row r="2662" spans="1:17" x14ac:dyDescent="0.3">
      <c r="A2662" t="s">
        <v>59</v>
      </c>
      <c r="B2662" t="str">
        <f>"002886"</f>
        <v>002886</v>
      </c>
      <c r="C2662" t="s">
        <v>5667</v>
      </c>
      <c r="D2662" t="s">
        <v>792</v>
      </c>
      <c r="F2662">
        <v>-23501838</v>
      </c>
      <c r="G2662">
        <v>130265454</v>
      </c>
      <c r="H2662">
        <v>119667399</v>
      </c>
      <c r="I2662">
        <v>-116018439</v>
      </c>
      <c r="J2662">
        <v>-83378497</v>
      </c>
      <c r="K2662">
        <v>41045775</v>
      </c>
      <c r="L2662">
        <v>19335516</v>
      </c>
      <c r="M2662">
        <v>34711338</v>
      </c>
      <c r="P2662">
        <v>190</v>
      </c>
      <c r="Q2662" t="s">
        <v>5668</v>
      </c>
    </row>
    <row r="2663" spans="1:17" x14ac:dyDescent="0.3">
      <c r="A2663" t="s">
        <v>17</v>
      </c>
      <c r="B2663" t="str">
        <f>"600408"</f>
        <v>600408</v>
      </c>
      <c r="C2663" t="s">
        <v>5669</v>
      </c>
      <c r="D2663" t="s">
        <v>841</v>
      </c>
      <c r="F2663">
        <v>485029466</v>
      </c>
      <c r="G2663">
        <v>704261273</v>
      </c>
      <c r="H2663">
        <v>119595995</v>
      </c>
      <c r="I2663">
        <v>552571902</v>
      </c>
      <c r="J2663">
        <v>1159389877</v>
      </c>
      <c r="K2663">
        <v>-128395366</v>
      </c>
      <c r="L2663">
        <v>-334254739</v>
      </c>
      <c r="M2663">
        <v>-754889759</v>
      </c>
      <c r="N2663">
        <v>376867524</v>
      </c>
      <c r="O2663">
        <v>-220147231</v>
      </c>
      <c r="P2663">
        <v>93</v>
      </c>
      <c r="Q2663" t="s">
        <v>5670</v>
      </c>
    </row>
    <row r="2664" spans="1:17" x14ac:dyDescent="0.3">
      <c r="A2664" t="s">
        <v>59</v>
      </c>
      <c r="B2664" t="str">
        <f>"000985"</f>
        <v>000985</v>
      </c>
      <c r="C2664" t="s">
        <v>5671</v>
      </c>
      <c r="D2664" t="s">
        <v>445</v>
      </c>
      <c r="F2664">
        <v>63163053</v>
      </c>
      <c r="G2664">
        <v>63938917</v>
      </c>
      <c r="H2664">
        <v>119361713</v>
      </c>
      <c r="I2664">
        <v>14962343</v>
      </c>
      <c r="J2664">
        <v>93725353</v>
      </c>
      <c r="K2664">
        <v>87922382</v>
      </c>
      <c r="L2664">
        <v>10795939</v>
      </c>
      <c r="M2664">
        <v>108458151</v>
      </c>
      <c r="N2664">
        <v>54826892</v>
      </c>
      <c r="O2664">
        <v>70581848</v>
      </c>
      <c r="P2664">
        <v>82</v>
      </c>
      <c r="Q2664" t="s">
        <v>5672</v>
      </c>
    </row>
    <row r="2665" spans="1:17" x14ac:dyDescent="0.3">
      <c r="A2665" t="s">
        <v>59</v>
      </c>
      <c r="B2665" t="str">
        <f>"300468"</f>
        <v>300468</v>
      </c>
      <c r="C2665" t="s">
        <v>5673</v>
      </c>
      <c r="D2665" t="s">
        <v>1528</v>
      </c>
      <c r="F2665">
        <v>25826138</v>
      </c>
      <c r="G2665">
        <v>11337302</v>
      </c>
      <c r="H2665">
        <v>119278918</v>
      </c>
      <c r="I2665">
        <v>79294660</v>
      </c>
      <c r="J2665">
        <v>49651113</v>
      </c>
      <c r="K2665">
        <v>57241092</v>
      </c>
      <c r="L2665">
        <v>25681506</v>
      </c>
      <c r="M2665">
        <v>78281641</v>
      </c>
      <c r="N2665">
        <v>71311935</v>
      </c>
      <c r="O2665">
        <v>71558902</v>
      </c>
      <c r="P2665">
        <v>213</v>
      </c>
      <c r="Q2665" t="s">
        <v>5674</v>
      </c>
    </row>
    <row r="2666" spans="1:17" x14ac:dyDescent="0.3">
      <c r="A2666" t="s">
        <v>59</v>
      </c>
      <c r="B2666" t="str">
        <f>"300386"</f>
        <v>300386</v>
      </c>
      <c r="C2666" t="s">
        <v>5675</v>
      </c>
      <c r="D2666" t="s">
        <v>707</v>
      </c>
      <c r="F2666">
        <v>8917580</v>
      </c>
      <c r="G2666">
        <v>50338162</v>
      </c>
      <c r="H2666">
        <v>119156860</v>
      </c>
      <c r="I2666">
        <v>8154433</v>
      </c>
      <c r="J2666">
        <v>102936861</v>
      </c>
      <c r="K2666">
        <v>98830719</v>
      </c>
      <c r="L2666">
        <v>105522767</v>
      </c>
      <c r="M2666">
        <v>275246375</v>
      </c>
      <c r="N2666">
        <v>159528869</v>
      </c>
      <c r="O2666">
        <v>135769906</v>
      </c>
      <c r="P2666">
        <v>188</v>
      </c>
      <c r="Q2666" t="s">
        <v>5676</v>
      </c>
    </row>
    <row r="2667" spans="1:17" x14ac:dyDescent="0.3">
      <c r="A2667" t="s">
        <v>59</v>
      </c>
      <c r="B2667" t="str">
        <f>"002496"</f>
        <v>002496</v>
      </c>
      <c r="C2667" t="s">
        <v>5677</v>
      </c>
      <c r="D2667" t="s">
        <v>1356</v>
      </c>
      <c r="F2667">
        <v>74254869</v>
      </c>
      <c r="G2667">
        <v>249992879</v>
      </c>
      <c r="H2667">
        <v>119001313</v>
      </c>
      <c r="I2667">
        <v>1133437440</v>
      </c>
      <c r="J2667">
        <v>538901702</v>
      </c>
      <c r="K2667">
        <v>-435033373</v>
      </c>
      <c r="L2667">
        <v>-225302398</v>
      </c>
      <c r="M2667">
        <v>148382951</v>
      </c>
      <c r="N2667">
        <v>280890121</v>
      </c>
      <c r="O2667">
        <v>-77937766</v>
      </c>
      <c r="P2667">
        <v>158</v>
      </c>
      <c r="Q2667" t="s">
        <v>5678</v>
      </c>
    </row>
    <row r="2668" spans="1:17" x14ac:dyDescent="0.3">
      <c r="A2668" t="s">
        <v>59</v>
      </c>
      <c r="B2668" t="str">
        <f>"300448"</f>
        <v>300448</v>
      </c>
      <c r="C2668" t="s">
        <v>5679</v>
      </c>
      <c r="D2668" t="s">
        <v>1189</v>
      </c>
      <c r="F2668">
        <v>43753220</v>
      </c>
      <c r="G2668">
        <v>131859053</v>
      </c>
      <c r="H2668">
        <v>118709165</v>
      </c>
      <c r="I2668">
        <v>138509269</v>
      </c>
      <c r="J2668">
        <v>112525666</v>
      </c>
      <c r="K2668">
        <v>55135233</v>
      </c>
      <c r="L2668">
        <v>25678995</v>
      </c>
      <c r="M2668">
        <v>33431680</v>
      </c>
      <c r="N2668">
        <v>38393755</v>
      </c>
      <c r="O2668">
        <v>23109532</v>
      </c>
      <c r="P2668">
        <v>157</v>
      </c>
      <c r="Q2668" t="s">
        <v>5680</v>
      </c>
    </row>
    <row r="2669" spans="1:17" x14ac:dyDescent="0.3">
      <c r="A2669" t="s">
        <v>59</v>
      </c>
      <c r="B2669" t="str">
        <f>"000705"</f>
        <v>000705</v>
      </c>
      <c r="C2669" t="s">
        <v>5681</v>
      </c>
      <c r="D2669" t="s">
        <v>396</v>
      </c>
      <c r="F2669">
        <v>75165175</v>
      </c>
      <c r="G2669">
        <v>154814640</v>
      </c>
      <c r="H2669">
        <v>118359124</v>
      </c>
      <c r="I2669">
        <v>25488980</v>
      </c>
      <c r="J2669">
        <v>51721832</v>
      </c>
      <c r="K2669">
        <v>115993134</v>
      </c>
      <c r="L2669">
        <v>56744631</v>
      </c>
      <c r="M2669">
        <v>81407568</v>
      </c>
      <c r="N2669">
        <v>17390498</v>
      </c>
      <c r="O2669">
        <v>126488863</v>
      </c>
      <c r="P2669">
        <v>107</v>
      </c>
      <c r="Q2669" t="s">
        <v>5682</v>
      </c>
    </row>
    <row r="2670" spans="1:17" x14ac:dyDescent="0.3">
      <c r="A2670" t="s">
        <v>59</v>
      </c>
      <c r="B2670" t="str">
        <f>"300943"</f>
        <v>300943</v>
      </c>
      <c r="C2670" t="s">
        <v>5683</v>
      </c>
      <c r="D2670" t="s">
        <v>637</v>
      </c>
      <c r="F2670">
        <v>49970373</v>
      </c>
      <c r="G2670">
        <v>86372202</v>
      </c>
      <c r="H2670">
        <v>118311934</v>
      </c>
      <c r="I2670">
        <v>26157629</v>
      </c>
      <c r="J2670">
        <v>127938010</v>
      </c>
      <c r="P2670">
        <v>35</v>
      </c>
      <c r="Q2670" t="s">
        <v>5684</v>
      </c>
    </row>
    <row r="2671" spans="1:17" x14ac:dyDescent="0.3">
      <c r="A2671" t="s">
        <v>59</v>
      </c>
      <c r="B2671" t="str">
        <f>"300710"</f>
        <v>300710</v>
      </c>
      <c r="C2671" t="s">
        <v>5685</v>
      </c>
      <c r="D2671" t="s">
        <v>352</v>
      </c>
      <c r="F2671">
        <v>67389311</v>
      </c>
      <c r="G2671">
        <v>-21523832</v>
      </c>
      <c r="H2671">
        <v>118130768</v>
      </c>
      <c r="I2671">
        <v>13895463</v>
      </c>
      <c r="J2671">
        <v>7252295</v>
      </c>
      <c r="K2671">
        <v>-3164620</v>
      </c>
      <c r="L2671">
        <v>-301911</v>
      </c>
      <c r="M2671">
        <v>31003283</v>
      </c>
      <c r="P2671">
        <v>107</v>
      </c>
      <c r="Q2671" t="s">
        <v>5686</v>
      </c>
    </row>
    <row r="2672" spans="1:17" x14ac:dyDescent="0.3">
      <c r="A2672" t="s">
        <v>59</v>
      </c>
      <c r="B2672" t="str">
        <f>"301180"</f>
        <v>301180</v>
      </c>
      <c r="C2672" t="s">
        <v>5687</v>
      </c>
      <c r="D2672" t="s">
        <v>349</v>
      </c>
      <c r="F2672">
        <v>97211053</v>
      </c>
      <c r="G2672">
        <v>36517217</v>
      </c>
      <c r="H2672">
        <v>117669714</v>
      </c>
      <c r="I2672">
        <v>121386448</v>
      </c>
      <c r="J2672">
        <v>88959299</v>
      </c>
      <c r="P2672">
        <v>15</v>
      </c>
      <c r="Q2672" t="s">
        <v>5688</v>
      </c>
    </row>
    <row r="2673" spans="1:17" x14ac:dyDescent="0.3">
      <c r="A2673" t="s">
        <v>17</v>
      </c>
      <c r="B2673" t="str">
        <f>"600242"</f>
        <v>600242</v>
      </c>
      <c r="C2673" t="s">
        <v>5689</v>
      </c>
      <c r="D2673" t="s">
        <v>1889</v>
      </c>
      <c r="F2673">
        <v>45839027</v>
      </c>
      <c r="G2673">
        <v>167005157</v>
      </c>
      <c r="H2673">
        <v>117647599</v>
      </c>
      <c r="I2673">
        <v>44078208</v>
      </c>
      <c r="J2673">
        <v>77494037</v>
      </c>
      <c r="K2673">
        <v>-236974486</v>
      </c>
      <c r="L2673">
        <v>209152091</v>
      </c>
      <c r="M2673">
        <v>59674477</v>
      </c>
      <c r="N2673">
        <v>-48654578</v>
      </c>
      <c r="O2673">
        <v>354400907</v>
      </c>
      <c r="P2673">
        <v>84</v>
      </c>
      <c r="Q2673" t="s">
        <v>5690</v>
      </c>
    </row>
    <row r="2674" spans="1:17" x14ac:dyDescent="0.3">
      <c r="A2674" t="s">
        <v>59</v>
      </c>
      <c r="B2674" t="str">
        <f>"300859"</f>
        <v>300859</v>
      </c>
      <c r="C2674" t="s">
        <v>5691</v>
      </c>
      <c r="D2674" t="s">
        <v>2982</v>
      </c>
      <c r="F2674">
        <v>66403814</v>
      </c>
      <c r="G2674">
        <v>-26556396</v>
      </c>
      <c r="H2674">
        <v>117526453</v>
      </c>
      <c r="I2674">
        <v>98178963</v>
      </c>
      <c r="J2674">
        <v>83040110</v>
      </c>
      <c r="K2674">
        <v>79495071</v>
      </c>
      <c r="L2674">
        <v>53051357</v>
      </c>
      <c r="P2674">
        <v>69</v>
      </c>
      <c r="Q2674" t="s">
        <v>5692</v>
      </c>
    </row>
    <row r="2675" spans="1:17" x14ac:dyDescent="0.3">
      <c r="A2675" t="s">
        <v>17</v>
      </c>
      <c r="B2675" t="str">
        <f>"688005"</f>
        <v>688005</v>
      </c>
      <c r="C2675" t="s">
        <v>5693</v>
      </c>
      <c r="D2675" t="s">
        <v>1444</v>
      </c>
      <c r="F2675">
        <v>-191850584</v>
      </c>
      <c r="G2675">
        <v>707926374</v>
      </c>
      <c r="H2675">
        <v>117463058</v>
      </c>
      <c r="I2675">
        <v>-542821375</v>
      </c>
      <c r="J2675">
        <v>-637666505</v>
      </c>
      <c r="K2675">
        <v>-62879560</v>
      </c>
      <c r="P2675">
        <v>318</v>
      </c>
      <c r="Q2675" t="s">
        <v>5694</v>
      </c>
    </row>
    <row r="2676" spans="1:17" x14ac:dyDescent="0.3">
      <c r="A2676" t="s">
        <v>59</v>
      </c>
      <c r="B2676" t="str">
        <f>"300276"</f>
        <v>300276</v>
      </c>
      <c r="C2676" t="s">
        <v>5695</v>
      </c>
      <c r="D2676" t="s">
        <v>3323</v>
      </c>
      <c r="F2676">
        <v>-30920178</v>
      </c>
      <c r="G2676">
        <v>167737452</v>
      </c>
      <c r="H2676">
        <v>117302536</v>
      </c>
      <c r="I2676">
        <v>185377186</v>
      </c>
      <c r="J2676">
        <v>33923670</v>
      </c>
      <c r="K2676">
        <v>35288735</v>
      </c>
      <c r="L2676">
        <v>-3919722</v>
      </c>
      <c r="M2676">
        <v>35855111</v>
      </c>
      <c r="N2676">
        <v>-49234035</v>
      </c>
      <c r="O2676">
        <v>-41590431</v>
      </c>
      <c r="P2676">
        <v>138</v>
      </c>
      <c r="Q2676" t="s">
        <v>5696</v>
      </c>
    </row>
    <row r="2677" spans="1:17" x14ac:dyDescent="0.3">
      <c r="A2677" t="s">
        <v>17</v>
      </c>
      <c r="B2677" t="str">
        <f>"605028"</f>
        <v>605028</v>
      </c>
      <c r="C2677" t="s">
        <v>5697</v>
      </c>
      <c r="D2677" t="s">
        <v>1238</v>
      </c>
      <c r="F2677">
        <v>212996994</v>
      </c>
      <c r="G2677">
        <v>142515122</v>
      </c>
      <c r="H2677">
        <v>117244099</v>
      </c>
      <c r="I2677">
        <v>75945782</v>
      </c>
      <c r="J2677">
        <v>68850960</v>
      </c>
      <c r="P2677">
        <v>46</v>
      </c>
      <c r="Q2677" t="s">
        <v>5698</v>
      </c>
    </row>
    <row r="2678" spans="1:17" x14ac:dyDescent="0.3">
      <c r="A2678" t="s">
        <v>59</v>
      </c>
      <c r="B2678" t="str">
        <f>"300883"</f>
        <v>300883</v>
      </c>
      <c r="C2678" t="s">
        <v>5699</v>
      </c>
      <c r="D2678" t="s">
        <v>1416</v>
      </c>
      <c r="F2678">
        <v>55656573</v>
      </c>
      <c r="G2678">
        <v>67212345</v>
      </c>
      <c r="H2678">
        <v>117234117</v>
      </c>
      <c r="I2678">
        <v>72822516</v>
      </c>
      <c r="J2678">
        <v>75316443</v>
      </c>
      <c r="K2678">
        <v>1138391</v>
      </c>
      <c r="P2678">
        <v>37</v>
      </c>
      <c r="Q2678" t="s">
        <v>5700</v>
      </c>
    </row>
    <row r="2679" spans="1:17" x14ac:dyDescent="0.3">
      <c r="A2679" t="s">
        <v>59</v>
      </c>
      <c r="B2679" t="str">
        <f>"002980"</f>
        <v>002980</v>
      </c>
      <c r="C2679" t="s">
        <v>5701</v>
      </c>
      <c r="D2679" t="s">
        <v>1828</v>
      </c>
      <c r="F2679">
        <v>32545947</v>
      </c>
      <c r="G2679">
        <v>295572016</v>
      </c>
      <c r="H2679">
        <v>117232453</v>
      </c>
      <c r="I2679">
        <v>99745447</v>
      </c>
      <c r="J2679">
        <v>52465040</v>
      </c>
      <c r="P2679">
        <v>154</v>
      </c>
      <c r="Q2679" t="s">
        <v>5702</v>
      </c>
    </row>
    <row r="2680" spans="1:17" x14ac:dyDescent="0.3">
      <c r="A2680" t="s">
        <v>59</v>
      </c>
      <c r="B2680" t="str">
        <f>"301086"</f>
        <v>301086</v>
      </c>
      <c r="C2680" t="s">
        <v>5703</v>
      </c>
      <c r="D2680" t="s">
        <v>349</v>
      </c>
      <c r="F2680">
        <v>122952064</v>
      </c>
      <c r="G2680">
        <v>115842242</v>
      </c>
      <c r="H2680">
        <v>117119615</v>
      </c>
      <c r="I2680">
        <v>74078344</v>
      </c>
      <c r="J2680">
        <v>-14737975</v>
      </c>
      <c r="P2680">
        <v>28</v>
      </c>
      <c r="Q2680" t="s">
        <v>5704</v>
      </c>
    </row>
    <row r="2681" spans="1:17" x14ac:dyDescent="0.3">
      <c r="A2681" t="s">
        <v>17</v>
      </c>
      <c r="B2681" t="str">
        <f>"603110"</f>
        <v>603110</v>
      </c>
      <c r="C2681" t="s">
        <v>5705</v>
      </c>
      <c r="D2681" t="s">
        <v>4667</v>
      </c>
      <c r="F2681">
        <v>26223389</v>
      </c>
      <c r="G2681">
        <v>77838471</v>
      </c>
      <c r="H2681">
        <v>117018094</v>
      </c>
      <c r="I2681">
        <v>50522594</v>
      </c>
      <c r="J2681">
        <v>64526514</v>
      </c>
      <c r="K2681">
        <v>67546446</v>
      </c>
      <c r="L2681">
        <v>50401284</v>
      </c>
      <c r="M2681">
        <v>62120121</v>
      </c>
      <c r="P2681">
        <v>71</v>
      </c>
      <c r="Q2681" t="s">
        <v>5706</v>
      </c>
    </row>
    <row r="2682" spans="1:17" x14ac:dyDescent="0.3">
      <c r="A2682" t="s">
        <v>17</v>
      </c>
      <c r="B2682" t="str">
        <f>"601890"</f>
        <v>601890</v>
      </c>
      <c r="C2682" t="s">
        <v>5707</v>
      </c>
      <c r="D2682" t="s">
        <v>614</v>
      </c>
      <c r="F2682">
        <v>65788735</v>
      </c>
      <c r="G2682">
        <v>156801912</v>
      </c>
      <c r="H2682">
        <v>116888207</v>
      </c>
      <c r="I2682">
        <v>35298603</v>
      </c>
      <c r="J2682">
        <v>-8026838</v>
      </c>
      <c r="K2682">
        <v>274391166</v>
      </c>
      <c r="L2682">
        <v>148519614</v>
      </c>
      <c r="M2682">
        <v>97680410</v>
      </c>
      <c r="N2682">
        <v>-39509957</v>
      </c>
      <c r="O2682">
        <v>362795855</v>
      </c>
      <c r="P2682">
        <v>144</v>
      </c>
      <c r="Q2682" t="s">
        <v>5708</v>
      </c>
    </row>
    <row r="2683" spans="1:17" x14ac:dyDescent="0.3">
      <c r="A2683" t="s">
        <v>59</v>
      </c>
      <c r="B2683" t="str">
        <f>"001319"</f>
        <v>001319</v>
      </c>
      <c r="C2683" t="s">
        <v>5709</v>
      </c>
      <c r="F2683">
        <v>84818481</v>
      </c>
      <c r="G2683">
        <v>122280732</v>
      </c>
      <c r="H2683">
        <v>116862859</v>
      </c>
      <c r="I2683">
        <v>26041679</v>
      </c>
      <c r="P2683">
        <v>0</v>
      </c>
      <c r="Q2683" t="s">
        <v>5710</v>
      </c>
    </row>
    <row r="2684" spans="1:17" x14ac:dyDescent="0.3">
      <c r="A2684" t="s">
        <v>17</v>
      </c>
      <c r="B2684" t="str">
        <f>"603040"</f>
        <v>603040</v>
      </c>
      <c r="C2684" t="s">
        <v>5711</v>
      </c>
      <c r="D2684" t="s">
        <v>156</v>
      </c>
      <c r="F2684">
        <v>110784128</v>
      </c>
      <c r="G2684">
        <v>172027942</v>
      </c>
      <c r="H2684">
        <v>116706646</v>
      </c>
      <c r="I2684">
        <v>105077592</v>
      </c>
      <c r="J2684">
        <v>104023031</v>
      </c>
      <c r="K2684">
        <v>53183245</v>
      </c>
      <c r="L2684">
        <v>44056071</v>
      </c>
      <c r="M2684">
        <v>47323335</v>
      </c>
      <c r="N2684">
        <v>29379261</v>
      </c>
      <c r="P2684">
        <v>619</v>
      </c>
      <c r="Q2684" t="s">
        <v>5712</v>
      </c>
    </row>
    <row r="2685" spans="1:17" x14ac:dyDescent="0.3">
      <c r="A2685" t="s">
        <v>17</v>
      </c>
      <c r="B2685" t="str">
        <f>"688799"</f>
        <v>688799</v>
      </c>
      <c r="C2685" t="s">
        <v>5713</v>
      </c>
      <c r="D2685" t="s">
        <v>592</v>
      </c>
      <c r="F2685">
        <v>114721981</v>
      </c>
      <c r="G2685">
        <v>104657209</v>
      </c>
      <c r="H2685">
        <v>116662730</v>
      </c>
      <c r="I2685">
        <v>64799140</v>
      </c>
      <c r="J2685">
        <v>56246986</v>
      </c>
      <c r="P2685">
        <v>35</v>
      </c>
      <c r="Q2685" t="s">
        <v>5714</v>
      </c>
    </row>
    <row r="2686" spans="1:17" x14ac:dyDescent="0.3">
      <c r="A2686" t="s">
        <v>59</v>
      </c>
      <c r="B2686" t="str">
        <f>"002269"</f>
        <v>002269</v>
      </c>
      <c r="C2686" t="s">
        <v>5715</v>
      </c>
      <c r="D2686" t="s">
        <v>646</v>
      </c>
      <c r="F2686">
        <v>280662940</v>
      </c>
      <c r="G2686">
        <v>244784102</v>
      </c>
      <c r="H2686">
        <v>116608127</v>
      </c>
      <c r="I2686">
        <v>621919584</v>
      </c>
      <c r="J2686">
        <v>-319378836</v>
      </c>
      <c r="K2686">
        <v>327663511</v>
      </c>
      <c r="L2686">
        <v>-185004386</v>
      </c>
      <c r="M2686">
        <v>1322173963</v>
      </c>
      <c r="N2686">
        <v>984200067</v>
      </c>
      <c r="O2686">
        <v>2856480865</v>
      </c>
      <c r="P2686">
        <v>143</v>
      </c>
      <c r="Q2686" t="s">
        <v>5716</v>
      </c>
    </row>
    <row r="2687" spans="1:17" x14ac:dyDescent="0.3">
      <c r="A2687" t="s">
        <v>59</v>
      </c>
      <c r="B2687" t="str">
        <f>"002793"</f>
        <v>002793</v>
      </c>
      <c r="C2687" t="s">
        <v>5717</v>
      </c>
      <c r="D2687" t="s">
        <v>592</v>
      </c>
      <c r="F2687">
        <v>120632956</v>
      </c>
      <c r="G2687">
        <v>-32397978</v>
      </c>
      <c r="H2687">
        <v>116330261</v>
      </c>
      <c r="I2687">
        <v>114115186</v>
      </c>
      <c r="J2687">
        <v>102274961</v>
      </c>
      <c r="K2687">
        <v>72742005</v>
      </c>
      <c r="L2687">
        <v>58122830</v>
      </c>
      <c r="M2687">
        <v>41830880</v>
      </c>
      <c r="N2687">
        <v>64752393</v>
      </c>
      <c r="P2687">
        <v>213</v>
      </c>
      <c r="Q2687" t="s">
        <v>5718</v>
      </c>
    </row>
    <row r="2688" spans="1:17" x14ac:dyDescent="0.3">
      <c r="A2688" t="s">
        <v>17</v>
      </c>
      <c r="B2688" t="str">
        <f>"603439"</f>
        <v>603439</v>
      </c>
      <c r="C2688" t="s">
        <v>5719</v>
      </c>
      <c r="D2688" t="s">
        <v>455</v>
      </c>
      <c r="F2688">
        <v>155037460</v>
      </c>
      <c r="G2688">
        <v>63247318</v>
      </c>
      <c r="H2688">
        <v>116238182</v>
      </c>
      <c r="I2688">
        <v>75346532</v>
      </c>
      <c r="J2688">
        <v>57465618</v>
      </c>
      <c r="P2688">
        <v>293</v>
      </c>
      <c r="Q2688" t="s">
        <v>5720</v>
      </c>
    </row>
    <row r="2689" spans="1:17" x14ac:dyDescent="0.3">
      <c r="A2689" t="s">
        <v>59</v>
      </c>
      <c r="B2689" t="str">
        <f>"300933"</f>
        <v>300933</v>
      </c>
      <c r="C2689" t="s">
        <v>5721</v>
      </c>
      <c r="D2689" t="s">
        <v>1065</v>
      </c>
      <c r="F2689">
        <v>44384673</v>
      </c>
      <c r="G2689">
        <v>-91480378</v>
      </c>
      <c r="H2689">
        <v>116222215</v>
      </c>
      <c r="I2689">
        <v>28710910</v>
      </c>
      <c r="J2689">
        <v>-220594761</v>
      </c>
      <c r="K2689">
        <v>57024868</v>
      </c>
      <c r="P2689">
        <v>30</v>
      </c>
      <c r="Q2689" t="s">
        <v>5722</v>
      </c>
    </row>
    <row r="2690" spans="1:17" x14ac:dyDescent="0.3">
      <c r="A2690" t="s">
        <v>59</v>
      </c>
      <c r="B2690" t="str">
        <f>"002651"</f>
        <v>002651</v>
      </c>
      <c r="C2690" t="s">
        <v>5723</v>
      </c>
      <c r="D2690" t="s">
        <v>741</v>
      </c>
      <c r="F2690">
        <v>256496307</v>
      </c>
      <c r="G2690">
        <v>148569819</v>
      </c>
      <c r="H2690">
        <v>116140474</v>
      </c>
      <c r="I2690">
        <v>95392092</v>
      </c>
      <c r="J2690">
        <v>93524152</v>
      </c>
      <c r="K2690">
        <v>71847184</v>
      </c>
      <c r="L2690">
        <v>94134215</v>
      </c>
      <c r="M2690">
        <v>288422267</v>
      </c>
      <c r="N2690">
        <v>202263555</v>
      </c>
      <c r="O2690">
        <v>237854842</v>
      </c>
      <c r="P2690">
        <v>121</v>
      </c>
      <c r="Q2690" t="s">
        <v>5724</v>
      </c>
    </row>
    <row r="2691" spans="1:17" x14ac:dyDescent="0.3">
      <c r="A2691" t="s">
        <v>59</v>
      </c>
      <c r="B2691" t="str">
        <f>"300430"</f>
        <v>300430</v>
      </c>
      <c r="C2691" t="s">
        <v>5725</v>
      </c>
      <c r="D2691" t="s">
        <v>1838</v>
      </c>
      <c r="F2691">
        <v>81140603</v>
      </c>
      <c r="G2691">
        <v>125332640</v>
      </c>
      <c r="H2691">
        <v>115487475</v>
      </c>
      <c r="I2691">
        <v>14354706</v>
      </c>
      <c r="J2691">
        <v>-21657741</v>
      </c>
      <c r="K2691">
        <v>-23126425</v>
      </c>
      <c r="L2691">
        <v>-33587482</v>
      </c>
      <c r="M2691">
        <v>24424957</v>
      </c>
      <c r="N2691">
        <v>16059680</v>
      </c>
      <c r="O2691">
        <v>25558184</v>
      </c>
      <c r="P2691">
        <v>95</v>
      </c>
      <c r="Q2691" t="s">
        <v>5726</v>
      </c>
    </row>
    <row r="2692" spans="1:17" x14ac:dyDescent="0.3">
      <c r="A2692" t="s">
        <v>17</v>
      </c>
      <c r="B2692" t="str">
        <f>"603196"</f>
        <v>603196</v>
      </c>
      <c r="C2692" t="s">
        <v>5727</v>
      </c>
      <c r="D2692" t="s">
        <v>646</v>
      </c>
      <c r="F2692">
        <v>98367954</v>
      </c>
      <c r="G2692">
        <v>80359642</v>
      </c>
      <c r="H2692">
        <v>115485979</v>
      </c>
      <c r="I2692">
        <v>-24796855</v>
      </c>
      <c r="J2692">
        <v>23146373</v>
      </c>
      <c r="K2692">
        <v>105749198</v>
      </c>
      <c r="L2692">
        <v>75455414</v>
      </c>
      <c r="M2692">
        <v>121210019</v>
      </c>
      <c r="P2692">
        <v>70</v>
      </c>
      <c r="Q2692" t="s">
        <v>5728</v>
      </c>
    </row>
    <row r="2693" spans="1:17" x14ac:dyDescent="0.3">
      <c r="A2693" t="s">
        <v>17</v>
      </c>
      <c r="B2693" t="str">
        <f>"688566"</f>
        <v>688566</v>
      </c>
      <c r="C2693" t="s">
        <v>5729</v>
      </c>
      <c r="D2693" t="s">
        <v>592</v>
      </c>
      <c r="F2693">
        <v>150556993</v>
      </c>
      <c r="G2693">
        <v>117363184</v>
      </c>
      <c r="H2693">
        <v>115448696</v>
      </c>
      <c r="I2693">
        <v>97966468</v>
      </c>
      <c r="J2693">
        <v>111658260</v>
      </c>
      <c r="K2693">
        <v>39287948</v>
      </c>
      <c r="P2693">
        <v>69</v>
      </c>
      <c r="Q2693" t="s">
        <v>5730</v>
      </c>
    </row>
    <row r="2694" spans="1:17" x14ac:dyDescent="0.3">
      <c r="A2694" t="s">
        <v>17</v>
      </c>
      <c r="B2694" t="str">
        <f>"603220"</f>
        <v>603220</v>
      </c>
      <c r="C2694" t="s">
        <v>5731</v>
      </c>
      <c r="D2694" t="s">
        <v>2057</v>
      </c>
      <c r="F2694">
        <v>59418296</v>
      </c>
      <c r="G2694">
        <v>167774345</v>
      </c>
      <c r="H2694">
        <v>115393385</v>
      </c>
      <c r="I2694">
        <v>179006907</v>
      </c>
      <c r="J2694">
        <v>-18788373</v>
      </c>
      <c r="K2694">
        <v>74750986</v>
      </c>
      <c r="L2694">
        <v>-29908993</v>
      </c>
      <c r="P2694">
        <v>146</v>
      </c>
      <c r="Q2694" t="s">
        <v>5732</v>
      </c>
    </row>
    <row r="2695" spans="1:17" x14ac:dyDescent="0.3">
      <c r="A2695" t="s">
        <v>59</v>
      </c>
      <c r="B2695" t="str">
        <f>"002094"</f>
        <v>002094</v>
      </c>
      <c r="C2695" t="s">
        <v>5733</v>
      </c>
      <c r="D2695" t="s">
        <v>2271</v>
      </c>
      <c r="F2695">
        <v>-411688255</v>
      </c>
      <c r="G2695">
        <v>-176002006</v>
      </c>
      <c r="H2695">
        <v>115309859</v>
      </c>
      <c r="I2695">
        <v>-118805620</v>
      </c>
      <c r="J2695">
        <v>44787160</v>
      </c>
      <c r="K2695">
        <v>-62134956</v>
      </c>
      <c r="L2695">
        <v>190422321</v>
      </c>
      <c r="M2695">
        <v>56614144</v>
      </c>
      <c r="N2695">
        <v>82296316</v>
      </c>
      <c r="O2695">
        <v>132018608</v>
      </c>
      <c r="P2695">
        <v>183</v>
      </c>
      <c r="Q2695" t="s">
        <v>5734</v>
      </c>
    </row>
    <row r="2696" spans="1:17" x14ac:dyDescent="0.3">
      <c r="A2696" t="s">
        <v>59</v>
      </c>
      <c r="B2696" t="str">
        <f>"300206"</f>
        <v>300206</v>
      </c>
      <c r="C2696" t="s">
        <v>5735</v>
      </c>
      <c r="D2696" t="s">
        <v>485</v>
      </c>
      <c r="F2696">
        <v>237283290</v>
      </c>
      <c r="G2696">
        <v>689500602</v>
      </c>
      <c r="H2696">
        <v>115288444</v>
      </c>
      <c r="I2696">
        <v>82336900</v>
      </c>
      <c r="J2696">
        <v>113960816</v>
      </c>
      <c r="K2696">
        <v>-44880460</v>
      </c>
      <c r="L2696">
        <v>28451830</v>
      </c>
      <c r="M2696">
        <v>7986949</v>
      </c>
      <c r="N2696">
        <v>30125803</v>
      </c>
      <c r="O2696">
        <v>80780883</v>
      </c>
      <c r="P2696">
        <v>426</v>
      </c>
      <c r="Q2696" t="s">
        <v>5736</v>
      </c>
    </row>
    <row r="2697" spans="1:17" x14ac:dyDescent="0.3">
      <c r="A2697" t="s">
        <v>59</v>
      </c>
      <c r="B2697" t="str">
        <f>"003009"</f>
        <v>003009</v>
      </c>
      <c r="C2697" t="s">
        <v>5737</v>
      </c>
      <c r="D2697" t="s">
        <v>1056</v>
      </c>
      <c r="F2697">
        <v>118628430</v>
      </c>
      <c r="G2697">
        <v>64845369</v>
      </c>
      <c r="H2697">
        <v>115276648</v>
      </c>
      <c r="I2697">
        <v>74604899</v>
      </c>
      <c r="J2697">
        <v>51418093</v>
      </c>
      <c r="K2697">
        <v>55883936</v>
      </c>
      <c r="P2697">
        <v>105</v>
      </c>
      <c r="Q2697" t="s">
        <v>5738</v>
      </c>
    </row>
    <row r="2698" spans="1:17" x14ac:dyDescent="0.3">
      <c r="A2698" t="s">
        <v>17</v>
      </c>
      <c r="B2698" t="str">
        <f>"600881"</f>
        <v>600881</v>
      </c>
      <c r="C2698" t="s">
        <v>5739</v>
      </c>
      <c r="D2698" t="s">
        <v>672</v>
      </c>
      <c r="F2698">
        <v>-820608813</v>
      </c>
      <c r="G2698">
        <v>3268667757</v>
      </c>
      <c r="H2698">
        <v>115276545</v>
      </c>
      <c r="I2698">
        <v>2568751487</v>
      </c>
      <c r="J2698">
        <v>6141381276</v>
      </c>
      <c r="K2698">
        <v>2589737975</v>
      </c>
      <c r="L2698">
        <v>2576840569</v>
      </c>
      <c r="M2698">
        <v>-5980359762</v>
      </c>
      <c r="N2698">
        <v>-1527611824</v>
      </c>
      <c r="O2698">
        <v>-4243208666</v>
      </c>
      <c r="P2698">
        <v>144</v>
      </c>
      <c r="Q2698" t="s">
        <v>5740</v>
      </c>
    </row>
    <row r="2699" spans="1:17" x14ac:dyDescent="0.3">
      <c r="A2699" t="s">
        <v>17</v>
      </c>
      <c r="B2699" t="str">
        <f>"605277"</f>
        <v>605277</v>
      </c>
      <c r="C2699" t="s">
        <v>5741</v>
      </c>
      <c r="D2699" t="s">
        <v>349</v>
      </c>
      <c r="F2699">
        <v>80863511</v>
      </c>
      <c r="G2699">
        <v>50967648</v>
      </c>
      <c r="H2699">
        <v>115263060</v>
      </c>
      <c r="I2699">
        <v>90768338</v>
      </c>
      <c r="J2699">
        <v>59070927</v>
      </c>
      <c r="K2699">
        <v>66146049</v>
      </c>
      <c r="P2699">
        <v>68</v>
      </c>
      <c r="Q2699" t="s">
        <v>5742</v>
      </c>
    </row>
    <row r="2700" spans="1:17" x14ac:dyDescent="0.3">
      <c r="A2700" t="s">
        <v>59</v>
      </c>
      <c r="B2700" t="str">
        <f>"301011"</f>
        <v>301011</v>
      </c>
      <c r="C2700" t="s">
        <v>5743</v>
      </c>
      <c r="D2700" t="s">
        <v>1351</v>
      </c>
      <c r="F2700">
        <v>44831232</v>
      </c>
      <c r="G2700">
        <v>41263477</v>
      </c>
      <c r="H2700">
        <v>114951297</v>
      </c>
      <c r="I2700">
        <v>43975004</v>
      </c>
      <c r="J2700">
        <v>-5022603</v>
      </c>
      <c r="P2700">
        <v>28</v>
      </c>
      <c r="Q2700" t="s">
        <v>5744</v>
      </c>
    </row>
    <row r="2701" spans="1:17" x14ac:dyDescent="0.3">
      <c r="A2701" t="s">
        <v>59</v>
      </c>
      <c r="B2701" t="str">
        <f>"300525"</f>
        <v>300525</v>
      </c>
      <c r="C2701" t="s">
        <v>5745</v>
      </c>
      <c r="D2701" t="s">
        <v>1528</v>
      </c>
      <c r="F2701">
        <v>310003862</v>
      </c>
      <c r="G2701">
        <v>185250982</v>
      </c>
      <c r="H2701">
        <v>114937171</v>
      </c>
      <c r="I2701">
        <v>91681084</v>
      </c>
      <c r="J2701">
        <v>56187905</v>
      </c>
      <c r="K2701">
        <v>32997093</v>
      </c>
      <c r="L2701">
        <v>48836983</v>
      </c>
      <c r="M2701">
        <v>28893390</v>
      </c>
      <c r="N2701">
        <v>20243287</v>
      </c>
      <c r="P2701">
        <v>241</v>
      </c>
      <c r="Q2701" t="s">
        <v>5746</v>
      </c>
    </row>
    <row r="2702" spans="1:17" x14ac:dyDescent="0.3">
      <c r="A2702" t="s">
        <v>59</v>
      </c>
      <c r="B2702" t="str">
        <f>"002549"</f>
        <v>002549</v>
      </c>
      <c r="C2702" t="s">
        <v>5747</v>
      </c>
      <c r="D2702" t="s">
        <v>1252</v>
      </c>
      <c r="F2702">
        <v>254022744</v>
      </c>
      <c r="G2702">
        <v>160134207</v>
      </c>
      <c r="H2702">
        <v>114885158</v>
      </c>
      <c r="I2702">
        <v>220393443</v>
      </c>
      <c r="J2702">
        <v>151952161</v>
      </c>
      <c r="K2702">
        <v>83154828</v>
      </c>
      <c r="L2702">
        <v>85606397</v>
      </c>
      <c r="M2702">
        <v>76335492</v>
      </c>
      <c r="N2702">
        <v>30815490</v>
      </c>
      <c r="O2702">
        <v>36544461</v>
      </c>
      <c r="P2702">
        <v>172</v>
      </c>
      <c r="Q2702" t="s">
        <v>5748</v>
      </c>
    </row>
    <row r="2703" spans="1:17" x14ac:dyDescent="0.3">
      <c r="A2703" t="s">
        <v>59</v>
      </c>
      <c r="B2703" t="str">
        <f>"002995"</f>
        <v>002995</v>
      </c>
      <c r="C2703" t="s">
        <v>5749</v>
      </c>
      <c r="D2703" t="s">
        <v>1889</v>
      </c>
      <c r="F2703">
        <v>-25874550</v>
      </c>
      <c r="G2703">
        <v>-12194192</v>
      </c>
      <c r="H2703">
        <v>114516922</v>
      </c>
      <c r="I2703">
        <v>13299938</v>
      </c>
      <c r="J2703">
        <v>1267988</v>
      </c>
      <c r="P2703">
        <v>74</v>
      </c>
      <c r="Q2703" t="s">
        <v>5750</v>
      </c>
    </row>
    <row r="2704" spans="1:17" x14ac:dyDescent="0.3">
      <c r="A2704" t="s">
        <v>59</v>
      </c>
      <c r="B2704" t="str">
        <f>"002983"</f>
        <v>002983</v>
      </c>
      <c r="C2704" t="s">
        <v>5751</v>
      </c>
      <c r="D2704" t="s">
        <v>772</v>
      </c>
      <c r="F2704">
        <v>-98843814</v>
      </c>
      <c r="G2704">
        <v>130199424</v>
      </c>
      <c r="H2704">
        <v>114436304</v>
      </c>
      <c r="I2704">
        <v>45672495</v>
      </c>
      <c r="J2704">
        <v>32530343</v>
      </c>
      <c r="P2704">
        <v>109</v>
      </c>
      <c r="Q2704" t="s">
        <v>5752</v>
      </c>
    </row>
    <row r="2705" spans="1:17" x14ac:dyDescent="0.3">
      <c r="A2705" t="s">
        <v>59</v>
      </c>
      <c r="B2705" t="str">
        <f>"300272"</f>
        <v>300272</v>
      </c>
      <c r="C2705" t="s">
        <v>5753</v>
      </c>
      <c r="D2705" t="s">
        <v>1173</v>
      </c>
      <c r="F2705">
        <v>132528607</v>
      </c>
      <c r="G2705">
        <v>140429986</v>
      </c>
      <c r="H2705">
        <v>114397474</v>
      </c>
      <c r="I2705">
        <v>96051452</v>
      </c>
      <c r="J2705">
        <v>40016376</v>
      </c>
      <c r="K2705">
        <v>49975309</v>
      </c>
      <c r="L2705">
        <v>80417959</v>
      </c>
      <c r="M2705">
        <v>80250326</v>
      </c>
      <c r="N2705">
        <v>47844413</v>
      </c>
      <c r="O2705">
        <v>39690319</v>
      </c>
      <c r="P2705">
        <v>131</v>
      </c>
      <c r="Q2705" t="s">
        <v>5754</v>
      </c>
    </row>
    <row r="2706" spans="1:17" x14ac:dyDescent="0.3">
      <c r="A2706" t="s">
        <v>17</v>
      </c>
      <c r="B2706" t="str">
        <f>"600213"</f>
        <v>600213</v>
      </c>
      <c r="C2706" t="s">
        <v>5755</v>
      </c>
      <c r="D2706" t="s">
        <v>427</v>
      </c>
      <c r="F2706">
        <v>625234270</v>
      </c>
      <c r="G2706">
        <v>414019355</v>
      </c>
      <c r="H2706">
        <v>114303225</v>
      </c>
      <c r="I2706">
        <v>-357055714</v>
      </c>
      <c r="J2706">
        <v>-240140597</v>
      </c>
      <c r="K2706">
        <v>-667309516</v>
      </c>
      <c r="L2706">
        <v>-186823291</v>
      </c>
      <c r="M2706">
        <v>-303427096</v>
      </c>
      <c r="N2706">
        <v>-35247310</v>
      </c>
      <c r="O2706">
        <v>-91998613</v>
      </c>
      <c r="P2706">
        <v>109</v>
      </c>
      <c r="Q2706" t="s">
        <v>5756</v>
      </c>
    </row>
    <row r="2707" spans="1:17" x14ac:dyDescent="0.3">
      <c r="A2707" t="s">
        <v>17</v>
      </c>
      <c r="B2707" t="str">
        <f>"688095"</f>
        <v>688095</v>
      </c>
      <c r="C2707" t="s">
        <v>5757</v>
      </c>
      <c r="D2707" t="s">
        <v>789</v>
      </c>
      <c r="F2707">
        <v>51578261</v>
      </c>
      <c r="G2707">
        <v>138937974</v>
      </c>
      <c r="H2707">
        <v>114148371</v>
      </c>
      <c r="I2707">
        <v>70287688</v>
      </c>
      <c r="J2707">
        <v>35369218</v>
      </c>
      <c r="K2707">
        <v>2277481</v>
      </c>
      <c r="P2707">
        <v>141</v>
      </c>
      <c r="Q2707" t="s">
        <v>5758</v>
      </c>
    </row>
    <row r="2708" spans="1:17" x14ac:dyDescent="0.3">
      <c r="A2708" t="s">
        <v>59</v>
      </c>
      <c r="B2708" t="str">
        <f>"002438"</f>
        <v>002438</v>
      </c>
      <c r="C2708" t="s">
        <v>5759</v>
      </c>
      <c r="D2708" t="s">
        <v>637</v>
      </c>
      <c r="F2708">
        <v>198593744</v>
      </c>
      <c r="G2708">
        <v>150397003</v>
      </c>
      <c r="H2708">
        <v>114083241</v>
      </c>
      <c r="I2708">
        <v>144190969</v>
      </c>
      <c r="J2708">
        <v>152279706</v>
      </c>
      <c r="K2708">
        <v>11098906</v>
      </c>
      <c r="L2708">
        <v>-38716405</v>
      </c>
      <c r="M2708">
        <v>44281088</v>
      </c>
      <c r="N2708">
        <v>29897900</v>
      </c>
      <c r="O2708">
        <v>-42011185</v>
      </c>
      <c r="P2708">
        <v>185</v>
      </c>
      <c r="Q2708" t="s">
        <v>5760</v>
      </c>
    </row>
    <row r="2709" spans="1:17" x14ac:dyDescent="0.3">
      <c r="A2709" t="s">
        <v>17</v>
      </c>
      <c r="B2709" t="str">
        <f>"603677"</f>
        <v>603677</v>
      </c>
      <c r="C2709" t="s">
        <v>5761</v>
      </c>
      <c r="D2709" t="s">
        <v>1087</v>
      </c>
      <c r="F2709">
        <v>74851867</v>
      </c>
      <c r="G2709">
        <v>309325081</v>
      </c>
      <c r="H2709">
        <v>113942085</v>
      </c>
      <c r="I2709">
        <v>77194030</v>
      </c>
      <c r="J2709">
        <v>-64273075</v>
      </c>
      <c r="K2709">
        <v>113373718</v>
      </c>
      <c r="L2709">
        <v>162264881</v>
      </c>
      <c r="M2709">
        <v>110144578</v>
      </c>
      <c r="N2709">
        <v>36428352</v>
      </c>
      <c r="P2709">
        <v>124</v>
      </c>
      <c r="Q2709" t="s">
        <v>5762</v>
      </c>
    </row>
    <row r="2710" spans="1:17" x14ac:dyDescent="0.3">
      <c r="A2710" t="s">
        <v>59</v>
      </c>
      <c r="B2710" t="str">
        <f>"300926"</f>
        <v>300926</v>
      </c>
      <c r="C2710" t="s">
        <v>5763</v>
      </c>
      <c r="D2710" t="s">
        <v>1226</v>
      </c>
      <c r="F2710">
        <v>14182610</v>
      </c>
      <c r="G2710">
        <v>39526246</v>
      </c>
      <c r="H2710">
        <v>113869989</v>
      </c>
      <c r="I2710">
        <v>78810194</v>
      </c>
      <c r="J2710">
        <v>-7673336</v>
      </c>
      <c r="K2710">
        <v>66808568</v>
      </c>
      <c r="P2710">
        <v>45</v>
      </c>
      <c r="Q2710" t="s">
        <v>5764</v>
      </c>
    </row>
    <row r="2711" spans="1:17" x14ac:dyDescent="0.3">
      <c r="A2711" t="s">
        <v>17</v>
      </c>
      <c r="B2711" t="str">
        <f>"605056"</f>
        <v>605056</v>
      </c>
      <c r="C2711" t="s">
        <v>5765</v>
      </c>
      <c r="D2711" t="s">
        <v>2382</v>
      </c>
      <c r="F2711">
        <v>144045015</v>
      </c>
      <c r="G2711">
        <v>360262413</v>
      </c>
      <c r="H2711">
        <v>113845701</v>
      </c>
      <c r="I2711">
        <v>186501686</v>
      </c>
      <c r="J2711">
        <v>99956605</v>
      </c>
      <c r="P2711">
        <v>21</v>
      </c>
      <c r="Q2711" t="s">
        <v>5766</v>
      </c>
    </row>
    <row r="2712" spans="1:17" x14ac:dyDescent="0.3">
      <c r="A2712" t="s">
        <v>59</v>
      </c>
      <c r="B2712" t="str">
        <f>"001267"</f>
        <v>001267</v>
      </c>
      <c r="C2712" t="s">
        <v>5767</v>
      </c>
      <c r="D2712" t="s">
        <v>1489</v>
      </c>
      <c r="F2712">
        <v>-146907460</v>
      </c>
      <c r="G2712">
        <v>52366425</v>
      </c>
      <c r="H2712">
        <v>113801089</v>
      </c>
      <c r="I2712">
        <v>-21792704</v>
      </c>
      <c r="P2712">
        <v>10</v>
      </c>
      <c r="Q2712" t="s">
        <v>5768</v>
      </c>
    </row>
    <row r="2713" spans="1:17" x14ac:dyDescent="0.3">
      <c r="A2713" t="s">
        <v>17</v>
      </c>
      <c r="B2713" t="str">
        <f>"688116"</f>
        <v>688116</v>
      </c>
      <c r="C2713" t="s">
        <v>5769</v>
      </c>
      <c r="D2713" t="s">
        <v>1444</v>
      </c>
      <c r="F2713">
        <v>29057554</v>
      </c>
      <c r="G2713">
        <v>64807085</v>
      </c>
      <c r="H2713">
        <v>113683721</v>
      </c>
      <c r="I2713">
        <v>-56890931</v>
      </c>
      <c r="J2713">
        <v>-22126348</v>
      </c>
      <c r="K2713">
        <v>-5374153</v>
      </c>
      <c r="P2713">
        <v>197</v>
      </c>
      <c r="Q2713" t="s">
        <v>5770</v>
      </c>
    </row>
    <row r="2714" spans="1:17" x14ac:dyDescent="0.3">
      <c r="A2714" t="s">
        <v>59</v>
      </c>
      <c r="B2714" t="str">
        <f>"300385"</f>
        <v>300385</v>
      </c>
      <c r="C2714" t="s">
        <v>5771</v>
      </c>
      <c r="D2714" t="s">
        <v>634</v>
      </c>
      <c r="F2714">
        <v>60271494</v>
      </c>
      <c r="G2714">
        <v>106742865</v>
      </c>
      <c r="H2714">
        <v>113419342</v>
      </c>
      <c r="I2714">
        <v>117645026</v>
      </c>
      <c r="J2714">
        <v>40158144</v>
      </c>
      <c r="K2714">
        <v>-18284288</v>
      </c>
      <c r="L2714">
        <v>36227075</v>
      </c>
      <c r="M2714">
        <v>-38506077</v>
      </c>
      <c r="N2714">
        <v>53882086</v>
      </c>
      <c r="O2714">
        <v>8462834</v>
      </c>
      <c r="P2714">
        <v>92</v>
      </c>
      <c r="Q2714" t="s">
        <v>5772</v>
      </c>
    </row>
    <row r="2715" spans="1:17" x14ac:dyDescent="0.3">
      <c r="A2715" t="s">
        <v>59</v>
      </c>
      <c r="B2715" t="str">
        <f>"300777"</f>
        <v>300777</v>
      </c>
      <c r="C2715" t="s">
        <v>5773</v>
      </c>
      <c r="D2715" t="s">
        <v>448</v>
      </c>
      <c r="F2715">
        <v>262683062</v>
      </c>
      <c r="G2715">
        <v>297794790</v>
      </c>
      <c r="H2715">
        <v>113401670</v>
      </c>
      <c r="I2715">
        <v>181054002</v>
      </c>
      <c r="J2715">
        <v>139076276</v>
      </c>
      <c r="K2715">
        <v>26656702</v>
      </c>
      <c r="P2715">
        <v>371</v>
      </c>
      <c r="Q2715" t="s">
        <v>5774</v>
      </c>
    </row>
    <row r="2716" spans="1:17" x14ac:dyDescent="0.3">
      <c r="A2716" t="s">
        <v>59</v>
      </c>
      <c r="B2716" t="str">
        <f>"300343"</f>
        <v>300343</v>
      </c>
      <c r="C2716" t="s">
        <v>5775</v>
      </c>
      <c r="D2716" t="s">
        <v>1889</v>
      </c>
      <c r="F2716">
        <v>366937878</v>
      </c>
      <c r="G2716">
        <v>71043020</v>
      </c>
      <c r="H2716">
        <v>113309083</v>
      </c>
      <c r="I2716">
        <v>-44807261</v>
      </c>
      <c r="J2716">
        <v>462752611</v>
      </c>
      <c r="K2716">
        <v>-49028924</v>
      </c>
      <c r="L2716">
        <v>49775971</v>
      </c>
      <c r="M2716">
        <v>-185708087</v>
      </c>
      <c r="N2716">
        <v>74321853</v>
      </c>
      <c r="O2716">
        <v>-58650254</v>
      </c>
      <c r="P2716">
        <v>155</v>
      </c>
      <c r="Q2716" t="s">
        <v>5776</v>
      </c>
    </row>
    <row r="2717" spans="1:17" x14ac:dyDescent="0.3">
      <c r="A2717" t="s">
        <v>59</v>
      </c>
      <c r="B2717" t="str">
        <f>"003017"</f>
        <v>003017</v>
      </c>
      <c r="C2717" t="s">
        <v>5777</v>
      </c>
      <c r="D2717" t="s">
        <v>1241</v>
      </c>
      <c r="F2717">
        <v>-35156143</v>
      </c>
      <c r="G2717">
        <v>112488116</v>
      </c>
      <c r="H2717">
        <v>113092958</v>
      </c>
      <c r="I2717">
        <v>38774403</v>
      </c>
      <c r="J2717">
        <v>48638316</v>
      </c>
      <c r="K2717">
        <v>84631585</v>
      </c>
      <c r="P2717">
        <v>39</v>
      </c>
      <c r="Q2717" t="s">
        <v>5778</v>
      </c>
    </row>
    <row r="2718" spans="1:17" x14ac:dyDescent="0.3">
      <c r="A2718" t="s">
        <v>59</v>
      </c>
      <c r="B2718" t="str">
        <f>"000812"</f>
        <v>000812</v>
      </c>
      <c r="C2718" t="s">
        <v>5779</v>
      </c>
      <c r="D2718" t="s">
        <v>1416</v>
      </c>
      <c r="F2718">
        <v>263005118</v>
      </c>
      <c r="G2718">
        <v>155287888</v>
      </c>
      <c r="H2718">
        <v>113059514</v>
      </c>
      <c r="I2718">
        <v>136231555</v>
      </c>
      <c r="J2718">
        <v>194501442</v>
      </c>
      <c r="K2718">
        <v>169139076</v>
      </c>
      <c r="L2718">
        <v>154479178</v>
      </c>
      <c r="M2718">
        <v>103745035</v>
      </c>
      <c r="N2718">
        <v>90877806</v>
      </c>
      <c r="O2718">
        <v>13536926</v>
      </c>
      <c r="P2718">
        <v>111</v>
      </c>
      <c r="Q2718" t="s">
        <v>5780</v>
      </c>
    </row>
    <row r="2719" spans="1:17" x14ac:dyDescent="0.3">
      <c r="A2719" t="s">
        <v>59</v>
      </c>
      <c r="B2719" t="str">
        <f>"300920"</f>
        <v>300920</v>
      </c>
      <c r="C2719" t="s">
        <v>5781</v>
      </c>
      <c r="D2719" t="s">
        <v>2104</v>
      </c>
      <c r="F2719">
        <v>58548253</v>
      </c>
      <c r="G2719">
        <v>84335421</v>
      </c>
      <c r="H2719">
        <v>113050569</v>
      </c>
      <c r="I2719">
        <v>36258457</v>
      </c>
      <c r="J2719">
        <v>28013406</v>
      </c>
      <c r="K2719">
        <v>457100</v>
      </c>
      <c r="P2719">
        <v>46</v>
      </c>
      <c r="Q2719" t="s">
        <v>5782</v>
      </c>
    </row>
    <row r="2720" spans="1:17" x14ac:dyDescent="0.3">
      <c r="A2720" t="s">
        <v>59</v>
      </c>
      <c r="B2720" t="str">
        <f>"301268"</f>
        <v>301268</v>
      </c>
      <c r="C2720" t="s">
        <v>5783</v>
      </c>
      <c r="F2720">
        <v>113198890</v>
      </c>
      <c r="G2720">
        <v>296113189</v>
      </c>
      <c r="H2720">
        <v>113028723</v>
      </c>
      <c r="I2720">
        <v>60965380</v>
      </c>
      <c r="J2720">
        <v>82211544</v>
      </c>
      <c r="P2720">
        <v>2</v>
      </c>
      <c r="Q2720" t="s">
        <v>5784</v>
      </c>
    </row>
    <row r="2721" spans="1:17" x14ac:dyDescent="0.3">
      <c r="A2721" t="s">
        <v>59</v>
      </c>
      <c r="B2721" t="str">
        <f>"301028"</f>
        <v>301028</v>
      </c>
      <c r="C2721" t="s">
        <v>5785</v>
      </c>
      <c r="D2721" t="s">
        <v>1838</v>
      </c>
      <c r="F2721">
        <v>178354476</v>
      </c>
      <c r="G2721">
        <v>204817619</v>
      </c>
      <c r="H2721">
        <v>112976163</v>
      </c>
      <c r="I2721">
        <v>87633150</v>
      </c>
      <c r="J2721">
        <v>157772979</v>
      </c>
      <c r="P2721">
        <v>53</v>
      </c>
      <c r="Q2721" t="s">
        <v>5786</v>
      </c>
    </row>
    <row r="2722" spans="1:17" x14ac:dyDescent="0.3">
      <c r="A2722" t="s">
        <v>17</v>
      </c>
      <c r="B2722" t="str">
        <f>"688233"</f>
        <v>688233</v>
      </c>
      <c r="C2722" t="s">
        <v>5787</v>
      </c>
      <c r="D2722" t="s">
        <v>874</v>
      </c>
      <c r="F2722">
        <v>189125286</v>
      </c>
      <c r="G2722">
        <v>144923040</v>
      </c>
      <c r="H2722">
        <v>112865178</v>
      </c>
      <c r="I2722">
        <v>114234371</v>
      </c>
      <c r="J2722">
        <v>31992588</v>
      </c>
      <c r="K2722">
        <v>4216118</v>
      </c>
      <c r="P2722">
        <v>170</v>
      </c>
      <c r="Q2722" t="s">
        <v>5788</v>
      </c>
    </row>
    <row r="2723" spans="1:17" x14ac:dyDescent="0.3">
      <c r="A2723" t="s">
        <v>59</v>
      </c>
      <c r="B2723" t="str">
        <f>"001317"</f>
        <v>001317</v>
      </c>
      <c r="C2723" t="s">
        <v>5789</v>
      </c>
      <c r="D2723" t="s">
        <v>206</v>
      </c>
      <c r="F2723">
        <v>-24230734</v>
      </c>
      <c r="G2723">
        <v>66878999</v>
      </c>
      <c r="H2723">
        <v>112835398</v>
      </c>
      <c r="I2723">
        <v>43291909</v>
      </c>
      <c r="J2723">
        <v>47542065</v>
      </c>
      <c r="P2723">
        <v>23</v>
      </c>
      <c r="Q2723" t="s">
        <v>5790</v>
      </c>
    </row>
    <row r="2724" spans="1:17" x14ac:dyDescent="0.3">
      <c r="A2724" t="s">
        <v>59</v>
      </c>
      <c r="B2724" t="str">
        <f>"300639"</f>
        <v>300639</v>
      </c>
      <c r="C2724" t="s">
        <v>5791</v>
      </c>
      <c r="D2724" t="s">
        <v>1953</v>
      </c>
      <c r="F2724">
        <v>631341753</v>
      </c>
      <c r="G2724">
        <v>311300241</v>
      </c>
      <c r="H2724">
        <v>112831785</v>
      </c>
      <c r="I2724">
        <v>80390223</v>
      </c>
      <c r="J2724">
        <v>79165086</v>
      </c>
      <c r="K2724">
        <v>63630748</v>
      </c>
      <c r="L2724">
        <v>48469075</v>
      </c>
      <c r="M2724">
        <v>34651896</v>
      </c>
      <c r="P2724">
        <v>535</v>
      </c>
      <c r="Q2724" t="s">
        <v>5792</v>
      </c>
    </row>
    <row r="2725" spans="1:17" x14ac:dyDescent="0.3">
      <c r="A2725" t="s">
        <v>59</v>
      </c>
      <c r="B2725" t="str">
        <f>"002747"</f>
        <v>002747</v>
      </c>
      <c r="C2725" t="s">
        <v>5793</v>
      </c>
      <c r="D2725" t="s">
        <v>3323</v>
      </c>
      <c r="F2725">
        <v>311524918</v>
      </c>
      <c r="G2725">
        <v>320720852</v>
      </c>
      <c r="H2725">
        <v>112800687</v>
      </c>
      <c r="I2725">
        <v>14420556</v>
      </c>
      <c r="J2725">
        <v>-22312628</v>
      </c>
      <c r="K2725">
        <v>-65288713</v>
      </c>
      <c r="L2725">
        <v>8363408</v>
      </c>
      <c r="M2725">
        <v>-1721054</v>
      </c>
      <c r="N2725">
        <v>25481774</v>
      </c>
      <c r="O2725">
        <v>30863597</v>
      </c>
      <c r="P2725">
        <v>474</v>
      </c>
      <c r="Q2725" t="s">
        <v>5794</v>
      </c>
    </row>
    <row r="2726" spans="1:17" x14ac:dyDescent="0.3">
      <c r="A2726" t="s">
        <v>59</v>
      </c>
      <c r="B2726" t="str">
        <f>"300878"</f>
        <v>300878</v>
      </c>
      <c r="C2726" t="s">
        <v>5795</v>
      </c>
      <c r="D2726" t="s">
        <v>455</v>
      </c>
      <c r="F2726">
        <v>-67744474</v>
      </c>
      <c r="G2726">
        <v>42812190</v>
      </c>
      <c r="H2726">
        <v>112762180</v>
      </c>
      <c r="I2726">
        <v>105572865</v>
      </c>
      <c r="J2726">
        <v>29003914</v>
      </c>
      <c r="P2726">
        <v>132</v>
      </c>
      <c r="Q2726" t="s">
        <v>5796</v>
      </c>
    </row>
    <row r="2727" spans="1:17" x14ac:dyDescent="0.3">
      <c r="A2727" t="s">
        <v>59</v>
      </c>
      <c r="B2727" t="str">
        <f>"301063"</f>
        <v>301063</v>
      </c>
      <c r="C2727" t="s">
        <v>5797</v>
      </c>
      <c r="D2727" t="s">
        <v>637</v>
      </c>
      <c r="F2727">
        <v>-67771638</v>
      </c>
      <c r="G2727">
        <v>-161010291</v>
      </c>
      <c r="H2727">
        <v>112565206</v>
      </c>
      <c r="I2727">
        <v>21408362</v>
      </c>
      <c r="J2727">
        <v>3107473</v>
      </c>
      <c r="P2727">
        <v>17</v>
      </c>
      <c r="Q2727" t="s">
        <v>5798</v>
      </c>
    </row>
    <row r="2728" spans="1:17" x14ac:dyDescent="0.3">
      <c r="A2728" t="s">
        <v>59</v>
      </c>
      <c r="B2728" t="str">
        <f>"300437"</f>
        <v>300437</v>
      </c>
      <c r="C2728" t="s">
        <v>5799</v>
      </c>
      <c r="D2728" t="s">
        <v>669</v>
      </c>
      <c r="F2728">
        <v>326537271</v>
      </c>
      <c r="G2728">
        <v>197529211</v>
      </c>
      <c r="H2728">
        <v>111962337</v>
      </c>
      <c r="I2728">
        <v>84705031</v>
      </c>
      <c r="J2728">
        <v>26391415</v>
      </c>
      <c r="K2728">
        <v>27386743</v>
      </c>
      <c r="L2728">
        <v>28317952</v>
      </c>
      <c r="M2728">
        <v>42486298</v>
      </c>
      <c r="N2728">
        <v>27335814</v>
      </c>
      <c r="O2728">
        <v>38444199</v>
      </c>
      <c r="P2728">
        <v>143</v>
      </c>
      <c r="Q2728" t="s">
        <v>5800</v>
      </c>
    </row>
    <row r="2729" spans="1:17" x14ac:dyDescent="0.3">
      <c r="A2729" t="s">
        <v>59</v>
      </c>
      <c r="B2729" t="str">
        <f>"300693"</f>
        <v>300693</v>
      </c>
      <c r="C2729" t="s">
        <v>5801</v>
      </c>
      <c r="D2729" t="s">
        <v>1746</v>
      </c>
      <c r="F2729">
        <v>106429757</v>
      </c>
      <c r="G2729">
        <v>112260702</v>
      </c>
      <c r="H2729">
        <v>111887425</v>
      </c>
      <c r="I2729">
        <v>37461744</v>
      </c>
      <c r="J2729">
        <v>31527853</v>
      </c>
      <c r="K2729">
        <v>13279152</v>
      </c>
      <c r="L2729">
        <v>-20443762</v>
      </c>
      <c r="M2729">
        <v>40630858</v>
      </c>
      <c r="P2729">
        <v>214</v>
      </c>
      <c r="Q2729" t="s">
        <v>5802</v>
      </c>
    </row>
    <row r="2730" spans="1:17" x14ac:dyDescent="0.3">
      <c r="A2730" t="s">
        <v>59</v>
      </c>
      <c r="B2730" t="str">
        <f>"301061"</f>
        <v>301061</v>
      </c>
      <c r="C2730" t="s">
        <v>5803</v>
      </c>
      <c r="D2730" t="s">
        <v>972</v>
      </c>
      <c r="F2730">
        <v>255119729</v>
      </c>
      <c r="G2730">
        <v>237405369</v>
      </c>
      <c r="H2730">
        <v>111826738</v>
      </c>
      <c r="I2730">
        <v>123139735</v>
      </c>
      <c r="J2730">
        <v>170233488</v>
      </c>
      <c r="P2730">
        <v>28</v>
      </c>
      <c r="Q2730" t="s">
        <v>5804</v>
      </c>
    </row>
    <row r="2731" spans="1:17" x14ac:dyDescent="0.3">
      <c r="A2731" t="s">
        <v>59</v>
      </c>
      <c r="B2731" t="str">
        <f>"001209"</f>
        <v>001209</v>
      </c>
      <c r="C2731" t="s">
        <v>5805</v>
      </c>
      <c r="D2731" t="s">
        <v>646</v>
      </c>
      <c r="F2731">
        <v>14296786</v>
      </c>
      <c r="G2731">
        <v>198917183</v>
      </c>
      <c r="H2731">
        <v>111745625</v>
      </c>
      <c r="I2731">
        <v>-43371738</v>
      </c>
      <c r="J2731">
        <v>54817456</v>
      </c>
      <c r="P2731">
        <v>22</v>
      </c>
      <c r="Q2731" t="s">
        <v>5806</v>
      </c>
    </row>
    <row r="2732" spans="1:17" x14ac:dyDescent="0.3">
      <c r="A2732" t="s">
        <v>17</v>
      </c>
      <c r="B2732" t="str">
        <f>"600678"</f>
        <v>600678</v>
      </c>
      <c r="C2732" t="s">
        <v>5807</v>
      </c>
      <c r="D2732" t="s">
        <v>78</v>
      </c>
      <c r="F2732">
        <v>91374075</v>
      </c>
      <c r="G2732">
        <v>104056447</v>
      </c>
      <c r="H2732">
        <v>111539926</v>
      </c>
      <c r="I2732">
        <v>23042424</v>
      </c>
      <c r="J2732">
        <v>7653719</v>
      </c>
      <c r="K2732">
        <v>5785614</v>
      </c>
      <c r="L2732">
        <v>-25592882</v>
      </c>
      <c r="M2732">
        <v>65320</v>
      </c>
      <c r="N2732">
        <v>-24098476</v>
      </c>
      <c r="O2732">
        <v>-207529960</v>
      </c>
      <c r="P2732">
        <v>194</v>
      </c>
      <c r="Q2732" t="s">
        <v>5808</v>
      </c>
    </row>
    <row r="2733" spans="1:17" x14ac:dyDescent="0.3">
      <c r="A2733" t="s">
        <v>17</v>
      </c>
      <c r="B2733" t="str">
        <f>"600080"</f>
        <v>600080</v>
      </c>
      <c r="C2733" t="s">
        <v>5809</v>
      </c>
      <c r="D2733" t="s">
        <v>455</v>
      </c>
      <c r="F2733">
        <v>30594674</v>
      </c>
      <c r="G2733">
        <v>46558370</v>
      </c>
      <c r="H2733">
        <v>111445504</v>
      </c>
      <c r="I2733">
        <v>29179014</v>
      </c>
      <c r="J2733">
        <v>42865569</v>
      </c>
      <c r="K2733">
        <v>41676487</v>
      </c>
      <c r="L2733">
        <v>30330523</v>
      </c>
      <c r="M2733">
        <v>34333481</v>
      </c>
      <c r="N2733">
        <v>43959627</v>
      </c>
      <c r="O2733">
        <v>18246535</v>
      </c>
      <c r="P2733">
        <v>97</v>
      </c>
      <c r="Q2733" t="s">
        <v>5810</v>
      </c>
    </row>
    <row r="2734" spans="1:17" x14ac:dyDescent="0.3">
      <c r="A2734" t="s">
        <v>59</v>
      </c>
      <c r="B2734" t="str">
        <f>"002378"</f>
        <v>002378</v>
      </c>
      <c r="C2734" t="s">
        <v>5811</v>
      </c>
      <c r="D2734" t="s">
        <v>1078</v>
      </c>
      <c r="F2734">
        <v>178379276</v>
      </c>
      <c r="G2734">
        <v>692883409</v>
      </c>
      <c r="H2734">
        <v>111287511</v>
      </c>
      <c r="I2734">
        <v>213131754</v>
      </c>
      <c r="J2734">
        <v>-189689699</v>
      </c>
      <c r="K2734">
        <v>109557152</v>
      </c>
      <c r="L2734">
        <v>180775715</v>
      </c>
      <c r="M2734">
        <v>92095425</v>
      </c>
      <c r="N2734">
        <v>136435526</v>
      </c>
      <c r="O2734">
        <v>184671493</v>
      </c>
      <c r="P2734">
        <v>128</v>
      </c>
      <c r="Q2734" t="s">
        <v>5812</v>
      </c>
    </row>
    <row r="2735" spans="1:17" x14ac:dyDescent="0.3">
      <c r="A2735" t="s">
        <v>17</v>
      </c>
      <c r="B2735" t="str">
        <f>"605338"</f>
        <v>605338</v>
      </c>
      <c r="C2735" t="s">
        <v>5813</v>
      </c>
      <c r="D2735" t="s">
        <v>2504</v>
      </c>
      <c r="F2735">
        <v>159048276</v>
      </c>
      <c r="G2735">
        <v>249897169</v>
      </c>
      <c r="H2735">
        <v>111252457</v>
      </c>
      <c r="I2735">
        <v>136263895</v>
      </c>
      <c r="J2735">
        <v>140101914</v>
      </c>
      <c r="K2735">
        <v>139808399</v>
      </c>
      <c r="P2735">
        <v>198</v>
      </c>
      <c r="Q2735" t="s">
        <v>5814</v>
      </c>
    </row>
    <row r="2736" spans="1:17" x14ac:dyDescent="0.3">
      <c r="A2736" t="s">
        <v>59</v>
      </c>
      <c r="B2736" t="str">
        <f>"002802"</f>
        <v>002802</v>
      </c>
      <c r="C2736" t="s">
        <v>5815</v>
      </c>
      <c r="D2736" t="s">
        <v>1252</v>
      </c>
      <c r="F2736">
        <v>62900198</v>
      </c>
      <c r="G2736">
        <v>99138876</v>
      </c>
      <c r="H2736">
        <v>111218996</v>
      </c>
      <c r="I2736">
        <v>51035702</v>
      </c>
      <c r="J2736">
        <v>35982989</v>
      </c>
      <c r="K2736">
        <v>61044685</v>
      </c>
      <c r="L2736">
        <v>52088712</v>
      </c>
      <c r="M2736">
        <v>26214618</v>
      </c>
      <c r="N2736">
        <v>57369883</v>
      </c>
      <c r="P2736">
        <v>102</v>
      </c>
      <c r="Q2736" t="s">
        <v>5816</v>
      </c>
    </row>
    <row r="2737" spans="1:17" x14ac:dyDescent="0.3">
      <c r="A2737" t="s">
        <v>17</v>
      </c>
      <c r="B2737" t="str">
        <f>"603001"</f>
        <v>603001</v>
      </c>
      <c r="C2737" t="s">
        <v>5817</v>
      </c>
      <c r="D2737" t="s">
        <v>3416</v>
      </c>
      <c r="F2737">
        <v>222516194</v>
      </c>
      <c r="G2737">
        <v>432854825</v>
      </c>
      <c r="H2737">
        <v>111180720</v>
      </c>
      <c r="I2737">
        <v>319129263</v>
      </c>
      <c r="J2737">
        <v>260245902</v>
      </c>
      <c r="K2737">
        <v>358149466</v>
      </c>
      <c r="L2737">
        <v>1300089496</v>
      </c>
      <c r="M2737">
        <v>145585311</v>
      </c>
      <c r="N2737">
        <v>54789398</v>
      </c>
      <c r="O2737">
        <v>3437486</v>
      </c>
      <c r="P2737">
        <v>148</v>
      </c>
      <c r="Q2737" t="s">
        <v>5818</v>
      </c>
    </row>
    <row r="2738" spans="1:17" x14ac:dyDescent="0.3">
      <c r="A2738" t="s">
        <v>59</v>
      </c>
      <c r="B2738" t="str">
        <f>"300590"</f>
        <v>300590</v>
      </c>
      <c r="C2738" t="s">
        <v>5819</v>
      </c>
      <c r="D2738" t="s">
        <v>1650</v>
      </c>
      <c r="F2738">
        <v>-21592999</v>
      </c>
      <c r="G2738">
        <v>51556023</v>
      </c>
      <c r="H2738">
        <v>111164267</v>
      </c>
      <c r="I2738">
        <v>95558041</v>
      </c>
      <c r="J2738">
        <v>77761803</v>
      </c>
      <c r="K2738">
        <v>80737949</v>
      </c>
      <c r="L2738">
        <v>93896411</v>
      </c>
      <c r="M2738">
        <v>67171136</v>
      </c>
      <c r="N2738">
        <v>35886394</v>
      </c>
      <c r="P2738">
        <v>410</v>
      </c>
      <c r="Q2738" t="s">
        <v>5820</v>
      </c>
    </row>
    <row r="2739" spans="1:17" x14ac:dyDescent="0.3">
      <c r="A2739" t="s">
        <v>59</v>
      </c>
      <c r="B2739" t="str">
        <f>"300532"</f>
        <v>300532</v>
      </c>
      <c r="C2739" t="s">
        <v>5821</v>
      </c>
      <c r="D2739" t="s">
        <v>1189</v>
      </c>
      <c r="F2739">
        <v>-137220357</v>
      </c>
      <c r="G2739">
        <v>72669023</v>
      </c>
      <c r="H2739">
        <v>110761130</v>
      </c>
      <c r="I2739">
        <v>149681954</v>
      </c>
      <c r="J2739">
        <v>-71528</v>
      </c>
      <c r="K2739">
        <v>-1549029</v>
      </c>
      <c r="L2739">
        <v>9523483</v>
      </c>
      <c r="M2739">
        <v>-49595041</v>
      </c>
      <c r="N2739">
        <v>66228440</v>
      </c>
      <c r="P2739">
        <v>220</v>
      </c>
      <c r="Q2739" t="s">
        <v>5822</v>
      </c>
    </row>
    <row r="2740" spans="1:17" x14ac:dyDescent="0.3">
      <c r="A2740" t="s">
        <v>59</v>
      </c>
      <c r="B2740" t="str">
        <f>"300746"</f>
        <v>300746</v>
      </c>
      <c r="C2740" t="s">
        <v>5823</v>
      </c>
      <c r="D2740" t="s">
        <v>2254</v>
      </c>
      <c r="F2740">
        <v>198654994</v>
      </c>
      <c r="G2740">
        <v>212442601</v>
      </c>
      <c r="H2740">
        <v>110728817</v>
      </c>
      <c r="I2740">
        <v>92770078</v>
      </c>
      <c r="J2740">
        <v>57919804</v>
      </c>
      <c r="K2740">
        <v>51614304</v>
      </c>
      <c r="L2740">
        <v>41377871</v>
      </c>
      <c r="P2740">
        <v>66</v>
      </c>
      <c r="Q2740" t="s">
        <v>5824</v>
      </c>
    </row>
    <row r="2741" spans="1:17" x14ac:dyDescent="0.3">
      <c r="A2741" t="s">
        <v>59</v>
      </c>
      <c r="B2741" t="str">
        <f>"300393"</f>
        <v>300393</v>
      </c>
      <c r="C2741" t="s">
        <v>5825</v>
      </c>
      <c r="D2741" t="s">
        <v>430</v>
      </c>
      <c r="F2741">
        <v>350803867</v>
      </c>
      <c r="G2741">
        <v>-180338748</v>
      </c>
      <c r="H2741">
        <v>110663715</v>
      </c>
      <c r="I2741">
        <v>11047856</v>
      </c>
      <c r="J2741">
        <v>-719334329</v>
      </c>
      <c r="K2741">
        <v>-153044374</v>
      </c>
      <c r="L2741">
        <v>102947349</v>
      </c>
      <c r="M2741">
        <v>-73943970</v>
      </c>
      <c r="N2741">
        <v>70850386</v>
      </c>
      <c r="O2741">
        <v>63538438</v>
      </c>
      <c r="P2741">
        <v>304</v>
      </c>
      <c r="Q2741" t="s">
        <v>5826</v>
      </c>
    </row>
    <row r="2742" spans="1:17" x14ac:dyDescent="0.3">
      <c r="A2742" t="s">
        <v>59</v>
      </c>
      <c r="B2742" t="str">
        <f>"300291"</f>
        <v>300291</v>
      </c>
      <c r="C2742" t="s">
        <v>5827</v>
      </c>
      <c r="D2742" t="s">
        <v>1059</v>
      </c>
      <c r="F2742">
        <v>243606036</v>
      </c>
      <c r="G2742">
        <v>74864598</v>
      </c>
      <c r="H2742">
        <v>110408057</v>
      </c>
      <c r="I2742">
        <v>137869021</v>
      </c>
      <c r="J2742">
        <v>70961622</v>
      </c>
      <c r="K2742">
        <v>-462021850</v>
      </c>
      <c r="L2742">
        <v>-143801866</v>
      </c>
      <c r="M2742">
        <v>-57620135</v>
      </c>
      <c r="N2742">
        <v>-72660218</v>
      </c>
      <c r="O2742">
        <v>-99814540</v>
      </c>
      <c r="P2742">
        <v>93</v>
      </c>
      <c r="Q2742" t="s">
        <v>5828</v>
      </c>
    </row>
    <row r="2743" spans="1:17" x14ac:dyDescent="0.3">
      <c r="A2743" t="s">
        <v>17</v>
      </c>
      <c r="B2743" t="str">
        <f>"605305"</f>
        <v>605305</v>
      </c>
      <c r="C2743" t="s">
        <v>5829</v>
      </c>
      <c r="D2743" t="s">
        <v>235</v>
      </c>
      <c r="F2743">
        <v>113332633</v>
      </c>
      <c r="G2743">
        <v>182688385</v>
      </c>
      <c r="H2743">
        <v>110002851</v>
      </c>
      <c r="I2743">
        <v>35404009</v>
      </c>
      <c r="J2743">
        <v>47640673</v>
      </c>
      <c r="P2743">
        <v>81</v>
      </c>
      <c r="Q2743" t="s">
        <v>5830</v>
      </c>
    </row>
    <row r="2744" spans="1:17" x14ac:dyDescent="0.3">
      <c r="A2744" t="s">
        <v>59</v>
      </c>
      <c r="B2744" t="str">
        <f>"300339"</f>
        <v>300339</v>
      </c>
      <c r="C2744" t="s">
        <v>5831</v>
      </c>
      <c r="D2744" t="s">
        <v>1189</v>
      </c>
      <c r="F2744">
        <v>146280500</v>
      </c>
      <c r="G2744">
        <v>173171348</v>
      </c>
      <c r="H2744">
        <v>109855753</v>
      </c>
      <c r="I2744">
        <v>275263632</v>
      </c>
      <c r="J2744">
        <v>144639794</v>
      </c>
      <c r="K2744">
        <v>289731558</v>
      </c>
      <c r="L2744">
        <v>76815573</v>
      </c>
      <c r="M2744">
        <v>48004020</v>
      </c>
      <c r="N2744">
        <v>24300212</v>
      </c>
      <c r="O2744">
        <v>57436671</v>
      </c>
      <c r="P2744">
        <v>332</v>
      </c>
      <c r="Q2744" t="s">
        <v>5832</v>
      </c>
    </row>
    <row r="2745" spans="1:17" x14ac:dyDescent="0.3">
      <c r="A2745" t="s">
        <v>59</v>
      </c>
      <c r="B2745" t="str">
        <f>"002960"</f>
        <v>002960</v>
      </c>
      <c r="C2745" t="s">
        <v>5833</v>
      </c>
      <c r="D2745" t="s">
        <v>3004</v>
      </c>
      <c r="F2745">
        <v>194618139</v>
      </c>
      <c r="G2745">
        <v>299105226</v>
      </c>
      <c r="H2745">
        <v>109754498</v>
      </c>
      <c r="I2745">
        <v>111134632</v>
      </c>
      <c r="J2745">
        <v>168903784</v>
      </c>
      <c r="K2745">
        <v>290441155</v>
      </c>
      <c r="P2745">
        <v>389</v>
      </c>
      <c r="Q2745" t="s">
        <v>5834</v>
      </c>
    </row>
    <row r="2746" spans="1:17" x14ac:dyDescent="0.3">
      <c r="A2746" t="s">
        <v>59</v>
      </c>
      <c r="B2746" t="str">
        <f>"000833"</f>
        <v>000833</v>
      </c>
      <c r="C2746" t="s">
        <v>5835</v>
      </c>
      <c r="D2746" t="s">
        <v>672</v>
      </c>
      <c r="F2746">
        <v>257196469</v>
      </c>
      <c r="G2746">
        <v>265124048</v>
      </c>
      <c r="H2746">
        <v>109520182</v>
      </c>
      <c r="I2746">
        <v>282057035</v>
      </c>
      <c r="J2746">
        <v>-2826893</v>
      </c>
      <c r="K2746">
        <v>329961577</v>
      </c>
      <c r="L2746">
        <v>47669551</v>
      </c>
      <c r="M2746">
        <v>76262277</v>
      </c>
      <c r="N2746">
        <v>-18673260</v>
      </c>
      <c r="O2746">
        <v>64991662</v>
      </c>
      <c r="P2746">
        <v>88</v>
      </c>
      <c r="Q2746" t="s">
        <v>5836</v>
      </c>
    </row>
    <row r="2747" spans="1:17" x14ac:dyDescent="0.3">
      <c r="A2747" t="s">
        <v>59</v>
      </c>
      <c r="B2747" t="str">
        <f>"300502"</f>
        <v>300502</v>
      </c>
      <c r="C2747" t="s">
        <v>5837</v>
      </c>
      <c r="D2747" t="s">
        <v>352</v>
      </c>
      <c r="F2747">
        <v>218531824</v>
      </c>
      <c r="G2747">
        <v>154433185</v>
      </c>
      <c r="H2747">
        <v>109475914</v>
      </c>
      <c r="I2747">
        <v>320626742</v>
      </c>
      <c r="J2747">
        <v>-72936174</v>
      </c>
      <c r="K2747">
        <v>6315428</v>
      </c>
      <c r="L2747">
        <v>32673616</v>
      </c>
      <c r="M2747">
        <v>57214081</v>
      </c>
      <c r="N2747">
        <v>26742583</v>
      </c>
      <c r="P2747">
        <v>636</v>
      </c>
      <c r="Q2747" t="s">
        <v>5838</v>
      </c>
    </row>
    <row r="2748" spans="1:17" x14ac:dyDescent="0.3">
      <c r="A2748" t="s">
        <v>59</v>
      </c>
      <c r="B2748" t="str">
        <f>"002870"</f>
        <v>002870</v>
      </c>
      <c r="C2748" t="s">
        <v>5839</v>
      </c>
      <c r="D2748" t="s">
        <v>2382</v>
      </c>
      <c r="F2748">
        <v>424653002</v>
      </c>
      <c r="G2748">
        <v>169823065</v>
      </c>
      <c r="H2748">
        <v>109405300</v>
      </c>
      <c r="I2748">
        <v>99358013</v>
      </c>
      <c r="J2748">
        <v>45925507</v>
      </c>
      <c r="K2748">
        <v>79989824</v>
      </c>
      <c r="L2748">
        <v>91705397</v>
      </c>
      <c r="M2748">
        <v>87111922</v>
      </c>
      <c r="P2748">
        <v>91</v>
      </c>
      <c r="Q2748" t="s">
        <v>5840</v>
      </c>
    </row>
    <row r="2749" spans="1:17" x14ac:dyDescent="0.3">
      <c r="A2749" t="s">
        <v>59</v>
      </c>
      <c r="B2749" t="str">
        <f>"300941"</f>
        <v>300941</v>
      </c>
      <c r="C2749" t="s">
        <v>5841</v>
      </c>
      <c r="D2749" t="s">
        <v>707</v>
      </c>
      <c r="F2749">
        <v>102411066</v>
      </c>
      <c r="G2749">
        <v>157338886</v>
      </c>
      <c r="H2749">
        <v>109397468</v>
      </c>
      <c r="I2749">
        <v>44426882</v>
      </c>
      <c r="J2749">
        <v>56348079</v>
      </c>
      <c r="K2749">
        <v>50897513</v>
      </c>
      <c r="P2749">
        <v>69</v>
      </c>
      <c r="Q2749" t="s">
        <v>5842</v>
      </c>
    </row>
    <row r="2750" spans="1:17" x14ac:dyDescent="0.3">
      <c r="A2750" t="s">
        <v>17</v>
      </c>
      <c r="B2750" t="str">
        <f>"603863"</f>
        <v>603863</v>
      </c>
      <c r="C2750" t="s">
        <v>5843</v>
      </c>
      <c r="D2750" t="s">
        <v>241</v>
      </c>
      <c r="F2750">
        <v>24395974</v>
      </c>
      <c r="G2750">
        <v>64266020</v>
      </c>
      <c r="H2750">
        <v>109376589</v>
      </c>
      <c r="I2750">
        <v>139863792</v>
      </c>
      <c r="J2750">
        <v>131615887</v>
      </c>
      <c r="K2750">
        <v>52856353</v>
      </c>
      <c r="P2750">
        <v>51</v>
      </c>
      <c r="Q2750" t="s">
        <v>5844</v>
      </c>
    </row>
    <row r="2751" spans="1:17" x14ac:dyDescent="0.3">
      <c r="A2751" t="s">
        <v>17</v>
      </c>
      <c r="B2751" t="str">
        <f>"900913"</f>
        <v>900913</v>
      </c>
      <c r="C2751" t="s">
        <v>5845</v>
      </c>
      <c r="G2751">
        <v>77845348.701399997</v>
      </c>
      <c r="H2751">
        <v>109307907.15000001</v>
      </c>
      <c r="I2751">
        <v>115230760.7634</v>
      </c>
      <c r="J2751">
        <v>172409839.25760001</v>
      </c>
      <c r="K2751">
        <v>36775584.431999996</v>
      </c>
      <c r="L2751">
        <v>135925001.21200001</v>
      </c>
      <c r="M2751">
        <v>5733609.3152000001</v>
      </c>
      <c r="N2751">
        <v>117926209.5732</v>
      </c>
      <c r="O2751">
        <v>-1239028.5419999999</v>
      </c>
      <c r="P2751">
        <v>7</v>
      </c>
      <c r="Q2751" t="s">
        <v>5846</v>
      </c>
    </row>
    <row r="2752" spans="1:17" x14ac:dyDescent="0.3">
      <c r="A2752" t="s">
        <v>59</v>
      </c>
      <c r="B2752" t="str">
        <f>"002325"</f>
        <v>002325</v>
      </c>
      <c r="C2752" t="s">
        <v>5847</v>
      </c>
      <c r="D2752" t="s">
        <v>1150</v>
      </c>
      <c r="F2752">
        <v>53865571</v>
      </c>
      <c r="G2752">
        <v>-14654294</v>
      </c>
      <c r="H2752">
        <v>109260988</v>
      </c>
      <c r="I2752">
        <v>35544413</v>
      </c>
      <c r="J2752">
        <v>-138889517</v>
      </c>
      <c r="K2752">
        <v>-552794895</v>
      </c>
      <c r="L2752">
        <v>-202974613</v>
      </c>
      <c r="M2752">
        <v>223128958</v>
      </c>
      <c r="N2752">
        <v>-229666642</v>
      </c>
      <c r="O2752">
        <v>-150403570</v>
      </c>
      <c r="P2752">
        <v>171</v>
      </c>
      <c r="Q2752" t="s">
        <v>5848</v>
      </c>
    </row>
    <row r="2753" spans="1:17" x14ac:dyDescent="0.3">
      <c r="A2753" t="s">
        <v>59</v>
      </c>
      <c r="B2753" t="str">
        <f>"000066"</f>
        <v>000066</v>
      </c>
      <c r="C2753" t="s">
        <v>5849</v>
      </c>
      <c r="D2753" t="s">
        <v>707</v>
      </c>
      <c r="F2753">
        <v>-288868928</v>
      </c>
      <c r="G2753">
        <v>167245199</v>
      </c>
      <c r="H2753">
        <v>109153815</v>
      </c>
      <c r="I2753">
        <v>44859988</v>
      </c>
      <c r="J2753">
        <v>-402660922</v>
      </c>
      <c r="K2753">
        <v>2074583434</v>
      </c>
      <c r="L2753">
        <v>1687412320</v>
      </c>
      <c r="M2753">
        <v>2603621199</v>
      </c>
      <c r="N2753">
        <v>645084238</v>
      </c>
      <c r="O2753">
        <v>4562843922</v>
      </c>
      <c r="P2753">
        <v>712</v>
      </c>
      <c r="Q2753" t="s">
        <v>5850</v>
      </c>
    </row>
    <row r="2754" spans="1:17" x14ac:dyDescent="0.3">
      <c r="A2754" t="s">
        <v>17</v>
      </c>
      <c r="B2754" t="str">
        <f>"605398"</f>
        <v>605398</v>
      </c>
      <c r="C2754" t="s">
        <v>5851</v>
      </c>
      <c r="D2754" t="s">
        <v>1189</v>
      </c>
      <c r="F2754">
        <v>78932305</v>
      </c>
      <c r="G2754">
        <v>91551896</v>
      </c>
      <c r="H2754">
        <v>109041193</v>
      </c>
      <c r="I2754">
        <v>75446267</v>
      </c>
      <c r="J2754">
        <v>64697610</v>
      </c>
      <c r="K2754">
        <v>52174614</v>
      </c>
      <c r="P2754">
        <v>39</v>
      </c>
      <c r="Q2754" t="s">
        <v>5852</v>
      </c>
    </row>
    <row r="2755" spans="1:17" x14ac:dyDescent="0.3">
      <c r="A2755" t="s">
        <v>59</v>
      </c>
      <c r="B2755" t="str">
        <f>"300154"</f>
        <v>300154</v>
      </c>
      <c r="C2755" t="s">
        <v>5853</v>
      </c>
      <c r="D2755" t="s">
        <v>1838</v>
      </c>
      <c r="F2755">
        <v>47667562</v>
      </c>
      <c r="G2755">
        <v>110782509</v>
      </c>
      <c r="H2755">
        <v>108862668</v>
      </c>
      <c r="I2755">
        <v>33120563</v>
      </c>
      <c r="J2755">
        <v>188775155</v>
      </c>
      <c r="K2755">
        <v>175376991</v>
      </c>
      <c r="L2755">
        <v>44790345</v>
      </c>
      <c r="M2755">
        <v>93657713</v>
      </c>
      <c r="N2755">
        <v>170255321</v>
      </c>
      <c r="O2755">
        <v>49684455</v>
      </c>
      <c r="P2755">
        <v>82</v>
      </c>
      <c r="Q2755" t="s">
        <v>5854</v>
      </c>
    </row>
    <row r="2756" spans="1:17" x14ac:dyDescent="0.3">
      <c r="A2756" t="s">
        <v>59</v>
      </c>
      <c r="B2756" t="str">
        <f>"300348"</f>
        <v>300348</v>
      </c>
      <c r="C2756" t="s">
        <v>5855</v>
      </c>
      <c r="D2756" t="s">
        <v>1528</v>
      </c>
      <c r="F2756">
        <v>33437163</v>
      </c>
      <c r="G2756">
        <v>141328744</v>
      </c>
      <c r="H2756">
        <v>108827939</v>
      </c>
      <c r="I2756">
        <v>17995400</v>
      </c>
      <c r="J2756">
        <v>-8400063</v>
      </c>
      <c r="K2756">
        <v>-21735477</v>
      </c>
      <c r="L2756">
        <v>3398577</v>
      </c>
      <c r="M2756">
        <v>9180728</v>
      </c>
      <c r="N2756">
        <v>-10186431</v>
      </c>
      <c r="O2756">
        <v>2663666</v>
      </c>
      <c r="P2756">
        <v>364</v>
      </c>
      <c r="Q2756" t="s">
        <v>5856</v>
      </c>
    </row>
    <row r="2757" spans="1:17" x14ac:dyDescent="0.3">
      <c r="A2757" t="s">
        <v>59</v>
      </c>
      <c r="B2757" t="str">
        <f>"300321"</f>
        <v>300321</v>
      </c>
      <c r="C2757" t="s">
        <v>5857</v>
      </c>
      <c r="D2757" t="s">
        <v>144</v>
      </c>
      <c r="F2757">
        <v>45977410</v>
      </c>
      <c r="G2757">
        <v>4329259</v>
      </c>
      <c r="H2757">
        <v>108778691</v>
      </c>
      <c r="I2757">
        <v>39117985</v>
      </c>
      <c r="J2757">
        <v>25064866</v>
      </c>
      <c r="K2757">
        <v>82222896</v>
      </c>
      <c r="L2757">
        <v>74830897</v>
      </c>
      <c r="M2757">
        <v>108524630</v>
      </c>
      <c r="N2757">
        <v>45302902</v>
      </c>
      <c r="O2757">
        <v>31733338</v>
      </c>
      <c r="P2757">
        <v>45</v>
      </c>
      <c r="Q2757" t="s">
        <v>5858</v>
      </c>
    </row>
    <row r="2758" spans="1:17" x14ac:dyDescent="0.3">
      <c r="A2758" t="s">
        <v>59</v>
      </c>
      <c r="B2758" t="str">
        <f>"300209"</f>
        <v>300209</v>
      </c>
      <c r="C2758" t="s">
        <v>5859</v>
      </c>
      <c r="D2758" t="s">
        <v>1528</v>
      </c>
      <c r="F2758">
        <v>-31071590</v>
      </c>
      <c r="G2758">
        <v>-279967662</v>
      </c>
      <c r="H2758">
        <v>108665701</v>
      </c>
      <c r="I2758">
        <v>-44658843</v>
      </c>
      <c r="J2758">
        <v>75316223</v>
      </c>
      <c r="K2758">
        <v>16985875</v>
      </c>
      <c r="L2758">
        <v>12488996</v>
      </c>
      <c r="M2758">
        <v>1386864</v>
      </c>
      <c r="N2758">
        <v>2513025</v>
      </c>
      <c r="O2758">
        <v>-20695510</v>
      </c>
      <c r="P2758">
        <v>143</v>
      </c>
      <c r="Q2758" t="s">
        <v>5860</v>
      </c>
    </row>
    <row r="2759" spans="1:17" x14ac:dyDescent="0.3">
      <c r="A2759" t="s">
        <v>59</v>
      </c>
      <c r="B2759" t="str">
        <f>"300614"</f>
        <v>300614</v>
      </c>
      <c r="C2759" t="s">
        <v>5861</v>
      </c>
      <c r="D2759" t="s">
        <v>894</v>
      </c>
      <c r="F2759">
        <v>121707986</v>
      </c>
      <c r="G2759">
        <v>140369402</v>
      </c>
      <c r="H2759">
        <v>108587062</v>
      </c>
      <c r="I2759">
        <v>176062362</v>
      </c>
      <c r="J2759">
        <v>119758100</v>
      </c>
      <c r="K2759">
        <v>104811323</v>
      </c>
      <c r="P2759">
        <v>41</v>
      </c>
      <c r="Q2759" t="s">
        <v>5862</v>
      </c>
    </row>
    <row r="2760" spans="1:17" x14ac:dyDescent="0.3">
      <c r="A2760" t="s">
        <v>59</v>
      </c>
      <c r="B2760" t="str">
        <f>"002205"</f>
        <v>002205</v>
      </c>
      <c r="C2760" t="s">
        <v>5863</v>
      </c>
      <c r="D2760" t="s">
        <v>2700</v>
      </c>
      <c r="F2760">
        <v>-77029904</v>
      </c>
      <c r="G2760">
        <v>189197150</v>
      </c>
      <c r="H2760">
        <v>108249349</v>
      </c>
      <c r="I2760">
        <v>-89924587</v>
      </c>
      <c r="J2760">
        <v>52022975</v>
      </c>
      <c r="K2760">
        <v>283714940</v>
      </c>
      <c r="L2760">
        <v>-62169127</v>
      </c>
      <c r="M2760">
        <v>-130916704</v>
      </c>
      <c r="N2760">
        <v>307991810</v>
      </c>
      <c r="O2760">
        <v>29461821</v>
      </c>
      <c r="P2760">
        <v>86</v>
      </c>
      <c r="Q2760" t="s">
        <v>5864</v>
      </c>
    </row>
    <row r="2761" spans="1:17" x14ac:dyDescent="0.3">
      <c r="A2761" t="s">
        <v>59</v>
      </c>
      <c r="B2761" t="str">
        <f>"002474"</f>
        <v>002474</v>
      </c>
      <c r="C2761" t="s">
        <v>5865</v>
      </c>
      <c r="D2761" t="s">
        <v>1189</v>
      </c>
      <c r="F2761">
        <v>64217757</v>
      </c>
      <c r="G2761">
        <v>72224579</v>
      </c>
      <c r="H2761">
        <v>108243966</v>
      </c>
      <c r="I2761">
        <v>26395263</v>
      </c>
      <c r="J2761">
        <v>85965802</v>
      </c>
      <c r="K2761">
        <v>57174909</v>
      </c>
      <c r="L2761">
        <v>18002163</v>
      </c>
      <c r="M2761">
        <v>-43156140</v>
      </c>
      <c r="N2761">
        <v>57140556</v>
      </c>
      <c r="O2761">
        <v>118258079</v>
      </c>
      <c r="P2761">
        <v>180</v>
      </c>
      <c r="Q2761" t="s">
        <v>5866</v>
      </c>
    </row>
    <row r="2762" spans="1:17" x14ac:dyDescent="0.3">
      <c r="A2762" t="s">
        <v>59</v>
      </c>
      <c r="B2762" t="str">
        <f>"300755"</f>
        <v>300755</v>
      </c>
      <c r="C2762" t="s">
        <v>5867</v>
      </c>
      <c r="D2762" t="s">
        <v>1194</v>
      </c>
      <c r="F2762">
        <v>-373493892</v>
      </c>
      <c r="G2762">
        <v>324993267</v>
      </c>
      <c r="H2762">
        <v>108155642</v>
      </c>
      <c r="I2762">
        <v>-241264509</v>
      </c>
      <c r="J2762">
        <v>365095328</v>
      </c>
      <c r="K2762">
        <v>-99677534</v>
      </c>
      <c r="L2762">
        <v>281784573</v>
      </c>
      <c r="P2762">
        <v>246</v>
      </c>
      <c r="Q2762" t="s">
        <v>5868</v>
      </c>
    </row>
    <row r="2763" spans="1:17" x14ac:dyDescent="0.3">
      <c r="A2763" t="s">
        <v>59</v>
      </c>
      <c r="B2763" t="str">
        <f>"300652"</f>
        <v>300652</v>
      </c>
      <c r="C2763" t="s">
        <v>5869</v>
      </c>
      <c r="D2763" t="s">
        <v>767</v>
      </c>
      <c r="F2763">
        <v>39511625</v>
      </c>
      <c r="G2763">
        <v>74804810</v>
      </c>
      <c r="H2763">
        <v>107947493</v>
      </c>
      <c r="I2763">
        <v>87293043</v>
      </c>
      <c r="J2763">
        <v>59380278</v>
      </c>
      <c r="K2763">
        <v>88992699</v>
      </c>
      <c r="L2763">
        <v>56381520</v>
      </c>
      <c r="M2763">
        <v>57584341</v>
      </c>
      <c r="P2763">
        <v>92</v>
      </c>
      <c r="Q2763" t="s">
        <v>5870</v>
      </c>
    </row>
    <row r="2764" spans="1:17" x14ac:dyDescent="0.3">
      <c r="A2764" t="s">
        <v>59</v>
      </c>
      <c r="B2764" t="str">
        <f>"300488"</f>
        <v>300488</v>
      </c>
      <c r="C2764" t="s">
        <v>5871</v>
      </c>
      <c r="D2764" t="s">
        <v>637</v>
      </c>
      <c r="F2764">
        <v>199104722</v>
      </c>
      <c r="G2764">
        <v>149510670</v>
      </c>
      <c r="H2764">
        <v>107892336</v>
      </c>
      <c r="I2764">
        <v>80334117</v>
      </c>
      <c r="J2764">
        <v>79802713</v>
      </c>
      <c r="K2764">
        <v>70077063</v>
      </c>
      <c r="L2764">
        <v>70984433</v>
      </c>
      <c r="M2764">
        <v>71996973</v>
      </c>
      <c r="N2764">
        <v>58178591</v>
      </c>
      <c r="O2764">
        <v>79314740</v>
      </c>
      <c r="P2764">
        <v>120</v>
      </c>
      <c r="Q2764" t="s">
        <v>5872</v>
      </c>
    </row>
    <row r="2765" spans="1:17" x14ac:dyDescent="0.3">
      <c r="A2765" t="s">
        <v>59</v>
      </c>
      <c r="B2765" t="str">
        <f>"300034"</f>
        <v>300034</v>
      </c>
      <c r="C2765" t="s">
        <v>5873</v>
      </c>
      <c r="D2765" t="s">
        <v>448</v>
      </c>
      <c r="F2765">
        <v>49037975</v>
      </c>
      <c r="G2765">
        <v>304218741</v>
      </c>
      <c r="H2765">
        <v>107867851</v>
      </c>
      <c r="I2765">
        <v>63129245</v>
      </c>
      <c r="J2765">
        <v>42826927</v>
      </c>
      <c r="K2765">
        <v>12156793</v>
      </c>
      <c r="L2765">
        <v>4019415</v>
      </c>
      <c r="M2765">
        <v>2160536</v>
      </c>
      <c r="N2765">
        <v>56188412</v>
      </c>
      <c r="O2765">
        <v>64279530</v>
      </c>
      <c r="P2765">
        <v>282</v>
      </c>
      <c r="Q2765" t="s">
        <v>5874</v>
      </c>
    </row>
    <row r="2766" spans="1:17" x14ac:dyDescent="0.3">
      <c r="A2766" t="s">
        <v>17</v>
      </c>
      <c r="B2766" t="str">
        <f>"603633"</f>
        <v>603633</v>
      </c>
      <c r="C2766" t="s">
        <v>5875</v>
      </c>
      <c r="D2766" t="s">
        <v>349</v>
      </c>
      <c r="F2766">
        <v>115600179</v>
      </c>
      <c r="G2766">
        <v>113676892</v>
      </c>
      <c r="H2766">
        <v>107829616</v>
      </c>
      <c r="I2766">
        <v>76986029</v>
      </c>
      <c r="J2766">
        <v>96514935</v>
      </c>
      <c r="K2766">
        <v>99925551</v>
      </c>
      <c r="L2766">
        <v>66935238</v>
      </c>
      <c r="M2766">
        <v>90101366</v>
      </c>
      <c r="N2766">
        <v>75208443</v>
      </c>
      <c r="P2766">
        <v>90</v>
      </c>
      <c r="Q2766" t="s">
        <v>5876</v>
      </c>
    </row>
    <row r="2767" spans="1:17" x14ac:dyDescent="0.3">
      <c r="A2767" t="s">
        <v>59</v>
      </c>
      <c r="B2767" t="str">
        <f>"002963"</f>
        <v>002963</v>
      </c>
      <c r="C2767" t="s">
        <v>5877</v>
      </c>
      <c r="D2767" t="s">
        <v>1150</v>
      </c>
      <c r="F2767">
        <v>66414792</v>
      </c>
      <c r="G2767">
        <v>-122943040</v>
      </c>
      <c r="H2767">
        <v>107730708</v>
      </c>
      <c r="I2767">
        <v>48645484</v>
      </c>
      <c r="J2767">
        <v>15454552</v>
      </c>
      <c r="K2767">
        <v>-66886232</v>
      </c>
      <c r="P2767">
        <v>75</v>
      </c>
      <c r="Q2767" t="s">
        <v>5878</v>
      </c>
    </row>
    <row r="2768" spans="1:17" x14ac:dyDescent="0.3">
      <c r="A2768" t="s">
        <v>59</v>
      </c>
      <c r="B2768" t="str">
        <f>"300071"</f>
        <v>300071</v>
      </c>
      <c r="C2768" t="s">
        <v>5879</v>
      </c>
      <c r="D2768" t="s">
        <v>1889</v>
      </c>
      <c r="F2768">
        <v>38865130</v>
      </c>
      <c r="G2768">
        <v>50499503</v>
      </c>
      <c r="H2768">
        <v>107697069</v>
      </c>
      <c r="I2768">
        <v>372084177</v>
      </c>
      <c r="J2768">
        <v>-101316184</v>
      </c>
      <c r="K2768">
        <v>31065034</v>
      </c>
      <c r="L2768">
        <v>215403133</v>
      </c>
      <c r="M2768">
        <v>112295906</v>
      </c>
      <c r="N2768">
        <v>-72495909</v>
      </c>
      <c r="O2768">
        <v>5290087</v>
      </c>
      <c r="P2768">
        <v>84</v>
      </c>
      <c r="Q2768" t="s">
        <v>5880</v>
      </c>
    </row>
    <row r="2769" spans="1:17" x14ac:dyDescent="0.3">
      <c r="A2769" t="s">
        <v>17</v>
      </c>
      <c r="B2769" t="str">
        <f>"688789"</f>
        <v>688789</v>
      </c>
      <c r="C2769" t="s">
        <v>5881</v>
      </c>
      <c r="D2769" t="s">
        <v>3970</v>
      </c>
      <c r="F2769">
        <v>111361161</v>
      </c>
      <c r="G2769">
        <v>147852313</v>
      </c>
      <c r="H2769">
        <v>107685240</v>
      </c>
      <c r="I2769">
        <v>112602335</v>
      </c>
      <c r="J2769">
        <v>72756785</v>
      </c>
      <c r="P2769">
        <v>43</v>
      </c>
      <c r="Q2769" t="s">
        <v>5882</v>
      </c>
    </row>
    <row r="2770" spans="1:17" x14ac:dyDescent="0.3">
      <c r="A2770" t="s">
        <v>59</v>
      </c>
      <c r="B2770" t="str">
        <f>"002976"</f>
        <v>002976</v>
      </c>
      <c r="C2770" t="s">
        <v>5883</v>
      </c>
      <c r="D2770" t="s">
        <v>349</v>
      </c>
      <c r="F2770">
        <v>46514418</v>
      </c>
      <c r="G2770">
        <v>53271589</v>
      </c>
      <c r="H2770">
        <v>107661129</v>
      </c>
      <c r="I2770">
        <v>110534497</v>
      </c>
      <c r="J2770">
        <v>81048372</v>
      </c>
      <c r="K2770">
        <v>58201350</v>
      </c>
      <c r="P2770">
        <v>104</v>
      </c>
      <c r="Q2770" t="s">
        <v>5884</v>
      </c>
    </row>
    <row r="2771" spans="1:17" x14ac:dyDescent="0.3">
      <c r="A2771" t="s">
        <v>59</v>
      </c>
      <c r="B2771" t="str">
        <f>"300328"</f>
        <v>300328</v>
      </c>
      <c r="C2771" t="s">
        <v>5885</v>
      </c>
      <c r="D2771" t="s">
        <v>987</v>
      </c>
      <c r="F2771">
        <v>-10498225</v>
      </c>
      <c r="G2771">
        <v>204561701</v>
      </c>
      <c r="H2771">
        <v>107651950</v>
      </c>
      <c r="I2771">
        <v>-11158963</v>
      </c>
      <c r="J2771">
        <v>136675880</v>
      </c>
      <c r="K2771">
        <v>29095443</v>
      </c>
      <c r="L2771">
        <v>126058528</v>
      </c>
      <c r="M2771">
        <v>29377912</v>
      </c>
      <c r="N2771">
        <v>61657707</v>
      </c>
      <c r="O2771">
        <v>16332057</v>
      </c>
      <c r="P2771">
        <v>232</v>
      </c>
      <c r="Q2771" t="s">
        <v>5886</v>
      </c>
    </row>
    <row r="2772" spans="1:17" x14ac:dyDescent="0.3">
      <c r="A2772" t="s">
        <v>17</v>
      </c>
      <c r="B2772" t="str">
        <f>"603139"</f>
        <v>603139</v>
      </c>
      <c r="C2772" t="s">
        <v>5887</v>
      </c>
      <c r="D2772" t="s">
        <v>455</v>
      </c>
      <c r="F2772">
        <v>7418788</v>
      </c>
      <c r="G2772">
        <v>93722970</v>
      </c>
      <c r="H2772">
        <v>107525840</v>
      </c>
      <c r="I2772">
        <v>62635270</v>
      </c>
      <c r="J2772">
        <v>43597459</v>
      </c>
      <c r="K2772">
        <v>71718358</v>
      </c>
      <c r="L2772">
        <v>28502797</v>
      </c>
      <c r="M2772">
        <v>22724638</v>
      </c>
      <c r="P2772">
        <v>97</v>
      </c>
      <c r="Q2772" t="s">
        <v>5888</v>
      </c>
    </row>
    <row r="2773" spans="1:17" x14ac:dyDescent="0.3">
      <c r="A2773" t="s">
        <v>59</v>
      </c>
      <c r="B2773" t="str">
        <f>"300011"</f>
        <v>300011</v>
      </c>
      <c r="C2773" t="s">
        <v>5889</v>
      </c>
      <c r="D2773" t="s">
        <v>165</v>
      </c>
      <c r="F2773">
        <v>-13237349</v>
      </c>
      <c r="G2773">
        <v>46668008</v>
      </c>
      <c r="H2773">
        <v>107416081</v>
      </c>
      <c r="I2773">
        <v>66940320</v>
      </c>
      <c r="J2773">
        <v>74011049</v>
      </c>
      <c r="K2773">
        <v>59169436</v>
      </c>
      <c r="L2773">
        <v>94720852</v>
      </c>
      <c r="M2773">
        <v>147380073</v>
      </c>
      <c r="N2773">
        <v>17730914</v>
      </c>
      <c r="O2773">
        <v>-42308010</v>
      </c>
      <c r="P2773">
        <v>109</v>
      </c>
      <c r="Q2773" t="s">
        <v>5890</v>
      </c>
    </row>
    <row r="2774" spans="1:17" x14ac:dyDescent="0.3">
      <c r="A2774" t="s">
        <v>59</v>
      </c>
      <c r="B2774" t="str">
        <f>"002990"</f>
        <v>002990</v>
      </c>
      <c r="C2774" t="s">
        <v>5891</v>
      </c>
      <c r="D2774" t="s">
        <v>707</v>
      </c>
      <c r="F2774">
        <v>148217878</v>
      </c>
      <c r="G2774">
        <v>44892279</v>
      </c>
      <c r="H2774">
        <v>107415574</v>
      </c>
      <c r="I2774">
        <v>188824092</v>
      </c>
      <c r="J2774">
        <v>56340947</v>
      </c>
      <c r="P2774">
        <v>109</v>
      </c>
      <c r="Q2774" t="s">
        <v>5892</v>
      </c>
    </row>
    <row r="2775" spans="1:17" x14ac:dyDescent="0.3">
      <c r="A2775" t="s">
        <v>17</v>
      </c>
      <c r="B2775" t="str">
        <f>"688659"</f>
        <v>688659</v>
      </c>
      <c r="C2775" t="s">
        <v>5893</v>
      </c>
      <c r="D2775" t="s">
        <v>1252</v>
      </c>
      <c r="F2775">
        <v>63369808</v>
      </c>
      <c r="G2775">
        <v>74361186</v>
      </c>
      <c r="H2775">
        <v>107235540</v>
      </c>
      <c r="I2775">
        <v>-9154516</v>
      </c>
      <c r="J2775">
        <v>-32897617</v>
      </c>
      <c r="P2775">
        <v>40</v>
      </c>
      <c r="Q2775" t="s">
        <v>5894</v>
      </c>
    </row>
    <row r="2776" spans="1:17" x14ac:dyDescent="0.3">
      <c r="A2776" t="s">
        <v>59</v>
      </c>
      <c r="B2776" t="str">
        <f>"002787"</f>
        <v>002787</v>
      </c>
      <c r="C2776" t="s">
        <v>5895</v>
      </c>
      <c r="D2776" t="s">
        <v>1328</v>
      </c>
      <c r="F2776">
        <v>81157190</v>
      </c>
      <c r="G2776">
        <v>19913445</v>
      </c>
      <c r="H2776">
        <v>107127131</v>
      </c>
      <c r="I2776">
        <v>37203336</v>
      </c>
      <c r="J2776">
        <v>150922610</v>
      </c>
      <c r="K2776">
        <v>102260539</v>
      </c>
      <c r="L2776">
        <v>68630522</v>
      </c>
      <c r="M2776">
        <v>138907084</v>
      </c>
      <c r="N2776">
        <v>3610933</v>
      </c>
      <c r="O2776">
        <v>62666687</v>
      </c>
      <c r="P2776">
        <v>102</v>
      </c>
      <c r="Q2776" t="s">
        <v>5896</v>
      </c>
    </row>
    <row r="2777" spans="1:17" x14ac:dyDescent="0.3">
      <c r="A2777" t="s">
        <v>17</v>
      </c>
      <c r="B2777" t="str">
        <f>"603158"</f>
        <v>603158</v>
      </c>
      <c r="C2777" t="s">
        <v>5897</v>
      </c>
      <c r="D2777" t="s">
        <v>156</v>
      </c>
      <c r="F2777">
        <v>81711885</v>
      </c>
      <c r="G2777">
        <v>165161130</v>
      </c>
      <c r="H2777">
        <v>106940967</v>
      </c>
      <c r="I2777">
        <v>128632868</v>
      </c>
      <c r="J2777">
        <v>147647251</v>
      </c>
      <c r="K2777">
        <v>49254952</v>
      </c>
      <c r="L2777">
        <v>90022394</v>
      </c>
      <c r="M2777">
        <v>113913998</v>
      </c>
      <c r="N2777">
        <v>44266502</v>
      </c>
      <c r="O2777">
        <v>76251299</v>
      </c>
      <c r="P2777">
        <v>145</v>
      </c>
      <c r="Q2777" t="s">
        <v>5898</v>
      </c>
    </row>
    <row r="2778" spans="1:17" x14ac:dyDescent="0.3">
      <c r="A2778" t="s">
        <v>59</v>
      </c>
      <c r="B2778" t="str">
        <f>"301108"</f>
        <v>301108</v>
      </c>
      <c r="C2778" t="s">
        <v>5899</v>
      </c>
      <c r="D2778" t="s">
        <v>1429</v>
      </c>
      <c r="F2778">
        <v>200176870</v>
      </c>
      <c r="G2778">
        <v>187561278</v>
      </c>
      <c r="H2778">
        <v>106874222</v>
      </c>
      <c r="I2778">
        <v>37092872</v>
      </c>
      <c r="J2778">
        <v>35341953</v>
      </c>
      <c r="P2778">
        <v>24</v>
      </c>
      <c r="Q2778" t="s">
        <v>5900</v>
      </c>
    </row>
    <row r="2779" spans="1:17" x14ac:dyDescent="0.3">
      <c r="A2779" t="s">
        <v>17</v>
      </c>
      <c r="B2779" t="str">
        <f>"688399"</f>
        <v>688399</v>
      </c>
      <c r="C2779" t="s">
        <v>5901</v>
      </c>
      <c r="D2779" t="s">
        <v>1953</v>
      </c>
      <c r="F2779">
        <v>985522926</v>
      </c>
      <c r="G2779">
        <v>935881452</v>
      </c>
      <c r="H2779">
        <v>106718819</v>
      </c>
      <c r="I2779">
        <v>85818828</v>
      </c>
      <c r="J2779">
        <v>61591075</v>
      </c>
      <c r="K2779">
        <v>22093263</v>
      </c>
      <c r="P2779">
        <v>373</v>
      </c>
      <c r="Q2779" t="s">
        <v>5902</v>
      </c>
    </row>
    <row r="2780" spans="1:17" x14ac:dyDescent="0.3">
      <c r="A2780" t="s">
        <v>59</v>
      </c>
      <c r="B2780" t="str">
        <f>"300843"</f>
        <v>300843</v>
      </c>
      <c r="C2780" t="s">
        <v>5903</v>
      </c>
      <c r="D2780" t="s">
        <v>349</v>
      </c>
      <c r="F2780">
        <v>103518692</v>
      </c>
      <c r="G2780">
        <v>73462716</v>
      </c>
      <c r="H2780">
        <v>106471791</v>
      </c>
      <c r="I2780">
        <v>83843010</v>
      </c>
      <c r="J2780">
        <v>34828337</v>
      </c>
      <c r="K2780">
        <v>36748707</v>
      </c>
      <c r="P2780">
        <v>80</v>
      </c>
      <c r="Q2780" t="s">
        <v>5904</v>
      </c>
    </row>
    <row r="2781" spans="1:17" x14ac:dyDescent="0.3">
      <c r="A2781" t="s">
        <v>17</v>
      </c>
      <c r="B2781" t="str">
        <f>"688689"</f>
        <v>688689</v>
      </c>
      <c r="C2781" t="s">
        <v>5905</v>
      </c>
      <c r="D2781" t="s">
        <v>3230</v>
      </c>
      <c r="F2781">
        <v>112890594</v>
      </c>
      <c r="G2781">
        <v>74297703</v>
      </c>
      <c r="H2781">
        <v>106376791</v>
      </c>
      <c r="I2781">
        <v>64146531</v>
      </c>
      <c r="J2781">
        <v>69360088</v>
      </c>
      <c r="P2781">
        <v>46</v>
      </c>
      <c r="Q2781" t="s">
        <v>5906</v>
      </c>
    </row>
    <row r="2782" spans="1:17" x14ac:dyDescent="0.3">
      <c r="A2782" t="s">
        <v>17</v>
      </c>
      <c r="B2782" t="str">
        <f>"603676"</f>
        <v>603676</v>
      </c>
      <c r="C2782" t="s">
        <v>5907</v>
      </c>
      <c r="D2782" t="s">
        <v>592</v>
      </c>
      <c r="F2782">
        <v>170688769</v>
      </c>
      <c r="G2782">
        <v>133697656</v>
      </c>
      <c r="H2782">
        <v>106340781</v>
      </c>
      <c r="I2782">
        <v>83167652</v>
      </c>
      <c r="J2782">
        <v>63300678</v>
      </c>
      <c r="K2782">
        <v>103788126</v>
      </c>
      <c r="L2782">
        <v>114468946</v>
      </c>
      <c r="M2782">
        <v>118472228</v>
      </c>
      <c r="P2782">
        <v>108</v>
      </c>
      <c r="Q2782" t="s">
        <v>5908</v>
      </c>
    </row>
    <row r="2783" spans="1:17" x14ac:dyDescent="0.3">
      <c r="A2783" t="s">
        <v>17</v>
      </c>
      <c r="B2783" t="str">
        <f>"600824"</f>
        <v>600824</v>
      </c>
      <c r="C2783" t="s">
        <v>5909</v>
      </c>
      <c r="D2783" t="s">
        <v>829</v>
      </c>
      <c r="F2783">
        <v>214891606</v>
      </c>
      <c r="G2783">
        <v>307602104</v>
      </c>
      <c r="H2783">
        <v>106175449</v>
      </c>
      <c r="I2783">
        <v>195133013</v>
      </c>
      <c r="J2783">
        <v>316262488</v>
      </c>
      <c r="K2783">
        <v>266008343</v>
      </c>
      <c r="L2783">
        <v>277840078</v>
      </c>
      <c r="M2783">
        <v>273028027</v>
      </c>
      <c r="N2783">
        <v>144933368</v>
      </c>
      <c r="O2783">
        <v>59698855</v>
      </c>
      <c r="P2783">
        <v>81</v>
      </c>
      <c r="Q2783" t="s">
        <v>5910</v>
      </c>
    </row>
    <row r="2784" spans="1:17" x14ac:dyDescent="0.3">
      <c r="A2784" t="s">
        <v>59</v>
      </c>
      <c r="B2784" t="str">
        <f>"002222"</f>
        <v>002222</v>
      </c>
      <c r="C2784" t="s">
        <v>5911</v>
      </c>
      <c r="D2784" t="s">
        <v>692</v>
      </c>
      <c r="F2784">
        <v>155376148</v>
      </c>
      <c r="G2784">
        <v>154922817</v>
      </c>
      <c r="H2784">
        <v>106161815</v>
      </c>
      <c r="I2784">
        <v>125824960</v>
      </c>
      <c r="J2784">
        <v>146860750</v>
      </c>
      <c r="K2784">
        <v>102458957</v>
      </c>
      <c r="L2784">
        <v>63724204</v>
      </c>
      <c r="M2784">
        <v>67113574</v>
      </c>
      <c r="N2784">
        <v>61859417</v>
      </c>
      <c r="O2784">
        <v>37180033</v>
      </c>
      <c r="P2784">
        <v>517</v>
      </c>
      <c r="Q2784" t="s">
        <v>5912</v>
      </c>
    </row>
    <row r="2785" spans="1:17" x14ac:dyDescent="0.3">
      <c r="A2785" t="s">
        <v>17</v>
      </c>
      <c r="B2785" t="str">
        <f>"600067"</f>
        <v>600067</v>
      </c>
      <c r="C2785" t="s">
        <v>5913</v>
      </c>
      <c r="D2785" t="s">
        <v>61</v>
      </c>
      <c r="F2785">
        <v>2185660618</v>
      </c>
      <c r="G2785">
        <v>129256211</v>
      </c>
      <c r="H2785">
        <v>106142502</v>
      </c>
      <c r="I2785">
        <v>-779250619</v>
      </c>
      <c r="J2785">
        <v>-664373276</v>
      </c>
      <c r="K2785">
        <v>2356020538</v>
      </c>
      <c r="L2785">
        <v>1194272538</v>
      </c>
      <c r="M2785">
        <v>1360294119</v>
      </c>
      <c r="N2785">
        <v>-262354477</v>
      </c>
      <c r="O2785">
        <v>1049530676</v>
      </c>
      <c r="P2785">
        <v>222</v>
      </c>
      <c r="Q2785" t="s">
        <v>5914</v>
      </c>
    </row>
    <row r="2786" spans="1:17" x14ac:dyDescent="0.3">
      <c r="A2786" t="s">
        <v>17</v>
      </c>
      <c r="B2786" t="str">
        <f>"603335"</f>
        <v>603335</v>
      </c>
      <c r="C2786" t="s">
        <v>5915</v>
      </c>
      <c r="D2786" t="s">
        <v>767</v>
      </c>
      <c r="F2786">
        <v>-15796683</v>
      </c>
      <c r="G2786">
        <v>128060752</v>
      </c>
      <c r="H2786">
        <v>106071085</v>
      </c>
      <c r="I2786">
        <v>65767465</v>
      </c>
      <c r="J2786">
        <v>54435686</v>
      </c>
      <c r="K2786">
        <v>19658897</v>
      </c>
      <c r="L2786">
        <v>61253877</v>
      </c>
      <c r="M2786">
        <v>78104817</v>
      </c>
      <c r="P2786">
        <v>66</v>
      </c>
      <c r="Q2786" t="s">
        <v>5916</v>
      </c>
    </row>
    <row r="2787" spans="1:17" x14ac:dyDescent="0.3">
      <c r="A2787" t="s">
        <v>17</v>
      </c>
      <c r="B2787" t="str">
        <f>"603029"</f>
        <v>603029</v>
      </c>
      <c r="C2787" t="s">
        <v>5917</v>
      </c>
      <c r="D2787" t="s">
        <v>1351</v>
      </c>
      <c r="F2787">
        <v>156495816</v>
      </c>
      <c r="G2787">
        <v>2696400</v>
      </c>
      <c r="H2787">
        <v>105916084</v>
      </c>
      <c r="I2787">
        <v>-24164193</v>
      </c>
      <c r="J2787">
        <v>-43379309</v>
      </c>
      <c r="K2787">
        <v>32095309</v>
      </c>
      <c r="L2787">
        <v>28592914</v>
      </c>
      <c r="M2787">
        <v>47328672</v>
      </c>
      <c r="N2787">
        <v>90627851</v>
      </c>
      <c r="P2787">
        <v>62</v>
      </c>
      <c r="Q2787" t="s">
        <v>5918</v>
      </c>
    </row>
    <row r="2788" spans="1:17" x14ac:dyDescent="0.3">
      <c r="A2788" t="s">
        <v>59</v>
      </c>
      <c r="B2788" t="str">
        <f>"300578"</f>
        <v>300578</v>
      </c>
      <c r="C2788" t="s">
        <v>5919</v>
      </c>
      <c r="D2788" t="s">
        <v>4468</v>
      </c>
      <c r="F2788">
        <v>86444493</v>
      </c>
      <c r="G2788">
        <v>255509572</v>
      </c>
      <c r="H2788">
        <v>105806608</v>
      </c>
      <c r="I2788">
        <v>39902575</v>
      </c>
      <c r="J2788">
        <v>22429806</v>
      </c>
      <c r="K2788">
        <v>23618361</v>
      </c>
      <c r="L2788">
        <v>31572333</v>
      </c>
      <c r="M2788">
        <v>43484157</v>
      </c>
      <c r="N2788">
        <v>36507616</v>
      </c>
      <c r="P2788">
        <v>305</v>
      </c>
      <c r="Q2788" t="s">
        <v>5920</v>
      </c>
    </row>
    <row r="2789" spans="1:17" x14ac:dyDescent="0.3">
      <c r="A2789" t="s">
        <v>59</v>
      </c>
      <c r="B2789" t="str">
        <f>"300911"</f>
        <v>300911</v>
      </c>
      <c r="C2789" t="s">
        <v>5921</v>
      </c>
      <c r="D2789" t="s">
        <v>1294</v>
      </c>
      <c r="F2789">
        <v>279791550</v>
      </c>
      <c r="G2789">
        <v>203508981</v>
      </c>
      <c r="H2789">
        <v>105612849</v>
      </c>
      <c r="I2789">
        <v>132051867</v>
      </c>
      <c r="J2789">
        <v>159435226</v>
      </c>
      <c r="K2789">
        <v>50515913</v>
      </c>
      <c r="P2789">
        <v>151</v>
      </c>
      <c r="Q2789" t="s">
        <v>5922</v>
      </c>
    </row>
    <row r="2790" spans="1:17" x14ac:dyDescent="0.3">
      <c r="A2790" t="s">
        <v>17</v>
      </c>
      <c r="B2790" t="str">
        <f>"603536"</f>
        <v>603536</v>
      </c>
      <c r="C2790" t="s">
        <v>5923</v>
      </c>
      <c r="D2790" t="s">
        <v>2504</v>
      </c>
      <c r="F2790">
        <v>84013503</v>
      </c>
      <c r="G2790">
        <v>66749201</v>
      </c>
      <c r="H2790">
        <v>105567986</v>
      </c>
      <c r="I2790">
        <v>-660185</v>
      </c>
      <c r="J2790">
        <v>51583655</v>
      </c>
      <c r="K2790">
        <v>127804987</v>
      </c>
      <c r="L2790">
        <v>115292696</v>
      </c>
      <c r="M2790">
        <v>97437441</v>
      </c>
      <c r="P2790">
        <v>125</v>
      </c>
      <c r="Q2790" t="s">
        <v>5924</v>
      </c>
    </row>
    <row r="2791" spans="1:17" x14ac:dyDescent="0.3">
      <c r="A2791" t="s">
        <v>59</v>
      </c>
      <c r="B2791" t="str">
        <f>"300871"</f>
        <v>300871</v>
      </c>
      <c r="C2791" t="s">
        <v>5925</v>
      </c>
      <c r="D2791" t="s">
        <v>3061</v>
      </c>
      <c r="F2791">
        <v>155718490</v>
      </c>
      <c r="G2791">
        <v>48349261</v>
      </c>
      <c r="H2791">
        <v>105241482</v>
      </c>
      <c r="I2791">
        <v>21095639</v>
      </c>
      <c r="J2791">
        <v>80558563</v>
      </c>
      <c r="K2791">
        <v>60004000</v>
      </c>
      <c r="P2791">
        <v>83</v>
      </c>
      <c r="Q2791" t="s">
        <v>5926</v>
      </c>
    </row>
    <row r="2792" spans="1:17" x14ac:dyDescent="0.3">
      <c r="A2792" t="s">
        <v>59</v>
      </c>
      <c r="B2792" t="str">
        <f>"002615"</f>
        <v>002615</v>
      </c>
      <c r="C2792" t="s">
        <v>5927</v>
      </c>
      <c r="D2792" t="s">
        <v>923</v>
      </c>
      <c r="F2792">
        <v>374294834</v>
      </c>
      <c r="G2792">
        <v>289129593</v>
      </c>
      <c r="H2792">
        <v>105116416</v>
      </c>
      <c r="I2792">
        <v>52672419</v>
      </c>
      <c r="J2792">
        <v>37996626</v>
      </c>
      <c r="K2792">
        <v>263595129</v>
      </c>
      <c r="L2792">
        <v>83331002</v>
      </c>
      <c r="M2792">
        <v>36851902</v>
      </c>
      <c r="N2792">
        <v>83771068</v>
      </c>
      <c r="O2792">
        <v>65587370</v>
      </c>
      <c r="P2792">
        <v>178</v>
      </c>
      <c r="Q2792" t="s">
        <v>5928</v>
      </c>
    </row>
    <row r="2793" spans="1:17" x14ac:dyDescent="0.3">
      <c r="A2793" t="s">
        <v>59</v>
      </c>
      <c r="B2793" t="str">
        <f>"002197"</f>
        <v>002197</v>
      </c>
      <c r="C2793" t="s">
        <v>5929</v>
      </c>
      <c r="D2793" t="s">
        <v>707</v>
      </c>
      <c r="F2793">
        <v>627756293</v>
      </c>
      <c r="G2793">
        <v>328550238</v>
      </c>
      <c r="H2793">
        <v>104846356</v>
      </c>
      <c r="I2793">
        <v>23953432</v>
      </c>
      <c r="J2793">
        <v>-724673391</v>
      </c>
      <c r="K2793">
        <v>146807141</v>
      </c>
      <c r="L2793">
        <v>-48654079</v>
      </c>
      <c r="M2793">
        <v>88069541</v>
      </c>
      <c r="N2793">
        <v>-144278974</v>
      </c>
      <c r="O2793">
        <v>32808179</v>
      </c>
      <c r="P2793">
        <v>230</v>
      </c>
      <c r="Q2793" t="s">
        <v>5930</v>
      </c>
    </row>
    <row r="2794" spans="1:17" x14ac:dyDescent="0.3">
      <c r="A2794" t="s">
        <v>59</v>
      </c>
      <c r="B2794" t="str">
        <f>"300422"</f>
        <v>300422</v>
      </c>
      <c r="C2794" t="s">
        <v>5931</v>
      </c>
      <c r="D2794" t="s">
        <v>669</v>
      </c>
      <c r="F2794">
        <v>-405691409</v>
      </c>
      <c r="G2794">
        <v>232471626</v>
      </c>
      <c r="H2794">
        <v>104826713</v>
      </c>
      <c r="I2794">
        <v>-39798716</v>
      </c>
      <c r="J2794">
        <v>-150234948</v>
      </c>
      <c r="K2794">
        <v>-55899022</v>
      </c>
      <c r="L2794">
        <v>-74889171</v>
      </c>
      <c r="M2794">
        <v>588809</v>
      </c>
      <c r="N2794">
        <v>-10709742</v>
      </c>
      <c r="O2794">
        <v>-28337151</v>
      </c>
      <c r="P2794">
        <v>331</v>
      </c>
      <c r="Q2794" t="s">
        <v>5932</v>
      </c>
    </row>
    <row r="2795" spans="1:17" x14ac:dyDescent="0.3">
      <c r="A2795" t="s">
        <v>59</v>
      </c>
      <c r="B2795" t="str">
        <f>"001212"</f>
        <v>001212</v>
      </c>
      <c r="C2795" t="s">
        <v>5933</v>
      </c>
      <c r="D2795" t="s">
        <v>1041</v>
      </c>
      <c r="F2795">
        <v>160489664</v>
      </c>
      <c r="G2795">
        <v>127849404</v>
      </c>
      <c r="H2795">
        <v>104724501</v>
      </c>
      <c r="I2795">
        <v>93254611</v>
      </c>
      <c r="J2795">
        <v>99051656</v>
      </c>
      <c r="P2795">
        <v>19</v>
      </c>
      <c r="Q2795" t="s">
        <v>5934</v>
      </c>
    </row>
    <row r="2796" spans="1:17" x14ac:dyDescent="0.3">
      <c r="A2796" t="s">
        <v>59</v>
      </c>
      <c r="B2796" t="str">
        <f>"002413"</f>
        <v>002413</v>
      </c>
      <c r="C2796" t="s">
        <v>5935</v>
      </c>
      <c r="D2796" t="s">
        <v>1983</v>
      </c>
      <c r="F2796">
        <v>-114976164</v>
      </c>
      <c r="G2796">
        <v>-43126358</v>
      </c>
      <c r="H2796">
        <v>104695662</v>
      </c>
      <c r="I2796">
        <v>25098715</v>
      </c>
      <c r="J2796">
        <v>-159798705</v>
      </c>
      <c r="K2796">
        <v>-193725622</v>
      </c>
      <c r="L2796">
        <v>-142484257</v>
      </c>
      <c r="M2796">
        <v>137832817</v>
      </c>
      <c r="N2796">
        <v>-42316442</v>
      </c>
      <c r="O2796">
        <v>40913756</v>
      </c>
      <c r="P2796">
        <v>218</v>
      </c>
      <c r="Q2796" t="s">
        <v>5936</v>
      </c>
    </row>
    <row r="2797" spans="1:17" x14ac:dyDescent="0.3">
      <c r="A2797" t="s">
        <v>59</v>
      </c>
      <c r="B2797" t="str">
        <f>"300199"</f>
        <v>300199</v>
      </c>
      <c r="C2797" t="s">
        <v>5937</v>
      </c>
      <c r="D2797" t="s">
        <v>592</v>
      </c>
      <c r="F2797">
        <v>156827378</v>
      </c>
      <c r="G2797">
        <v>47990837</v>
      </c>
      <c r="H2797">
        <v>104636580</v>
      </c>
      <c r="I2797">
        <v>46998357</v>
      </c>
      <c r="J2797">
        <v>213741348</v>
      </c>
      <c r="K2797">
        <v>296411775</v>
      </c>
      <c r="L2797">
        <v>138840480</v>
      </c>
      <c r="M2797">
        <v>153425926</v>
      </c>
      <c r="N2797">
        <v>153475922</v>
      </c>
      <c r="O2797">
        <v>87186871</v>
      </c>
      <c r="P2797">
        <v>242</v>
      </c>
      <c r="Q2797" t="s">
        <v>5938</v>
      </c>
    </row>
    <row r="2798" spans="1:17" x14ac:dyDescent="0.3">
      <c r="A2798" t="s">
        <v>17</v>
      </c>
      <c r="B2798" t="str">
        <f>"600833"</f>
        <v>600833</v>
      </c>
      <c r="C2798" t="s">
        <v>5939</v>
      </c>
      <c r="D2798" t="s">
        <v>1183</v>
      </c>
      <c r="F2798">
        <v>36559507</v>
      </c>
      <c r="G2798">
        <v>84241401</v>
      </c>
      <c r="H2798">
        <v>104601581</v>
      </c>
      <c r="I2798">
        <v>42793436</v>
      </c>
      <c r="J2798">
        <v>120074113</v>
      </c>
      <c r="K2798">
        <v>36371168</v>
      </c>
      <c r="L2798">
        <v>48821434</v>
      </c>
      <c r="M2798">
        <v>19198828</v>
      </c>
      <c r="N2798">
        <v>6519981</v>
      </c>
      <c r="O2798">
        <v>56248128</v>
      </c>
      <c r="P2798">
        <v>108</v>
      </c>
      <c r="Q2798" t="s">
        <v>5940</v>
      </c>
    </row>
    <row r="2799" spans="1:17" x14ac:dyDescent="0.3">
      <c r="A2799" t="s">
        <v>59</v>
      </c>
      <c r="B2799" t="str">
        <f>"002713"</f>
        <v>002713</v>
      </c>
      <c r="C2799" t="s">
        <v>5941</v>
      </c>
      <c r="D2799" t="s">
        <v>1150</v>
      </c>
      <c r="F2799">
        <v>155654656</v>
      </c>
      <c r="G2799">
        <v>207888110</v>
      </c>
      <c r="H2799">
        <v>104525820</v>
      </c>
      <c r="I2799">
        <v>204901267</v>
      </c>
      <c r="J2799">
        <v>569391123</v>
      </c>
      <c r="K2799">
        <v>446709248</v>
      </c>
      <c r="L2799">
        <v>306778664</v>
      </c>
      <c r="M2799">
        <v>46995002</v>
      </c>
      <c r="N2799">
        <v>314358506</v>
      </c>
      <c r="O2799">
        <v>180510339</v>
      </c>
      <c r="P2799">
        <v>268</v>
      </c>
      <c r="Q2799" t="s">
        <v>5942</v>
      </c>
    </row>
    <row r="2800" spans="1:17" x14ac:dyDescent="0.3">
      <c r="A2800" t="s">
        <v>59</v>
      </c>
      <c r="B2800" t="str">
        <f>"001234"</f>
        <v>001234</v>
      </c>
      <c r="C2800" t="s">
        <v>5943</v>
      </c>
      <c r="D2800" t="s">
        <v>3101</v>
      </c>
      <c r="F2800">
        <v>103219607</v>
      </c>
      <c r="G2800">
        <v>109234748</v>
      </c>
      <c r="H2800">
        <v>104456679</v>
      </c>
      <c r="I2800">
        <v>85370222</v>
      </c>
      <c r="J2800">
        <v>53158115</v>
      </c>
      <c r="P2800">
        <v>16</v>
      </c>
      <c r="Q2800" t="s">
        <v>5944</v>
      </c>
    </row>
    <row r="2801" spans="1:17" x14ac:dyDescent="0.3">
      <c r="A2801" t="s">
        <v>59</v>
      </c>
      <c r="B2801" t="str">
        <f>"002915"</f>
        <v>002915</v>
      </c>
      <c r="C2801" t="s">
        <v>5945</v>
      </c>
      <c r="D2801" t="s">
        <v>1095</v>
      </c>
      <c r="F2801">
        <v>152182023</v>
      </c>
      <c r="G2801">
        <v>192549117</v>
      </c>
      <c r="H2801">
        <v>104397984</v>
      </c>
      <c r="I2801">
        <v>35204066</v>
      </c>
      <c r="J2801">
        <v>42169443</v>
      </c>
      <c r="K2801">
        <v>51183662</v>
      </c>
      <c r="L2801">
        <v>28821480</v>
      </c>
      <c r="M2801">
        <v>71954150</v>
      </c>
      <c r="P2801">
        <v>90</v>
      </c>
      <c r="Q2801" t="s">
        <v>5946</v>
      </c>
    </row>
    <row r="2802" spans="1:17" x14ac:dyDescent="0.3">
      <c r="A2802" t="s">
        <v>59</v>
      </c>
      <c r="B2802" t="str">
        <f>"000096"</f>
        <v>000096</v>
      </c>
      <c r="C2802" t="s">
        <v>5947</v>
      </c>
      <c r="D2802" t="s">
        <v>553</v>
      </c>
      <c r="F2802">
        <v>-54912325</v>
      </c>
      <c r="G2802">
        <v>40975679</v>
      </c>
      <c r="H2802">
        <v>104395678</v>
      </c>
      <c r="I2802">
        <v>78107697</v>
      </c>
      <c r="J2802">
        <v>81714870</v>
      </c>
      <c r="K2802">
        <v>-45480069</v>
      </c>
      <c r="L2802">
        <v>57620605</v>
      </c>
      <c r="M2802">
        <v>22735155</v>
      </c>
      <c r="N2802">
        <v>37292758</v>
      </c>
      <c r="O2802">
        <v>23978357</v>
      </c>
      <c r="P2802">
        <v>86</v>
      </c>
      <c r="Q2802" t="s">
        <v>5948</v>
      </c>
    </row>
    <row r="2803" spans="1:17" x14ac:dyDescent="0.3">
      <c r="A2803" t="s">
        <v>59</v>
      </c>
      <c r="B2803" t="str">
        <f>"300727"</f>
        <v>300727</v>
      </c>
      <c r="C2803" t="s">
        <v>5949</v>
      </c>
      <c r="D2803" t="s">
        <v>1900</v>
      </c>
      <c r="F2803">
        <v>131807031</v>
      </c>
      <c r="G2803">
        <v>48591858</v>
      </c>
      <c r="H2803">
        <v>104330064</v>
      </c>
      <c r="I2803">
        <v>4807315</v>
      </c>
      <c r="J2803">
        <v>-6155238</v>
      </c>
      <c r="K2803">
        <v>28182455</v>
      </c>
      <c r="L2803">
        <v>11326076</v>
      </c>
      <c r="M2803">
        <v>9937865</v>
      </c>
      <c r="P2803">
        <v>73</v>
      </c>
      <c r="Q2803" t="s">
        <v>5950</v>
      </c>
    </row>
    <row r="2804" spans="1:17" x14ac:dyDescent="0.3">
      <c r="A2804" t="s">
        <v>59</v>
      </c>
      <c r="B2804" t="str">
        <f>"003005"</f>
        <v>003005</v>
      </c>
      <c r="C2804" t="s">
        <v>5951</v>
      </c>
      <c r="D2804" t="s">
        <v>1189</v>
      </c>
      <c r="F2804">
        <v>32293881</v>
      </c>
      <c r="G2804">
        <v>72283635</v>
      </c>
      <c r="H2804">
        <v>104314395</v>
      </c>
      <c r="I2804">
        <v>93346708</v>
      </c>
      <c r="J2804">
        <v>73386881</v>
      </c>
      <c r="K2804">
        <v>84455887</v>
      </c>
      <c r="P2804">
        <v>68</v>
      </c>
      <c r="Q2804" t="s">
        <v>5952</v>
      </c>
    </row>
    <row r="2805" spans="1:17" x14ac:dyDescent="0.3">
      <c r="A2805" t="s">
        <v>17</v>
      </c>
      <c r="B2805" t="str">
        <f>"603063"</f>
        <v>603063</v>
      </c>
      <c r="C2805" t="s">
        <v>5953</v>
      </c>
      <c r="D2805" t="s">
        <v>1525</v>
      </c>
      <c r="F2805">
        <v>-38238097</v>
      </c>
      <c r="G2805">
        <v>140726093</v>
      </c>
      <c r="H2805">
        <v>104173439</v>
      </c>
      <c r="I2805">
        <v>46245634</v>
      </c>
      <c r="J2805">
        <v>83874603</v>
      </c>
      <c r="K2805">
        <v>174579439</v>
      </c>
      <c r="L2805">
        <v>25382613</v>
      </c>
      <c r="M2805">
        <v>96840549</v>
      </c>
      <c r="P2805">
        <v>212</v>
      </c>
      <c r="Q2805" t="s">
        <v>5954</v>
      </c>
    </row>
    <row r="2806" spans="1:17" x14ac:dyDescent="0.3">
      <c r="A2806" t="s">
        <v>59</v>
      </c>
      <c r="B2806" t="str">
        <f>"300299"</f>
        <v>300299</v>
      </c>
      <c r="C2806" t="s">
        <v>5955</v>
      </c>
      <c r="D2806" t="s">
        <v>689</v>
      </c>
      <c r="F2806">
        <v>150367782</v>
      </c>
      <c r="G2806">
        <v>67931535</v>
      </c>
      <c r="H2806">
        <v>104133270</v>
      </c>
      <c r="I2806">
        <v>43045865</v>
      </c>
      <c r="J2806">
        <v>139625630</v>
      </c>
      <c r="K2806">
        <v>150135446</v>
      </c>
      <c r="L2806">
        <v>95423212</v>
      </c>
      <c r="M2806">
        <v>-13385928</v>
      </c>
      <c r="N2806">
        <v>-29468320</v>
      </c>
      <c r="O2806">
        <v>-27879039</v>
      </c>
      <c r="P2806">
        <v>187</v>
      </c>
      <c r="Q2806" t="s">
        <v>5956</v>
      </c>
    </row>
    <row r="2807" spans="1:17" x14ac:dyDescent="0.3">
      <c r="A2807" t="s">
        <v>17</v>
      </c>
      <c r="B2807" t="str">
        <f>"688518"</f>
        <v>688518</v>
      </c>
      <c r="C2807" t="s">
        <v>5957</v>
      </c>
      <c r="D2807" t="s">
        <v>975</v>
      </c>
      <c r="F2807">
        <v>-10208580</v>
      </c>
      <c r="G2807">
        <v>256351700</v>
      </c>
      <c r="H2807">
        <v>104047970</v>
      </c>
      <c r="I2807">
        <v>-174037702</v>
      </c>
      <c r="J2807">
        <v>-51061252</v>
      </c>
      <c r="K2807">
        <v>-58808695</v>
      </c>
      <c r="P2807">
        <v>65</v>
      </c>
      <c r="Q2807" t="s">
        <v>5958</v>
      </c>
    </row>
    <row r="2808" spans="1:17" x14ac:dyDescent="0.3">
      <c r="A2808" t="s">
        <v>17</v>
      </c>
      <c r="B2808" t="str">
        <f>"688365"</f>
        <v>688365</v>
      </c>
      <c r="C2808" t="s">
        <v>5959</v>
      </c>
      <c r="D2808" t="s">
        <v>1189</v>
      </c>
      <c r="F2808">
        <v>-35155695</v>
      </c>
      <c r="G2808">
        <v>86877327</v>
      </c>
      <c r="H2808">
        <v>103919219</v>
      </c>
      <c r="I2808">
        <v>104913963</v>
      </c>
      <c r="J2808">
        <v>98851508</v>
      </c>
      <c r="K2808">
        <v>69211030</v>
      </c>
      <c r="P2808">
        <v>72</v>
      </c>
      <c r="Q2808" t="s">
        <v>5960</v>
      </c>
    </row>
    <row r="2809" spans="1:17" x14ac:dyDescent="0.3">
      <c r="A2809" t="s">
        <v>17</v>
      </c>
      <c r="B2809" t="str">
        <f>"605567"</f>
        <v>605567</v>
      </c>
      <c r="C2809" t="s">
        <v>5961</v>
      </c>
      <c r="D2809" t="s">
        <v>2504</v>
      </c>
      <c r="F2809">
        <v>101285900</v>
      </c>
      <c r="G2809">
        <v>192919841</v>
      </c>
      <c r="H2809">
        <v>103819287</v>
      </c>
      <c r="I2809">
        <v>46726611</v>
      </c>
      <c r="J2809">
        <v>117140508</v>
      </c>
      <c r="P2809">
        <v>32</v>
      </c>
      <c r="Q2809" t="s">
        <v>5962</v>
      </c>
    </row>
    <row r="2810" spans="1:17" x14ac:dyDescent="0.3">
      <c r="A2810" t="s">
        <v>59</v>
      </c>
      <c r="B2810" t="str">
        <f>"300610"</f>
        <v>300610</v>
      </c>
      <c r="C2810" t="s">
        <v>5963</v>
      </c>
      <c r="D2810" t="s">
        <v>2104</v>
      </c>
      <c r="F2810">
        <v>169892883</v>
      </c>
      <c r="G2810">
        <v>111776622</v>
      </c>
      <c r="H2810">
        <v>103789952</v>
      </c>
      <c r="I2810">
        <v>69471230</v>
      </c>
      <c r="J2810">
        <v>36102334</v>
      </c>
      <c r="K2810">
        <v>81503066</v>
      </c>
      <c r="L2810">
        <v>79366058</v>
      </c>
      <c r="M2810">
        <v>37699270</v>
      </c>
      <c r="N2810">
        <v>37270379</v>
      </c>
      <c r="P2810">
        <v>129</v>
      </c>
      <c r="Q2810" t="s">
        <v>5964</v>
      </c>
    </row>
    <row r="2811" spans="1:17" x14ac:dyDescent="0.3">
      <c r="A2811" t="s">
        <v>59</v>
      </c>
      <c r="B2811" t="str">
        <f>"300696"</f>
        <v>300696</v>
      </c>
      <c r="C2811" t="s">
        <v>5965</v>
      </c>
      <c r="D2811" t="s">
        <v>448</v>
      </c>
      <c r="F2811">
        <v>245534216</v>
      </c>
      <c r="G2811">
        <v>-23603557</v>
      </c>
      <c r="H2811">
        <v>103756717</v>
      </c>
      <c r="I2811">
        <v>-1507810</v>
      </c>
      <c r="J2811">
        <v>93849805</v>
      </c>
      <c r="K2811">
        <v>6302470</v>
      </c>
      <c r="L2811">
        <v>84073964</v>
      </c>
      <c r="M2811">
        <v>22919164</v>
      </c>
      <c r="P2811">
        <v>222</v>
      </c>
      <c r="Q2811" t="s">
        <v>5966</v>
      </c>
    </row>
    <row r="2812" spans="1:17" x14ac:dyDescent="0.3">
      <c r="A2812" t="s">
        <v>59</v>
      </c>
      <c r="B2812" t="str">
        <f>"300846"</f>
        <v>300846</v>
      </c>
      <c r="C2812" t="s">
        <v>5967</v>
      </c>
      <c r="D2812" t="s">
        <v>1189</v>
      </c>
      <c r="F2812">
        <v>177377105</v>
      </c>
      <c r="G2812">
        <v>127220736</v>
      </c>
      <c r="H2812">
        <v>103710049</v>
      </c>
      <c r="I2812">
        <v>75568389</v>
      </c>
      <c r="J2812">
        <v>88547144</v>
      </c>
      <c r="K2812">
        <v>55348811</v>
      </c>
      <c r="P2812">
        <v>78</v>
      </c>
      <c r="Q2812" t="s">
        <v>5968</v>
      </c>
    </row>
    <row r="2813" spans="1:17" x14ac:dyDescent="0.3">
      <c r="A2813" t="s">
        <v>17</v>
      </c>
      <c r="B2813" t="str">
        <f>"603917"</f>
        <v>603917</v>
      </c>
      <c r="C2813" t="s">
        <v>5969</v>
      </c>
      <c r="D2813" t="s">
        <v>1226</v>
      </c>
      <c r="F2813">
        <v>107594876</v>
      </c>
      <c r="G2813">
        <v>108549561</v>
      </c>
      <c r="H2813">
        <v>103653611</v>
      </c>
      <c r="I2813">
        <v>7088816</v>
      </c>
      <c r="J2813">
        <v>55263016</v>
      </c>
      <c r="K2813">
        <v>86114100</v>
      </c>
      <c r="L2813">
        <v>57382647</v>
      </c>
      <c r="M2813">
        <v>22864230</v>
      </c>
      <c r="P2813">
        <v>73</v>
      </c>
      <c r="Q2813" t="s">
        <v>5970</v>
      </c>
    </row>
    <row r="2814" spans="1:17" x14ac:dyDescent="0.3">
      <c r="A2814" t="s">
        <v>59</v>
      </c>
      <c r="B2814" t="str">
        <f>"300103"</f>
        <v>300103</v>
      </c>
      <c r="C2814" t="s">
        <v>5971</v>
      </c>
      <c r="D2814" t="s">
        <v>1351</v>
      </c>
      <c r="F2814">
        <v>262651383</v>
      </c>
      <c r="G2814">
        <v>30540927</v>
      </c>
      <c r="H2814">
        <v>103619788</v>
      </c>
      <c r="I2814">
        <v>-21524101</v>
      </c>
      <c r="J2814">
        <v>23506885</v>
      </c>
      <c r="K2814">
        <v>37794089</v>
      </c>
      <c r="L2814">
        <v>50917228</v>
      </c>
      <c r="M2814">
        <v>85908563</v>
      </c>
      <c r="N2814">
        <v>963145</v>
      </c>
      <c r="O2814">
        <v>68954775</v>
      </c>
      <c r="P2814">
        <v>53</v>
      </c>
      <c r="Q2814" t="s">
        <v>5972</v>
      </c>
    </row>
    <row r="2815" spans="1:17" x14ac:dyDescent="0.3">
      <c r="A2815" t="s">
        <v>17</v>
      </c>
      <c r="B2815" t="str">
        <f>"605318"</f>
        <v>605318</v>
      </c>
      <c r="C2815" t="s">
        <v>5973</v>
      </c>
      <c r="D2815" t="s">
        <v>1041</v>
      </c>
      <c r="F2815">
        <v>84313915</v>
      </c>
      <c r="G2815">
        <v>123920360</v>
      </c>
      <c r="H2815">
        <v>103509695</v>
      </c>
      <c r="I2815">
        <v>103237661</v>
      </c>
      <c r="J2815">
        <v>106875024</v>
      </c>
      <c r="P2815">
        <v>58</v>
      </c>
      <c r="Q2815" t="s">
        <v>5974</v>
      </c>
    </row>
    <row r="2816" spans="1:17" x14ac:dyDescent="0.3">
      <c r="A2816" t="s">
        <v>59</v>
      </c>
      <c r="B2816" t="str">
        <f>"300653"</f>
        <v>300653</v>
      </c>
      <c r="C2816" t="s">
        <v>5975</v>
      </c>
      <c r="D2816" t="s">
        <v>1036</v>
      </c>
      <c r="F2816">
        <v>166134014</v>
      </c>
      <c r="G2816">
        <v>118432080</v>
      </c>
      <c r="H2816">
        <v>103477377</v>
      </c>
      <c r="I2816">
        <v>77466025</v>
      </c>
      <c r="J2816">
        <v>65473421</v>
      </c>
      <c r="K2816">
        <v>49249898</v>
      </c>
      <c r="L2816">
        <v>45739642</v>
      </c>
      <c r="M2816">
        <v>30791513</v>
      </c>
      <c r="P2816">
        <v>898</v>
      </c>
      <c r="Q2816" t="s">
        <v>5976</v>
      </c>
    </row>
    <row r="2817" spans="1:17" x14ac:dyDescent="0.3">
      <c r="A2817" t="s">
        <v>17</v>
      </c>
      <c r="B2817" t="str">
        <f>"688558"</f>
        <v>688558</v>
      </c>
      <c r="C2817" t="s">
        <v>5977</v>
      </c>
      <c r="D2817" t="s">
        <v>2705</v>
      </c>
      <c r="F2817">
        <v>94065819</v>
      </c>
      <c r="G2817">
        <v>92152319</v>
      </c>
      <c r="H2817">
        <v>103315830</v>
      </c>
      <c r="I2817">
        <v>63432072</v>
      </c>
      <c r="J2817">
        <v>41668510</v>
      </c>
      <c r="K2817">
        <v>60710539</v>
      </c>
      <c r="P2817">
        <v>95</v>
      </c>
      <c r="Q2817" t="s">
        <v>5978</v>
      </c>
    </row>
    <row r="2818" spans="1:17" x14ac:dyDescent="0.3">
      <c r="A2818" t="s">
        <v>17</v>
      </c>
      <c r="B2818" t="str">
        <f>"603037"</f>
        <v>603037</v>
      </c>
      <c r="C2818" t="s">
        <v>5979</v>
      </c>
      <c r="D2818" t="s">
        <v>156</v>
      </c>
      <c r="F2818">
        <v>119097111</v>
      </c>
      <c r="G2818">
        <v>185052780</v>
      </c>
      <c r="H2818">
        <v>103287244</v>
      </c>
      <c r="I2818">
        <v>132714626</v>
      </c>
      <c r="J2818">
        <v>84002592</v>
      </c>
      <c r="K2818">
        <v>39190614</v>
      </c>
      <c r="L2818">
        <v>64163228</v>
      </c>
      <c r="M2818">
        <v>42405896</v>
      </c>
      <c r="N2818">
        <v>35424601</v>
      </c>
      <c r="P2818">
        <v>230</v>
      </c>
      <c r="Q2818" t="s">
        <v>5980</v>
      </c>
    </row>
    <row r="2819" spans="1:17" x14ac:dyDescent="0.3">
      <c r="A2819" t="s">
        <v>17</v>
      </c>
      <c r="B2819" t="str">
        <f>"603112"</f>
        <v>603112</v>
      </c>
      <c r="C2819" t="s">
        <v>5981</v>
      </c>
      <c r="D2819" t="s">
        <v>1087</v>
      </c>
      <c r="F2819">
        <v>227163702</v>
      </c>
      <c r="G2819">
        <v>162647821</v>
      </c>
      <c r="H2819">
        <v>103036781</v>
      </c>
      <c r="I2819">
        <v>239996501</v>
      </c>
      <c r="J2819">
        <v>79068554</v>
      </c>
      <c r="K2819">
        <v>183398114</v>
      </c>
      <c r="P2819">
        <v>48</v>
      </c>
      <c r="Q2819" t="s">
        <v>5982</v>
      </c>
    </row>
    <row r="2820" spans="1:17" x14ac:dyDescent="0.3">
      <c r="A2820" t="s">
        <v>59</v>
      </c>
      <c r="B2820" t="str">
        <f>"301186"</f>
        <v>301186</v>
      </c>
      <c r="C2820" t="s">
        <v>5983</v>
      </c>
      <c r="D2820" t="s">
        <v>1226</v>
      </c>
      <c r="F2820">
        <v>-17829099</v>
      </c>
      <c r="G2820">
        <v>92561711</v>
      </c>
      <c r="H2820">
        <v>103025658</v>
      </c>
      <c r="I2820">
        <v>71095685</v>
      </c>
      <c r="J2820">
        <v>51099344</v>
      </c>
      <c r="P2820">
        <v>10</v>
      </c>
      <c r="Q2820" t="s">
        <v>5984</v>
      </c>
    </row>
    <row r="2821" spans="1:17" x14ac:dyDescent="0.3">
      <c r="A2821" t="s">
        <v>17</v>
      </c>
      <c r="B2821" t="str">
        <f>"688687"</f>
        <v>688687</v>
      </c>
      <c r="C2821" t="s">
        <v>5985</v>
      </c>
      <c r="D2821" t="s">
        <v>1062</v>
      </c>
      <c r="F2821">
        <v>117938942</v>
      </c>
      <c r="G2821">
        <v>131422479</v>
      </c>
      <c r="H2821">
        <v>102943712</v>
      </c>
      <c r="I2821">
        <v>60313085</v>
      </c>
      <c r="J2821">
        <v>14197449</v>
      </c>
      <c r="P2821">
        <v>41</v>
      </c>
      <c r="Q2821" t="s">
        <v>5986</v>
      </c>
    </row>
    <row r="2822" spans="1:17" x14ac:dyDescent="0.3">
      <c r="A2822" t="s">
        <v>59</v>
      </c>
      <c r="B2822" t="str">
        <f>"002256"</f>
        <v>002256</v>
      </c>
      <c r="C2822" t="s">
        <v>5987</v>
      </c>
      <c r="D2822" t="s">
        <v>1119</v>
      </c>
      <c r="F2822">
        <v>-48496336</v>
      </c>
      <c r="G2822">
        <v>93722056</v>
      </c>
      <c r="H2822">
        <v>102893689</v>
      </c>
      <c r="I2822">
        <v>186380475</v>
      </c>
      <c r="J2822">
        <v>174510833</v>
      </c>
      <c r="K2822">
        <v>142271426</v>
      </c>
      <c r="L2822">
        <v>68815196</v>
      </c>
      <c r="M2822">
        <v>-23565753</v>
      </c>
      <c r="N2822">
        <v>72149281</v>
      </c>
      <c r="O2822">
        <v>9692797</v>
      </c>
      <c r="P2822">
        <v>151</v>
      </c>
      <c r="Q2822" t="s">
        <v>5988</v>
      </c>
    </row>
    <row r="2823" spans="1:17" x14ac:dyDescent="0.3">
      <c r="A2823" t="s">
        <v>59</v>
      </c>
      <c r="B2823" t="str">
        <f>"300837"</f>
        <v>300837</v>
      </c>
      <c r="C2823" t="s">
        <v>5989</v>
      </c>
      <c r="D2823" t="s">
        <v>741</v>
      </c>
      <c r="F2823">
        <v>152708800</v>
      </c>
      <c r="G2823">
        <v>131791301</v>
      </c>
      <c r="H2823">
        <v>102804973</v>
      </c>
      <c r="I2823">
        <v>71638479</v>
      </c>
      <c r="J2823">
        <v>63175174</v>
      </c>
      <c r="P2823">
        <v>154</v>
      </c>
      <c r="Q2823" t="s">
        <v>5990</v>
      </c>
    </row>
    <row r="2824" spans="1:17" x14ac:dyDescent="0.3">
      <c r="A2824" t="s">
        <v>17</v>
      </c>
      <c r="B2824" t="str">
        <f>"688059"</f>
        <v>688059</v>
      </c>
      <c r="C2824" t="s">
        <v>5991</v>
      </c>
      <c r="D2824" t="s">
        <v>637</v>
      </c>
      <c r="F2824">
        <v>206098600</v>
      </c>
      <c r="G2824">
        <v>100945307</v>
      </c>
      <c r="H2824">
        <v>102779727</v>
      </c>
      <c r="I2824">
        <v>66087764</v>
      </c>
      <c r="J2824">
        <v>36887643</v>
      </c>
      <c r="P2824">
        <v>105</v>
      </c>
      <c r="Q2824" t="s">
        <v>5992</v>
      </c>
    </row>
    <row r="2825" spans="1:17" x14ac:dyDescent="0.3">
      <c r="A2825" t="s">
        <v>17</v>
      </c>
      <c r="B2825" t="str">
        <f>"688138"</f>
        <v>688138</v>
      </c>
      <c r="C2825" t="s">
        <v>5993</v>
      </c>
      <c r="D2825" t="s">
        <v>874</v>
      </c>
      <c r="F2825">
        <v>194179868</v>
      </c>
      <c r="G2825">
        <v>186964489</v>
      </c>
      <c r="H2825">
        <v>102685253</v>
      </c>
      <c r="I2825">
        <v>99570475</v>
      </c>
      <c r="J2825">
        <v>95532803</v>
      </c>
      <c r="K2825">
        <v>97236698</v>
      </c>
      <c r="P2825">
        <v>92</v>
      </c>
      <c r="Q2825" t="s">
        <v>5994</v>
      </c>
    </row>
    <row r="2826" spans="1:17" x14ac:dyDescent="0.3">
      <c r="A2826" t="s">
        <v>17</v>
      </c>
      <c r="B2826" t="str">
        <f>"603048"</f>
        <v>603048</v>
      </c>
      <c r="C2826" t="s">
        <v>5995</v>
      </c>
      <c r="D2826" t="s">
        <v>1226</v>
      </c>
      <c r="F2826">
        <v>100163876</v>
      </c>
      <c r="G2826">
        <v>135539958</v>
      </c>
      <c r="H2826">
        <v>102561245</v>
      </c>
      <c r="I2826">
        <v>115494686</v>
      </c>
      <c r="J2826">
        <v>59215651</v>
      </c>
      <c r="P2826">
        <v>16</v>
      </c>
      <c r="Q2826" t="s">
        <v>5996</v>
      </c>
    </row>
    <row r="2827" spans="1:17" x14ac:dyDescent="0.3">
      <c r="A2827" t="s">
        <v>17</v>
      </c>
      <c r="B2827" t="str">
        <f>"603528"</f>
        <v>603528</v>
      </c>
      <c r="C2827" t="s">
        <v>5997</v>
      </c>
      <c r="D2827" t="s">
        <v>1528</v>
      </c>
      <c r="F2827">
        <v>124392294</v>
      </c>
      <c r="G2827">
        <v>59531952</v>
      </c>
      <c r="H2827">
        <v>102509436</v>
      </c>
      <c r="I2827">
        <v>125622757</v>
      </c>
      <c r="J2827">
        <v>112438873</v>
      </c>
      <c r="K2827">
        <v>98647616</v>
      </c>
      <c r="L2827">
        <v>253053108</v>
      </c>
      <c r="M2827">
        <v>272677803</v>
      </c>
      <c r="N2827">
        <v>228446884</v>
      </c>
      <c r="P2827">
        <v>195</v>
      </c>
      <c r="Q2827" t="s">
        <v>5998</v>
      </c>
    </row>
    <row r="2828" spans="1:17" x14ac:dyDescent="0.3">
      <c r="A2828" t="s">
        <v>17</v>
      </c>
      <c r="B2828" t="str">
        <f>"603321"</f>
        <v>603321</v>
      </c>
      <c r="C2828" t="s">
        <v>5999</v>
      </c>
      <c r="D2828" t="s">
        <v>3004</v>
      </c>
      <c r="F2828">
        <v>34678201</v>
      </c>
      <c r="G2828">
        <v>77466931</v>
      </c>
      <c r="H2828">
        <v>102445560</v>
      </c>
      <c r="I2828">
        <v>64110995</v>
      </c>
      <c r="J2828">
        <v>93249931</v>
      </c>
      <c r="K2828">
        <v>49687805</v>
      </c>
      <c r="L2828">
        <v>123612350</v>
      </c>
      <c r="M2828">
        <v>77034769</v>
      </c>
      <c r="P2828">
        <v>59</v>
      </c>
      <c r="Q2828" t="s">
        <v>6000</v>
      </c>
    </row>
    <row r="2829" spans="1:17" x14ac:dyDescent="0.3">
      <c r="A2829" t="s">
        <v>59</v>
      </c>
      <c r="B2829" t="str">
        <f>"301181"</f>
        <v>301181</v>
      </c>
      <c r="C2829" t="s">
        <v>6001</v>
      </c>
      <c r="F2829">
        <v>102250386</v>
      </c>
      <c r="G2829">
        <v>136865589</v>
      </c>
      <c r="H2829">
        <v>102437843</v>
      </c>
      <c r="I2829">
        <v>45567743</v>
      </c>
      <c r="J2829">
        <v>30161464</v>
      </c>
      <c r="P2829">
        <v>5</v>
      </c>
      <c r="Q2829" t="s">
        <v>6002</v>
      </c>
    </row>
    <row r="2830" spans="1:17" x14ac:dyDescent="0.3">
      <c r="A2830" t="s">
        <v>59</v>
      </c>
      <c r="B2830" t="str">
        <f>"300655"</f>
        <v>300655</v>
      </c>
      <c r="C2830" t="s">
        <v>6003</v>
      </c>
      <c r="D2830" t="s">
        <v>2111</v>
      </c>
      <c r="F2830">
        <v>167022220</v>
      </c>
      <c r="G2830">
        <v>63782672</v>
      </c>
      <c r="H2830">
        <v>102367333</v>
      </c>
      <c r="I2830">
        <v>38928537</v>
      </c>
      <c r="J2830">
        <v>-27547747</v>
      </c>
      <c r="K2830">
        <v>26528287</v>
      </c>
      <c r="L2830">
        <v>17358393</v>
      </c>
      <c r="M2830">
        <v>42156812</v>
      </c>
      <c r="P2830">
        <v>3076</v>
      </c>
      <c r="Q2830" t="s">
        <v>6004</v>
      </c>
    </row>
    <row r="2831" spans="1:17" x14ac:dyDescent="0.3">
      <c r="A2831" t="s">
        <v>17</v>
      </c>
      <c r="B2831" t="str">
        <f>"688018"</f>
        <v>688018</v>
      </c>
      <c r="C2831" t="s">
        <v>6005</v>
      </c>
      <c r="D2831" t="s">
        <v>817</v>
      </c>
      <c r="F2831">
        <v>31460857</v>
      </c>
      <c r="G2831">
        <v>36055511</v>
      </c>
      <c r="H2831">
        <v>102315848</v>
      </c>
      <c r="I2831">
        <v>72861632</v>
      </c>
      <c r="J2831">
        <v>-9238223</v>
      </c>
      <c r="K2831">
        <v>16401462</v>
      </c>
      <c r="P2831">
        <v>317</v>
      </c>
      <c r="Q2831" t="s">
        <v>6006</v>
      </c>
    </row>
    <row r="2832" spans="1:17" x14ac:dyDescent="0.3">
      <c r="A2832" t="s">
        <v>59</v>
      </c>
      <c r="B2832" t="str">
        <f>"200986"</f>
        <v>200986</v>
      </c>
      <c r="C2832" t="s">
        <v>6007</v>
      </c>
      <c r="G2832">
        <v>846785656.11570001</v>
      </c>
      <c r="H2832">
        <v>102168545.862</v>
      </c>
      <c r="I2832">
        <v>447960352.20749998</v>
      </c>
      <c r="J2832">
        <v>-44137020.144199997</v>
      </c>
      <c r="K2832">
        <v>456649822.09820002</v>
      </c>
      <c r="L2832">
        <v>732324600.62100005</v>
      </c>
      <c r="M2832">
        <v>600054868.63199997</v>
      </c>
      <c r="N2832">
        <v>1052597821.9708</v>
      </c>
      <c r="O2832">
        <v>23852256.181600001</v>
      </c>
      <c r="P2832">
        <v>8</v>
      </c>
      <c r="Q2832" t="s">
        <v>6008</v>
      </c>
    </row>
    <row r="2833" spans="1:17" x14ac:dyDescent="0.3">
      <c r="A2833" t="s">
        <v>59</v>
      </c>
      <c r="B2833" t="str">
        <f>"301003"</f>
        <v>301003</v>
      </c>
      <c r="C2833" t="s">
        <v>6009</v>
      </c>
      <c r="D2833" t="s">
        <v>792</v>
      </c>
      <c r="F2833">
        <v>104429642</v>
      </c>
      <c r="G2833">
        <v>27398747</v>
      </c>
      <c r="H2833">
        <v>102111100</v>
      </c>
      <c r="I2833">
        <v>15012577</v>
      </c>
      <c r="J2833">
        <v>40990646</v>
      </c>
      <c r="P2833">
        <v>31</v>
      </c>
      <c r="Q2833" t="s">
        <v>6010</v>
      </c>
    </row>
    <row r="2834" spans="1:17" x14ac:dyDescent="0.3">
      <c r="A2834" t="s">
        <v>17</v>
      </c>
      <c r="B2834" t="str">
        <f>"600616"</f>
        <v>600616</v>
      </c>
      <c r="C2834" t="s">
        <v>6011</v>
      </c>
      <c r="D2834" t="s">
        <v>1964</v>
      </c>
      <c r="F2834">
        <v>68121448</v>
      </c>
      <c r="G2834">
        <v>-27192568</v>
      </c>
      <c r="H2834">
        <v>102042733</v>
      </c>
      <c r="I2834">
        <v>49508547</v>
      </c>
      <c r="J2834">
        <v>113494473</v>
      </c>
      <c r="K2834">
        <v>123775115</v>
      </c>
      <c r="L2834">
        <v>160431150</v>
      </c>
      <c r="M2834">
        <v>84430043</v>
      </c>
      <c r="N2834">
        <v>140108857</v>
      </c>
      <c r="O2834">
        <v>97332994</v>
      </c>
      <c r="P2834">
        <v>180</v>
      </c>
      <c r="Q2834" t="s">
        <v>6012</v>
      </c>
    </row>
    <row r="2835" spans="1:17" x14ac:dyDescent="0.3">
      <c r="A2835" t="s">
        <v>17</v>
      </c>
      <c r="B2835" t="str">
        <f>"600455"</f>
        <v>600455</v>
      </c>
      <c r="C2835" t="s">
        <v>6013</v>
      </c>
      <c r="D2835" t="s">
        <v>1528</v>
      </c>
      <c r="F2835">
        <v>131568437</v>
      </c>
      <c r="G2835">
        <v>54657353</v>
      </c>
      <c r="H2835">
        <v>101913744</v>
      </c>
      <c r="I2835">
        <v>75816464</v>
      </c>
      <c r="J2835">
        <v>52079891</v>
      </c>
      <c r="K2835">
        <v>26976152</v>
      </c>
      <c r="L2835">
        <v>41058141</v>
      </c>
      <c r="M2835">
        <v>41698869</v>
      </c>
      <c r="N2835">
        <v>7850533</v>
      </c>
      <c r="O2835">
        <v>62272671</v>
      </c>
      <c r="P2835">
        <v>103</v>
      </c>
      <c r="Q2835" t="s">
        <v>6014</v>
      </c>
    </row>
    <row r="2836" spans="1:17" x14ac:dyDescent="0.3">
      <c r="A2836" t="s">
        <v>59</v>
      </c>
      <c r="B2836" t="str">
        <f>"002484"</f>
        <v>002484</v>
      </c>
      <c r="C2836" t="s">
        <v>6015</v>
      </c>
      <c r="D2836" t="s">
        <v>1180</v>
      </c>
      <c r="F2836">
        <v>310825301</v>
      </c>
      <c r="G2836">
        <v>286134269</v>
      </c>
      <c r="H2836">
        <v>101892751</v>
      </c>
      <c r="I2836">
        <v>193577418</v>
      </c>
      <c r="J2836">
        <v>239285383</v>
      </c>
      <c r="K2836">
        <v>175763704</v>
      </c>
      <c r="L2836">
        <v>123344943</v>
      </c>
      <c r="M2836">
        <v>168261912</v>
      </c>
      <c r="N2836">
        <v>141036465</v>
      </c>
      <c r="O2836">
        <v>128861033</v>
      </c>
      <c r="P2836">
        <v>311</v>
      </c>
      <c r="Q2836" t="s">
        <v>6016</v>
      </c>
    </row>
    <row r="2837" spans="1:17" x14ac:dyDescent="0.3">
      <c r="A2837" t="s">
        <v>59</v>
      </c>
      <c r="B2837" t="str">
        <f>"300665"</f>
        <v>300665</v>
      </c>
      <c r="C2837" t="s">
        <v>6017</v>
      </c>
      <c r="D2837" t="s">
        <v>4667</v>
      </c>
      <c r="F2837">
        <v>59219421</v>
      </c>
      <c r="G2837">
        <v>30327926</v>
      </c>
      <c r="H2837">
        <v>101842999</v>
      </c>
      <c r="I2837">
        <v>-32703902</v>
      </c>
      <c r="J2837">
        <v>-19266004</v>
      </c>
      <c r="K2837">
        <v>26172133</v>
      </c>
      <c r="L2837">
        <v>-7535737</v>
      </c>
      <c r="M2837">
        <v>26212081</v>
      </c>
      <c r="P2837">
        <v>109</v>
      </c>
      <c r="Q2837" t="s">
        <v>6018</v>
      </c>
    </row>
    <row r="2838" spans="1:17" x14ac:dyDescent="0.3">
      <c r="A2838" t="s">
        <v>17</v>
      </c>
      <c r="B2838" t="str">
        <f>"603856"</f>
        <v>603856</v>
      </c>
      <c r="C2838" t="s">
        <v>6019</v>
      </c>
      <c r="D2838" t="s">
        <v>1858</v>
      </c>
      <c r="F2838">
        <v>-200948779</v>
      </c>
      <c r="G2838">
        <v>-27096247</v>
      </c>
      <c r="H2838">
        <v>101754691</v>
      </c>
      <c r="I2838">
        <v>68790570</v>
      </c>
      <c r="J2838">
        <v>-150669157</v>
      </c>
      <c r="K2838">
        <v>162974483</v>
      </c>
      <c r="L2838">
        <v>110852732</v>
      </c>
      <c r="M2838">
        <v>-18127900</v>
      </c>
      <c r="P2838">
        <v>138</v>
      </c>
      <c r="Q2838" t="s">
        <v>6020</v>
      </c>
    </row>
    <row r="2839" spans="1:17" x14ac:dyDescent="0.3">
      <c r="A2839" t="s">
        <v>59</v>
      </c>
      <c r="B2839" t="str">
        <f>"300948"</f>
        <v>300948</v>
      </c>
      <c r="C2839" t="s">
        <v>6021</v>
      </c>
      <c r="D2839" t="s">
        <v>1489</v>
      </c>
      <c r="F2839">
        <v>-120221088</v>
      </c>
      <c r="G2839">
        <v>78269008</v>
      </c>
      <c r="H2839">
        <v>101610470</v>
      </c>
      <c r="I2839">
        <v>-64244847</v>
      </c>
      <c r="J2839">
        <v>-31272913</v>
      </c>
      <c r="K2839">
        <v>26064404</v>
      </c>
      <c r="P2839">
        <v>38</v>
      </c>
      <c r="Q2839" t="s">
        <v>6022</v>
      </c>
    </row>
    <row r="2840" spans="1:17" x14ac:dyDescent="0.3">
      <c r="A2840" t="s">
        <v>59</v>
      </c>
      <c r="B2840" t="str">
        <f>"002835"</f>
        <v>002835</v>
      </c>
      <c r="C2840" t="s">
        <v>6023</v>
      </c>
      <c r="D2840" t="s">
        <v>344</v>
      </c>
      <c r="F2840">
        <v>-20430535</v>
      </c>
      <c r="G2840">
        <v>71833085</v>
      </c>
      <c r="H2840">
        <v>101557632</v>
      </c>
      <c r="I2840">
        <v>-33792987</v>
      </c>
      <c r="J2840">
        <v>-36671196</v>
      </c>
      <c r="K2840">
        <v>65465299</v>
      </c>
      <c r="L2840">
        <v>63654835</v>
      </c>
      <c r="M2840">
        <v>31208948</v>
      </c>
      <c r="N2840">
        <v>56039998</v>
      </c>
      <c r="P2840">
        <v>94</v>
      </c>
      <c r="Q2840" t="s">
        <v>6024</v>
      </c>
    </row>
    <row r="2841" spans="1:17" x14ac:dyDescent="0.3">
      <c r="A2841" t="s">
        <v>17</v>
      </c>
      <c r="B2841" t="str">
        <f>"603777"</f>
        <v>603777</v>
      </c>
      <c r="C2841" t="s">
        <v>6025</v>
      </c>
      <c r="D2841" t="s">
        <v>2353</v>
      </c>
      <c r="F2841">
        <v>574662704</v>
      </c>
      <c r="G2841">
        <v>95909481</v>
      </c>
      <c r="H2841">
        <v>101537383</v>
      </c>
      <c r="I2841">
        <v>72749733</v>
      </c>
      <c r="J2841">
        <v>153279160</v>
      </c>
      <c r="K2841">
        <v>323768449</v>
      </c>
      <c r="L2841">
        <v>190018964</v>
      </c>
      <c r="M2841">
        <v>227056462</v>
      </c>
      <c r="N2841">
        <v>164930649</v>
      </c>
      <c r="P2841">
        <v>259</v>
      </c>
      <c r="Q2841" t="s">
        <v>6026</v>
      </c>
    </row>
    <row r="2842" spans="1:17" x14ac:dyDescent="0.3">
      <c r="A2842" t="s">
        <v>59</v>
      </c>
      <c r="B2842" t="str">
        <f>"002762"</f>
        <v>002762</v>
      </c>
      <c r="C2842" t="s">
        <v>6027</v>
      </c>
      <c r="D2842" t="s">
        <v>646</v>
      </c>
      <c r="F2842">
        <v>38293600</v>
      </c>
      <c r="G2842">
        <v>84033626</v>
      </c>
      <c r="H2842">
        <v>101260432</v>
      </c>
      <c r="I2842">
        <v>49569263</v>
      </c>
      <c r="J2842">
        <v>78305208</v>
      </c>
      <c r="K2842">
        <v>80499761</v>
      </c>
      <c r="L2842">
        <v>34846374</v>
      </c>
      <c r="M2842">
        <v>111204209</v>
      </c>
      <c r="N2842">
        <v>58812739</v>
      </c>
      <c r="O2842">
        <v>49683969</v>
      </c>
      <c r="P2842">
        <v>128</v>
      </c>
      <c r="Q2842" t="s">
        <v>6028</v>
      </c>
    </row>
    <row r="2843" spans="1:17" x14ac:dyDescent="0.3">
      <c r="A2843" t="s">
        <v>17</v>
      </c>
      <c r="B2843" t="str">
        <f>"600187"</f>
        <v>600187</v>
      </c>
      <c r="C2843" t="s">
        <v>6029</v>
      </c>
      <c r="D2843" t="s">
        <v>669</v>
      </c>
      <c r="F2843">
        <v>261057240</v>
      </c>
      <c r="G2843">
        <v>-217465063</v>
      </c>
      <c r="H2843">
        <v>101211213</v>
      </c>
      <c r="I2843">
        <v>173972731</v>
      </c>
      <c r="J2843">
        <v>19061753</v>
      </c>
      <c r="K2843">
        <v>94589462</v>
      </c>
      <c r="L2843">
        <v>-73625103</v>
      </c>
      <c r="M2843">
        <v>105400937</v>
      </c>
      <c r="N2843">
        <v>140127193</v>
      </c>
      <c r="O2843">
        <v>129899171</v>
      </c>
      <c r="P2843">
        <v>116</v>
      </c>
      <c r="Q2843" t="s">
        <v>6030</v>
      </c>
    </row>
    <row r="2844" spans="1:17" x14ac:dyDescent="0.3">
      <c r="A2844" t="s">
        <v>17</v>
      </c>
      <c r="B2844" t="str">
        <f>"688090"</f>
        <v>688090</v>
      </c>
      <c r="C2844" t="s">
        <v>6031</v>
      </c>
      <c r="D2844" t="s">
        <v>3323</v>
      </c>
      <c r="F2844">
        <v>-60605871</v>
      </c>
      <c r="G2844">
        <v>12140731</v>
      </c>
      <c r="H2844">
        <v>101200185</v>
      </c>
      <c r="I2844">
        <v>69771045</v>
      </c>
      <c r="J2844">
        <v>121981101</v>
      </c>
      <c r="K2844">
        <v>-76028837</v>
      </c>
      <c r="P2844">
        <v>63</v>
      </c>
      <c r="Q2844" t="s">
        <v>6032</v>
      </c>
    </row>
    <row r="2845" spans="1:17" x14ac:dyDescent="0.3">
      <c r="A2845" t="s">
        <v>59</v>
      </c>
      <c r="B2845" t="str">
        <f>"300288"</f>
        <v>300288</v>
      </c>
      <c r="C2845" t="s">
        <v>6033</v>
      </c>
      <c r="D2845" t="s">
        <v>1189</v>
      </c>
      <c r="F2845">
        <v>72929752</v>
      </c>
      <c r="G2845">
        <v>69575611</v>
      </c>
      <c r="H2845">
        <v>101051749</v>
      </c>
      <c r="I2845">
        <v>123837769</v>
      </c>
      <c r="J2845">
        <v>69947142</v>
      </c>
      <c r="K2845">
        <v>89337508</v>
      </c>
      <c r="L2845">
        <v>127454193</v>
      </c>
      <c r="M2845">
        <v>45967103</v>
      </c>
      <c r="N2845">
        <v>61524896</v>
      </c>
      <c r="O2845">
        <v>62931496</v>
      </c>
      <c r="P2845">
        <v>221</v>
      </c>
      <c r="Q2845" t="s">
        <v>6034</v>
      </c>
    </row>
    <row r="2846" spans="1:17" x14ac:dyDescent="0.3">
      <c r="A2846" t="s">
        <v>17</v>
      </c>
      <c r="B2846" t="str">
        <f>"605208"</f>
        <v>605208</v>
      </c>
      <c r="C2846" t="s">
        <v>6035</v>
      </c>
      <c r="D2846" t="s">
        <v>238</v>
      </c>
      <c r="F2846">
        <v>-159941346</v>
      </c>
      <c r="G2846">
        <v>25149407</v>
      </c>
      <c r="H2846">
        <v>100925508</v>
      </c>
      <c r="I2846">
        <v>257280905</v>
      </c>
      <c r="J2846">
        <v>-354281</v>
      </c>
      <c r="P2846">
        <v>40</v>
      </c>
      <c r="Q2846" t="s">
        <v>6036</v>
      </c>
    </row>
    <row r="2847" spans="1:17" x14ac:dyDescent="0.3">
      <c r="A2847" t="s">
        <v>17</v>
      </c>
      <c r="B2847" t="str">
        <f>"603226"</f>
        <v>603226</v>
      </c>
      <c r="C2847" t="s">
        <v>6037</v>
      </c>
      <c r="D2847" t="s">
        <v>1791</v>
      </c>
      <c r="F2847">
        <v>117142183</v>
      </c>
      <c r="G2847">
        <v>60849106</v>
      </c>
      <c r="H2847">
        <v>100904619</v>
      </c>
      <c r="I2847">
        <v>128597982</v>
      </c>
      <c r="J2847">
        <v>79812815</v>
      </c>
      <c r="K2847">
        <v>103240783</v>
      </c>
      <c r="L2847">
        <v>121989757</v>
      </c>
      <c r="M2847">
        <v>78737008</v>
      </c>
      <c r="P2847">
        <v>113</v>
      </c>
      <c r="Q2847" t="s">
        <v>6038</v>
      </c>
    </row>
    <row r="2848" spans="1:17" x14ac:dyDescent="0.3">
      <c r="A2848" t="s">
        <v>59</v>
      </c>
      <c r="B2848" t="str">
        <f>"301076"</f>
        <v>301076</v>
      </c>
      <c r="C2848" t="s">
        <v>6039</v>
      </c>
      <c r="D2848" t="s">
        <v>1252</v>
      </c>
      <c r="F2848">
        <v>75560865</v>
      </c>
      <c r="G2848">
        <v>72622855</v>
      </c>
      <c r="H2848">
        <v>100802121</v>
      </c>
      <c r="I2848">
        <v>39720297</v>
      </c>
      <c r="J2848">
        <v>60357821</v>
      </c>
      <c r="P2848">
        <v>20</v>
      </c>
      <c r="Q2848" t="s">
        <v>6040</v>
      </c>
    </row>
    <row r="2849" spans="1:17" x14ac:dyDescent="0.3">
      <c r="A2849" t="s">
        <v>17</v>
      </c>
      <c r="B2849" t="str">
        <f>"900910"</f>
        <v>900910</v>
      </c>
      <c r="C2849" t="s">
        <v>6041</v>
      </c>
      <c r="G2849">
        <v>52782692.034000002</v>
      </c>
      <c r="H2849">
        <v>100714343.50120001</v>
      </c>
      <c r="I2849">
        <v>189803701.34720001</v>
      </c>
      <c r="J2849">
        <v>118301441.8944</v>
      </c>
      <c r="K2849">
        <v>125259007.68000001</v>
      </c>
      <c r="L2849">
        <v>78082894.736000001</v>
      </c>
      <c r="M2849">
        <v>74650574.351600006</v>
      </c>
      <c r="N2849">
        <v>69145082.4736</v>
      </c>
      <c r="O2849">
        <v>66078438.553499997</v>
      </c>
      <c r="P2849">
        <v>13</v>
      </c>
      <c r="Q2849" t="s">
        <v>6042</v>
      </c>
    </row>
    <row r="2850" spans="1:17" x14ac:dyDescent="0.3">
      <c r="A2850" t="s">
        <v>59</v>
      </c>
      <c r="B2850" t="str">
        <f>"002853"</f>
        <v>002853</v>
      </c>
      <c r="C2850" t="s">
        <v>6043</v>
      </c>
      <c r="D2850" t="s">
        <v>963</v>
      </c>
      <c r="F2850">
        <v>-321471833</v>
      </c>
      <c r="G2850">
        <v>218266632</v>
      </c>
      <c r="H2850">
        <v>100659606</v>
      </c>
      <c r="I2850">
        <v>10347984</v>
      </c>
      <c r="J2850">
        <v>89933944</v>
      </c>
      <c r="K2850">
        <v>98593289</v>
      </c>
      <c r="L2850">
        <v>128441331</v>
      </c>
      <c r="M2850">
        <v>37850809</v>
      </c>
      <c r="P2850">
        <v>379</v>
      </c>
      <c r="Q2850" t="s">
        <v>6044</v>
      </c>
    </row>
    <row r="2851" spans="1:17" x14ac:dyDescent="0.3">
      <c r="A2851" t="s">
        <v>59</v>
      </c>
      <c r="B2851" t="str">
        <f>"301135"</f>
        <v>301135</v>
      </c>
      <c r="C2851" t="s">
        <v>6045</v>
      </c>
      <c r="F2851">
        <v>56326095</v>
      </c>
      <c r="G2851">
        <v>73744974</v>
      </c>
      <c r="H2851">
        <v>100374699</v>
      </c>
      <c r="I2851">
        <v>59529747</v>
      </c>
      <c r="J2851">
        <v>11419733</v>
      </c>
      <c r="P2851">
        <v>1</v>
      </c>
      <c r="Q2851" t="s">
        <v>6046</v>
      </c>
    </row>
    <row r="2852" spans="1:17" x14ac:dyDescent="0.3">
      <c r="A2852" t="s">
        <v>59</v>
      </c>
      <c r="B2852" t="str">
        <f>"001205"</f>
        <v>001205</v>
      </c>
      <c r="C2852" t="s">
        <v>6047</v>
      </c>
      <c r="D2852" t="s">
        <v>178</v>
      </c>
      <c r="F2852">
        <v>185917138</v>
      </c>
      <c r="G2852">
        <v>166121783</v>
      </c>
      <c r="H2852">
        <v>100153412</v>
      </c>
      <c r="I2852">
        <v>94218372</v>
      </c>
      <c r="J2852">
        <v>76139968</v>
      </c>
      <c r="P2852">
        <v>44</v>
      </c>
      <c r="Q2852" t="s">
        <v>6048</v>
      </c>
    </row>
    <row r="2853" spans="1:17" x14ac:dyDescent="0.3">
      <c r="A2853" t="s">
        <v>59</v>
      </c>
      <c r="B2853" t="str">
        <f>"300247"</f>
        <v>300247</v>
      </c>
      <c r="C2853" t="s">
        <v>6049</v>
      </c>
      <c r="D2853" t="s">
        <v>2883</v>
      </c>
      <c r="F2853">
        <v>10821915</v>
      </c>
      <c r="G2853">
        <v>80965345</v>
      </c>
      <c r="H2853">
        <v>100063465</v>
      </c>
      <c r="I2853">
        <v>5556982</v>
      </c>
      <c r="J2853">
        <v>-86377856</v>
      </c>
      <c r="K2853">
        <v>43940566</v>
      </c>
      <c r="L2853">
        <v>-24091144</v>
      </c>
      <c r="M2853">
        <v>20527002</v>
      </c>
      <c r="N2853">
        <v>28056176</v>
      </c>
      <c r="O2853">
        <v>-19618295</v>
      </c>
      <c r="P2853">
        <v>107</v>
      </c>
      <c r="Q2853" t="s">
        <v>6050</v>
      </c>
    </row>
    <row r="2854" spans="1:17" x14ac:dyDescent="0.3">
      <c r="A2854" t="s">
        <v>17</v>
      </c>
      <c r="B2854" t="str">
        <f>"603209"</f>
        <v>603209</v>
      </c>
      <c r="C2854" t="s">
        <v>6051</v>
      </c>
      <c r="F2854">
        <v>317768555</v>
      </c>
      <c r="G2854">
        <v>181343502</v>
      </c>
      <c r="H2854">
        <v>100008503</v>
      </c>
      <c r="I2854">
        <v>117596600</v>
      </c>
      <c r="P2854">
        <v>12</v>
      </c>
      <c r="Q2854" t="s">
        <v>6052</v>
      </c>
    </row>
    <row r="2855" spans="1:17" x14ac:dyDescent="0.3">
      <c r="A2855" t="s">
        <v>59</v>
      </c>
      <c r="B2855" t="str">
        <f>"300776"</f>
        <v>300776</v>
      </c>
      <c r="C2855" t="s">
        <v>6053</v>
      </c>
      <c r="D2855" t="s">
        <v>2062</v>
      </c>
      <c r="F2855">
        <v>237380381</v>
      </c>
      <c r="G2855">
        <v>141552360</v>
      </c>
      <c r="H2855">
        <v>99931381</v>
      </c>
      <c r="I2855">
        <v>92218392</v>
      </c>
      <c r="J2855">
        <v>24058069</v>
      </c>
      <c r="K2855">
        <v>26274585</v>
      </c>
      <c r="P2855">
        <v>397</v>
      </c>
      <c r="Q2855" t="s">
        <v>6054</v>
      </c>
    </row>
    <row r="2856" spans="1:17" x14ac:dyDescent="0.3">
      <c r="A2856" t="s">
        <v>59</v>
      </c>
      <c r="B2856" t="str">
        <f>"300371"</f>
        <v>300371</v>
      </c>
      <c r="C2856" t="s">
        <v>6055</v>
      </c>
      <c r="D2856" t="s">
        <v>2382</v>
      </c>
      <c r="F2856">
        <v>15306649</v>
      </c>
      <c r="G2856">
        <v>107274516</v>
      </c>
      <c r="H2856">
        <v>99747785</v>
      </c>
      <c r="I2856">
        <v>73441699</v>
      </c>
      <c r="J2856">
        <v>80233745</v>
      </c>
      <c r="K2856">
        <v>57110252</v>
      </c>
      <c r="L2856">
        <v>60692657</v>
      </c>
      <c r="M2856">
        <v>61973781</v>
      </c>
      <c r="N2856">
        <v>63303926</v>
      </c>
      <c r="O2856">
        <v>39861405</v>
      </c>
      <c r="P2856">
        <v>288</v>
      </c>
      <c r="Q2856" t="s">
        <v>6056</v>
      </c>
    </row>
    <row r="2857" spans="1:17" x14ac:dyDescent="0.3">
      <c r="A2857" t="s">
        <v>59</v>
      </c>
      <c r="B2857" t="str">
        <f>"002503"</f>
        <v>002503</v>
      </c>
      <c r="C2857" t="s">
        <v>6057</v>
      </c>
      <c r="D2857" t="s">
        <v>646</v>
      </c>
      <c r="F2857">
        <v>-513341325</v>
      </c>
      <c r="G2857">
        <v>-1625849186</v>
      </c>
      <c r="H2857">
        <v>99707857</v>
      </c>
      <c r="I2857">
        <v>-591184183</v>
      </c>
      <c r="J2857">
        <v>-882083450</v>
      </c>
      <c r="K2857">
        <v>-612243753</v>
      </c>
      <c r="L2857">
        <v>199602445</v>
      </c>
      <c r="M2857">
        <v>-44116609</v>
      </c>
      <c r="N2857">
        <v>-32811444</v>
      </c>
      <c r="O2857">
        <v>302804524</v>
      </c>
      <c r="P2857">
        <v>244</v>
      </c>
      <c r="Q2857" t="s">
        <v>6058</v>
      </c>
    </row>
    <row r="2858" spans="1:17" x14ac:dyDescent="0.3">
      <c r="A2858" t="s">
        <v>59</v>
      </c>
      <c r="B2858" t="str">
        <f>"002896"</f>
        <v>002896</v>
      </c>
      <c r="C2858" t="s">
        <v>6059</v>
      </c>
      <c r="D2858" t="s">
        <v>637</v>
      </c>
      <c r="F2858">
        <v>133743957</v>
      </c>
      <c r="G2858">
        <v>196032675</v>
      </c>
      <c r="H2858">
        <v>99470829</v>
      </c>
      <c r="I2858">
        <v>109343130</v>
      </c>
      <c r="J2858">
        <v>79103071</v>
      </c>
      <c r="K2858">
        <v>82029937</v>
      </c>
      <c r="L2858">
        <v>59462778</v>
      </c>
      <c r="M2858">
        <v>36201963</v>
      </c>
      <c r="P2858">
        <v>137</v>
      </c>
      <c r="Q2858" t="s">
        <v>6060</v>
      </c>
    </row>
    <row r="2859" spans="1:17" x14ac:dyDescent="0.3">
      <c r="A2859" t="s">
        <v>59</v>
      </c>
      <c r="B2859" t="str">
        <f>"300951"</f>
        <v>300951</v>
      </c>
      <c r="C2859" t="s">
        <v>6061</v>
      </c>
      <c r="D2859" t="s">
        <v>349</v>
      </c>
      <c r="F2859">
        <v>293841576</v>
      </c>
      <c r="G2859">
        <v>14755058</v>
      </c>
      <c r="H2859">
        <v>99468275</v>
      </c>
      <c r="I2859">
        <v>17667624</v>
      </c>
      <c r="J2859">
        <v>1929304</v>
      </c>
      <c r="P2859">
        <v>67</v>
      </c>
      <c r="Q2859" t="s">
        <v>6062</v>
      </c>
    </row>
    <row r="2860" spans="1:17" x14ac:dyDescent="0.3">
      <c r="A2860" t="s">
        <v>59</v>
      </c>
      <c r="B2860" t="str">
        <f>"003036"</f>
        <v>003036</v>
      </c>
      <c r="C2860" t="s">
        <v>6063</v>
      </c>
      <c r="D2860" t="s">
        <v>3970</v>
      </c>
      <c r="F2860">
        <v>-108772776</v>
      </c>
      <c r="G2860">
        <v>44716327</v>
      </c>
      <c r="H2860">
        <v>99316498</v>
      </c>
      <c r="I2860">
        <v>90904815</v>
      </c>
      <c r="J2860">
        <v>46772093</v>
      </c>
      <c r="P2860">
        <v>37</v>
      </c>
      <c r="Q2860" t="s">
        <v>6064</v>
      </c>
    </row>
    <row r="2861" spans="1:17" x14ac:dyDescent="0.3">
      <c r="A2861" t="s">
        <v>59</v>
      </c>
      <c r="B2861" t="str">
        <f>"300227"</f>
        <v>300227</v>
      </c>
      <c r="C2861" t="s">
        <v>6065</v>
      </c>
      <c r="D2861" t="s">
        <v>975</v>
      </c>
      <c r="F2861">
        <v>127935861</v>
      </c>
      <c r="G2861">
        <v>116416624</v>
      </c>
      <c r="H2861">
        <v>99297581</v>
      </c>
      <c r="I2861">
        <v>176636478</v>
      </c>
      <c r="J2861">
        <v>51467515</v>
      </c>
      <c r="K2861">
        <v>24379424</v>
      </c>
      <c r="L2861">
        <v>53894333</v>
      </c>
      <c r="M2861">
        <v>55593640</v>
      </c>
      <c r="N2861">
        <v>30827141</v>
      </c>
      <c r="O2861">
        <v>28889358</v>
      </c>
      <c r="P2861">
        <v>220</v>
      </c>
      <c r="Q2861" t="s">
        <v>6066</v>
      </c>
    </row>
    <row r="2862" spans="1:17" x14ac:dyDescent="0.3">
      <c r="A2862" t="s">
        <v>17</v>
      </c>
      <c r="B2862" t="str">
        <f>"688181"</f>
        <v>688181</v>
      </c>
      <c r="C2862" t="s">
        <v>6067</v>
      </c>
      <c r="D2862" t="s">
        <v>139</v>
      </c>
      <c r="F2862">
        <v>193138790</v>
      </c>
      <c r="G2862">
        <v>128686702</v>
      </c>
      <c r="H2862">
        <v>99244889</v>
      </c>
      <c r="I2862">
        <v>102149246</v>
      </c>
      <c r="J2862">
        <v>25355609</v>
      </c>
      <c r="K2862">
        <v>39180062</v>
      </c>
      <c r="P2862">
        <v>108</v>
      </c>
      <c r="Q2862" t="s">
        <v>6068</v>
      </c>
    </row>
    <row r="2863" spans="1:17" x14ac:dyDescent="0.3">
      <c r="A2863" t="s">
        <v>59</v>
      </c>
      <c r="B2863" t="str">
        <f>"000762"</f>
        <v>000762</v>
      </c>
      <c r="C2863" t="s">
        <v>6069</v>
      </c>
      <c r="D2863" t="s">
        <v>911</v>
      </c>
      <c r="F2863">
        <v>398069665</v>
      </c>
      <c r="G2863">
        <v>58958458</v>
      </c>
      <c r="H2863">
        <v>99159808</v>
      </c>
      <c r="I2863">
        <v>-60882666</v>
      </c>
      <c r="J2863">
        <v>-84367989</v>
      </c>
      <c r="K2863">
        <v>278749273</v>
      </c>
      <c r="L2863">
        <v>306885265</v>
      </c>
      <c r="M2863">
        <v>-105007193</v>
      </c>
      <c r="N2863">
        <v>-106529882</v>
      </c>
      <c r="O2863">
        <v>47627593</v>
      </c>
      <c r="P2863">
        <v>257</v>
      </c>
      <c r="Q2863" t="s">
        <v>6070</v>
      </c>
    </row>
    <row r="2864" spans="1:17" x14ac:dyDescent="0.3">
      <c r="A2864" t="s">
        <v>17</v>
      </c>
      <c r="B2864" t="str">
        <f>"600530"</f>
        <v>600530</v>
      </c>
      <c r="C2864" t="s">
        <v>6071</v>
      </c>
      <c r="D2864" t="s">
        <v>1301</v>
      </c>
      <c r="F2864">
        <v>104062541</v>
      </c>
      <c r="G2864">
        <v>67178715</v>
      </c>
      <c r="H2864">
        <v>99064926</v>
      </c>
      <c r="I2864">
        <v>12473574</v>
      </c>
      <c r="J2864">
        <v>-11410764</v>
      </c>
      <c r="K2864">
        <v>40309344</v>
      </c>
      <c r="L2864">
        <v>22967277</v>
      </c>
      <c r="M2864">
        <v>-28676860</v>
      </c>
      <c r="N2864">
        <v>-244357623</v>
      </c>
      <c r="O2864">
        <v>20014771</v>
      </c>
      <c r="P2864">
        <v>86</v>
      </c>
      <c r="Q2864" t="s">
        <v>6072</v>
      </c>
    </row>
    <row r="2865" spans="1:17" x14ac:dyDescent="0.3">
      <c r="A2865" t="s">
        <v>59</v>
      </c>
      <c r="B2865" t="str">
        <f>"300881"</f>
        <v>300881</v>
      </c>
      <c r="C2865" t="s">
        <v>6073</v>
      </c>
      <c r="D2865" t="s">
        <v>330</v>
      </c>
      <c r="F2865">
        <v>-291385418</v>
      </c>
      <c r="G2865">
        <v>-65426354</v>
      </c>
      <c r="H2865">
        <v>99033184</v>
      </c>
      <c r="I2865">
        <v>65459357</v>
      </c>
      <c r="J2865">
        <v>57544090</v>
      </c>
      <c r="K2865">
        <v>-26471018</v>
      </c>
      <c r="P2865">
        <v>31</v>
      </c>
      <c r="Q2865" t="s">
        <v>6074</v>
      </c>
    </row>
    <row r="2866" spans="1:17" x14ac:dyDescent="0.3">
      <c r="A2866" t="s">
        <v>17</v>
      </c>
      <c r="B2866" t="str">
        <f>"605007"</f>
        <v>605007</v>
      </c>
      <c r="C2866" t="s">
        <v>6075</v>
      </c>
      <c r="D2866" t="s">
        <v>2856</v>
      </c>
      <c r="F2866">
        <v>272212593</v>
      </c>
      <c r="G2866">
        <v>181254377</v>
      </c>
      <c r="H2866">
        <v>99023381</v>
      </c>
      <c r="I2866">
        <v>26700614</v>
      </c>
      <c r="J2866">
        <v>186683747</v>
      </c>
      <c r="K2866">
        <v>196389789</v>
      </c>
      <c r="P2866">
        <v>81</v>
      </c>
      <c r="Q2866" t="s">
        <v>6076</v>
      </c>
    </row>
    <row r="2867" spans="1:17" x14ac:dyDescent="0.3">
      <c r="A2867" t="s">
        <v>59</v>
      </c>
      <c r="B2867" t="str">
        <f>"300862"</f>
        <v>300862</v>
      </c>
      <c r="C2867" t="s">
        <v>6077</v>
      </c>
      <c r="D2867" t="s">
        <v>2382</v>
      </c>
      <c r="F2867">
        <v>-20303846</v>
      </c>
      <c r="G2867">
        <v>71074141</v>
      </c>
      <c r="H2867">
        <v>98897612</v>
      </c>
      <c r="I2867">
        <v>77118604</v>
      </c>
      <c r="J2867">
        <v>64781007</v>
      </c>
      <c r="K2867">
        <v>49575165</v>
      </c>
      <c r="P2867">
        <v>68</v>
      </c>
      <c r="Q2867" t="s">
        <v>6078</v>
      </c>
    </row>
    <row r="2868" spans="1:17" x14ac:dyDescent="0.3">
      <c r="A2868" t="s">
        <v>17</v>
      </c>
      <c r="B2868" t="str">
        <f>"603836"</f>
        <v>603836</v>
      </c>
      <c r="C2868" t="s">
        <v>6079</v>
      </c>
      <c r="D2868" t="s">
        <v>677</v>
      </c>
      <c r="F2868">
        <v>453534665</v>
      </c>
      <c r="G2868">
        <v>119383892</v>
      </c>
      <c r="H2868">
        <v>98824483</v>
      </c>
      <c r="I2868">
        <v>65827487</v>
      </c>
      <c r="J2868">
        <v>-21748008</v>
      </c>
      <c r="P2868">
        <v>29</v>
      </c>
      <c r="Q2868" t="s">
        <v>6080</v>
      </c>
    </row>
    <row r="2869" spans="1:17" x14ac:dyDescent="0.3">
      <c r="A2869" t="s">
        <v>17</v>
      </c>
      <c r="B2869" t="str">
        <f>"688083"</f>
        <v>688083</v>
      </c>
      <c r="C2869" t="s">
        <v>6081</v>
      </c>
      <c r="D2869" t="s">
        <v>1528</v>
      </c>
      <c r="F2869">
        <v>187369163</v>
      </c>
      <c r="G2869">
        <v>150571253</v>
      </c>
      <c r="H2869">
        <v>98760810</v>
      </c>
      <c r="I2869">
        <v>51507634</v>
      </c>
      <c r="J2869">
        <v>32507707</v>
      </c>
      <c r="P2869">
        <v>130</v>
      </c>
      <c r="Q2869" t="s">
        <v>6082</v>
      </c>
    </row>
    <row r="2870" spans="1:17" x14ac:dyDescent="0.3">
      <c r="A2870" t="s">
        <v>59</v>
      </c>
      <c r="B2870" t="str">
        <f>"300929"</f>
        <v>300929</v>
      </c>
      <c r="C2870" t="s">
        <v>6083</v>
      </c>
      <c r="D2870" t="s">
        <v>669</v>
      </c>
      <c r="F2870">
        <v>-66498324</v>
      </c>
      <c r="G2870">
        <v>-47375547</v>
      </c>
      <c r="H2870">
        <v>98669710</v>
      </c>
      <c r="I2870">
        <v>-84801353</v>
      </c>
      <c r="J2870">
        <v>-88481980</v>
      </c>
      <c r="K2870">
        <v>3021994</v>
      </c>
      <c r="P2870">
        <v>48</v>
      </c>
      <c r="Q2870" t="s">
        <v>6084</v>
      </c>
    </row>
    <row r="2871" spans="1:17" x14ac:dyDescent="0.3">
      <c r="A2871" t="s">
        <v>59</v>
      </c>
      <c r="B2871" t="str">
        <f>"301092"</f>
        <v>301092</v>
      </c>
      <c r="C2871" t="s">
        <v>6085</v>
      </c>
      <c r="D2871" t="s">
        <v>2385</v>
      </c>
      <c r="F2871">
        <v>50327085</v>
      </c>
      <c r="G2871">
        <v>102419646</v>
      </c>
      <c r="H2871">
        <v>98548399</v>
      </c>
      <c r="I2871">
        <v>38841073</v>
      </c>
      <c r="J2871">
        <v>52355349</v>
      </c>
      <c r="P2871">
        <v>22</v>
      </c>
      <c r="Q2871" t="s">
        <v>6086</v>
      </c>
    </row>
    <row r="2872" spans="1:17" x14ac:dyDescent="0.3">
      <c r="A2872" t="s">
        <v>59</v>
      </c>
      <c r="B2872" t="str">
        <f>"002164"</f>
        <v>002164</v>
      </c>
      <c r="C2872" t="s">
        <v>6087</v>
      </c>
      <c r="D2872" t="s">
        <v>637</v>
      </c>
      <c r="F2872">
        <v>204691902</v>
      </c>
      <c r="G2872">
        <v>277134357</v>
      </c>
      <c r="H2872">
        <v>98529547</v>
      </c>
      <c r="I2872">
        <v>468162278</v>
      </c>
      <c r="J2872">
        <v>8877208</v>
      </c>
      <c r="K2872">
        <v>156919578</v>
      </c>
      <c r="L2872">
        <v>63182787</v>
      </c>
      <c r="M2872">
        <v>37644149</v>
      </c>
      <c r="N2872">
        <v>12760725</v>
      </c>
      <c r="O2872">
        <v>101593779</v>
      </c>
      <c r="P2872">
        <v>187</v>
      </c>
      <c r="Q2872" t="s">
        <v>6088</v>
      </c>
    </row>
    <row r="2873" spans="1:17" x14ac:dyDescent="0.3">
      <c r="A2873" t="s">
        <v>17</v>
      </c>
      <c r="B2873" t="str">
        <f>"603181"</f>
        <v>603181</v>
      </c>
      <c r="C2873" t="s">
        <v>6089</v>
      </c>
      <c r="D2873" t="s">
        <v>2104</v>
      </c>
      <c r="F2873">
        <v>34550705</v>
      </c>
      <c r="G2873">
        <v>33595702</v>
      </c>
      <c r="H2873">
        <v>98461063</v>
      </c>
      <c r="I2873">
        <v>205119736</v>
      </c>
      <c r="J2873">
        <v>87593075</v>
      </c>
      <c r="K2873">
        <v>147303245</v>
      </c>
      <c r="L2873">
        <v>99369819</v>
      </c>
      <c r="M2873">
        <v>137102443</v>
      </c>
      <c r="P2873">
        <v>160</v>
      </c>
      <c r="Q2873" t="s">
        <v>6090</v>
      </c>
    </row>
    <row r="2874" spans="1:17" x14ac:dyDescent="0.3">
      <c r="A2874" t="s">
        <v>59</v>
      </c>
      <c r="B2874" t="str">
        <f>"300858"</f>
        <v>300858</v>
      </c>
      <c r="C2874" t="s">
        <v>6091</v>
      </c>
      <c r="D2874" t="s">
        <v>853</v>
      </c>
      <c r="F2874">
        <v>110267210</v>
      </c>
      <c r="G2874">
        <v>66671953</v>
      </c>
      <c r="H2874">
        <v>98270954</v>
      </c>
      <c r="I2874">
        <v>89550461</v>
      </c>
      <c r="J2874">
        <v>84001317</v>
      </c>
      <c r="P2874">
        <v>75</v>
      </c>
      <c r="Q2874" t="s">
        <v>6092</v>
      </c>
    </row>
    <row r="2875" spans="1:17" x14ac:dyDescent="0.3">
      <c r="A2875" t="s">
        <v>59</v>
      </c>
      <c r="B2875" t="str">
        <f>"300519"</f>
        <v>300519</v>
      </c>
      <c r="C2875" t="s">
        <v>6093</v>
      </c>
      <c r="D2875" t="s">
        <v>455</v>
      </c>
      <c r="F2875">
        <v>142355310</v>
      </c>
      <c r="G2875">
        <v>112611669</v>
      </c>
      <c r="H2875">
        <v>98266203</v>
      </c>
      <c r="I2875">
        <v>92772348</v>
      </c>
      <c r="J2875">
        <v>124232049</v>
      </c>
      <c r="K2875">
        <v>121184880</v>
      </c>
      <c r="L2875">
        <v>124840438</v>
      </c>
      <c r="M2875">
        <v>99820101</v>
      </c>
      <c r="N2875">
        <v>57511466</v>
      </c>
      <c r="P2875">
        <v>251</v>
      </c>
      <c r="Q2875" t="s">
        <v>6094</v>
      </c>
    </row>
    <row r="2876" spans="1:17" x14ac:dyDescent="0.3">
      <c r="A2876" t="s">
        <v>59</v>
      </c>
      <c r="B2876" t="str">
        <f>"002666"</f>
        <v>002666</v>
      </c>
      <c r="C2876" t="s">
        <v>6095</v>
      </c>
      <c r="D2876" t="s">
        <v>1252</v>
      </c>
      <c r="F2876">
        <v>-69761909</v>
      </c>
      <c r="G2876">
        <v>287089416</v>
      </c>
      <c r="H2876">
        <v>98181587</v>
      </c>
      <c r="I2876">
        <v>-96057351</v>
      </c>
      <c r="J2876">
        <v>-107789614</v>
      </c>
      <c r="K2876">
        <v>183663936</v>
      </c>
      <c r="L2876">
        <v>111901147</v>
      </c>
      <c r="M2876">
        <v>285616</v>
      </c>
      <c r="N2876">
        <v>-45378130</v>
      </c>
      <c r="O2876">
        <v>106788821</v>
      </c>
      <c r="P2876">
        <v>110</v>
      </c>
      <c r="Q2876" t="s">
        <v>6096</v>
      </c>
    </row>
    <row r="2877" spans="1:17" x14ac:dyDescent="0.3">
      <c r="A2877" t="s">
        <v>59</v>
      </c>
      <c r="B2877" t="str">
        <f>"300622"</f>
        <v>300622</v>
      </c>
      <c r="C2877" t="s">
        <v>6097</v>
      </c>
      <c r="D2877" t="s">
        <v>1194</v>
      </c>
      <c r="F2877">
        <v>214331312</v>
      </c>
      <c r="G2877">
        <v>102204558</v>
      </c>
      <c r="H2877">
        <v>98072799</v>
      </c>
      <c r="I2877">
        <v>36958865</v>
      </c>
      <c r="J2877">
        <v>61705247</v>
      </c>
      <c r="K2877">
        <v>67110660</v>
      </c>
      <c r="L2877">
        <v>48009984</v>
      </c>
      <c r="M2877">
        <v>57402877</v>
      </c>
      <c r="P2877">
        <v>123</v>
      </c>
      <c r="Q2877" t="s">
        <v>6098</v>
      </c>
    </row>
    <row r="2878" spans="1:17" x14ac:dyDescent="0.3">
      <c r="A2878" t="s">
        <v>17</v>
      </c>
      <c r="B2878" t="str">
        <f>"900952"</f>
        <v>900952</v>
      </c>
      <c r="C2878" t="s">
        <v>6099</v>
      </c>
      <c r="G2878">
        <v>117734219.5213</v>
      </c>
      <c r="H2878">
        <v>97964168.140799999</v>
      </c>
      <c r="I2878">
        <v>77984220.728400007</v>
      </c>
      <c r="J2878">
        <v>177065948.3136</v>
      </c>
      <c r="K2878">
        <v>106846054.272</v>
      </c>
      <c r="L2878">
        <v>83994258.040000007</v>
      </c>
      <c r="M2878">
        <v>50878690.517200001</v>
      </c>
      <c r="N2878">
        <v>88732861.341600001</v>
      </c>
      <c r="O2878">
        <v>77621118.337500006</v>
      </c>
      <c r="P2878">
        <v>8</v>
      </c>
      <c r="Q2878" t="s">
        <v>6100</v>
      </c>
    </row>
    <row r="2879" spans="1:17" x14ac:dyDescent="0.3">
      <c r="A2879" t="s">
        <v>59</v>
      </c>
      <c r="B2879" t="str">
        <f>"300827"</f>
        <v>300827</v>
      </c>
      <c r="C2879" t="s">
        <v>6101</v>
      </c>
      <c r="D2879" t="s">
        <v>868</v>
      </c>
      <c r="F2879">
        <v>112010991</v>
      </c>
      <c r="G2879">
        <v>32762289</v>
      </c>
      <c r="H2879">
        <v>97876509</v>
      </c>
      <c r="I2879">
        <v>166166127</v>
      </c>
      <c r="J2879">
        <v>47139423</v>
      </c>
      <c r="P2879">
        <v>233</v>
      </c>
      <c r="Q2879" t="s">
        <v>6102</v>
      </c>
    </row>
    <row r="2880" spans="1:17" x14ac:dyDescent="0.3">
      <c r="A2880" t="s">
        <v>17</v>
      </c>
      <c r="B2880" t="str">
        <f>"600540"</f>
        <v>600540</v>
      </c>
      <c r="C2880" t="s">
        <v>6103</v>
      </c>
      <c r="D2880" t="s">
        <v>1831</v>
      </c>
      <c r="F2880">
        <v>-668203684</v>
      </c>
      <c r="G2880">
        <v>-215729961</v>
      </c>
      <c r="H2880">
        <v>97681550</v>
      </c>
      <c r="I2880">
        <v>19068301</v>
      </c>
      <c r="J2880">
        <v>-166648407</v>
      </c>
      <c r="K2880">
        <v>51518682</v>
      </c>
      <c r="L2880">
        <v>-19817690</v>
      </c>
      <c r="M2880">
        <v>54694882</v>
      </c>
      <c r="N2880">
        <v>47151551</v>
      </c>
      <c r="O2880">
        <v>735590406</v>
      </c>
      <c r="P2880">
        <v>97</v>
      </c>
      <c r="Q2880" t="s">
        <v>6104</v>
      </c>
    </row>
    <row r="2881" spans="1:17" x14ac:dyDescent="0.3">
      <c r="A2881" t="s">
        <v>17</v>
      </c>
      <c r="B2881" t="str">
        <f>"688269"</f>
        <v>688269</v>
      </c>
      <c r="C2881" t="s">
        <v>6105</v>
      </c>
      <c r="D2881" t="s">
        <v>2129</v>
      </c>
      <c r="F2881">
        <v>47808292</v>
      </c>
      <c r="G2881">
        <v>45867347</v>
      </c>
      <c r="H2881">
        <v>97564096</v>
      </c>
      <c r="I2881">
        <v>37906553</v>
      </c>
      <c r="J2881">
        <v>20140978</v>
      </c>
      <c r="P2881">
        <v>58</v>
      </c>
      <c r="Q2881" t="s">
        <v>6106</v>
      </c>
    </row>
    <row r="2882" spans="1:17" x14ac:dyDescent="0.3">
      <c r="A2882" t="s">
        <v>59</v>
      </c>
      <c r="B2882" t="str">
        <f>"300806"</f>
        <v>300806</v>
      </c>
      <c r="C2882" t="s">
        <v>6107</v>
      </c>
      <c r="D2882" t="s">
        <v>1674</v>
      </c>
      <c r="F2882">
        <v>371224838</v>
      </c>
      <c r="G2882">
        <v>192974756</v>
      </c>
      <c r="H2882">
        <v>97342176</v>
      </c>
      <c r="I2882">
        <v>147522730</v>
      </c>
      <c r="J2882">
        <v>196713749</v>
      </c>
      <c r="K2882">
        <v>153796785</v>
      </c>
      <c r="P2882">
        <v>168</v>
      </c>
      <c r="Q2882" t="s">
        <v>6108</v>
      </c>
    </row>
    <row r="2883" spans="1:17" x14ac:dyDescent="0.3">
      <c r="A2883" t="s">
        <v>59</v>
      </c>
      <c r="B2883" t="str">
        <f>"300584"</f>
        <v>300584</v>
      </c>
      <c r="C2883" t="s">
        <v>6109</v>
      </c>
      <c r="D2883" t="s">
        <v>592</v>
      </c>
      <c r="F2883">
        <v>59940772</v>
      </c>
      <c r="G2883">
        <v>73388594</v>
      </c>
      <c r="H2883">
        <v>97277040</v>
      </c>
      <c r="I2883">
        <v>77210754</v>
      </c>
      <c r="J2883">
        <v>46557482</v>
      </c>
      <c r="K2883">
        <v>37737791</v>
      </c>
      <c r="L2883">
        <v>53902475</v>
      </c>
      <c r="M2883">
        <v>24293228</v>
      </c>
      <c r="N2883">
        <v>45164665</v>
      </c>
      <c r="P2883">
        <v>195</v>
      </c>
      <c r="Q2883" t="s">
        <v>6110</v>
      </c>
    </row>
    <row r="2884" spans="1:17" x14ac:dyDescent="0.3">
      <c r="A2884" t="s">
        <v>59</v>
      </c>
      <c r="B2884" t="str">
        <f>"002866"</f>
        <v>002866</v>
      </c>
      <c r="C2884" t="s">
        <v>6111</v>
      </c>
      <c r="D2884" t="s">
        <v>349</v>
      </c>
      <c r="F2884">
        <v>252842105</v>
      </c>
      <c r="G2884">
        <v>156932179</v>
      </c>
      <c r="H2884">
        <v>97236061</v>
      </c>
      <c r="I2884">
        <v>25535089</v>
      </c>
      <c r="J2884">
        <v>76821481</v>
      </c>
      <c r="K2884">
        <v>35563535</v>
      </c>
      <c r="L2884">
        <v>45413712</v>
      </c>
      <c r="M2884">
        <v>22884645</v>
      </c>
      <c r="P2884">
        <v>161</v>
      </c>
      <c r="Q2884" t="s">
        <v>6112</v>
      </c>
    </row>
    <row r="2885" spans="1:17" x14ac:dyDescent="0.3">
      <c r="A2885" t="s">
        <v>59</v>
      </c>
      <c r="B2885" t="str">
        <f>"002891"</f>
        <v>002891</v>
      </c>
      <c r="C2885" t="s">
        <v>6113</v>
      </c>
      <c r="D2885" t="s">
        <v>6114</v>
      </c>
      <c r="F2885">
        <v>212655029</v>
      </c>
      <c r="G2885">
        <v>16838123</v>
      </c>
      <c r="H2885">
        <v>96865083</v>
      </c>
      <c r="I2885">
        <v>27163700</v>
      </c>
      <c r="J2885">
        <v>75644379</v>
      </c>
      <c r="K2885">
        <v>67097519</v>
      </c>
      <c r="L2885">
        <v>31326935</v>
      </c>
      <c r="M2885">
        <v>27248298</v>
      </c>
      <c r="P2885">
        <v>649</v>
      </c>
      <c r="Q2885" t="s">
        <v>6115</v>
      </c>
    </row>
    <row r="2886" spans="1:17" x14ac:dyDescent="0.3">
      <c r="A2886" t="s">
        <v>17</v>
      </c>
      <c r="B2886" t="str">
        <f>"603726"</f>
        <v>603726</v>
      </c>
      <c r="C2886" t="s">
        <v>6116</v>
      </c>
      <c r="D2886" t="s">
        <v>1087</v>
      </c>
      <c r="F2886">
        <v>123790076</v>
      </c>
      <c r="G2886">
        <v>104295972</v>
      </c>
      <c r="H2886">
        <v>96670038</v>
      </c>
      <c r="I2886">
        <v>14186828</v>
      </c>
      <c r="J2886">
        <v>-15966873</v>
      </c>
      <c r="K2886">
        <v>9721817</v>
      </c>
      <c r="L2886">
        <v>76401704</v>
      </c>
      <c r="M2886">
        <v>46837721</v>
      </c>
      <c r="N2886">
        <v>-5742022</v>
      </c>
      <c r="P2886">
        <v>123</v>
      </c>
      <c r="Q2886" t="s">
        <v>6117</v>
      </c>
    </row>
    <row r="2887" spans="1:17" x14ac:dyDescent="0.3">
      <c r="A2887" t="s">
        <v>59</v>
      </c>
      <c r="B2887" t="str">
        <f>"002214"</f>
        <v>002214</v>
      </c>
      <c r="C2887" t="s">
        <v>6118</v>
      </c>
      <c r="D2887" t="s">
        <v>1983</v>
      </c>
      <c r="F2887">
        <v>12665330</v>
      </c>
      <c r="G2887">
        <v>277311742</v>
      </c>
      <c r="H2887">
        <v>96588046</v>
      </c>
      <c r="I2887">
        <v>59128768</v>
      </c>
      <c r="J2887">
        <v>27599585</v>
      </c>
      <c r="K2887">
        <v>35490047</v>
      </c>
      <c r="L2887">
        <v>-48277348</v>
      </c>
      <c r="M2887">
        <v>-91545793</v>
      </c>
      <c r="N2887">
        <v>22188949</v>
      </c>
      <c r="O2887">
        <v>14825415</v>
      </c>
      <c r="P2887">
        <v>511</v>
      </c>
      <c r="Q2887" t="s">
        <v>6119</v>
      </c>
    </row>
    <row r="2888" spans="1:17" x14ac:dyDescent="0.3">
      <c r="A2888" t="s">
        <v>17</v>
      </c>
      <c r="B2888" t="str">
        <f>"688369"</f>
        <v>688369</v>
      </c>
      <c r="C2888" t="s">
        <v>6120</v>
      </c>
      <c r="D2888" t="s">
        <v>789</v>
      </c>
      <c r="F2888">
        <v>135454873</v>
      </c>
      <c r="G2888">
        <v>125196455</v>
      </c>
      <c r="H2888">
        <v>96537060</v>
      </c>
      <c r="I2888">
        <v>124118268</v>
      </c>
      <c r="J2888">
        <v>120042704</v>
      </c>
      <c r="K2888">
        <v>96658478</v>
      </c>
      <c r="P2888">
        <v>168</v>
      </c>
      <c r="Q2888" t="s">
        <v>6121</v>
      </c>
    </row>
    <row r="2889" spans="1:17" x14ac:dyDescent="0.3">
      <c r="A2889" t="s">
        <v>59</v>
      </c>
      <c r="B2889" t="str">
        <f>"002481"</f>
        <v>002481</v>
      </c>
      <c r="C2889" t="s">
        <v>6122</v>
      </c>
      <c r="D2889" t="s">
        <v>623</v>
      </c>
      <c r="F2889">
        <v>214965305</v>
      </c>
      <c r="G2889">
        <v>460397756</v>
      </c>
      <c r="H2889">
        <v>96524897</v>
      </c>
      <c r="I2889">
        <v>414055363</v>
      </c>
      <c r="J2889">
        <v>44208111</v>
      </c>
      <c r="K2889">
        <v>400571773</v>
      </c>
      <c r="L2889">
        <v>298226147</v>
      </c>
      <c r="M2889">
        <v>-74766185</v>
      </c>
      <c r="N2889">
        <v>130999600</v>
      </c>
      <c r="O2889">
        <v>226168707</v>
      </c>
      <c r="P2889">
        <v>331</v>
      </c>
      <c r="Q2889" t="s">
        <v>6123</v>
      </c>
    </row>
    <row r="2890" spans="1:17" x14ac:dyDescent="0.3">
      <c r="A2890" t="s">
        <v>17</v>
      </c>
      <c r="B2890" t="str">
        <f>"688517"</f>
        <v>688517</v>
      </c>
      <c r="C2890" t="s">
        <v>6124</v>
      </c>
      <c r="D2890" t="s">
        <v>458</v>
      </c>
      <c r="F2890">
        <v>16144884</v>
      </c>
      <c r="G2890">
        <v>24491382</v>
      </c>
      <c r="H2890">
        <v>96519342</v>
      </c>
      <c r="I2890">
        <v>25972471</v>
      </c>
      <c r="J2890">
        <v>37040324</v>
      </c>
      <c r="P2890">
        <v>19</v>
      </c>
      <c r="Q2890" t="s">
        <v>6125</v>
      </c>
    </row>
    <row r="2891" spans="1:17" x14ac:dyDescent="0.3">
      <c r="A2891" t="s">
        <v>59</v>
      </c>
      <c r="B2891" t="str">
        <f>"002719"</f>
        <v>002719</v>
      </c>
      <c r="C2891" t="s">
        <v>6126</v>
      </c>
      <c r="D2891" t="s">
        <v>308</v>
      </c>
      <c r="F2891">
        <v>86808908</v>
      </c>
      <c r="G2891">
        <v>158979738</v>
      </c>
      <c r="H2891">
        <v>96508587</v>
      </c>
      <c r="I2891">
        <v>14535056</v>
      </c>
      <c r="J2891">
        <v>48455301</v>
      </c>
      <c r="K2891">
        <v>38145122</v>
      </c>
      <c r="L2891">
        <v>154599392</v>
      </c>
      <c r="M2891">
        <v>37390566</v>
      </c>
      <c r="N2891">
        <v>25462578</v>
      </c>
      <c r="O2891">
        <v>70015795</v>
      </c>
      <c r="P2891">
        <v>97</v>
      </c>
      <c r="Q2891" t="s">
        <v>6127</v>
      </c>
    </row>
    <row r="2892" spans="1:17" x14ac:dyDescent="0.3">
      <c r="A2892" t="s">
        <v>17</v>
      </c>
      <c r="B2892" t="str">
        <f>"603828"</f>
        <v>603828</v>
      </c>
      <c r="C2892" t="s">
        <v>6128</v>
      </c>
      <c r="D2892" t="s">
        <v>1150</v>
      </c>
      <c r="F2892">
        <v>-191882752</v>
      </c>
      <c r="G2892">
        <v>-202395163</v>
      </c>
      <c r="H2892">
        <v>96492985</v>
      </c>
      <c r="I2892">
        <v>83504906</v>
      </c>
      <c r="J2892">
        <v>28949912</v>
      </c>
      <c r="K2892">
        <v>47642945</v>
      </c>
      <c r="L2892">
        <v>-209860335</v>
      </c>
      <c r="M2892">
        <v>-27269492</v>
      </c>
      <c r="N2892">
        <v>29141519</v>
      </c>
      <c r="O2892">
        <v>75020846</v>
      </c>
      <c r="P2892">
        <v>66</v>
      </c>
      <c r="Q2892" t="s">
        <v>6129</v>
      </c>
    </row>
    <row r="2893" spans="1:17" x14ac:dyDescent="0.3">
      <c r="A2893" t="s">
        <v>59</v>
      </c>
      <c r="B2893" t="str">
        <f>"003001"</f>
        <v>003001</v>
      </c>
      <c r="C2893" t="s">
        <v>6130</v>
      </c>
      <c r="D2893" t="s">
        <v>199</v>
      </c>
      <c r="F2893">
        <v>-153392685</v>
      </c>
      <c r="G2893">
        <v>11909824</v>
      </c>
      <c r="H2893">
        <v>96449855</v>
      </c>
      <c r="I2893">
        <v>23260524</v>
      </c>
      <c r="J2893">
        <v>48982855</v>
      </c>
      <c r="K2893">
        <v>27079566</v>
      </c>
      <c r="P2893">
        <v>95</v>
      </c>
      <c r="Q2893" t="s">
        <v>6131</v>
      </c>
    </row>
    <row r="2894" spans="1:17" x14ac:dyDescent="0.3">
      <c r="A2894" t="s">
        <v>59</v>
      </c>
      <c r="B2894" t="str">
        <f>"002173"</f>
        <v>002173</v>
      </c>
      <c r="C2894" t="s">
        <v>6132</v>
      </c>
      <c r="D2894" t="s">
        <v>999</v>
      </c>
      <c r="F2894">
        <v>43370332</v>
      </c>
      <c r="G2894">
        <v>131665941</v>
      </c>
      <c r="H2894">
        <v>96369253</v>
      </c>
      <c r="I2894">
        <v>129436968</v>
      </c>
      <c r="J2894">
        <v>206120466</v>
      </c>
      <c r="K2894">
        <v>250175923</v>
      </c>
      <c r="L2894">
        <v>33513806</v>
      </c>
      <c r="M2894">
        <v>10646421</v>
      </c>
      <c r="N2894">
        <v>4268716</v>
      </c>
      <c r="O2894">
        <v>29157794</v>
      </c>
      <c r="P2894">
        <v>125</v>
      </c>
      <c r="Q2894" t="s">
        <v>6133</v>
      </c>
    </row>
    <row r="2895" spans="1:17" x14ac:dyDescent="0.3">
      <c r="A2895" t="s">
        <v>59</v>
      </c>
      <c r="B2895" t="str">
        <f>"300266"</f>
        <v>300266</v>
      </c>
      <c r="C2895" t="s">
        <v>6134</v>
      </c>
      <c r="D2895" t="s">
        <v>669</v>
      </c>
      <c r="F2895">
        <v>-488555349</v>
      </c>
      <c r="G2895">
        <v>213362324</v>
      </c>
      <c r="H2895">
        <v>96345585</v>
      </c>
      <c r="I2895">
        <v>-188201269</v>
      </c>
      <c r="J2895">
        <v>-904756614</v>
      </c>
      <c r="K2895">
        <v>-44180144</v>
      </c>
      <c r="L2895">
        <v>-40911495</v>
      </c>
      <c r="M2895">
        <v>91745196</v>
      </c>
      <c r="N2895">
        <v>23586101</v>
      </c>
      <c r="O2895">
        <v>28026684</v>
      </c>
      <c r="P2895">
        <v>145</v>
      </c>
      <c r="Q2895" t="s">
        <v>6135</v>
      </c>
    </row>
    <row r="2896" spans="1:17" x14ac:dyDescent="0.3">
      <c r="A2896" t="s">
        <v>17</v>
      </c>
      <c r="B2896" t="str">
        <f>"603206"</f>
        <v>603206</v>
      </c>
      <c r="C2896" t="s">
        <v>6136</v>
      </c>
      <c r="F2896">
        <v>-51182764</v>
      </c>
      <c r="G2896">
        <v>149824756</v>
      </c>
      <c r="H2896">
        <v>96279076</v>
      </c>
      <c r="I2896">
        <v>-41630002</v>
      </c>
      <c r="Q2896" t="s">
        <v>6137</v>
      </c>
    </row>
    <row r="2897" spans="1:17" x14ac:dyDescent="0.3">
      <c r="A2897" t="s">
        <v>59</v>
      </c>
      <c r="B2897" t="str">
        <f>"003042"</f>
        <v>003042</v>
      </c>
      <c r="C2897" t="s">
        <v>6138</v>
      </c>
      <c r="D2897" t="s">
        <v>1356</v>
      </c>
      <c r="F2897">
        <v>54407865</v>
      </c>
      <c r="G2897">
        <v>114723315</v>
      </c>
      <c r="H2897">
        <v>96221623</v>
      </c>
      <c r="I2897">
        <v>242667712</v>
      </c>
      <c r="J2897">
        <v>244279045</v>
      </c>
      <c r="P2897">
        <v>29</v>
      </c>
      <c r="Q2897" t="s">
        <v>6139</v>
      </c>
    </row>
    <row r="2898" spans="1:17" x14ac:dyDescent="0.3">
      <c r="A2898" t="s">
        <v>59</v>
      </c>
      <c r="B2898" t="str">
        <f>"300915"</f>
        <v>300915</v>
      </c>
      <c r="C2898" t="s">
        <v>6140</v>
      </c>
      <c r="D2898" t="s">
        <v>308</v>
      </c>
      <c r="F2898">
        <v>57060293</v>
      </c>
      <c r="G2898">
        <v>79145477</v>
      </c>
      <c r="H2898">
        <v>96060078</v>
      </c>
      <c r="I2898">
        <v>41643942</v>
      </c>
      <c r="J2898">
        <v>92642864</v>
      </c>
      <c r="K2898">
        <v>98074777</v>
      </c>
      <c r="P2898">
        <v>101</v>
      </c>
      <c r="Q2898" t="s">
        <v>6141</v>
      </c>
    </row>
    <row r="2899" spans="1:17" x14ac:dyDescent="0.3">
      <c r="A2899" t="s">
        <v>59</v>
      </c>
      <c r="B2899" t="str">
        <f>"002177"</f>
        <v>002177</v>
      </c>
      <c r="C2899" t="s">
        <v>6142</v>
      </c>
      <c r="D2899" t="s">
        <v>707</v>
      </c>
      <c r="F2899">
        <v>8784044</v>
      </c>
      <c r="G2899">
        <v>58629918</v>
      </c>
      <c r="H2899">
        <v>95918977</v>
      </c>
      <c r="I2899">
        <v>109976976</v>
      </c>
      <c r="J2899">
        <v>147774384</v>
      </c>
      <c r="K2899">
        <v>379299368</v>
      </c>
      <c r="L2899">
        <v>300436609</v>
      </c>
      <c r="M2899">
        <v>176427114</v>
      </c>
      <c r="N2899">
        <v>99602178</v>
      </c>
      <c r="O2899">
        <v>229018048</v>
      </c>
      <c r="P2899">
        <v>3025</v>
      </c>
      <c r="Q2899" t="s">
        <v>6143</v>
      </c>
    </row>
    <row r="2900" spans="1:17" x14ac:dyDescent="0.3">
      <c r="A2900" t="s">
        <v>59</v>
      </c>
      <c r="B2900" t="str">
        <f>"002584"</f>
        <v>002584</v>
      </c>
      <c r="C2900" t="s">
        <v>6144</v>
      </c>
      <c r="D2900" t="s">
        <v>2111</v>
      </c>
      <c r="F2900">
        <v>346617648</v>
      </c>
      <c r="G2900">
        <v>44571222</v>
      </c>
      <c r="H2900">
        <v>95892729</v>
      </c>
      <c r="I2900">
        <v>-97102373</v>
      </c>
      <c r="J2900">
        <v>-19245071</v>
      </c>
      <c r="K2900">
        <v>11002036</v>
      </c>
      <c r="L2900">
        <v>128791428</v>
      </c>
      <c r="M2900">
        <v>104508649</v>
      </c>
      <c r="N2900">
        <v>32283127</v>
      </c>
      <c r="O2900">
        <v>13554378</v>
      </c>
      <c r="P2900">
        <v>119</v>
      </c>
      <c r="Q2900" t="s">
        <v>6145</v>
      </c>
    </row>
    <row r="2901" spans="1:17" x14ac:dyDescent="0.3">
      <c r="A2901" t="s">
        <v>59</v>
      </c>
      <c r="B2901" t="str">
        <f>"300501"</f>
        <v>300501</v>
      </c>
      <c r="C2901" t="s">
        <v>6146</v>
      </c>
      <c r="D2901" t="s">
        <v>5073</v>
      </c>
      <c r="F2901">
        <v>139639384</v>
      </c>
      <c r="G2901">
        <v>77485972</v>
      </c>
      <c r="H2901">
        <v>95878082</v>
      </c>
      <c r="I2901">
        <v>27489667</v>
      </c>
      <c r="J2901">
        <v>55089703</v>
      </c>
      <c r="K2901">
        <v>33462320</v>
      </c>
      <c r="L2901">
        <v>53274730</v>
      </c>
      <c r="M2901">
        <v>62805426</v>
      </c>
      <c r="N2901">
        <v>28403104</v>
      </c>
      <c r="O2901">
        <v>26495965</v>
      </c>
      <c r="P2901">
        <v>131</v>
      </c>
      <c r="Q2901" t="s">
        <v>6147</v>
      </c>
    </row>
    <row r="2902" spans="1:17" x14ac:dyDescent="0.3">
      <c r="A2902" t="s">
        <v>59</v>
      </c>
      <c r="B2902" t="str">
        <f>"002971"</f>
        <v>002971</v>
      </c>
      <c r="C2902" t="s">
        <v>6148</v>
      </c>
      <c r="D2902" t="s">
        <v>1252</v>
      </c>
      <c r="F2902">
        <v>51532348</v>
      </c>
      <c r="G2902">
        <v>5015002</v>
      </c>
      <c r="H2902">
        <v>95782301</v>
      </c>
      <c r="I2902">
        <v>75394300</v>
      </c>
      <c r="J2902">
        <v>44482688</v>
      </c>
      <c r="K2902">
        <v>34845051</v>
      </c>
      <c r="P2902">
        <v>70</v>
      </c>
      <c r="Q2902" t="s">
        <v>6149</v>
      </c>
    </row>
    <row r="2903" spans="1:17" x14ac:dyDescent="0.3">
      <c r="A2903" t="s">
        <v>59</v>
      </c>
      <c r="B2903" t="str">
        <f>"301013"</f>
        <v>301013</v>
      </c>
      <c r="C2903" t="s">
        <v>6150</v>
      </c>
      <c r="D2903" t="s">
        <v>1351</v>
      </c>
      <c r="F2903">
        <v>-51912286</v>
      </c>
      <c r="G2903">
        <v>48485549</v>
      </c>
      <c r="H2903">
        <v>95388859</v>
      </c>
      <c r="I2903">
        <v>-4745156</v>
      </c>
      <c r="J2903">
        <v>8551698</v>
      </c>
      <c r="P2903">
        <v>20</v>
      </c>
      <c r="Q2903" t="s">
        <v>6151</v>
      </c>
    </row>
    <row r="2904" spans="1:17" x14ac:dyDescent="0.3">
      <c r="A2904" t="s">
        <v>59</v>
      </c>
      <c r="B2904" t="str">
        <f>"300840"</f>
        <v>300840</v>
      </c>
      <c r="C2904" t="s">
        <v>6152</v>
      </c>
      <c r="D2904" t="s">
        <v>646</v>
      </c>
      <c r="F2904">
        <v>76113721</v>
      </c>
      <c r="G2904">
        <v>75150981</v>
      </c>
      <c r="H2904">
        <v>95371214</v>
      </c>
      <c r="I2904">
        <v>108991466</v>
      </c>
      <c r="J2904">
        <v>189227279</v>
      </c>
      <c r="K2904">
        <v>15626775</v>
      </c>
      <c r="P2904">
        <v>64</v>
      </c>
      <c r="Q2904" t="s">
        <v>6153</v>
      </c>
    </row>
    <row r="2905" spans="1:17" x14ac:dyDescent="0.3">
      <c r="A2905" t="s">
        <v>59</v>
      </c>
      <c r="B2905" t="str">
        <f>"002095"</f>
        <v>002095</v>
      </c>
      <c r="C2905" t="s">
        <v>6154</v>
      </c>
      <c r="D2905" t="s">
        <v>2530</v>
      </c>
      <c r="F2905">
        <v>-59137608</v>
      </c>
      <c r="G2905">
        <v>-128919585</v>
      </c>
      <c r="H2905">
        <v>94850117</v>
      </c>
      <c r="I2905">
        <v>-36983359</v>
      </c>
      <c r="J2905">
        <v>-31020941</v>
      </c>
      <c r="K2905">
        <v>-16458204</v>
      </c>
      <c r="L2905">
        <v>-35394628</v>
      </c>
      <c r="M2905">
        <v>28542952</v>
      </c>
      <c r="N2905">
        <v>52117444</v>
      </c>
      <c r="O2905">
        <v>63009746</v>
      </c>
      <c r="P2905">
        <v>97</v>
      </c>
      <c r="Q2905" t="s">
        <v>6155</v>
      </c>
    </row>
    <row r="2906" spans="1:17" x14ac:dyDescent="0.3">
      <c r="A2906" t="s">
        <v>17</v>
      </c>
      <c r="B2906" t="str">
        <f>"600055"</f>
        <v>600055</v>
      </c>
      <c r="C2906" t="s">
        <v>6156</v>
      </c>
      <c r="D2906" t="s">
        <v>485</v>
      </c>
      <c r="F2906">
        <v>89723685</v>
      </c>
      <c r="G2906">
        <v>520025424</v>
      </c>
      <c r="H2906">
        <v>94784205</v>
      </c>
      <c r="I2906">
        <v>75530396</v>
      </c>
      <c r="J2906">
        <v>-77702778</v>
      </c>
      <c r="K2906">
        <v>102736486</v>
      </c>
      <c r="L2906">
        <v>-15650434</v>
      </c>
      <c r="M2906">
        <v>34324601</v>
      </c>
      <c r="N2906">
        <v>21494237</v>
      </c>
      <c r="O2906">
        <v>65747965</v>
      </c>
      <c r="P2906">
        <v>358</v>
      </c>
      <c r="Q2906" t="s">
        <v>6157</v>
      </c>
    </row>
    <row r="2907" spans="1:17" x14ac:dyDescent="0.3">
      <c r="A2907" t="s">
        <v>59</v>
      </c>
      <c r="B2907" t="str">
        <f>"300778"</f>
        <v>300778</v>
      </c>
      <c r="C2907" t="s">
        <v>6158</v>
      </c>
      <c r="D2907" t="s">
        <v>2254</v>
      </c>
      <c r="F2907">
        <v>-22793302</v>
      </c>
      <c r="G2907">
        <v>66785427</v>
      </c>
      <c r="H2907">
        <v>94772979</v>
      </c>
      <c r="I2907">
        <v>94371429</v>
      </c>
      <c r="J2907">
        <v>85102094</v>
      </c>
      <c r="K2907">
        <v>112030527</v>
      </c>
      <c r="P2907">
        <v>104</v>
      </c>
      <c r="Q2907" t="s">
        <v>6159</v>
      </c>
    </row>
    <row r="2908" spans="1:17" x14ac:dyDescent="0.3">
      <c r="A2908" t="s">
        <v>59</v>
      </c>
      <c r="B2908" t="str">
        <f>"002625"</f>
        <v>002625</v>
      </c>
      <c r="C2908" t="s">
        <v>6160</v>
      </c>
      <c r="D2908" t="s">
        <v>448</v>
      </c>
      <c r="F2908">
        <v>-92758739</v>
      </c>
      <c r="G2908">
        <v>11677933</v>
      </c>
      <c r="H2908">
        <v>94764413</v>
      </c>
      <c r="I2908">
        <v>52292114</v>
      </c>
      <c r="J2908">
        <v>9612755</v>
      </c>
      <c r="K2908">
        <v>84060321</v>
      </c>
      <c r="L2908">
        <v>109086032</v>
      </c>
      <c r="M2908">
        <v>68309585</v>
      </c>
      <c r="N2908">
        <v>32419943</v>
      </c>
      <c r="O2908">
        <v>27391645</v>
      </c>
      <c r="P2908">
        <v>259</v>
      </c>
      <c r="Q2908" t="s">
        <v>6161</v>
      </c>
    </row>
    <row r="2909" spans="1:17" x14ac:dyDescent="0.3">
      <c r="A2909" t="s">
        <v>59</v>
      </c>
      <c r="B2909" t="str">
        <f>"002113"</f>
        <v>002113</v>
      </c>
      <c r="C2909" t="s">
        <v>6162</v>
      </c>
      <c r="D2909" t="s">
        <v>689</v>
      </c>
      <c r="F2909">
        <v>49431194</v>
      </c>
      <c r="G2909">
        <v>21410436</v>
      </c>
      <c r="H2909">
        <v>94656842</v>
      </c>
      <c r="I2909">
        <v>48554739</v>
      </c>
      <c r="J2909">
        <v>67103824</v>
      </c>
      <c r="K2909">
        <v>12191247</v>
      </c>
      <c r="L2909">
        <v>-441694</v>
      </c>
      <c r="M2909">
        <v>5900821</v>
      </c>
      <c r="N2909">
        <v>-9763682</v>
      </c>
      <c r="O2909">
        <v>835614</v>
      </c>
      <c r="P2909">
        <v>77</v>
      </c>
      <c r="Q2909" t="s">
        <v>6163</v>
      </c>
    </row>
    <row r="2910" spans="1:17" x14ac:dyDescent="0.3">
      <c r="A2910" t="s">
        <v>59</v>
      </c>
      <c r="B2910" t="str">
        <f>"300666"</f>
        <v>300666</v>
      </c>
      <c r="C2910" t="s">
        <v>6164</v>
      </c>
      <c r="D2910" t="s">
        <v>874</v>
      </c>
      <c r="F2910">
        <v>102906718</v>
      </c>
      <c r="G2910">
        <v>-45541005</v>
      </c>
      <c r="H2910">
        <v>94628704</v>
      </c>
      <c r="I2910">
        <v>5125029</v>
      </c>
      <c r="J2910">
        <v>39622302</v>
      </c>
      <c r="K2910">
        <v>61387701</v>
      </c>
      <c r="L2910">
        <v>36642716</v>
      </c>
      <c r="M2910">
        <v>27463358</v>
      </c>
      <c r="P2910">
        <v>519</v>
      </c>
      <c r="Q2910" t="s">
        <v>6165</v>
      </c>
    </row>
    <row r="2911" spans="1:17" x14ac:dyDescent="0.3">
      <c r="A2911" t="s">
        <v>59</v>
      </c>
      <c r="B2911" t="str">
        <f>"300977"</f>
        <v>300977</v>
      </c>
      <c r="C2911" t="s">
        <v>6166</v>
      </c>
      <c r="D2911" t="s">
        <v>2254</v>
      </c>
      <c r="F2911">
        <v>61657078</v>
      </c>
      <c r="G2911">
        <v>73539617</v>
      </c>
      <c r="H2911">
        <v>94436876</v>
      </c>
      <c r="I2911">
        <v>61877454</v>
      </c>
      <c r="J2911">
        <v>36199422</v>
      </c>
      <c r="K2911">
        <v>28381785</v>
      </c>
      <c r="P2911">
        <v>46</v>
      </c>
      <c r="Q2911" t="s">
        <v>6167</v>
      </c>
    </row>
    <row r="2912" spans="1:17" x14ac:dyDescent="0.3">
      <c r="A2912" t="s">
        <v>59</v>
      </c>
      <c r="B2912" t="str">
        <f>"002836"</f>
        <v>002836</v>
      </c>
      <c r="C2912" t="s">
        <v>6168</v>
      </c>
      <c r="D2912" t="s">
        <v>1416</v>
      </c>
      <c r="F2912">
        <v>41789591</v>
      </c>
      <c r="G2912">
        <v>83267656</v>
      </c>
      <c r="H2912">
        <v>94345808</v>
      </c>
      <c r="I2912">
        <v>95049884</v>
      </c>
      <c r="J2912">
        <v>28602532</v>
      </c>
      <c r="K2912">
        <v>110288057</v>
      </c>
      <c r="L2912">
        <v>52847418</v>
      </c>
      <c r="M2912">
        <v>41489273</v>
      </c>
      <c r="N2912">
        <v>98400010</v>
      </c>
      <c r="P2912">
        <v>63</v>
      </c>
      <c r="Q2912" t="s">
        <v>6169</v>
      </c>
    </row>
    <row r="2913" spans="1:17" x14ac:dyDescent="0.3">
      <c r="A2913" t="s">
        <v>17</v>
      </c>
      <c r="B2913" t="str">
        <f>"605020"</f>
        <v>605020</v>
      </c>
      <c r="C2913" t="s">
        <v>6170</v>
      </c>
      <c r="D2913" t="s">
        <v>1095</v>
      </c>
      <c r="F2913">
        <v>179826694</v>
      </c>
      <c r="G2913">
        <v>80131157</v>
      </c>
      <c r="H2913">
        <v>94326590</v>
      </c>
      <c r="I2913">
        <v>219554657</v>
      </c>
      <c r="J2913">
        <v>198484915</v>
      </c>
      <c r="P2913">
        <v>33</v>
      </c>
      <c r="Q2913" t="s">
        <v>6171</v>
      </c>
    </row>
    <row r="2914" spans="1:17" x14ac:dyDescent="0.3">
      <c r="A2914" t="s">
        <v>17</v>
      </c>
      <c r="B2914" t="str">
        <f>"603289"</f>
        <v>603289</v>
      </c>
      <c r="C2914" t="s">
        <v>6172</v>
      </c>
      <c r="D2914" t="s">
        <v>1351</v>
      </c>
      <c r="F2914">
        <v>209910411</v>
      </c>
      <c r="G2914">
        <v>175999913</v>
      </c>
      <c r="H2914">
        <v>94210676</v>
      </c>
      <c r="I2914">
        <v>83124617</v>
      </c>
      <c r="J2914">
        <v>69378234</v>
      </c>
      <c r="K2914">
        <v>109705027</v>
      </c>
      <c r="L2914">
        <v>-971413</v>
      </c>
      <c r="M2914">
        <v>90836489</v>
      </c>
      <c r="P2914">
        <v>115</v>
      </c>
      <c r="Q2914" t="s">
        <v>6173</v>
      </c>
    </row>
    <row r="2915" spans="1:17" x14ac:dyDescent="0.3">
      <c r="A2915" t="s">
        <v>59</v>
      </c>
      <c r="B2915" t="str">
        <f>"002347"</f>
        <v>002347</v>
      </c>
      <c r="C2915" t="s">
        <v>6174</v>
      </c>
      <c r="D2915" t="s">
        <v>637</v>
      </c>
      <c r="F2915">
        <v>65021497</v>
      </c>
      <c r="G2915">
        <v>65358850</v>
      </c>
      <c r="H2915">
        <v>94190202</v>
      </c>
      <c r="I2915">
        <v>854863</v>
      </c>
      <c r="J2915">
        <v>-40640902</v>
      </c>
      <c r="K2915">
        <v>2532207</v>
      </c>
      <c r="L2915">
        <v>4396582</v>
      </c>
      <c r="M2915">
        <v>58405997</v>
      </c>
      <c r="N2915">
        <v>-43726486</v>
      </c>
      <c r="O2915">
        <v>-124129119</v>
      </c>
      <c r="P2915">
        <v>75</v>
      </c>
      <c r="Q2915" t="s">
        <v>6175</v>
      </c>
    </row>
    <row r="2916" spans="1:17" x14ac:dyDescent="0.3">
      <c r="A2916" t="s">
        <v>59</v>
      </c>
      <c r="B2916" t="str">
        <f>"300261"</f>
        <v>300261</v>
      </c>
      <c r="C2916" t="s">
        <v>6176</v>
      </c>
      <c r="D2916" t="s">
        <v>1356</v>
      </c>
      <c r="F2916">
        <v>422704009</v>
      </c>
      <c r="G2916">
        <v>338139532</v>
      </c>
      <c r="H2916">
        <v>94145833</v>
      </c>
      <c r="I2916">
        <v>307852992</v>
      </c>
      <c r="J2916">
        <v>285252738</v>
      </c>
      <c r="K2916">
        <v>21109408</v>
      </c>
      <c r="L2916">
        <v>69803033</v>
      </c>
      <c r="M2916">
        <v>84640620</v>
      </c>
      <c r="N2916">
        <v>11508233</v>
      </c>
      <c r="O2916">
        <v>30095030</v>
      </c>
      <c r="P2916">
        <v>139</v>
      </c>
      <c r="Q2916" t="s">
        <v>6177</v>
      </c>
    </row>
    <row r="2917" spans="1:17" x14ac:dyDescent="0.3">
      <c r="A2917" t="s">
        <v>59</v>
      </c>
      <c r="B2917" t="str">
        <f>"002878"</f>
        <v>002878</v>
      </c>
      <c r="C2917" t="s">
        <v>6178</v>
      </c>
      <c r="D2917" t="s">
        <v>4420</v>
      </c>
      <c r="F2917">
        <v>122197663</v>
      </c>
      <c r="G2917">
        <v>148355445</v>
      </c>
      <c r="H2917">
        <v>93972134</v>
      </c>
      <c r="I2917">
        <v>-5044169</v>
      </c>
      <c r="J2917">
        <v>36772535</v>
      </c>
      <c r="K2917">
        <v>63210149</v>
      </c>
      <c r="L2917">
        <v>16563152</v>
      </c>
      <c r="M2917">
        <v>21368823</v>
      </c>
      <c r="P2917">
        <v>345</v>
      </c>
      <c r="Q2917" t="s">
        <v>6179</v>
      </c>
    </row>
    <row r="2918" spans="1:17" x14ac:dyDescent="0.3">
      <c r="A2918" t="s">
        <v>17</v>
      </c>
      <c r="B2918" t="str">
        <f>"603716"</f>
        <v>603716</v>
      </c>
      <c r="C2918" t="s">
        <v>6180</v>
      </c>
      <c r="D2918" t="s">
        <v>396</v>
      </c>
      <c r="F2918">
        <v>-133523632</v>
      </c>
      <c r="G2918">
        <v>9944111</v>
      </c>
      <c r="H2918">
        <v>93923364</v>
      </c>
      <c r="I2918">
        <v>-63828486</v>
      </c>
      <c r="J2918">
        <v>-63252229</v>
      </c>
      <c r="K2918">
        <v>-17016112</v>
      </c>
      <c r="L2918">
        <v>46106511</v>
      </c>
      <c r="M2918">
        <v>30065369</v>
      </c>
      <c r="N2918">
        <v>32535241</v>
      </c>
      <c r="P2918">
        <v>137</v>
      </c>
      <c r="Q2918" t="s">
        <v>6181</v>
      </c>
    </row>
    <row r="2919" spans="1:17" x14ac:dyDescent="0.3">
      <c r="A2919" t="s">
        <v>17</v>
      </c>
      <c r="B2919" t="str">
        <f>"603790"</f>
        <v>603790</v>
      </c>
      <c r="C2919" t="s">
        <v>6182</v>
      </c>
      <c r="D2919" t="s">
        <v>372</v>
      </c>
      <c r="F2919">
        <v>38692937</v>
      </c>
      <c r="G2919">
        <v>90923966</v>
      </c>
      <c r="H2919">
        <v>93880757</v>
      </c>
      <c r="I2919">
        <v>41262538</v>
      </c>
      <c r="J2919">
        <v>79574266</v>
      </c>
      <c r="K2919">
        <v>107727931</v>
      </c>
      <c r="L2919">
        <v>84103815</v>
      </c>
      <c r="P2919">
        <v>64</v>
      </c>
      <c r="Q2919" t="s">
        <v>6183</v>
      </c>
    </row>
    <row r="2920" spans="1:17" x14ac:dyDescent="0.3">
      <c r="A2920" t="s">
        <v>59</v>
      </c>
      <c r="B2920" t="str">
        <f>"003002"</f>
        <v>003002</v>
      </c>
      <c r="C2920" t="s">
        <v>6184</v>
      </c>
      <c r="D2920" t="s">
        <v>1986</v>
      </c>
      <c r="F2920">
        <v>53266322</v>
      </c>
      <c r="G2920">
        <v>103172654</v>
      </c>
      <c r="H2920">
        <v>93859351</v>
      </c>
      <c r="I2920">
        <v>67249340</v>
      </c>
      <c r="J2920">
        <v>117194835</v>
      </c>
      <c r="K2920">
        <v>102618662</v>
      </c>
      <c r="P2920">
        <v>39</v>
      </c>
      <c r="Q2920" t="s">
        <v>6185</v>
      </c>
    </row>
    <row r="2921" spans="1:17" x14ac:dyDescent="0.3">
      <c r="A2921" t="s">
        <v>17</v>
      </c>
      <c r="B2921" t="str">
        <f>"603213"</f>
        <v>603213</v>
      </c>
      <c r="C2921" t="s">
        <v>6186</v>
      </c>
      <c r="D2921" t="s">
        <v>317</v>
      </c>
      <c r="F2921">
        <v>129562147</v>
      </c>
      <c r="G2921">
        <v>63619849</v>
      </c>
      <c r="H2921">
        <v>93681105</v>
      </c>
      <c r="I2921">
        <v>221357512</v>
      </c>
      <c r="J2921">
        <v>198019374</v>
      </c>
      <c r="P2921">
        <v>32</v>
      </c>
      <c r="Q2921" t="s">
        <v>6187</v>
      </c>
    </row>
    <row r="2922" spans="1:17" x14ac:dyDescent="0.3">
      <c r="A2922" t="s">
        <v>59</v>
      </c>
      <c r="B2922" t="str">
        <f>"300520"</f>
        <v>300520</v>
      </c>
      <c r="C2922" t="s">
        <v>6188</v>
      </c>
      <c r="D2922" t="s">
        <v>1528</v>
      </c>
      <c r="F2922">
        <v>-217504962</v>
      </c>
      <c r="G2922">
        <v>258281144</v>
      </c>
      <c r="H2922">
        <v>93651589</v>
      </c>
      <c r="I2922">
        <v>-18299281</v>
      </c>
      <c r="J2922">
        <v>-3235179</v>
      </c>
      <c r="K2922">
        <v>114707088</v>
      </c>
      <c r="L2922">
        <v>35112190</v>
      </c>
      <c r="M2922">
        <v>21360521</v>
      </c>
      <c r="N2922">
        <v>38040601</v>
      </c>
      <c r="P2922">
        <v>255</v>
      </c>
      <c r="Q2922" t="s">
        <v>6189</v>
      </c>
    </row>
    <row r="2923" spans="1:17" x14ac:dyDescent="0.3">
      <c r="A2923" t="s">
        <v>59</v>
      </c>
      <c r="B2923" t="str">
        <f>"300823"</f>
        <v>300823</v>
      </c>
      <c r="C2923" t="s">
        <v>6190</v>
      </c>
      <c r="D2923" t="s">
        <v>1351</v>
      </c>
      <c r="F2923">
        <v>71107810</v>
      </c>
      <c r="G2923">
        <v>64479721</v>
      </c>
      <c r="H2923">
        <v>93276942</v>
      </c>
      <c r="I2923">
        <v>36983744</v>
      </c>
      <c r="J2923">
        <v>69734990</v>
      </c>
      <c r="P2923">
        <v>109</v>
      </c>
      <c r="Q2923" t="s">
        <v>6191</v>
      </c>
    </row>
    <row r="2924" spans="1:17" x14ac:dyDescent="0.3">
      <c r="A2924" t="s">
        <v>59</v>
      </c>
      <c r="B2924" t="str">
        <f>"002760"</f>
        <v>002760</v>
      </c>
      <c r="C2924" t="s">
        <v>6192</v>
      </c>
      <c r="D2924" t="s">
        <v>1636</v>
      </c>
      <c r="F2924">
        <v>150261503</v>
      </c>
      <c r="G2924">
        <v>120838101</v>
      </c>
      <c r="H2924">
        <v>93262645</v>
      </c>
      <c r="I2924">
        <v>104491610</v>
      </c>
      <c r="J2924">
        <v>-4682734</v>
      </c>
      <c r="K2924">
        <v>-20202941</v>
      </c>
      <c r="L2924">
        <v>-3649593</v>
      </c>
      <c r="M2924">
        <v>68777925</v>
      </c>
      <c r="N2924">
        <v>35858799</v>
      </c>
      <c r="O2924">
        <v>60686398</v>
      </c>
      <c r="P2924">
        <v>72</v>
      </c>
      <c r="Q2924" t="s">
        <v>6193</v>
      </c>
    </row>
    <row r="2925" spans="1:17" x14ac:dyDescent="0.3">
      <c r="A2925" t="s">
        <v>17</v>
      </c>
      <c r="B2925" t="str">
        <f>"605180"</f>
        <v>605180</v>
      </c>
      <c r="C2925" t="s">
        <v>6194</v>
      </c>
      <c r="D2925" t="s">
        <v>3101</v>
      </c>
      <c r="F2925">
        <v>30639686</v>
      </c>
      <c r="G2925">
        <v>81416530</v>
      </c>
      <c r="H2925">
        <v>93231048</v>
      </c>
      <c r="I2925">
        <v>68311773</v>
      </c>
      <c r="J2925">
        <v>47213763</v>
      </c>
      <c r="P2925">
        <v>40</v>
      </c>
      <c r="Q2925" t="s">
        <v>6195</v>
      </c>
    </row>
    <row r="2926" spans="1:17" x14ac:dyDescent="0.3">
      <c r="A2926" t="s">
        <v>17</v>
      </c>
      <c r="B2926" t="str">
        <f>"600593"</f>
        <v>600593</v>
      </c>
      <c r="C2926" t="s">
        <v>6196</v>
      </c>
      <c r="D2926" t="s">
        <v>1281</v>
      </c>
      <c r="F2926">
        <v>62136911</v>
      </c>
      <c r="G2926">
        <v>13249151</v>
      </c>
      <c r="H2926">
        <v>93065360</v>
      </c>
      <c r="I2926">
        <v>113028722</v>
      </c>
      <c r="J2926">
        <v>104964173</v>
      </c>
      <c r="K2926">
        <v>88337018</v>
      </c>
      <c r="L2926">
        <v>117368387</v>
      </c>
      <c r="M2926">
        <v>101996290</v>
      </c>
      <c r="N2926">
        <v>145110816</v>
      </c>
      <c r="O2926">
        <v>76126777</v>
      </c>
      <c r="P2926">
        <v>123</v>
      </c>
      <c r="Q2926" t="s">
        <v>6197</v>
      </c>
    </row>
    <row r="2927" spans="1:17" x14ac:dyDescent="0.3">
      <c r="A2927" t="s">
        <v>59</v>
      </c>
      <c r="B2927" t="str">
        <f>"002030"</f>
        <v>002030</v>
      </c>
      <c r="C2927" t="s">
        <v>6198</v>
      </c>
      <c r="D2927" t="s">
        <v>1953</v>
      </c>
      <c r="F2927">
        <v>3304545785</v>
      </c>
      <c r="G2927">
        <v>2514511530</v>
      </c>
      <c r="H2927">
        <v>92972713</v>
      </c>
      <c r="I2927">
        <v>392378510</v>
      </c>
      <c r="J2927">
        <v>-219933925</v>
      </c>
      <c r="K2927">
        <v>-381280020</v>
      </c>
      <c r="L2927">
        <v>-5783188</v>
      </c>
      <c r="M2927">
        <v>40377290</v>
      </c>
      <c r="N2927">
        <v>26977095</v>
      </c>
      <c r="O2927">
        <v>3371973</v>
      </c>
      <c r="P2927">
        <v>1177</v>
      </c>
      <c r="Q2927" t="s">
        <v>6199</v>
      </c>
    </row>
    <row r="2928" spans="1:17" x14ac:dyDescent="0.3">
      <c r="A2928" t="s">
        <v>17</v>
      </c>
      <c r="B2928" t="str">
        <f>"603948"</f>
        <v>603948</v>
      </c>
      <c r="C2928" t="s">
        <v>6200</v>
      </c>
      <c r="D2928" t="s">
        <v>1252</v>
      </c>
      <c r="F2928">
        <v>193946084</v>
      </c>
      <c r="G2928">
        <v>86393152</v>
      </c>
      <c r="H2928">
        <v>92969948</v>
      </c>
      <c r="I2928">
        <v>147130297</v>
      </c>
      <c r="J2928">
        <v>85393422</v>
      </c>
      <c r="P2928">
        <v>60</v>
      </c>
      <c r="Q2928" t="s">
        <v>6201</v>
      </c>
    </row>
    <row r="2929" spans="1:17" x14ac:dyDescent="0.3">
      <c r="A2929" t="s">
        <v>59</v>
      </c>
      <c r="B2929" t="str">
        <f>"301062"</f>
        <v>301062</v>
      </c>
      <c r="C2929" t="s">
        <v>6202</v>
      </c>
      <c r="D2929" t="s">
        <v>1416</v>
      </c>
      <c r="F2929">
        <v>21812642</v>
      </c>
      <c r="G2929">
        <v>108770431</v>
      </c>
      <c r="H2929">
        <v>92725849</v>
      </c>
      <c r="I2929">
        <v>46091294</v>
      </c>
      <c r="J2929">
        <v>37506282</v>
      </c>
      <c r="P2929">
        <v>13</v>
      </c>
      <c r="Q2929" t="s">
        <v>6203</v>
      </c>
    </row>
    <row r="2930" spans="1:17" x14ac:dyDescent="0.3">
      <c r="A2930" t="s">
        <v>59</v>
      </c>
      <c r="B2930" t="str">
        <f>"000681"</f>
        <v>000681</v>
      </c>
      <c r="C2930" t="s">
        <v>6204</v>
      </c>
      <c r="D2930" t="s">
        <v>6205</v>
      </c>
      <c r="F2930">
        <v>105509717</v>
      </c>
      <c r="G2930">
        <v>112482116</v>
      </c>
      <c r="H2930">
        <v>92621459</v>
      </c>
      <c r="I2930">
        <v>291049483</v>
      </c>
      <c r="J2930">
        <v>250127630</v>
      </c>
      <c r="K2930">
        <v>234484511</v>
      </c>
      <c r="L2930">
        <v>120082270</v>
      </c>
      <c r="M2930">
        <v>67038970</v>
      </c>
      <c r="N2930">
        <v>-5642443</v>
      </c>
      <c r="O2930">
        <v>20401495</v>
      </c>
      <c r="P2930">
        <v>449</v>
      </c>
      <c r="Q2930" t="s">
        <v>6206</v>
      </c>
    </row>
    <row r="2931" spans="1:17" x14ac:dyDescent="0.3">
      <c r="A2931" t="s">
        <v>17</v>
      </c>
      <c r="B2931" t="str">
        <f>"603665"</f>
        <v>603665</v>
      </c>
      <c r="C2931" t="s">
        <v>6207</v>
      </c>
      <c r="D2931" t="s">
        <v>3416</v>
      </c>
      <c r="F2931">
        <v>19309816</v>
      </c>
      <c r="G2931">
        <v>-298676018</v>
      </c>
      <c r="H2931">
        <v>92569673</v>
      </c>
      <c r="I2931">
        <v>57942853</v>
      </c>
      <c r="J2931">
        <v>76477714</v>
      </c>
      <c r="K2931">
        <v>87366325</v>
      </c>
      <c r="L2931">
        <v>132500143</v>
      </c>
      <c r="M2931">
        <v>96842137</v>
      </c>
      <c r="P2931">
        <v>89</v>
      </c>
      <c r="Q2931" t="s">
        <v>6208</v>
      </c>
    </row>
    <row r="2932" spans="1:17" x14ac:dyDescent="0.3">
      <c r="A2932" t="s">
        <v>59</v>
      </c>
      <c r="B2932" t="str">
        <f>"300238"</f>
        <v>300238</v>
      </c>
      <c r="C2932" t="s">
        <v>6209</v>
      </c>
      <c r="D2932" t="s">
        <v>1036</v>
      </c>
      <c r="F2932">
        <v>122394244</v>
      </c>
      <c r="G2932">
        <v>103839533</v>
      </c>
      <c r="H2932">
        <v>92545564</v>
      </c>
      <c r="I2932">
        <v>32276117</v>
      </c>
      <c r="J2932">
        <v>19218215</v>
      </c>
      <c r="K2932">
        <v>30680822</v>
      </c>
      <c r="L2932">
        <v>67865963</v>
      </c>
      <c r="M2932">
        <v>65448672</v>
      </c>
      <c r="N2932">
        <v>41487996</v>
      </c>
      <c r="O2932">
        <v>49124921</v>
      </c>
      <c r="P2932">
        <v>195</v>
      </c>
      <c r="Q2932" t="s">
        <v>6210</v>
      </c>
    </row>
    <row r="2933" spans="1:17" x14ac:dyDescent="0.3">
      <c r="A2933" t="s">
        <v>59</v>
      </c>
      <c r="B2933" t="str">
        <f>"301043"</f>
        <v>301043</v>
      </c>
      <c r="C2933" t="s">
        <v>6211</v>
      </c>
      <c r="D2933" t="s">
        <v>1838</v>
      </c>
      <c r="F2933">
        <v>27885081</v>
      </c>
      <c r="G2933">
        <v>107160456</v>
      </c>
      <c r="H2933">
        <v>92390951</v>
      </c>
      <c r="I2933">
        <v>11716126</v>
      </c>
      <c r="J2933">
        <v>53385199</v>
      </c>
      <c r="P2933">
        <v>18</v>
      </c>
      <c r="Q2933" t="s">
        <v>6212</v>
      </c>
    </row>
    <row r="2934" spans="1:17" x14ac:dyDescent="0.3">
      <c r="A2934" t="s">
        <v>17</v>
      </c>
      <c r="B2934" t="str">
        <f>"603115"</f>
        <v>603115</v>
      </c>
      <c r="C2934" t="s">
        <v>6213</v>
      </c>
      <c r="D2934" t="s">
        <v>238</v>
      </c>
      <c r="F2934">
        <v>187467998</v>
      </c>
      <c r="G2934">
        <v>33076039</v>
      </c>
      <c r="H2934">
        <v>92238764</v>
      </c>
      <c r="I2934">
        <v>190033847</v>
      </c>
      <c r="J2934">
        <v>139014615</v>
      </c>
      <c r="K2934">
        <v>87411663</v>
      </c>
      <c r="P2934">
        <v>88</v>
      </c>
      <c r="Q2934" t="s">
        <v>6214</v>
      </c>
    </row>
    <row r="2935" spans="1:17" x14ac:dyDescent="0.3">
      <c r="A2935" t="s">
        <v>59</v>
      </c>
      <c r="B2935" t="str">
        <f>"000702"</f>
        <v>000702</v>
      </c>
      <c r="C2935" t="s">
        <v>6215</v>
      </c>
      <c r="D2935" t="s">
        <v>1128</v>
      </c>
      <c r="F2935">
        <v>-128868399</v>
      </c>
      <c r="G2935">
        <v>-112245331</v>
      </c>
      <c r="H2935">
        <v>92052932</v>
      </c>
      <c r="I2935">
        <v>10878758</v>
      </c>
      <c r="J2935">
        <v>-5721568</v>
      </c>
      <c r="K2935">
        <v>63425571</v>
      </c>
      <c r="L2935">
        <v>7335416</v>
      </c>
      <c r="M2935">
        <v>5652335</v>
      </c>
      <c r="N2935">
        <v>34924278</v>
      </c>
      <c r="O2935">
        <v>101203746</v>
      </c>
      <c r="P2935">
        <v>127</v>
      </c>
      <c r="Q2935" t="s">
        <v>6216</v>
      </c>
    </row>
    <row r="2936" spans="1:17" x14ac:dyDescent="0.3">
      <c r="A2936" t="s">
        <v>59</v>
      </c>
      <c r="B2936" t="str">
        <f>"300814"</f>
        <v>300814</v>
      </c>
      <c r="C2936" t="s">
        <v>6217</v>
      </c>
      <c r="D2936" t="s">
        <v>539</v>
      </c>
      <c r="F2936">
        <v>71406704</v>
      </c>
      <c r="G2936">
        <v>68144515</v>
      </c>
      <c r="H2936">
        <v>92001255</v>
      </c>
      <c r="I2936">
        <v>86544019</v>
      </c>
      <c r="J2936">
        <v>84158964</v>
      </c>
      <c r="P2936">
        <v>14</v>
      </c>
      <c r="Q2936" t="s">
        <v>6218</v>
      </c>
    </row>
    <row r="2937" spans="1:17" x14ac:dyDescent="0.3">
      <c r="A2937" t="s">
        <v>17</v>
      </c>
      <c r="B2937" t="str">
        <f>"603421"</f>
        <v>603421</v>
      </c>
      <c r="C2937" t="s">
        <v>6219</v>
      </c>
      <c r="D2937" t="s">
        <v>352</v>
      </c>
      <c r="F2937">
        <v>386054702</v>
      </c>
      <c r="G2937">
        <v>134219528</v>
      </c>
      <c r="H2937">
        <v>91913494</v>
      </c>
      <c r="I2937">
        <v>151827480</v>
      </c>
      <c r="J2937">
        <v>-28303531</v>
      </c>
      <c r="K2937">
        <v>285747913</v>
      </c>
      <c r="L2937">
        <v>125293097</v>
      </c>
      <c r="M2937">
        <v>304829867</v>
      </c>
      <c r="N2937">
        <v>204206913</v>
      </c>
      <c r="P2937">
        <v>138</v>
      </c>
      <c r="Q2937" t="s">
        <v>6220</v>
      </c>
    </row>
    <row r="2938" spans="1:17" x14ac:dyDescent="0.3">
      <c r="A2938" t="s">
        <v>17</v>
      </c>
      <c r="B2938" t="str">
        <f>"688389"</f>
        <v>688389</v>
      </c>
      <c r="C2938" t="s">
        <v>6221</v>
      </c>
      <c r="D2938" t="s">
        <v>1953</v>
      </c>
      <c r="F2938">
        <v>182066248</v>
      </c>
      <c r="G2938">
        <v>136415562</v>
      </c>
      <c r="H2938">
        <v>91824907</v>
      </c>
      <c r="I2938">
        <v>81143094</v>
      </c>
      <c r="J2938">
        <v>35251999</v>
      </c>
      <c r="K2938">
        <v>27999803</v>
      </c>
      <c r="P2938">
        <v>161</v>
      </c>
      <c r="Q2938" t="s">
        <v>6222</v>
      </c>
    </row>
    <row r="2939" spans="1:17" x14ac:dyDescent="0.3">
      <c r="A2939" t="s">
        <v>17</v>
      </c>
      <c r="B2939" t="str">
        <f>"603909"</f>
        <v>603909</v>
      </c>
      <c r="C2939" t="s">
        <v>6223</v>
      </c>
      <c r="D2939" t="s">
        <v>2254</v>
      </c>
      <c r="F2939">
        <v>88733665</v>
      </c>
      <c r="G2939">
        <v>89282004</v>
      </c>
      <c r="H2939">
        <v>91782392</v>
      </c>
      <c r="I2939">
        <v>-748250</v>
      </c>
      <c r="J2939">
        <v>-1266145</v>
      </c>
      <c r="K2939">
        <v>34180750</v>
      </c>
      <c r="L2939">
        <v>46141089</v>
      </c>
      <c r="M2939">
        <v>27882842</v>
      </c>
      <c r="N2939">
        <v>16755050</v>
      </c>
      <c r="P2939">
        <v>65</v>
      </c>
      <c r="Q2939" t="s">
        <v>6224</v>
      </c>
    </row>
    <row r="2940" spans="1:17" x14ac:dyDescent="0.3">
      <c r="A2940" t="s">
        <v>17</v>
      </c>
      <c r="B2940" t="str">
        <f>"688360"</f>
        <v>688360</v>
      </c>
      <c r="C2940" t="s">
        <v>6225</v>
      </c>
      <c r="D2940" t="s">
        <v>1838</v>
      </c>
      <c r="F2940">
        <v>-91834691</v>
      </c>
      <c r="G2940">
        <v>-28568657</v>
      </c>
      <c r="H2940">
        <v>91567458</v>
      </c>
      <c r="I2940">
        <v>52110130</v>
      </c>
      <c r="J2940">
        <v>-8527163</v>
      </c>
      <c r="K2940">
        <v>30806694</v>
      </c>
      <c r="P2940">
        <v>84</v>
      </c>
      <c r="Q2940" t="s">
        <v>6226</v>
      </c>
    </row>
    <row r="2941" spans="1:17" x14ac:dyDescent="0.3">
      <c r="A2941" t="s">
        <v>17</v>
      </c>
      <c r="B2941" t="str">
        <f>"688606"</f>
        <v>688606</v>
      </c>
      <c r="C2941" t="s">
        <v>6227</v>
      </c>
      <c r="D2941" t="s">
        <v>1953</v>
      </c>
      <c r="F2941">
        <v>923870827</v>
      </c>
      <c r="G2941">
        <v>622717595</v>
      </c>
      <c r="H2941">
        <v>91532635</v>
      </c>
      <c r="I2941">
        <v>18600794</v>
      </c>
      <c r="J2941">
        <v>19992414</v>
      </c>
      <c r="P2941">
        <v>104</v>
      </c>
      <c r="Q2941" t="s">
        <v>6228</v>
      </c>
    </row>
    <row r="2942" spans="1:17" x14ac:dyDescent="0.3">
      <c r="A2942" t="s">
        <v>59</v>
      </c>
      <c r="B2942" t="str">
        <f>"300870"</f>
        <v>300870</v>
      </c>
      <c r="C2942" t="s">
        <v>6229</v>
      </c>
      <c r="D2942" t="s">
        <v>1746</v>
      </c>
      <c r="F2942">
        <v>161952333</v>
      </c>
      <c r="G2942">
        <v>195685849</v>
      </c>
      <c r="H2942">
        <v>91520938</v>
      </c>
      <c r="I2942">
        <v>65712070</v>
      </c>
      <c r="J2942">
        <v>47304119</v>
      </c>
      <c r="K2942">
        <v>35725115</v>
      </c>
      <c r="P2942">
        <v>131</v>
      </c>
      <c r="Q2942" t="s">
        <v>6230</v>
      </c>
    </row>
    <row r="2943" spans="1:17" x14ac:dyDescent="0.3">
      <c r="A2943" t="s">
        <v>17</v>
      </c>
      <c r="B2943" t="str">
        <f>"688102"</f>
        <v>688102</v>
      </c>
      <c r="C2943" t="s">
        <v>6231</v>
      </c>
      <c r="F2943">
        <v>73036335</v>
      </c>
      <c r="G2943">
        <v>95736845</v>
      </c>
      <c r="H2943">
        <v>91427925</v>
      </c>
      <c r="I2943">
        <v>26857989</v>
      </c>
      <c r="J2943">
        <v>65867843</v>
      </c>
      <c r="P2943">
        <v>3</v>
      </c>
      <c r="Q2943" t="s">
        <v>6232</v>
      </c>
    </row>
    <row r="2944" spans="1:17" x14ac:dyDescent="0.3">
      <c r="A2944" t="s">
        <v>17</v>
      </c>
      <c r="B2944" t="str">
        <f>"603191"</f>
        <v>603191</v>
      </c>
      <c r="C2944" t="s">
        <v>6233</v>
      </c>
      <c r="F2944">
        <v>241737253</v>
      </c>
      <c r="G2944">
        <v>105139428</v>
      </c>
      <c r="H2944">
        <v>91381360</v>
      </c>
      <c r="I2944">
        <v>16066400</v>
      </c>
      <c r="P2944">
        <v>5</v>
      </c>
      <c r="Q2944" t="s">
        <v>6234</v>
      </c>
    </row>
    <row r="2945" spans="1:17" x14ac:dyDescent="0.3">
      <c r="A2945" t="s">
        <v>17</v>
      </c>
      <c r="B2945" t="str">
        <f>"600740"</f>
        <v>600740</v>
      </c>
      <c r="C2945" t="s">
        <v>6235</v>
      </c>
      <c r="D2945" t="s">
        <v>841</v>
      </c>
      <c r="F2945">
        <v>743035934</v>
      </c>
      <c r="G2945">
        <v>486466253</v>
      </c>
      <c r="H2945">
        <v>91308445</v>
      </c>
      <c r="I2945">
        <v>593156803</v>
      </c>
      <c r="J2945">
        <v>393028398</v>
      </c>
      <c r="K2945">
        <v>1136762847</v>
      </c>
      <c r="L2945">
        <v>-719122947</v>
      </c>
      <c r="M2945">
        <v>319937473</v>
      </c>
      <c r="N2945">
        <v>-1011261277</v>
      </c>
      <c r="O2945">
        <v>567003158</v>
      </c>
      <c r="P2945">
        <v>331</v>
      </c>
      <c r="Q2945" t="s">
        <v>6236</v>
      </c>
    </row>
    <row r="2946" spans="1:17" x14ac:dyDescent="0.3">
      <c r="A2946" t="s">
        <v>59</v>
      </c>
      <c r="B2946" t="str">
        <f>"300277"</f>
        <v>300277</v>
      </c>
      <c r="C2946" t="s">
        <v>6237</v>
      </c>
      <c r="D2946" t="s">
        <v>1189</v>
      </c>
      <c r="F2946">
        <v>6278407</v>
      </c>
      <c r="G2946">
        <v>20786167</v>
      </c>
      <c r="H2946">
        <v>91038451</v>
      </c>
      <c r="I2946">
        <v>22230533</v>
      </c>
      <c r="J2946">
        <v>16517247</v>
      </c>
      <c r="K2946">
        <v>43371882</v>
      </c>
      <c r="L2946">
        <v>12457534</v>
      </c>
      <c r="M2946">
        <v>76884033</v>
      </c>
      <c r="N2946">
        <v>-40785498</v>
      </c>
      <c r="O2946">
        <v>21446758</v>
      </c>
      <c r="P2946">
        <v>73</v>
      </c>
      <c r="Q2946" t="s">
        <v>6238</v>
      </c>
    </row>
    <row r="2947" spans="1:17" x14ac:dyDescent="0.3">
      <c r="A2947" t="s">
        <v>59</v>
      </c>
      <c r="B2947" t="str">
        <f>"000998"</f>
        <v>000998</v>
      </c>
      <c r="C2947" t="s">
        <v>6239</v>
      </c>
      <c r="D2947" t="s">
        <v>4417</v>
      </c>
      <c r="F2947">
        <v>1369454940</v>
      </c>
      <c r="G2947">
        <v>1365237767</v>
      </c>
      <c r="H2947">
        <v>90980471</v>
      </c>
      <c r="I2947">
        <v>-14403400</v>
      </c>
      <c r="J2947">
        <v>520465371</v>
      </c>
      <c r="K2947">
        <v>313932762</v>
      </c>
      <c r="L2947">
        <v>350108125</v>
      </c>
      <c r="M2947">
        <v>276094324</v>
      </c>
      <c r="N2947">
        <v>246920748</v>
      </c>
      <c r="O2947">
        <v>209336898</v>
      </c>
      <c r="P2947">
        <v>649</v>
      </c>
      <c r="Q2947" t="s">
        <v>6240</v>
      </c>
    </row>
    <row r="2948" spans="1:17" x14ac:dyDescent="0.3">
      <c r="A2948" t="s">
        <v>59</v>
      </c>
      <c r="B2948" t="str">
        <f>"301045"</f>
        <v>301045</v>
      </c>
      <c r="C2948" t="s">
        <v>6241</v>
      </c>
      <c r="D2948" t="s">
        <v>692</v>
      </c>
      <c r="F2948">
        <v>96291201</v>
      </c>
      <c r="G2948">
        <v>71471481</v>
      </c>
      <c r="H2948">
        <v>90887186</v>
      </c>
      <c r="I2948">
        <v>46603549</v>
      </c>
      <c r="J2948">
        <v>27751729</v>
      </c>
      <c r="P2948">
        <v>17</v>
      </c>
      <c r="Q2948" t="s">
        <v>6242</v>
      </c>
    </row>
    <row r="2949" spans="1:17" x14ac:dyDescent="0.3">
      <c r="A2949" t="s">
        <v>59</v>
      </c>
      <c r="B2949" t="str">
        <f>"300849"</f>
        <v>300849</v>
      </c>
      <c r="C2949" t="s">
        <v>6243</v>
      </c>
      <c r="D2949" t="s">
        <v>2271</v>
      </c>
      <c r="F2949">
        <v>28766992</v>
      </c>
      <c r="G2949">
        <v>58299971</v>
      </c>
      <c r="H2949">
        <v>90842097</v>
      </c>
      <c r="I2949">
        <v>49566469</v>
      </c>
      <c r="J2949">
        <v>64998873</v>
      </c>
      <c r="K2949">
        <v>55046689</v>
      </c>
      <c r="P2949">
        <v>44</v>
      </c>
      <c r="Q2949" t="s">
        <v>6244</v>
      </c>
    </row>
    <row r="2950" spans="1:17" x14ac:dyDescent="0.3">
      <c r="A2950" t="s">
        <v>59</v>
      </c>
      <c r="B2950" t="str">
        <f>"300705"</f>
        <v>300705</v>
      </c>
      <c r="C2950" t="s">
        <v>6245</v>
      </c>
      <c r="D2950" t="s">
        <v>592</v>
      </c>
      <c r="F2950">
        <v>190871610</v>
      </c>
      <c r="G2950">
        <v>149994592</v>
      </c>
      <c r="H2950">
        <v>90740744</v>
      </c>
      <c r="I2950">
        <v>68233504</v>
      </c>
      <c r="J2950">
        <v>80419422</v>
      </c>
      <c r="K2950">
        <v>55182573</v>
      </c>
      <c r="L2950">
        <v>32195184</v>
      </c>
      <c r="M2950">
        <v>30107645</v>
      </c>
      <c r="P2950">
        <v>167</v>
      </c>
      <c r="Q2950" t="s">
        <v>6246</v>
      </c>
    </row>
    <row r="2951" spans="1:17" x14ac:dyDescent="0.3">
      <c r="A2951" t="s">
        <v>59</v>
      </c>
      <c r="B2951" t="str">
        <f>"301066"</f>
        <v>301066</v>
      </c>
      <c r="C2951" t="s">
        <v>6247</v>
      </c>
      <c r="D2951" t="s">
        <v>3416</v>
      </c>
      <c r="F2951">
        <v>-21171523</v>
      </c>
      <c r="G2951">
        <v>117459216</v>
      </c>
      <c r="H2951">
        <v>90649903</v>
      </c>
      <c r="I2951">
        <v>75483952</v>
      </c>
      <c r="J2951">
        <v>12024078</v>
      </c>
      <c r="P2951">
        <v>21</v>
      </c>
      <c r="Q2951" t="s">
        <v>6248</v>
      </c>
    </row>
    <row r="2952" spans="1:17" x14ac:dyDescent="0.3">
      <c r="A2952" t="s">
        <v>59</v>
      </c>
      <c r="B2952" t="str">
        <f>"000815"</f>
        <v>000815</v>
      </c>
      <c r="C2952" t="s">
        <v>6249</v>
      </c>
      <c r="D2952" t="s">
        <v>241</v>
      </c>
      <c r="F2952">
        <v>32218157</v>
      </c>
      <c r="G2952">
        <v>-174734936</v>
      </c>
      <c r="H2952">
        <v>90540119</v>
      </c>
      <c r="I2952">
        <v>118934444</v>
      </c>
      <c r="J2952">
        <v>-76805351</v>
      </c>
      <c r="K2952">
        <v>88069619</v>
      </c>
      <c r="L2952">
        <v>-5170981</v>
      </c>
      <c r="M2952">
        <v>-61233069</v>
      </c>
      <c r="N2952">
        <v>-292768685</v>
      </c>
      <c r="O2952">
        <v>-51556011</v>
      </c>
      <c r="P2952">
        <v>125</v>
      </c>
      <c r="Q2952" t="s">
        <v>6250</v>
      </c>
    </row>
    <row r="2953" spans="1:17" x14ac:dyDescent="0.3">
      <c r="A2953" t="s">
        <v>59</v>
      </c>
      <c r="B2953" t="str">
        <f>"300877"</f>
        <v>300877</v>
      </c>
      <c r="C2953" t="s">
        <v>6251</v>
      </c>
      <c r="D2953" t="s">
        <v>3101</v>
      </c>
      <c r="F2953">
        <v>-1192198</v>
      </c>
      <c r="G2953">
        <v>179771034</v>
      </c>
      <c r="H2953">
        <v>90524877</v>
      </c>
      <c r="I2953">
        <v>110050057</v>
      </c>
      <c r="J2953">
        <v>4040354</v>
      </c>
      <c r="K2953">
        <v>26018877</v>
      </c>
      <c r="P2953">
        <v>75</v>
      </c>
      <c r="Q2953" t="s">
        <v>6252</v>
      </c>
    </row>
    <row r="2954" spans="1:17" x14ac:dyDescent="0.3">
      <c r="A2954" t="s">
        <v>59</v>
      </c>
      <c r="B2954" t="str">
        <f>"301101"</f>
        <v>301101</v>
      </c>
      <c r="C2954" t="s">
        <v>6253</v>
      </c>
      <c r="D2954" t="s">
        <v>1657</v>
      </c>
      <c r="F2954">
        <v>142937318</v>
      </c>
      <c r="G2954">
        <v>91130927</v>
      </c>
      <c r="H2954">
        <v>90393357</v>
      </c>
      <c r="I2954">
        <v>83135138</v>
      </c>
      <c r="J2954">
        <v>48789371</v>
      </c>
      <c r="P2954">
        <v>19</v>
      </c>
      <c r="Q2954" t="s">
        <v>6254</v>
      </c>
    </row>
    <row r="2955" spans="1:17" x14ac:dyDescent="0.3">
      <c r="A2955" t="s">
        <v>17</v>
      </c>
      <c r="B2955" t="str">
        <f>"603949"</f>
        <v>603949</v>
      </c>
      <c r="C2955" t="s">
        <v>6255</v>
      </c>
      <c r="D2955" t="s">
        <v>156</v>
      </c>
      <c r="F2955">
        <v>185033677</v>
      </c>
      <c r="G2955">
        <v>44757518</v>
      </c>
      <c r="H2955">
        <v>90389446</v>
      </c>
      <c r="I2955">
        <v>136755349</v>
      </c>
      <c r="J2955">
        <v>102085651</v>
      </c>
      <c r="K2955">
        <v>33844793</v>
      </c>
      <c r="P2955">
        <v>158</v>
      </c>
      <c r="Q2955" t="s">
        <v>6256</v>
      </c>
    </row>
    <row r="2956" spans="1:17" x14ac:dyDescent="0.3">
      <c r="A2956" t="s">
        <v>59</v>
      </c>
      <c r="B2956" t="str">
        <f>"300027"</f>
        <v>300027</v>
      </c>
      <c r="C2956" t="s">
        <v>6257</v>
      </c>
      <c r="D2956" t="s">
        <v>1059</v>
      </c>
      <c r="F2956">
        <v>234412234</v>
      </c>
      <c r="G2956">
        <v>246393540</v>
      </c>
      <c r="H2956">
        <v>90355856</v>
      </c>
      <c r="I2956">
        <v>582181569</v>
      </c>
      <c r="J2956">
        <v>-214589717</v>
      </c>
      <c r="K2956">
        <v>759144292</v>
      </c>
      <c r="L2956">
        <v>526963091</v>
      </c>
      <c r="M2956">
        <v>-21025474</v>
      </c>
      <c r="N2956">
        <v>511289862</v>
      </c>
      <c r="O2956">
        <v>-248964691</v>
      </c>
      <c r="P2956">
        <v>475</v>
      </c>
      <c r="Q2956" t="s">
        <v>6258</v>
      </c>
    </row>
    <row r="2957" spans="1:17" x14ac:dyDescent="0.3">
      <c r="A2957" t="s">
        <v>59</v>
      </c>
      <c r="B2957" t="str">
        <f>"300260"</f>
        <v>300260</v>
      </c>
      <c r="C2957" t="s">
        <v>6259</v>
      </c>
      <c r="D2957" t="s">
        <v>637</v>
      </c>
      <c r="F2957">
        <v>174358788</v>
      </c>
      <c r="G2957">
        <v>109073660</v>
      </c>
      <c r="H2957">
        <v>90237647</v>
      </c>
      <c r="I2957">
        <v>157224966</v>
      </c>
      <c r="J2957">
        <v>39389546</v>
      </c>
      <c r="K2957">
        <v>72310135</v>
      </c>
      <c r="L2957">
        <v>-56853336</v>
      </c>
      <c r="M2957">
        <v>-19094553</v>
      </c>
      <c r="N2957">
        <v>-37042192</v>
      </c>
      <c r="O2957">
        <v>7158116</v>
      </c>
      <c r="P2957">
        <v>211</v>
      </c>
      <c r="Q2957" t="s">
        <v>6260</v>
      </c>
    </row>
    <row r="2958" spans="1:17" x14ac:dyDescent="0.3">
      <c r="A2958" t="s">
        <v>17</v>
      </c>
      <c r="B2958" t="str">
        <f>"688466"</f>
        <v>688466</v>
      </c>
      <c r="C2958" t="s">
        <v>6261</v>
      </c>
      <c r="D2958" t="s">
        <v>669</v>
      </c>
      <c r="F2958">
        <v>-33425254</v>
      </c>
      <c r="G2958">
        <v>-104743767</v>
      </c>
      <c r="H2958">
        <v>90152047</v>
      </c>
      <c r="I2958">
        <v>63043697</v>
      </c>
      <c r="J2958">
        <v>31419929</v>
      </c>
      <c r="K2958">
        <v>12317960</v>
      </c>
      <c r="P2958">
        <v>60</v>
      </c>
      <c r="Q2958" t="s">
        <v>6262</v>
      </c>
    </row>
    <row r="2959" spans="1:17" x14ac:dyDescent="0.3">
      <c r="A2959" t="s">
        <v>59</v>
      </c>
      <c r="B2959" t="str">
        <f>"300880"</f>
        <v>300880</v>
      </c>
      <c r="C2959" t="s">
        <v>6263</v>
      </c>
      <c r="D2959" t="s">
        <v>1828</v>
      </c>
      <c r="F2959">
        <v>10362562</v>
      </c>
      <c r="G2959">
        <v>21190337</v>
      </c>
      <c r="H2959">
        <v>89873946</v>
      </c>
      <c r="I2959">
        <v>79399434</v>
      </c>
      <c r="J2959">
        <v>69071251</v>
      </c>
      <c r="K2959">
        <v>22535926</v>
      </c>
      <c r="P2959">
        <v>55</v>
      </c>
      <c r="Q2959" t="s">
        <v>6264</v>
      </c>
    </row>
    <row r="2960" spans="1:17" x14ac:dyDescent="0.3">
      <c r="A2960" t="s">
        <v>17</v>
      </c>
      <c r="B2960" t="str">
        <f>"600463"</f>
        <v>600463</v>
      </c>
      <c r="C2960" t="s">
        <v>6265</v>
      </c>
      <c r="D2960" t="s">
        <v>6266</v>
      </c>
      <c r="F2960">
        <v>-170172948</v>
      </c>
      <c r="G2960">
        <v>67406447</v>
      </c>
      <c r="H2960">
        <v>89840887</v>
      </c>
      <c r="I2960">
        <v>-296350598</v>
      </c>
      <c r="J2960">
        <v>696160990</v>
      </c>
      <c r="K2960">
        <v>147048213</v>
      </c>
      <c r="L2960">
        <v>-27535071</v>
      </c>
      <c r="M2960">
        <v>-90923602</v>
      </c>
      <c r="N2960">
        <v>-223554036</v>
      </c>
      <c r="O2960">
        <v>352330427</v>
      </c>
      <c r="P2960">
        <v>66</v>
      </c>
      <c r="Q2960" t="s">
        <v>6267</v>
      </c>
    </row>
    <row r="2961" spans="1:17" x14ac:dyDescent="0.3">
      <c r="A2961" t="s">
        <v>17</v>
      </c>
      <c r="B2961" t="str">
        <f>"688393"</f>
        <v>688393</v>
      </c>
      <c r="C2961" t="s">
        <v>6268</v>
      </c>
      <c r="D2961" t="s">
        <v>1953</v>
      </c>
      <c r="F2961">
        <v>59614444</v>
      </c>
      <c r="G2961">
        <v>91425993</v>
      </c>
      <c r="H2961">
        <v>89739046</v>
      </c>
      <c r="I2961">
        <v>65351374</v>
      </c>
      <c r="J2961">
        <v>83918534</v>
      </c>
      <c r="K2961">
        <v>43373944</v>
      </c>
      <c r="P2961">
        <v>76</v>
      </c>
      <c r="Q2961" t="s">
        <v>6269</v>
      </c>
    </row>
    <row r="2962" spans="1:17" x14ac:dyDescent="0.3">
      <c r="A2962" t="s">
        <v>17</v>
      </c>
      <c r="B2962" t="str">
        <f>"603956"</f>
        <v>603956</v>
      </c>
      <c r="C2962" t="s">
        <v>6270</v>
      </c>
      <c r="D2962" t="s">
        <v>1351</v>
      </c>
      <c r="F2962">
        <v>-44756452</v>
      </c>
      <c r="G2962">
        <v>206523152</v>
      </c>
      <c r="H2962">
        <v>89737364</v>
      </c>
      <c r="I2962">
        <v>62209700</v>
      </c>
      <c r="J2962">
        <v>39776953</v>
      </c>
      <c r="K2962">
        <v>87419418</v>
      </c>
      <c r="L2962">
        <v>61977985</v>
      </c>
      <c r="P2962">
        <v>181</v>
      </c>
      <c r="Q2962" t="s">
        <v>6271</v>
      </c>
    </row>
    <row r="2963" spans="1:17" x14ac:dyDescent="0.3">
      <c r="A2963" t="s">
        <v>59</v>
      </c>
      <c r="B2963" t="str">
        <f>"300446"</f>
        <v>300446</v>
      </c>
      <c r="C2963" t="s">
        <v>6272</v>
      </c>
      <c r="D2963" t="s">
        <v>2111</v>
      </c>
      <c r="F2963">
        <v>43120422</v>
      </c>
      <c r="G2963">
        <v>38890893</v>
      </c>
      <c r="H2963">
        <v>89582109</v>
      </c>
      <c r="I2963">
        <v>109518815</v>
      </c>
      <c r="J2963">
        <v>117496337</v>
      </c>
      <c r="K2963">
        <v>119560641</v>
      </c>
      <c r="L2963">
        <v>108334800</v>
      </c>
      <c r="M2963">
        <v>98431052</v>
      </c>
      <c r="N2963">
        <v>69523223</v>
      </c>
      <c r="O2963">
        <v>35165991</v>
      </c>
      <c r="P2963">
        <v>980</v>
      </c>
      <c r="Q2963" t="s">
        <v>6273</v>
      </c>
    </row>
    <row r="2964" spans="1:17" x14ac:dyDescent="0.3">
      <c r="A2964" t="s">
        <v>17</v>
      </c>
      <c r="B2964" t="str">
        <f>"688586"</f>
        <v>688586</v>
      </c>
      <c r="C2964" t="s">
        <v>6274</v>
      </c>
      <c r="D2964" t="s">
        <v>448</v>
      </c>
      <c r="F2964">
        <v>321340508</v>
      </c>
      <c r="G2964">
        <v>213081573</v>
      </c>
      <c r="H2964">
        <v>89564621</v>
      </c>
      <c r="I2964">
        <v>-13723496</v>
      </c>
      <c r="J2964">
        <v>62599937</v>
      </c>
      <c r="K2964">
        <v>-18781775</v>
      </c>
      <c r="P2964">
        <v>70</v>
      </c>
      <c r="Q2964" t="s">
        <v>6275</v>
      </c>
    </row>
    <row r="2965" spans="1:17" x14ac:dyDescent="0.3">
      <c r="A2965" t="s">
        <v>59</v>
      </c>
      <c r="B2965" t="str">
        <f>"300863"</f>
        <v>300863</v>
      </c>
      <c r="C2965" t="s">
        <v>6276</v>
      </c>
      <c r="D2965" t="s">
        <v>575</v>
      </c>
      <c r="F2965">
        <v>-251548645</v>
      </c>
      <c r="G2965">
        <v>-272895100</v>
      </c>
      <c r="H2965">
        <v>89430840</v>
      </c>
      <c r="I2965">
        <v>67315777</v>
      </c>
      <c r="J2965">
        <v>-48185161</v>
      </c>
      <c r="K2965">
        <v>43168854</v>
      </c>
      <c r="P2965">
        <v>75</v>
      </c>
      <c r="Q2965" t="s">
        <v>6277</v>
      </c>
    </row>
    <row r="2966" spans="1:17" x14ac:dyDescent="0.3">
      <c r="A2966" t="s">
        <v>17</v>
      </c>
      <c r="B2966" t="str">
        <f>"603192"</f>
        <v>603192</v>
      </c>
      <c r="C2966" t="s">
        <v>6278</v>
      </c>
      <c r="D2966" t="s">
        <v>144</v>
      </c>
      <c r="F2966">
        <v>256956041</v>
      </c>
      <c r="G2966">
        <v>161823356</v>
      </c>
      <c r="H2966">
        <v>89401787</v>
      </c>
      <c r="I2966">
        <v>89992835</v>
      </c>
      <c r="J2966">
        <v>116582769</v>
      </c>
      <c r="K2966">
        <v>194304360</v>
      </c>
      <c r="L2966">
        <v>131279070</v>
      </c>
      <c r="P2966">
        <v>82</v>
      </c>
      <c r="Q2966" t="s">
        <v>6279</v>
      </c>
    </row>
    <row r="2967" spans="1:17" x14ac:dyDescent="0.3">
      <c r="A2967" t="s">
        <v>59</v>
      </c>
      <c r="B2967" t="str">
        <f>"300848"</f>
        <v>300848</v>
      </c>
      <c r="C2967" t="s">
        <v>6280</v>
      </c>
      <c r="D2967" t="s">
        <v>144</v>
      </c>
      <c r="F2967">
        <v>161032852</v>
      </c>
      <c r="G2967">
        <v>126509945</v>
      </c>
      <c r="H2967">
        <v>89367404</v>
      </c>
      <c r="I2967">
        <v>-3802626</v>
      </c>
      <c r="J2967">
        <v>109401510</v>
      </c>
      <c r="K2967">
        <v>71807361</v>
      </c>
      <c r="P2967">
        <v>125</v>
      </c>
      <c r="Q2967" t="s">
        <v>6281</v>
      </c>
    </row>
    <row r="2968" spans="1:17" x14ac:dyDescent="0.3">
      <c r="A2968" t="s">
        <v>59</v>
      </c>
      <c r="B2968" t="str">
        <f>"301058"</f>
        <v>301058</v>
      </c>
      <c r="C2968" t="s">
        <v>6282</v>
      </c>
      <c r="D2968" t="s">
        <v>2254</v>
      </c>
      <c r="F2968">
        <v>261049778</v>
      </c>
      <c r="G2968">
        <v>231367849</v>
      </c>
      <c r="H2968">
        <v>89321650</v>
      </c>
      <c r="I2968">
        <v>-132337156</v>
      </c>
      <c r="J2968">
        <v>30515742</v>
      </c>
      <c r="P2968">
        <v>24</v>
      </c>
      <c r="Q2968" t="s">
        <v>6283</v>
      </c>
    </row>
    <row r="2969" spans="1:17" x14ac:dyDescent="0.3">
      <c r="A2969" t="s">
        <v>17</v>
      </c>
      <c r="B2969" t="str">
        <f>"688798"</f>
        <v>688798</v>
      </c>
      <c r="C2969" t="s">
        <v>6284</v>
      </c>
      <c r="D2969" t="s">
        <v>759</v>
      </c>
      <c r="F2969">
        <v>286483564</v>
      </c>
      <c r="G2969">
        <v>199930714</v>
      </c>
      <c r="H2969">
        <v>89318668</v>
      </c>
      <c r="I2969">
        <v>54634071</v>
      </c>
      <c r="J2969">
        <v>58599130</v>
      </c>
      <c r="P2969">
        <v>67</v>
      </c>
      <c r="Q2969" t="s">
        <v>6285</v>
      </c>
    </row>
    <row r="2970" spans="1:17" x14ac:dyDescent="0.3">
      <c r="A2970" t="s">
        <v>59</v>
      </c>
      <c r="B2970" t="str">
        <f>"301077"</f>
        <v>301077</v>
      </c>
      <c r="C2970" t="s">
        <v>6286</v>
      </c>
      <c r="D2970" t="s">
        <v>1252</v>
      </c>
      <c r="F2970">
        <v>70303673</v>
      </c>
      <c r="G2970">
        <v>108108601</v>
      </c>
      <c r="H2970">
        <v>89275197</v>
      </c>
      <c r="I2970">
        <v>40413904</v>
      </c>
      <c r="J2970">
        <v>23603956</v>
      </c>
      <c r="P2970">
        <v>30</v>
      </c>
      <c r="Q2970" t="s">
        <v>6287</v>
      </c>
    </row>
    <row r="2971" spans="1:17" x14ac:dyDescent="0.3">
      <c r="A2971" t="s">
        <v>59</v>
      </c>
      <c r="B2971" t="str">
        <f>"301129"</f>
        <v>301129</v>
      </c>
      <c r="C2971" t="s">
        <v>6288</v>
      </c>
      <c r="D2971" t="s">
        <v>2382</v>
      </c>
      <c r="F2971">
        <v>83347993</v>
      </c>
      <c r="G2971">
        <v>113541606</v>
      </c>
      <c r="H2971">
        <v>89156692</v>
      </c>
      <c r="I2971">
        <v>36809279</v>
      </c>
      <c r="J2971">
        <v>33013024</v>
      </c>
      <c r="P2971">
        <v>22</v>
      </c>
      <c r="Q2971" t="s">
        <v>6289</v>
      </c>
    </row>
    <row r="2972" spans="1:17" x14ac:dyDescent="0.3">
      <c r="A2972" t="s">
        <v>59</v>
      </c>
      <c r="B2972" t="str">
        <f>"301016"</f>
        <v>301016</v>
      </c>
      <c r="C2972" t="s">
        <v>6290</v>
      </c>
      <c r="D2972" t="s">
        <v>165</v>
      </c>
      <c r="F2972">
        <v>156465759</v>
      </c>
      <c r="G2972">
        <v>155672157</v>
      </c>
      <c r="H2972">
        <v>89001079</v>
      </c>
      <c r="I2972">
        <v>52023208</v>
      </c>
      <c r="J2972">
        <v>61019562</v>
      </c>
      <c r="P2972">
        <v>35</v>
      </c>
      <c r="Q2972" t="s">
        <v>6291</v>
      </c>
    </row>
    <row r="2973" spans="1:17" x14ac:dyDescent="0.3">
      <c r="A2973" t="s">
        <v>59</v>
      </c>
      <c r="B2973" t="str">
        <f>"300516"</f>
        <v>300516</v>
      </c>
      <c r="C2973" t="s">
        <v>6292</v>
      </c>
      <c r="D2973" t="s">
        <v>595</v>
      </c>
      <c r="F2973">
        <v>-44947156</v>
      </c>
      <c r="G2973">
        <v>273256833</v>
      </c>
      <c r="H2973">
        <v>88986522</v>
      </c>
      <c r="I2973">
        <v>46337315</v>
      </c>
      <c r="J2973">
        <v>-127091223</v>
      </c>
      <c r="K2973">
        <v>92987407</v>
      </c>
      <c r="L2973">
        <v>124675824</v>
      </c>
      <c r="M2973">
        <v>36508863</v>
      </c>
      <c r="N2973">
        <v>35890053</v>
      </c>
      <c r="P2973">
        <v>118</v>
      </c>
      <c r="Q2973" t="s">
        <v>6293</v>
      </c>
    </row>
    <row r="2974" spans="1:17" x14ac:dyDescent="0.3">
      <c r="A2974" t="s">
        <v>17</v>
      </c>
      <c r="B2974" t="str">
        <f>"900920"</f>
        <v>900920</v>
      </c>
      <c r="C2974" t="s">
        <v>6294</v>
      </c>
      <c r="G2974">
        <v>24029427.8948</v>
      </c>
      <c r="H2974">
        <v>88880995.840399995</v>
      </c>
      <c r="I2974">
        <v>67575014.372400001</v>
      </c>
      <c r="J2974">
        <v>26359282.175999999</v>
      </c>
      <c r="K2974">
        <v>7682638.3200000003</v>
      </c>
      <c r="L2974">
        <v>61165284.641999997</v>
      </c>
      <c r="M2974">
        <v>43253770.445600003</v>
      </c>
      <c r="N2974">
        <v>26901311.558800001</v>
      </c>
      <c r="O2974">
        <v>63282652.299000002</v>
      </c>
      <c r="P2974">
        <v>12</v>
      </c>
      <c r="Q2974" t="s">
        <v>6295</v>
      </c>
    </row>
    <row r="2975" spans="1:17" x14ac:dyDescent="0.3">
      <c r="A2975" t="s">
        <v>59</v>
      </c>
      <c r="B2975" t="str">
        <f>"300112"</f>
        <v>300112</v>
      </c>
      <c r="C2975" t="s">
        <v>6296</v>
      </c>
      <c r="D2975" t="s">
        <v>2382</v>
      </c>
      <c r="F2975">
        <v>96826394</v>
      </c>
      <c r="G2975">
        <v>106238404</v>
      </c>
      <c r="H2975">
        <v>88803751</v>
      </c>
      <c r="I2975">
        <v>42147290</v>
      </c>
      <c r="J2975">
        <v>60843626</v>
      </c>
      <c r="K2975">
        <v>78182245</v>
      </c>
      <c r="L2975">
        <v>26927670</v>
      </c>
      <c r="M2975">
        <v>19387021</v>
      </c>
      <c r="N2975">
        <v>33161758</v>
      </c>
      <c r="O2975">
        <v>5264259</v>
      </c>
      <c r="P2975">
        <v>123</v>
      </c>
      <c r="Q2975" t="s">
        <v>6297</v>
      </c>
    </row>
    <row r="2976" spans="1:17" x14ac:dyDescent="0.3">
      <c r="A2976" t="s">
        <v>17</v>
      </c>
      <c r="B2976" t="str">
        <f>"600249"</f>
        <v>600249</v>
      </c>
      <c r="C2976" t="s">
        <v>6298</v>
      </c>
      <c r="D2976" t="s">
        <v>4966</v>
      </c>
      <c r="F2976">
        <v>-54097195</v>
      </c>
      <c r="G2976">
        <v>14865567</v>
      </c>
      <c r="H2976">
        <v>88800489</v>
      </c>
      <c r="I2976">
        <v>18900055</v>
      </c>
      <c r="J2976">
        <v>-171047833</v>
      </c>
      <c r="K2976">
        <v>15057960</v>
      </c>
      <c r="L2976">
        <v>-283485430</v>
      </c>
      <c r="M2976">
        <v>-166443614</v>
      </c>
      <c r="N2976">
        <v>2392912</v>
      </c>
      <c r="O2976">
        <v>-98634715</v>
      </c>
      <c r="P2976">
        <v>90</v>
      </c>
      <c r="Q2976" t="s">
        <v>6299</v>
      </c>
    </row>
    <row r="2977" spans="1:17" x14ac:dyDescent="0.3">
      <c r="A2977" t="s">
        <v>59</v>
      </c>
      <c r="B2977" t="str">
        <f>"000697"</f>
        <v>000697</v>
      </c>
      <c r="C2977" t="s">
        <v>6300</v>
      </c>
      <c r="D2977" t="s">
        <v>448</v>
      </c>
      <c r="F2977">
        <v>-180346649</v>
      </c>
      <c r="G2977">
        <v>98410074</v>
      </c>
      <c r="H2977">
        <v>88722544</v>
      </c>
      <c r="I2977">
        <v>56227901</v>
      </c>
      <c r="J2977">
        <v>-70297922</v>
      </c>
      <c r="K2977">
        <v>-77051041</v>
      </c>
      <c r="L2977">
        <v>57247755</v>
      </c>
      <c r="M2977">
        <v>220776149</v>
      </c>
      <c r="N2977">
        <v>181469905</v>
      </c>
      <c r="O2977">
        <v>21764029</v>
      </c>
      <c r="P2977">
        <v>110</v>
      </c>
      <c r="Q2977" t="s">
        <v>6301</v>
      </c>
    </row>
    <row r="2978" spans="1:17" x14ac:dyDescent="0.3">
      <c r="A2978" t="s">
        <v>59</v>
      </c>
      <c r="B2978" t="str">
        <f>"001211"</f>
        <v>001211</v>
      </c>
      <c r="C2978" t="s">
        <v>6302</v>
      </c>
      <c r="D2978" t="s">
        <v>923</v>
      </c>
      <c r="F2978">
        <v>23462788</v>
      </c>
      <c r="G2978">
        <v>121069146</v>
      </c>
      <c r="H2978">
        <v>88667642</v>
      </c>
      <c r="I2978">
        <v>31481525</v>
      </c>
      <c r="J2978">
        <v>50081000</v>
      </c>
      <c r="P2978">
        <v>13</v>
      </c>
      <c r="Q2978" t="s">
        <v>6303</v>
      </c>
    </row>
    <row r="2979" spans="1:17" x14ac:dyDescent="0.3">
      <c r="A2979" t="s">
        <v>59</v>
      </c>
      <c r="B2979" t="str">
        <f>"300314"</f>
        <v>300314</v>
      </c>
      <c r="C2979" t="s">
        <v>6304</v>
      </c>
      <c r="D2979" t="s">
        <v>485</v>
      </c>
      <c r="F2979">
        <v>51480031</v>
      </c>
      <c r="G2979">
        <v>137730048</v>
      </c>
      <c r="H2979">
        <v>88569835</v>
      </c>
      <c r="I2979">
        <v>69954900</v>
      </c>
      <c r="J2979">
        <v>54740453</v>
      </c>
      <c r="K2979">
        <v>76951219</v>
      </c>
      <c r="L2979">
        <v>48409954</v>
      </c>
      <c r="M2979">
        <v>67787056</v>
      </c>
      <c r="N2979">
        <v>56490577</v>
      </c>
      <c r="O2979">
        <v>94528298</v>
      </c>
      <c r="P2979">
        <v>196</v>
      </c>
      <c r="Q2979" t="s">
        <v>6305</v>
      </c>
    </row>
    <row r="2980" spans="1:17" x14ac:dyDescent="0.3">
      <c r="A2980" t="s">
        <v>17</v>
      </c>
      <c r="B2980" t="str">
        <f>"688613"</f>
        <v>688613</v>
      </c>
      <c r="C2980" t="s">
        <v>6306</v>
      </c>
      <c r="D2980" t="s">
        <v>1036</v>
      </c>
      <c r="F2980">
        <v>129764601</v>
      </c>
      <c r="G2980">
        <v>84875177</v>
      </c>
      <c r="H2980">
        <v>88445298</v>
      </c>
      <c r="I2980">
        <v>79728601</v>
      </c>
      <c r="J2980">
        <v>33191695</v>
      </c>
      <c r="P2980">
        <v>51</v>
      </c>
      <c r="Q2980" t="s">
        <v>6307</v>
      </c>
    </row>
    <row r="2981" spans="1:17" x14ac:dyDescent="0.3">
      <c r="A2981" t="s">
        <v>17</v>
      </c>
      <c r="B2981" t="str">
        <f>"603290"</f>
        <v>603290</v>
      </c>
      <c r="C2981" t="s">
        <v>6308</v>
      </c>
      <c r="D2981" t="s">
        <v>3230</v>
      </c>
      <c r="F2981">
        <v>356710872</v>
      </c>
      <c r="G2981">
        <v>-125565992</v>
      </c>
      <c r="H2981">
        <v>88326556</v>
      </c>
      <c r="I2981">
        <v>120002976</v>
      </c>
      <c r="J2981">
        <v>24328776</v>
      </c>
      <c r="K2981">
        <v>17845814</v>
      </c>
      <c r="P2981">
        <v>635</v>
      </c>
      <c r="Q2981" t="s">
        <v>6309</v>
      </c>
    </row>
    <row r="2982" spans="1:17" x14ac:dyDescent="0.3">
      <c r="A2982" t="s">
        <v>59</v>
      </c>
      <c r="B2982" t="str">
        <f>"000554"</f>
        <v>000554</v>
      </c>
      <c r="C2982" t="s">
        <v>6310</v>
      </c>
      <c r="D2982" t="s">
        <v>553</v>
      </c>
      <c r="F2982">
        <v>-191929288</v>
      </c>
      <c r="G2982">
        <v>254675404</v>
      </c>
      <c r="H2982">
        <v>88262615</v>
      </c>
      <c r="I2982">
        <v>92414940</v>
      </c>
      <c r="J2982">
        <v>162920065</v>
      </c>
      <c r="K2982">
        <v>69084676</v>
      </c>
      <c r="L2982">
        <v>44845144</v>
      </c>
      <c r="M2982">
        <v>-14406443</v>
      </c>
      <c r="N2982">
        <v>167516569</v>
      </c>
      <c r="O2982">
        <v>130929334</v>
      </c>
      <c r="P2982">
        <v>112</v>
      </c>
      <c r="Q2982" t="s">
        <v>6311</v>
      </c>
    </row>
    <row r="2983" spans="1:17" x14ac:dyDescent="0.3">
      <c r="A2983" t="s">
        <v>59</v>
      </c>
      <c r="B2983" t="str">
        <f>"200025"</f>
        <v>200025</v>
      </c>
      <c r="C2983" t="s">
        <v>6312</v>
      </c>
      <c r="F2983">
        <v>154820829.558</v>
      </c>
      <c r="G2983">
        <v>129409799.8883</v>
      </c>
      <c r="H2983">
        <v>88262348.330500007</v>
      </c>
      <c r="I2983">
        <v>-7485614.7300000004</v>
      </c>
      <c r="J2983">
        <v>-2512100.2135999999</v>
      </c>
      <c r="K2983">
        <v>64600001.330799997</v>
      </c>
      <c r="L2983">
        <v>96310851.849900007</v>
      </c>
      <c r="M2983">
        <v>7770869.6327999998</v>
      </c>
      <c r="N2983">
        <v>-3370403.1795000001</v>
      </c>
      <c r="O2983">
        <v>-9653593.0372000001</v>
      </c>
      <c r="P2983">
        <v>7</v>
      </c>
      <c r="Q2983" t="s">
        <v>6313</v>
      </c>
    </row>
    <row r="2984" spans="1:17" x14ac:dyDescent="0.3">
      <c r="A2984" t="s">
        <v>17</v>
      </c>
      <c r="B2984" t="str">
        <f>"603683"</f>
        <v>603683</v>
      </c>
      <c r="C2984" t="s">
        <v>6314</v>
      </c>
      <c r="D2984" t="s">
        <v>4479</v>
      </c>
      <c r="F2984">
        <v>126187570</v>
      </c>
      <c r="G2984">
        <v>77760043</v>
      </c>
      <c r="H2984">
        <v>88240569</v>
      </c>
      <c r="I2984">
        <v>-9255292</v>
      </c>
      <c r="J2984">
        <v>40325732</v>
      </c>
      <c r="K2984">
        <v>41573367</v>
      </c>
      <c r="L2984">
        <v>75226376</v>
      </c>
      <c r="M2984">
        <v>73538216</v>
      </c>
      <c r="P2984">
        <v>58</v>
      </c>
      <c r="Q2984" t="s">
        <v>6315</v>
      </c>
    </row>
    <row r="2985" spans="1:17" x14ac:dyDescent="0.3">
      <c r="A2985" t="s">
        <v>59</v>
      </c>
      <c r="B2985" t="str">
        <f>"002362"</f>
        <v>002362</v>
      </c>
      <c r="C2985" t="s">
        <v>6316</v>
      </c>
      <c r="D2985" t="s">
        <v>1528</v>
      </c>
      <c r="F2985">
        <v>-69331584</v>
      </c>
      <c r="G2985">
        <v>18741689</v>
      </c>
      <c r="H2985">
        <v>88154131</v>
      </c>
      <c r="I2985">
        <v>-16900218</v>
      </c>
      <c r="J2985">
        <v>41544714</v>
      </c>
      <c r="K2985">
        <v>51941915</v>
      </c>
      <c r="L2985">
        <v>36096888</v>
      </c>
      <c r="M2985">
        <v>57906642</v>
      </c>
      <c r="N2985">
        <v>33963642</v>
      </c>
      <c r="O2985">
        <v>-51979129</v>
      </c>
      <c r="P2985">
        <v>197</v>
      </c>
      <c r="Q2985" t="s">
        <v>6317</v>
      </c>
    </row>
    <row r="2986" spans="1:17" x14ac:dyDescent="0.3">
      <c r="A2986" t="s">
        <v>59</v>
      </c>
      <c r="B2986" t="str">
        <f>"301038"</f>
        <v>301038</v>
      </c>
      <c r="C2986" t="s">
        <v>6318</v>
      </c>
      <c r="D2986" t="s">
        <v>2254</v>
      </c>
      <c r="F2986">
        <v>85261450</v>
      </c>
      <c r="G2986">
        <v>231883636</v>
      </c>
      <c r="H2986">
        <v>88153393</v>
      </c>
      <c r="I2986">
        <v>46743578</v>
      </c>
      <c r="J2986">
        <v>21501261</v>
      </c>
      <c r="P2986">
        <v>21</v>
      </c>
      <c r="Q2986" t="s">
        <v>6319</v>
      </c>
    </row>
    <row r="2987" spans="1:17" x14ac:dyDescent="0.3">
      <c r="A2987" t="s">
        <v>17</v>
      </c>
      <c r="B2987" t="str">
        <f>"603311"</f>
        <v>603311</v>
      </c>
      <c r="C2987" t="s">
        <v>6320</v>
      </c>
      <c r="D2987" t="s">
        <v>1087</v>
      </c>
      <c r="F2987">
        <v>69272752</v>
      </c>
      <c r="G2987">
        <v>153563507</v>
      </c>
      <c r="H2987">
        <v>88137357</v>
      </c>
      <c r="I2987">
        <v>69202206</v>
      </c>
      <c r="J2987">
        <v>32550022</v>
      </c>
      <c r="K2987">
        <v>81683921</v>
      </c>
      <c r="L2987">
        <v>61760199</v>
      </c>
      <c r="M2987">
        <v>76757828</v>
      </c>
      <c r="N2987">
        <v>19780664</v>
      </c>
      <c r="O2987">
        <v>16292996</v>
      </c>
      <c r="P2987">
        <v>96</v>
      </c>
      <c r="Q2987" t="s">
        <v>6321</v>
      </c>
    </row>
    <row r="2988" spans="1:17" x14ac:dyDescent="0.3">
      <c r="A2988" t="s">
        <v>59</v>
      </c>
      <c r="B2988" t="str">
        <f>"300447"</f>
        <v>300447</v>
      </c>
      <c r="C2988" t="s">
        <v>6322</v>
      </c>
      <c r="D2988" t="s">
        <v>1983</v>
      </c>
      <c r="F2988">
        <v>-23823483</v>
      </c>
      <c r="G2988">
        <v>3879664</v>
      </c>
      <c r="H2988">
        <v>88095050</v>
      </c>
      <c r="I2988">
        <v>30026841</v>
      </c>
      <c r="J2988">
        <v>60224462</v>
      </c>
      <c r="K2988">
        <v>22818968</v>
      </c>
      <c r="L2988">
        <v>35316122</v>
      </c>
      <c r="M2988">
        <v>39942554</v>
      </c>
      <c r="N2988">
        <v>33175866</v>
      </c>
      <c r="O2988">
        <v>37210399</v>
      </c>
      <c r="P2988">
        <v>119</v>
      </c>
      <c r="Q2988" t="s">
        <v>6323</v>
      </c>
    </row>
    <row r="2989" spans="1:17" x14ac:dyDescent="0.3">
      <c r="A2989" t="s">
        <v>59</v>
      </c>
      <c r="B2989" t="str">
        <f>"300018"</f>
        <v>300018</v>
      </c>
      <c r="C2989" t="s">
        <v>6324</v>
      </c>
      <c r="D2989" t="s">
        <v>494</v>
      </c>
      <c r="F2989">
        <v>40721420</v>
      </c>
      <c r="G2989">
        <v>42357987</v>
      </c>
      <c r="H2989">
        <v>88012804</v>
      </c>
      <c r="I2989">
        <v>41899933</v>
      </c>
      <c r="J2989">
        <v>130914657</v>
      </c>
      <c r="K2989">
        <v>119382643</v>
      </c>
      <c r="L2989">
        <v>101579016</v>
      </c>
      <c r="M2989">
        <v>48494925</v>
      </c>
      <c r="N2989">
        <v>47316265</v>
      </c>
      <c r="O2989">
        <v>21908624</v>
      </c>
      <c r="P2989">
        <v>127</v>
      </c>
      <c r="Q2989" t="s">
        <v>6325</v>
      </c>
    </row>
    <row r="2990" spans="1:17" x14ac:dyDescent="0.3">
      <c r="A2990" t="s">
        <v>17</v>
      </c>
      <c r="B2990" t="str">
        <f>"600527"</f>
        <v>600527</v>
      </c>
      <c r="C2990" t="s">
        <v>6326</v>
      </c>
      <c r="D2990" t="s">
        <v>3101</v>
      </c>
      <c r="F2990">
        <v>-46533797</v>
      </c>
      <c r="G2990">
        <v>512929784</v>
      </c>
      <c r="H2990">
        <v>88000693</v>
      </c>
      <c r="I2990">
        <v>-26490083</v>
      </c>
      <c r="J2990">
        <v>85578004</v>
      </c>
      <c r="K2990">
        <v>86754894</v>
      </c>
      <c r="L2990">
        <v>158734720</v>
      </c>
      <c r="M2990">
        <v>85275354</v>
      </c>
      <c r="N2990">
        <v>173724159</v>
      </c>
      <c r="O2990">
        <v>239054749</v>
      </c>
      <c r="P2990">
        <v>112</v>
      </c>
      <c r="Q2990" t="s">
        <v>6327</v>
      </c>
    </row>
    <row r="2991" spans="1:17" x14ac:dyDescent="0.3">
      <c r="A2991" t="s">
        <v>59</v>
      </c>
      <c r="B2991" t="str">
        <f>"002997"</f>
        <v>002997</v>
      </c>
      <c r="C2991" t="s">
        <v>6328</v>
      </c>
      <c r="D2991" t="s">
        <v>1226</v>
      </c>
      <c r="F2991">
        <v>109750077</v>
      </c>
      <c r="G2991">
        <v>69632636</v>
      </c>
      <c r="H2991">
        <v>87961083</v>
      </c>
      <c r="I2991">
        <v>154256930</v>
      </c>
      <c r="J2991">
        <v>36439428</v>
      </c>
      <c r="P2991">
        <v>85</v>
      </c>
      <c r="Q2991" t="s">
        <v>6329</v>
      </c>
    </row>
    <row r="2992" spans="1:17" x14ac:dyDescent="0.3">
      <c r="A2992" t="s">
        <v>17</v>
      </c>
      <c r="B2992" t="str">
        <f>"600490"</f>
        <v>600490</v>
      </c>
      <c r="C2992" t="s">
        <v>6330</v>
      </c>
      <c r="D2992" t="s">
        <v>259</v>
      </c>
      <c r="F2992">
        <v>1084609030</v>
      </c>
      <c r="G2992">
        <v>909775785</v>
      </c>
      <c r="H2992">
        <v>87879582</v>
      </c>
      <c r="I2992">
        <v>92369154</v>
      </c>
      <c r="J2992">
        <v>372184650</v>
      </c>
      <c r="K2992">
        <v>413299376</v>
      </c>
      <c r="L2992">
        <v>393747416</v>
      </c>
      <c r="M2992">
        <v>543703675</v>
      </c>
      <c r="N2992">
        <v>125060390</v>
      </c>
      <c r="O2992">
        <v>200710791</v>
      </c>
      <c r="P2992">
        <v>144</v>
      </c>
      <c r="Q2992" t="s">
        <v>6331</v>
      </c>
    </row>
    <row r="2993" spans="1:17" x14ac:dyDescent="0.3">
      <c r="A2993" t="s">
        <v>17</v>
      </c>
      <c r="B2993" t="str">
        <f>"605289"</f>
        <v>605289</v>
      </c>
      <c r="C2993" t="s">
        <v>6332</v>
      </c>
      <c r="D2993" t="s">
        <v>199</v>
      </c>
      <c r="F2993">
        <v>-64167017</v>
      </c>
      <c r="G2993">
        <v>39651367</v>
      </c>
      <c r="H2993">
        <v>87874127</v>
      </c>
      <c r="I2993">
        <v>64836371</v>
      </c>
      <c r="J2993">
        <v>-48640901</v>
      </c>
      <c r="K2993">
        <v>-4804698</v>
      </c>
      <c r="P2993">
        <v>29</v>
      </c>
      <c r="Q2993" t="s">
        <v>6333</v>
      </c>
    </row>
    <row r="2994" spans="1:17" x14ac:dyDescent="0.3">
      <c r="A2994" t="s">
        <v>17</v>
      </c>
      <c r="B2994" t="str">
        <f>"603229"</f>
        <v>603229</v>
      </c>
      <c r="C2994" t="s">
        <v>6334</v>
      </c>
      <c r="D2994" t="s">
        <v>984</v>
      </c>
      <c r="F2994">
        <v>173900861</v>
      </c>
      <c r="G2994">
        <v>138470269</v>
      </c>
      <c r="H2994">
        <v>87729755</v>
      </c>
      <c r="I2994">
        <v>11503537</v>
      </c>
      <c r="J2994">
        <v>46784777</v>
      </c>
      <c r="K2994">
        <v>93207588</v>
      </c>
      <c r="L2994">
        <v>53626069</v>
      </c>
      <c r="M2994">
        <v>21450356</v>
      </c>
      <c r="P2994">
        <v>164</v>
      </c>
      <c r="Q2994" t="s">
        <v>6335</v>
      </c>
    </row>
    <row r="2995" spans="1:17" x14ac:dyDescent="0.3">
      <c r="A2995" t="s">
        <v>59</v>
      </c>
      <c r="B2995" t="str">
        <f>"300379"</f>
        <v>300379</v>
      </c>
      <c r="C2995" t="s">
        <v>6336</v>
      </c>
      <c r="D2995" t="s">
        <v>1528</v>
      </c>
      <c r="F2995">
        <v>255402239</v>
      </c>
      <c r="G2995">
        <v>123413135</v>
      </c>
      <c r="H2995">
        <v>87587634</v>
      </c>
      <c r="I2995">
        <v>126655577</v>
      </c>
      <c r="J2995">
        <v>109168539</v>
      </c>
      <c r="K2995">
        <v>147391258</v>
      </c>
      <c r="L2995">
        <v>65575088</v>
      </c>
      <c r="M2995">
        <v>58682132</v>
      </c>
      <c r="N2995">
        <v>15901299</v>
      </c>
      <c r="O2995">
        <v>-19146584</v>
      </c>
      <c r="P2995">
        <v>395</v>
      </c>
      <c r="Q2995" t="s">
        <v>6337</v>
      </c>
    </row>
    <row r="2996" spans="1:17" x14ac:dyDescent="0.3">
      <c r="A2996" t="s">
        <v>59</v>
      </c>
      <c r="B2996" t="str">
        <f>"300148"</f>
        <v>300148</v>
      </c>
      <c r="C2996" t="s">
        <v>6338</v>
      </c>
      <c r="D2996" t="s">
        <v>689</v>
      </c>
      <c r="F2996">
        <v>140497622</v>
      </c>
      <c r="G2996">
        <v>136564308</v>
      </c>
      <c r="H2996">
        <v>87470256</v>
      </c>
      <c r="I2996">
        <v>146135600</v>
      </c>
      <c r="J2996">
        <v>211343641</v>
      </c>
      <c r="K2996">
        <v>303857387</v>
      </c>
      <c r="L2996">
        <v>214677582</v>
      </c>
      <c r="M2996">
        <v>174729131</v>
      </c>
      <c r="N2996">
        <v>46466466</v>
      </c>
      <c r="O2996">
        <v>2936885</v>
      </c>
      <c r="P2996">
        <v>99</v>
      </c>
      <c r="Q2996" t="s">
        <v>6339</v>
      </c>
    </row>
    <row r="2997" spans="1:17" x14ac:dyDescent="0.3">
      <c r="A2997" t="s">
        <v>59</v>
      </c>
      <c r="B2997" t="str">
        <f>"301055"</f>
        <v>301055</v>
      </c>
      <c r="C2997" t="s">
        <v>6340</v>
      </c>
      <c r="D2997" t="s">
        <v>923</v>
      </c>
      <c r="F2997">
        <v>122232151</v>
      </c>
      <c r="G2997">
        <v>106645204</v>
      </c>
      <c r="H2997">
        <v>87316127</v>
      </c>
      <c r="I2997">
        <v>41068309</v>
      </c>
      <c r="J2997">
        <v>48128691</v>
      </c>
      <c r="P2997">
        <v>28</v>
      </c>
      <c r="Q2997" t="s">
        <v>6341</v>
      </c>
    </row>
    <row r="2998" spans="1:17" x14ac:dyDescent="0.3">
      <c r="A2998" t="s">
        <v>59</v>
      </c>
      <c r="B2998" t="str">
        <f>"002337"</f>
        <v>002337</v>
      </c>
      <c r="C2998" t="s">
        <v>6342</v>
      </c>
      <c r="D2998" t="s">
        <v>1351</v>
      </c>
      <c r="F2998">
        <v>-52150533</v>
      </c>
      <c r="G2998">
        <v>-21675760</v>
      </c>
      <c r="H2998">
        <v>87287817</v>
      </c>
      <c r="I2998">
        <v>26901486</v>
      </c>
      <c r="J2998">
        <v>111638696</v>
      </c>
      <c r="K2998">
        <v>39892700</v>
      </c>
      <c r="L2998">
        <v>-216037202</v>
      </c>
      <c r="M2998">
        <v>-55740282</v>
      </c>
      <c r="N2998">
        <v>182198535</v>
      </c>
      <c r="O2998">
        <v>42000931</v>
      </c>
      <c r="P2998">
        <v>92</v>
      </c>
      <c r="Q2998" t="s">
        <v>6343</v>
      </c>
    </row>
    <row r="2999" spans="1:17" x14ac:dyDescent="0.3">
      <c r="A2999" t="s">
        <v>59</v>
      </c>
      <c r="B2999" t="str">
        <f>"300852"</f>
        <v>300852</v>
      </c>
      <c r="C2999" t="s">
        <v>6344</v>
      </c>
      <c r="D2999" t="s">
        <v>539</v>
      </c>
      <c r="F2999">
        <v>155404398</v>
      </c>
      <c r="G2999">
        <v>117029217</v>
      </c>
      <c r="H2999">
        <v>87223493</v>
      </c>
      <c r="I2999">
        <v>49916913</v>
      </c>
      <c r="J2999">
        <v>51542739</v>
      </c>
      <c r="K2999">
        <v>33629521</v>
      </c>
      <c r="P2999">
        <v>103</v>
      </c>
      <c r="Q2999" t="s">
        <v>6345</v>
      </c>
    </row>
    <row r="3000" spans="1:17" x14ac:dyDescent="0.3">
      <c r="A3000" t="s">
        <v>17</v>
      </c>
      <c r="B3000" t="str">
        <f>"605189"</f>
        <v>605189</v>
      </c>
      <c r="C3000" t="s">
        <v>6346</v>
      </c>
      <c r="D3000" t="s">
        <v>1725</v>
      </c>
      <c r="F3000">
        <v>65088647</v>
      </c>
      <c r="G3000">
        <v>308445044</v>
      </c>
      <c r="H3000">
        <v>87118365</v>
      </c>
      <c r="I3000">
        <v>72995215</v>
      </c>
      <c r="J3000">
        <v>79441094</v>
      </c>
      <c r="P3000">
        <v>44</v>
      </c>
      <c r="Q3000" t="s">
        <v>6347</v>
      </c>
    </row>
    <row r="3001" spans="1:17" x14ac:dyDescent="0.3">
      <c r="A3001" t="s">
        <v>59</v>
      </c>
      <c r="B3001" t="str">
        <f>"300474"</f>
        <v>300474</v>
      </c>
      <c r="C3001" t="s">
        <v>6348</v>
      </c>
      <c r="D3001" t="s">
        <v>1983</v>
      </c>
      <c r="F3001">
        <v>232840066</v>
      </c>
      <c r="G3001">
        <v>110171590</v>
      </c>
      <c r="H3001">
        <v>86955901</v>
      </c>
      <c r="I3001">
        <v>25558405</v>
      </c>
      <c r="J3001">
        <v>21418047</v>
      </c>
      <c r="K3001">
        <v>46906602</v>
      </c>
      <c r="L3001">
        <v>51863660</v>
      </c>
      <c r="M3001">
        <v>34234054</v>
      </c>
      <c r="N3001">
        <v>45642722</v>
      </c>
      <c r="P3001">
        <v>513</v>
      </c>
      <c r="Q3001" t="s">
        <v>6349</v>
      </c>
    </row>
    <row r="3002" spans="1:17" x14ac:dyDescent="0.3">
      <c r="A3002" t="s">
        <v>59</v>
      </c>
      <c r="B3002" t="str">
        <f>"300938"</f>
        <v>300938</v>
      </c>
      <c r="C3002" t="s">
        <v>6350</v>
      </c>
      <c r="D3002" t="s">
        <v>2028</v>
      </c>
      <c r="F3002">
        <v>101799333</v>
      </c>
      <c r="G3002">
        <v>125047343</v>
      </c>
      <c r="H3002">
        <v>86863725</v>
      </c>
      <c r="I3002">
        <v>99636251</v>
      </c>
      <c r="J3002">
        <v>62327312</v>
      </c>
      <c r="K3002">
        <v>62479000</v>
      </c>
      <c r="P3002">
        <v>43</v>
      </c>
      <c r="Q3002" t="s">
        <v>6351</v>
      </c>
    </row>
    <row r="3003" spans="1:17" x14ac:dyDescent="0.3">
      <c r="A3003" t="s">
        <v>59</v>
      </c>
      <c r="B3003" t="str">
        <f>"300546"</f>
        <v>300546</v>
      </c>
      <c r="C3003" t="s">
        <v>6352</v>
      </c>
      <c r="D3003" t="s">
        <v>707</v>
      </c>
      <c r="F3003">
        <v>-37549668</v>
      </c>
      <c r="G3003">
        <v>-18075033</v>
      </c>
      <c r="H3003">
        <v>86845357</v>
      </c>
      <c r="I3003">
        <v>9590952</v>
      </c>
      <c r="J3003">
        <v>52814139</v>
      </c>
      <c r="K3003">
        <v>44896685</v>
      </c>
      <c r="L3003">
        <v>30583343</v>
      </c>
      <c r="M3003">
        <v>77518105</v>
      </c>
      <c r="N3003">
        <v>27060747</v>
      </c>
      <c r="P3003">
        <v>196</v>
      </c>
      <c r="Q3003" t="s">
        <v>6353</v>
      </c>
    </row>
    <row r="3004" spans="1:17" x14ac:dyDescent="0.3">
      <c r="A3004" t="s">
        <v>59</v>
      </c>
      <c r="B3004" t="str">
        <f>"301187"</f>
        <v>301187</v>
      </c>
      <c r="C3004" t="s">
        <v>6354</v>
      </c>
      <c r="F3004">
        <v>106906054</v>
      </c>
      <c r="G3004">
        <v>204177246</v>
      </c>
      <c r="H3004">
        <v>86707063</v>
      </c>
      <c r="I3004">
        <v>62118993</v>
      </c>
      <c r="J3004">
        <v>36650600</v>
      </c>
      <c r="P3004">
        <v>1</v>
      </c>
      <c r="Q3004" t="s">
        <v>6355</v>
      </c>
    </row>
    <row r="3005" spans="1:17" x14ac:dyDescent="0.3">
      <c r="A3005" t="s">
        <v>17</v>
      </c>
      <c r="B3005" t="str">
        <f>"600082"</f>
        <v>600082</v>
      </c>
      <c r="C3005" t="s">
        <v>6356</v>
      </c>
      <c r="D3005" t="s">
        <v>6266</v>
      </c>
      <c r="F3005">
        <v>40854907</v>
      </c>
      <c r="G3005">
        <v>22782081</v>
      </c>
      <c r="H3005">
        <v>86661502</v>
      </c>
      <c r="I3005">
        <v>300451696</v>
      </c>
      <c r="J3005">
        <v>41385342</v>
      </c>
      <c r="K3005">
        <v>-69047078</v>
      </c>
      <c r="L3005">
        <v>-113538863</v>
      </c>
      <c r="M3005">
        <v>-129138814</v>
      </c>
      <c r="N3005">
        <v>-270115755</v>
      </c>
      <c r="O3005">
        <v>-590639068</v>
      </c>
      <c r="P3005">
        <v>75</v>
      </c>
      <c r="Q3005" t="s">
        <v>6357</v>
      </c>
    </row>
    <row r="3006" spans="1:17" x14ac:dyDescent="0.3">
      <c r="A3006" t="s">
        <v>59</v>
      </c>
      <c r="B3006" t="str">
        <f>"301007"</f>
        <v>301007</v>
      </c>
      <c r="C3006" t="s">
        <v>6358</v>
      </c>
      <c r="D3006" t="s">
        <v>156</v>
      </c>
      <c r="F3006">
        <v>23163826</v>
      </c>
      <c r="G3006">
        <v>72034059</v>
      </c>
      <c r="H3006">
        <v>86511476</v>
      </c>
      <c r="I3006">
        <v>108079900</v>
      </c>
      <c r="J3006">
        <v>71227752</v>
      </c>
      <c r="K3006">
        <v>49092085</v>
      </c>
      <c r="P3006">
        <v>44</v>
      </c>
      <c r="Q3006" t="s">
        <v>6359</v>
      </c>
    </row>
    <row r="3007" spans="1:17" x14ac:dyDescent="0.3">
      <c r="A3007" t="s">
        <v>59</v>
      </c>
      <c r="B3007" t="str">
        <f>"001215"</f>
        <v>001215</v>
      </c>
      <c r="C3007" t="s">
        <v>6360</v>
      </c>
      <c r="D3007" t="s">
        <v>2504</v>
      </c>
      <c r="F3007">
        <v>98439650</v>
      </c>
      <c r="G3007">
        <v>97759788</v>
      </c>
      <c r="H3007">
        <v>86412718</v>
      </c>
      <c r="I3007">
        <v>12413010</v>
      </c>
      <c r="J3007">
        <v>91522192</v>
      </c>
      <c r="P3007">
        <v>59</v>
      </c>
      <c r="Q3007" t="s">
        <v>6361</v>
      </c>
    </row>
    <row r="3008" spans="1:17" x14ac:dyDescent="0.3">
      <c r="A3008" t="s">
        <v>59</v>
      </c>
      <c r="B3008" t="str">
        <f>"301089"</f>
        <v>301089</v>
      </c>
      <c r="C3008" t="s">
        <v>6362</v>
      </c>
      <c r="D3008" t="s">
        <v>984</v>
      </c>
      <c r="F3008">
        <v>58193773</v>
      </c>
      <c r="G3008">
        <v>119999098</v>
      </c>
      <c r="H3008">
        <v>86375159</v>
      </c>
      <c r="I3008">
        <v>73000726</v>
      </c>
      <c r="J3008">
        <v>47419900</v>
      </c>
      <c r="P3008">
        <v>37</v>
      </c>
      <c r="Q3008" t="s">
        <v>6363</v>
      </c>
    </row>
    <row r="3009" spans="1:17" x14ac:dyDescent="0.3">
      <c r="A3009" t="s">
        <v>59</v>
      </c>
      <c r="B3009" t="str">
        <f>"300387"</f>
        <v>300387</v>
      </c>
      <c r="C3009" t="s">
        <v>6364</v>
      </c>
      <c r="D3009" t="s">
        <v>1317</v>
      </c>
      <c r="F3009">
        <v>115553648</v>
      </c>
      <c r="G3009">
        <v>100802740</v>
      </c>
      <c r="H3009">
        <v>86258499</v>
      </c>
      <c r="I3009">
        <v>58409987</v>
      </c>
      <c r="J3009">
        <v>41032206</v>
      </c>
      <c r="K3009">
        <v>94422076</v>
      </c>
      <c r="L3009">
        <v>80096314</v>
      </c>
      <c r="M3009">
        <v>-12062647</v>
      </c>
      <c r="N3009">
        <v>19925045</v>
      </c>
      <c r="O3009">
        <v>44104715</v>
      </c>
      <c r="P3009">
        <v>89</v>
      </c>
      <c r="Q3009" t="s">
        <v>6365</v>
      </c>
    </row>
    <row r="3010" spans="1:17" x14ac:dyDescent="0.3">
      <c r="A3010" t="s">
        <v>17</v>
      </c>
      <c r="B3010" t="str">
        <f>"601996"</f>
        <v>601996</v>
      </c>
      <c r="C3010" t="s">
        <v>6366</v>
      </c>
      <c r="D3010" t="s">
        <v>1791</v>
      </c>
      <c r="F3010">
        <v>364904293</v>
      </c>
      <c r="G3010">
        <v>177141307</v>
      </c>
      <c r="H3010">
        <v>86216764</v>
      </c>
      <c r="I3010">
        <v>204634543</v>
      </c>
      <c r="J3010">
        <v>316392320</v>
      </c>
      <c r="K3010">
        <v>239251092</v>
      </c>
      <c r="L3010">
        <v>144198190</v>
      </c>
      <c r="M3010">
        <v>109783799</v>
      </c>
      <c r="N3010">
        <v>66217460</v>
      </c>
      <c r="O3010">
        <v>101270188</v>
      </c>
      <c r="P3010">
        <v>143</v>
      </c>
      <c r="Q3010" t="s">
        <v>6367</v>
      </c>
    </row>
    <row r="3011" spans="1:17" x14ac:dyDescent="0.3">
      <c r="A3011" t="s">
        <v>59</v>
      </c>
      <c r="B3011" t="str">
        <f>"300608"</f>
        <v>300608</v>
      </c>
      <c r="C3011" t="s">
        <v>6368</v>
      </c>
      <c r="D3011" t="s">
        <v>1528</v>
      </c>
      <c r="F3011">
        <v>104907870</v>
      </c>
      <c r="G3011">
        <v>103269980</v>
      </c>
      <c r="H3011">
        <v>86146330</v>
      </c>
      <c r="I3011">
        <v>88415838</v>
      </c>
      <c r="J3011">
        <v>-19414441</v>
      </c>
      <c r="K3011">
        <v>82095062</v>
      </c>
      <c r="L3011">
        <v>3013626</v>
      </c>
      <c r="M3011">
        <v>-52861317</v>
      </c>
      <c r="N3011">
        <v>83524907</v>
      </c>
      <c r="P3011">
        <v>217</v>
      </c>
      <c r="Q3011" t="s">
        <v>6369</v>
      </c>
    </row>
    <row r="3012" spans="1:17" x14ac:dyDescent="0.3">
      <c r="A3012" t="s">
        <v>17</v>
      </c>
      <c r="B3012" t="str">
        <f>"603326"</f>
        <v>603326</v>
      </c>
      <c r="C3012" t="s">
        <v>6370</v>
      </c>
      <c r="D3012" t="s">
        <v>963</v>
      </c>
      <c r="F3012">
        <v>98354334</v>
      </c>
      <c r="G3012">
        <v>219239456</v>
      </c>
      <c r="H3012">
        <v>86141627</v>
      </c>
      <c r="I3012">
        <v>131617051</v>
      </c>
      <c r="J3012">
        <v>223764080</v>
      </c>
      <c r="K3012">
        <v>145419130</v>
      </c>
      <c r="L3012">
        <v>80853581</v>
      </c>
      <c r="M3012">
        <v>56014259</v>
      </c>
      <c r="P3012">
        <v>247</v>
      </c>
      <c r="Q3012" t="s">
        <v>6371</v>
      </c>
    </row>
    <row r="3013" spans="1:17" x14ac:dyDescent="0.3">
      <c r="A3013" t="s">
        <v>59</v>
      </c>
      <c r="B3013" t="str">
        <f>"300694"</f>
        <v>300694</v>
      </c>
      <c r="C3013" t="s">
        <v>6372</v>
      </c>
      <c r="D3013" t="s">
        <v>156</v>
      </c>
      <c r="F3013">
        <v>111459173</v>
      </c>
      <c r="G3013">
        <v>124623675</v>
      </c>
      <c r="H3013">
        <v>86098892</v>
      </c>
      <c r="I3013">
        <v>15721460</v>
      </c>
      <c r="J3013">
        <v>143057951</v>
      </c>
      <c r="K3013">
        <v>48510117</v>
      </c>
      <c r="L3013">
        <v>23467180</v>
      </c>
      <c r="P3013">
        <v>74</v>
      </c>
      <c r="Q3013" t="s">
        <v>6373</v>
      </c>
    </row>
    <row r="3014" spans="1:17" x14ac:dyDescent="0.3">
      <c r="A3014" t="s">
        <v>17</v>
      </c>
      <c r="B3014" t="str">
        <f>"600860"</f>
        <v>600860</v>
      </c>
      <c r="C3014" t="s">
        <v>6374</v>
      </c>
      <c r="D3014" t="s">
        <v>637</v>
      </c>
      <c r="F3014">
        <v>-32694712</v>
      </c>
      <c r="G3014">
        <v>-27911136</v>
      </c>
      <c r="H3014">
        <v>85942384</v>
      </c>
      <c r="I3014">
        <v>11215989</v>
      </c>
      <c r="J3014">
        <v>-226658465</v>
      </c>
      <c r="K3014">
        <v>-13041824</v>
      </c>
      <c r="L3014">
        <v>145654400</v>
      </c>
      <c r="M3014">
        <v>-107897374</v>
      </c>
      <c r="N3014">
        <v>-226602488</v>
      </c>
      <c r="O3014">
        <v>-47140181</v>
      </c>
      <c r="P3014">
        <v>108</v>
      </c>
      <c r="Q3014" t="s">
        <v>6375</v>
      </c>
    </row>
    <row r="3015" spans="1:17" x14ac:dyDescent="0.3">
      <c r="A3015" t="s">
        <v>17</v>
      </c>
      <c r="B3015" t="str">
        <f>"900918"</f>
        <v>900918</v>
      </c>
      <c r="C3015" t="s">
        <v>6376</v>
      </c>
      <c r="G3015">
        <v>93544898.991300002</v>
      </c>
      <c r="H3015">
        <v>85911666.632400006</v>
      </c>
      <c r="I3015">
        <v>54806775.603600003</v>
      </c>
      <c r="J3015">
        <v>26476866.3552</v>
      </c>
      <c r="K3015">
        <v>63344472.048</v>
      </c>
      <c r="L3015">
        <v>81769407.258000001</v>
      </c>
      <c r="M3015">
        <v>36820470.918399997</v>
      </c>
      <c r="N3015">
        <v>37904511.0836</v>
      </c>
      <c r="O3015">
        <v>46577387.455499999</v>
      </c>
      <c r="P3015">
        <v>10</v>
      </c>
      <c r="Q3015" t="s">
        <v>6377</v>
      </c>
    </row>
    <row r="3016" spans="1:17" x14ac:dyDescent="0.3">
      <c r="A3016" t="s">
        <v>59</v>
      </c>
      <c r="B3016" t="str">
        <f>"300533"</f>
        <v>300533</v>
      </c>
      <c r="C3016" t="s">
        <v>6378</v>
      </c>
      <c r="D3016" t="s">
        <v>689</v>
      </c>
      <c r="F3016">
        <v>181657384</v>
      </c>
      <c r="G3016">
        <v>61945259</v>
      </c>
      <c r="H3016">
        <v>85908720</v>
      </c>
      <c r="I3016">
        <v>49723576</v>
      </c>
      <c r="J3016">
        <v>21998252</v>
      </c>
      <c r="K3016">
        <v>109255047</v>
      </c>
      <c r="L3016">
        <v>173015725</v>
      </c>
      <c r="M3016">
        <v>239461916</v>
      </c>
      <c r="N3016">
        <v>152578917</v>
      </c>
      <c r="P3016">
        <v>131</v>
      </c>
      <c r="Q3016" t="s">
        <v>6379</v>
      </c>
    </row>
    <row r="3017" spans="1:17" x14ac:dyDescent="0.3">
      <c r="A3017" t="s">
        <v>17</v>
      </c>
      <c r="B3017" t="str">
        <f>"605080"</f>
        <v>605080</v>
      </c>
      <c r="C3017" t="s">
        <v>6380</v>
      </c>
      <c r="D3017" t="s">
        <v>4437</v>
      </c>
      <c r="F3017">
        <v>142585975</v>
      </c>
      <c r="G3017">
        <v>205712307</v>
      </c>
      <c r="H3017">
        <v>85776352</v>
      </c>
      <c r="I3017">
        <v>62750936</v>
      </c>
      <c r="J3017">
        <v>287464606</v>
      </c>
      <c r="P3017">
        <v>47</v>
      </c>
      <c r="Q3017" t="s">
        <v>6381</v>
      </c>
    </row>
    <row r="3018" spans="1:17" x14ac:dyDescent="0.3">
      <c r="A3018" t="s">
        <v>59</v>
      </c>
      <c r="B3018" t="str">
        <f>"300876"</f>
        <v>300876</v>
      </c>
      <c r="C3018" t="s">
        <v>6382</v>
      </c>
      <c r="D3018" t="s">
        <v>1753</v>
      </c>
      <c r="F3018">
        <v>55077239</v>
      </c>
      <c r="G3018">
        <v>38257991</v>
      </c>
      <c r="H3018">
        <v>85617434</v>
      </c>
      <c r="I3018">
        <v>41592979</v>
      </c>
      <c r="J3018">
        <v>51307154</v>
      </c>
      <c r="P3018">
        <v>67</v>
      </c>
      <c r="Q3018" t="s">
        <v>6383</v>
      </c>
    </row>
    <row r="3019" spans="1:17" x14ac:dyDescent="0.3">
      <c r="A3019" t="s">
        <v>59</v>
      </c>
      <c r="B3019" t="str">
        <f>"300969"</f>
        <v>300969</v>
      </c>
      <c r="C3019" t="s">
        <v>6384</v>
      </c>
      <c r="D3019" t="s">
        <v>289</v>
      </c>
      <c r="F3019">
        <v>67655570</v>
      </c>
      <c r="G3019">
        <v>78524441</v>
      </c>
      <c r="H3019">
        <v>85597671</v>
      </c>
      <c r="I3019">
        <v>73525114</v>
      </c>
      <c r="J3019">
        <v>59110058</v>
      </c>
      <c r="P3019">
        <v>42</v>
      </c>
      <c r="Q3019" t="s">
        <v>6385</v>
      </c>
    </row>
    <row r="3020" spans="1:17" x14ac:dyDescent="0.3">
      <c r="A3020" t="s">
        <v>59</v>
      </c>
      <c r="B3020" t="str">
        <f>"301093"</f>
        <v>301093</v>
      </c>
      <c r="C3020" t="s">
        <v>6386</v>
      </c>
      <c r="D3020" t="s">
        <v>1036</v>
      </c>
      <c r="F3020">
        <v>216537730</v>
      </c>
      <c r="G3020">
        <v>133398780</v>
      </c>
      <c r="H3020">
        <v>85563046</v>
      </c>
      <c r="I3020">
        <v>106735204</v>
      </c>
      <c r="J3020">
        <v>33594398</v>
      </c>
      <c r="P3020">
        <v>30</v>
      </c>
      <c r="Q3020" t="s">
        <v>6387</v>
      </c>
    </row>
    <row r="3021" spans="1:17" x14ac:dyDescent="0.3">
      <c r="A3021" t="s">
        <v>17</v>
      </c>
      <c r="B3021" t="str">
        <f>"688625"</f>
        <v>688625</v>
      </c>
      <c r="C3021" t="s">
        <v>6388</v>
      </c>
      <c r="D3021" t="s">
        <v>1252</v>
      </c>
      <c r="F3021">
        <v>289919348</v>
      </c>
      <c r="G3021">
        <v>86366950</v>
      </c>
      <c r="H3021">
        <v>85358499</v>
      </c>
      <c r="I3021">
        <v>40970918</v>
      </c>
      <c r="J3021">
        <v>28361377</v>
      </c>
      <c r="P3021">
        <v>63</v>
      </c>
      <c r="Q3021" t="s">
        <v>6389</v>
      </c>
    </row>
    <row r="3022" spans="1:17" x14ac:dyDescent="0.3">
      <c r="A3022" t="s">
        <v>17</v>
      </c>
      <c r="B3022" t="str">
        <f>"688315"</f>
        <v>688315</v>
      </c>
      <c r="C3022" t="s">
        <v>6390</v>
      </c>
      <c r="D3022" t="s">
        <v>6391</v>
      </c>
      <c r="F3022">
        <v>293473741</v>
      </c>
      <c r="G3022">
        <v>342073087</v>
      </c>
      <c r="H3022">
        <v>85358372</v>
      </c>
      <c r="I3022">
        <v>151431096</v>
      </c>
      <c r="J3022">
        <v>54770622</v>
      </c>
      <c r="K3022">
        <v>95437695</v>
      </c>
      <c r="P3022">
        <v>46</v>
      </c>
      <c r="Q3022" t="s">
        <v>6392</v>
      </c>
    </row>
    <row r="3023" spans="1:17" x14ac:dyDescent="0.3">
      <c r="A3023" t="s">
        <v>59</v>
      </c>
      <c r="B3023" t="str">
        <f>"002289"</f>
        <v>002289</v>
      </c>
      <c r="C3023" t="s">
        <v>6393</v>
      </c>
      <c r="D3023" t="s">
        <v>139</v>
      </c>
      <c r="F3023">
        <v>-32983372</v>
      </c>
      <c r="G3023">
        <v>160540953</v>
      </c>
      <c r="H3023">
        <v>85299992</v>
      </c>
      <c r="I3023">
        <v>-40596536</v>
      </c>
      <c r="J3023">
        <v>318205591</v>
      </c>
      <c r="K3023">
        <v>-241571294</v>
      </c>
      <c r="L3023">
        <v>25549960</v>
      </c>
      <c r="M3023">
        <v>-88656550</v>
      </c>
      <c r="N3023">
        <v>139984386</v>
      </c>
      <c r="O3023">
        <v>-273742460</v>
      </c>
      <c r="P3023">
        <v>70</v>
      </c>
      <c r="Q3023" t="s">
        <v>6394</v>
      </c>
    </row>
    <row r="3024" spans="1:17" x14ac:dyDescent="0.3">
      <c r="A3024" t="s">
        <v>17</v>
      </c>
      <c r="B3024" t="str">
        <f>"603266"</f>
        <v>603266</v>
      </c>
      <c r="C3024" t="s">
        <v>6395</v>
      </c>
      <c r="D3024" t="s">
        <v>2104</v>
      </c>
      <c r="F3024">
        <v>147381073</v>
      </c>
      <c r="G3024">
        <v>133807503</v>
      </c>
      <c r="H3024">
        <v>85182659</v>
      </c>
      <c r="I3024">
        <v>62732736</v>
      </c>
      <c r="J3024">
        <v>100993010</v>
      </c>
      <c r="K3024">
        <v>51176871</v>
      </c>
      <c r="L3024">
        <v>79615283</v>
      </c>
      <c r="M3024">
        <v>84457981</v>
      </c>
      <c r="N3024">
        <v>65493289</v>
      </c>
      <c r="P3024">
        <v>95</v>
      </c>
      <c r="Q3024" t="s">
        <v>6396</v>
      </c>
    </row>
    <row r="3025" spans="1:17" x14ac:dyDescent="0.3">
      <c r="A3025" t="s">
        <v>17</v>
      </c>
      <c r="B3025" t="str">
        <f>"688596"</f>
        <v>688596</v>
      </c>
      <c r="C3025" t="s">
        <v>6397</v>
      </c>
      <c r="D3025" t="s">
        <v>1351</v>
      </c>
      <c r="F3025">
        <v>-19636751</v>
      </c>
      <c r="G3025">
        <v>-55964977</v>
      </c>
      <c r="H3025">
        <v>85093498</v>
      </c>
      <c r="I3025">
        <v>110262466</v>
      </c>
      <c r="J3025">
        <v>-42630003</v>
      </c>
      <c r="P3025">
        <v>61</v>
      </c>
      <c r="Q3025" t="s">
        <v>6398</v>
      </c>
    </row>
    <row r="3026" spans="1:17" x14ac:dyDescent="0.3">
      <c r="A3026" t="s">
        <v>59</v>
      </c>
      <c r="B3026" t="str">
        <f>"002645"</f>
        <v>002645</v>
      </c>
      <c r="C3026" t="s">
        <v>6399</v>
      </c>
      <c r="D3026" t="s">
        <v>1337</v>
      </c>
      <c r="F3026">
        <v>194953667</v>
      </c>
      <c r="G3026">
        <v>242839403</v>
      </c>
      <c r="H3026">
        <v>85077930</v>
      </c>
      <c r="I3026">
        <v>46099511</v>
      </c>
      <c r="J3026">
        <v>212398012</v>
      </c>
      <c r="K3026">
        <v>63312778</v>
      </c>
      <c r="L3026">
        <v>54064539</v>
      </c>
      <c r="M3026">
        <v>-46476476</v>
      </c>
      <c r="N3026">
        <v>67089702</v>
      </c>
      <c r="O3026">
        <v>11080223</v>
      </c>
      <c r="P3026">
        <v>204</v>
      </c>
      <c r="Q3026" t="s">
        <v>6400</v>
      </c>
    </row>
    <row r="3027" spans="1:17" x14ac:dyDescent="0.3">
      <c r="A3027" t="s">
        <v>59</v>
      </c>
      <c r="B3027" t="str">
        <f>"300701"</f>
        <v>300701</v>
      </c>
      <c r="C3027" t="s">
        <v>6401</v>
      </c>
      <c r="D3027" t="s">
        <v>692</v>
      </c>
      <c r="F3027">
        <v>60109803</v>
      </c>
      <c r="G3027">
        <v>163498458</v>
      </c>
      <c r="H3027">
        <v>85061603</v>
      </c>
      <c r="I3027">
        <v>63575984</v>
      </c>
      <c r="J3027">
        <v>63732425</v>
      </c>
      <c r="K3027">
        <v>58032029</v>
      </c>
      <c r="L3027">
        <v>32756319</v>
      </c>
      <c r="M3027">
        <v>35805773</v>
      </c>
      <c r="P3027">
        <v>746</v>
      </c>
      <c r="Q3027" t="s">
        <v>6402</v>
      </c>
    </row>
    <row r="3028" spans="1:17" x14ac:dyDescent="0.3">
      <c r="A3028" t="s">
        <v>59</v>
      </c>
      <c r="B3028" t="str">
        <f>"300901"</f>
        <v>300901</v>
      </c>
      <c r="C3028" t="s">
        <v>6403</v>
      </c>
      <c r="D3028" t="s">
        <v>646</v>
      </c>
      <c r="F3028">
        <v>-49322378</v>
      </c>
      <c r="G3028">
        <v>120097763</v>
      </c>
      <c r="H3028">
        <v>84923775</v>
      </c>
      <c r="I3028">
        <v>99082636</v>
      </c>
      <c r="J3028">
        <v>47338983</v>
      </c>
      <c r="K3028">
        <v>46535840</v>
      </c>
      <c r="P3028">
        <v>45</v>
      </c>
      <c r="Q3028" t="s">
        <v>6404</v>
      </c>
    </row>
    <row r="3029" spans="1:17" x14ac:dyDescent="0.3">
      <c r="A3029" t="s">
        <v>59</v>
      </c>
      <c r="B3029" t="str">
        <f>"300635"</f>
        <v>300635</v>
      </c>
      <c r="C3029" t="s">
        <v>6405</v>
      </c>
      <c r="D3029" t="s">
        <v>2254</v>
      </c>
      <c r="F3029">
        <v>81635787</v>
      </c>
      <c r="G3029">
        <v>17705222</v>
      </c>
      <c r="H3029">
        <v>84885962</v>
      </c>
      <c r="I3029">
        <v>-2763876</v>
      </c>
      <c r="J3029">
        <v>-37640754</v>
      </c>
      <c r="K3029">
        <v>76969846</v>
      </c>
      <c r="L3029">
        <v>39094010</v>
      </c>
      <c r="M3029">
        <v>-41254756</v>
      </c>
      <c r="P3029">
        <v>113</v>
      </c>
      <c r="Q3029" t="s">
        <v>6406</v>
      </c>
    </row>
    <row r="3030" spans="1:17" x14ac:dyDescent="0.3">
      <c r="A3030" t="s">
        <v>17</v>
      </c>
      <c r="B3030" t="str">
        <f>"600756"</f>
        <v>600756</v>
      </c>
      <c r="C3030" t="s">
        <v>6407</v>
      </c>
      <c r="D3030" t="s">
        <v>1189</v>
      </c>
      <c r="F3030">
        <v>67756195</v>
      </c>
      <c r="G3030">
        <v>213002942</v>
      </c>
      <c r="H3030">
        <v>84867513</v>
      </c>
      <c r="I3030">
        <v>155200483</v>
      </c>
      <c r="J3030">
        <v>-19299999</v>
      </c>
      <c r="K3030">
        <v>105478700</v>
      </c>
      <c r="L3030">
        <v>122416216</v>
      </c>
      <c r="M3030">
        <v>26122164</v>
      </c>
      <c r="N3030">
        <v>68362367</v>
      </c>
      <c r="O3030">
        <v>29946917</v>
      </c>
      <c r="P3030">
        <v>265</v>
      </c>
      <c r="Q3030" t="s">
        <v>6408</v>
      </c>
    </row>
    <row r="3031" spans="1:17" x14ac:dyDescent="0.3">
      <c r="A3031" t="s">
        <v>17</v>
      </c>
      <c r="B3031" t="str">
        <f>"603022"</f>
        <v>603022</v>
      </c>
      <c r="C3031" t="s">
        <v>6409</v>
      </c>
      <c r="D3031" t="s">
        <v>5073</v>
      </c>
      <c r="F3031">
        <v>33615223</v>
      </c>
      <c r="G3031">
        <v>44516362</v>
      </c>
      <c r="H3031">
        <v>84757555</v>
      </c>
      <c r="I3031">
        <v>62251930</v>
      </c>
      <c r="J3031">
        <v>-38879459</v>
      </c>
      <c r="K3031">
        <v>-10098710</v>
      </c>
      <c r="L3031">
        <v>52455698</v>
      </c>
      <c r="M3031">
        <v>38913417</v>
      </c>
      <c r="N3031">
        <v>27319569</v>
      </c>
      <c r="O3031">
        <v>34731992</v>
      </c>
      <c r="P3031">
        <v>51</v>
      </c>
      <c r="Q3031" t="s">
        <v>6410</v>
      </c>
    </row>
    <row r="3032" spans="1:17" x14ac:dyDescent="0.3">
      <c r="A3032" t="s">
        <v>17</v>
      </c>
      <c r="B3032" t="str">
        <f>"688019"</f>
        <v>688019</v>
      </c>
      <c r="C3032" t="s">
        <v>6411</v>
      </c>
      <c r="D3032" t="s">
        <v>2111</v>
      </c>
      <c r="F3032">
        <v>61105785</v>
      </c>
      <c r="G3032">
        <v>113173725</v>
      </c>
      <c r="H3032">
        <v>84682100</v>
      </c>
      <c r="I3032">
        <v>59763009</v>
      </c>
      <c r="J3032">
        <v>27067629</v>
      </c>
      <c r="K3032">
        <v>45067077</v>
      </c>
      <c r="P3032">
        <v>286</v>
      </c>
      <c r="Q3032" t="s">
        <v>6412</v>
      </c>
    </row>
    <row r="3033" spans="1:17" x14ac:dyDescent="0.3">
      <c r="A3033" t="s">
        <v>59</v>
      </c>
      <c r="B3033" t="str">
        <f>"300989"</f>
        <v>300989</v>
      </c>
      <c r="C3033" t="s">
        <v>6413</v>
      </c>
      <c r="D3033" t="s">
        <v>2254</v>
      </c>
      <c r="F3033">
        <v>38981676</v>
      </c>
      <c r="G3033">
        <v>143059064</v>
      </c>
      <c r="H3033">
        <v>84212719</v>
      </c>
      <c r="I3033">
        <v>88371123</v>
      </c>
      <c r="J3033">
        <v>56403004</v>
      </c>
      <c r="P3033">
        <v>32</v>
      </c>
      <c r="Q3033" t="s">
        <v>6414</v>
      </c>
    </row>
    <row r="3034" spans="1:17" x14ac:dyDescent="0.3">
      <c r="A3034" t="s">
        <v>59</v>
      </c>
      <c r="B3034" t="str">
        <f>"300898"</f>
        <v>300898</v>
      </c>
      <c r="C3034" t="s">
        <v>6415</v>
      </c>
      <c r="D3034" t="s">
        <v>308</v>
      </c>
      <c r="F3034">
        <v>111196281</v>
      </c>
      <c r="G3034">
        <v>68902310</v>
      </c>
      <c r="H3034">
        <v>84173452</v>
      </c>
      <c r="I3034">
        <v>100179777</v>
      </c>
      <c r="J3034">
        <v>64209240</v>
      </c>
      <c r="K3034">
        <v>82810705</v>
      </c>
      <c r="P3034">
        <v>73</v>
      </c>
      <c r="Q3034" t="s">
        <v>6416</v>
      </c>
    </row>
    <row r="3035" spans="1:17" x14ac:dyDescent="0.3">
      <c r="A3035" t="s">
        <v>59</v>
      </c>
      <c r="B3035" t="str">
        <f>"300659"</f>
        <v>300659</v>
      </c>
      <c r="C3035" t="s">
        <v>6417</v>
      </c>
      <c r="D3035" t="s">
        <v>707</v>
      </c>
      <c r="F3035">
        <v>100105313</v>
      </c>
      <c r="G3035">
        <v>172743561</v>
      </c>
      <c r="H3035">
        <v>84137040</v>
      </c>
      <c r="I3035">
        <v>10221008</v>
      </c>
      <c r="J3035">
        <v>28173273</v>
      </c>
      <c r="K3035">
        <v>19860045</v>
      </c>
      <c r="L3035">
        <v>72363622</v>
      </c>
      <c r="M3035">
        <v>24011326</v>
      </c>
      <c r="P3035">
        <v>272</v>
      </c>
      <c r="Q3035" t="s">
        <v>6418</v>
      </c>
    </row>
    <row r="3036" spans="1:17" x14ac:dyDescent="0.3">
      <c r="A3036" t="s">
        <v>17</v>
      </c>
      <c r="B3036" t="str">
        <f>"600103"</f>
        <v>600103</v>
      </c>
      <c r="C3036" t="s">
        <v>6419</v>
      </c>
      <c r="D3036" t="s">
        <v>2856</v>
      </c>
      <c r="F3036">
        <v>461406747</v>
      </c>
      <c r="G3036">
        <v>78674460</v>
      </c>
      <c r="H3036">
        <v>84086656</v>
      </c>
      <c r="I3036">
        <v>609429123</v>
      </c>
      <c r="J3036">
        <v>193756407</v>
      </c>
      <c r="K3036">
        <v>302814805</v>
      </c>
      <c r="L3036">
        <v>104940002</v>
      </c>
      <c r="M3036">
        <v>122151046</v>
      </c>
      <c r="N3036">
        <v>78353407</v>
      </c>
      <c r="O3036">
        <v>-127981650</v>
      </c>
      <c r="P3036">
        <v>138</v>
      </c>
      <c r="Q3036" t="s">
        <v>6420</v>
      </c>
    </row>
    <row r="3037" spans="1:17" x14ac:dyDescent="0.3">
      <c r="A3037" t="s">
        <v>17</v>
      </c>
      <c r="B3037" t="str">
        <f>"603159"</f>
        <v>603159</v>
      </c>
      <c r="C3037" t="s">
        <v>6421</v>
      </c>
      <c r="D3037" t="s">
        <v>1351</v>
      </c>
      <c r="F3037">
        <v>61029700</v>
      </c>
      <c r="G3037">
        <v>83214331</v>
      </c>
      <c r="H3037">
        <v>84027248</v>
      </c>
      <c r="I3037">
        <v>55606853</v>
      </c>
      <c r="J3037">
        <v>31121701</v>
      </c>
      <c r="K3037">
        <v>41081971</v>
      </c>
      <c r="L3037">
        <v>50399582</v>
      </c>
      <c r="M3037">
        <v>25933067</v>
      </c>
      <c r="N3037">
        <v>37217130</v>
      </c>
      <c r="P3037">
        <v>62</v>
      </c>
      <c r="Q3037" t="s">
        <v>6422</v>
      </c>
    </row>
    <row r="3038" spans="1:17" x14ac:dyDescent="0.3">
      <c r="A3038" t="s">
        <v>59</v>
      </c>
      <c r="B3038" t="str">
        <f>"300621"</f>
        <v>300621</v>
      </c>
      <c r="C3038" t="s">
        <v>6423</v>
      </c>
      <c r="D3038" t="s">
        <v>1150</v>
      </c>
      <c r="F3038">
        <v>285254602</v>
      </c>
      <c r="G3038">
        <v>138778732</v>
      </c>
      <c r="H3038">
        <v>83838761</v>
      </c>
      <c r="I3038">
        <v>62703285</v>
      </c>
      <c r="J3038">
        <v>-89458331</v>
      </c>
      <c r="K3038">
        <v>83474469</v>
      </c>
      <c r="L3038">
        <v>-84515276</v>
      </c>
      <c r="M3038">
        <v>-145218741</v>
      </c>
      <c r="P3038">
        <v>56</v>
      </c>
      <c r="Q3038" t="s">
        <v>6424</v>
      </c>
    </row>
    <row r="3039" spans="1:17" x14ac:dyDescent="0.3">
      <c r="A3039" t="s">
        <v>59</v>
      </c>
      <c r="B3039" t="str">
        <f>"300542"</f>
        <v>300542</v>
      </c>
      <c r="C3039" t="s">
        <v>6425</v>
      </c>
      <c r="D3039" t="s">
        <v>1528</v>
      </c>
      <c r="F3039">
        <v>59481449</v>
      </c>
      <c r="G3039">
        <v>170936239</v>
      </c>
      <c r="H3039">
        <v>83715878</v>
      </c>
      <c r="I3039">
        <v>23850491</v>
      </c>
      <c r="J3039">
        <v>-491617</v>
      </c>
      <c r="K3039">
        <v>-10002159</v>
      </c>
      <c r="L3039">
        <v>-16562987</v>
      </c>
      <c r="M3039">
        <v>9157801</v>
      </c>
      <c r="N3039">
        <v>40317036</v>
      </c>
      <c r="P3039">
        <v>143</v>
      </c>
      <c r="Q3039" t="s">
        <v>6426</v>
      </c>
    </row>
    <row r="3040" spans="1:17" x14ac:dyDescent="0.3">
      <c r="A3040" t="s">
        <v>17</v>
      </c>
      <c r="B3040" t="str">
        <f>"688285"</f>
        <v>688285</v>
      </c>
      <c r="C3040" t="s">
        <v>6427</v>
      </c>
      <c r="D3040" t="s">
        <v>165</v>
      </c>
      <c r="F3040">
        <v>66377613</v>
      </c>
      <c r="G3040">
        <v>91483034</v>
      </c>
      <c r="H3040">
        <v>83712193</v>
      </c>
      <c r="I3040">
        <v>200062740</v>
      </c>
      <c r="J3040">
        <v>-14457420</v>
      </c>
      <c r="P3040">
        <v>14</v>
      </c>
      <c r="Q3040" t="s">
        <v>6428</v>
      </c>
    </row>
    <row r="3041" spans="1:17" x14ac:dyDescent="0.3">
      <c r="A3041" t="s">
        <v>17</v>
      </c>
      <c r="B3041" t="str">
        <f>"600262"</f>
        <v>600262</v>
      </c>
      <c r="C3041" t="s">
        <v>6429</v>
      </c>
      <c r="D3041" t="s">
        <v>741</v>
      </c>
      <c r="F3041">
        <v>96610623</v>
      </c>
      <c r="G3041">
        <v>92313320</v>
      </c>
      <c r="H3041">
        <v>83631913</v>
      </c>
      <c r="I3041">
        <v>50607609</v>
      </c>
      <c r="J3041">
        <v>146368454</v>
      </c>
      <c r="K3041">
        <v>309210241</v>
      </c>
      <c r="L3041">
        <v>131831262</v>
      </c>
      <c r="M3041">
        <v>171281476</v>
      </c>
      <c r="N3041">
        <v>69360579</v>
      </c>
      <c r="O3041">
        <v>261179776</v>
      </c>
      <c r="P3041">
        <v>75</v>
      </c>
      <c r="Q3041" t="s">
        <v>6430</v>
      </c>
    </row>
    <row r="3042" spans="1:17" x14ac:dyDescent="0.3">
      <c r="A3042" t="s">
        <v>17</v>
      </c>
      <c r="B3042" t="str">
        <f>"688677"</f>
        <v>688677</v>
      </c>
      <c r="C3042" t="s">
        <v>6431</v>
      </c>
      <c r="D3042" t="s">
        <v>485</v>
      </c>
      <c r="F3042">
        <v>104005919</v>
      </c>
      <c r="G3042">
        <v>114777996</v>
      </c>
      <c r="H3042">
        <v>83539980</v>
      </c>
      <c r="I3042">
        <v>48339723</v>
      </c>
      <c r="J3042">
        <v>66059938</v>
      </c>
      <c r="P3042">
        <v>94</v>
      </c>
      <c r="Q3042" t="s">
        <v>6432</v>
      </c>
    </row>
    <row r="3043" spans="1:17" x14ac:dyDescent="0.3">
      <c r="A3043" t="s">
        <v>59</v>
      </c>
      <c r="B3043" t="str">
        <f>"300053"</f>
        <v>300053</v>
      </c>
      <c r="C3043" t="s">
        <v>6433</v>
      </c>
      <c r="D3043" t="s">
        <v>817</v>
      </c>
      <c r="F3043">
        <v>151646944</v>
      </c>
      <c r="G3043">
        <v>35724233</v>
      </c>
      <c r="H3043">
        <v>83442456</v>
      </c>
      <c r="I3043">
        <v>220368876</v>
      </c>
      <c r="J3043">
        <v>141162722</v>
      </c>
      <c r="K3043">
        <v>141920219</v>
      </c>
      <c r="L3043">
        <v>128836163</v>
      </c>
      <c r="M3043">
        <v>35746424</v>
      </c>
      <c r="N3043">
        <v>12119274</v>
      </c>
      <c r="O3043">
        <v>29126043</v>
      </c>
      <c r="P3043">
        <v>264</v>
      </c>
      <c r="Q3043" t="s">
        <v>6434</v>
      </c>
    </row>
    <row r="3044" spans="1:17" x14ac:dyDescent="0.3">
      <c r="A3044" t="s">
        <v>17</v>
      </c>
      <c r="B3044" t="str">
        <f>"688226"</f>
        <v>688226</v>
      </c>
      <c r="C3044" t="s">
        <v>6435</v>
      </c>
      <c r="D3044" t="s">
        <v>1065</v>
      </c>
      <c r="F3044">
        <v>3573878</v>
      </c>
      <c r="G3044">
        <v>-34077995</v>
      </c>
      <c r="H3044">
        <v>83371967</v>
      </c>
      <c r="I3044">
        <v>-60849755</v>
      </c>
      <c r="J3044">
        <v>51379926</v>
      </c>
      <c r="P3044">
        <v>19</v>
      </c>
      <c r="Q3044" t="s">
        <v>6436</v>
      </c>
    </row>
    <row r="3045" spans="1:17" x14ac:dyDescent="0.3">
      <c r="A3045" t="s">
        <v>17</v>
      </c>
      <c r="B3045" t="str">
        <f>"688787"</f>
        <v>688787</v>
      </c>
      <c r="C3045" t="s">
        <v>6437</v>
      </c>
      <c r="D3045" t="s">
        <v>1189</v>
      </c>
      <c r="F3045">
        <v>-15548320</v>
      </c>
      <c r="G3045">
        <v>51176659</v>
      </c>
      <c r="H3045">
        <v>83363304</v>
      </c>
      <c r="I3045">
        <v>64277951</v>
      </c>
      <c r="J3045">
        <v>34613571</v>
      </c>
      <c r="K3045">
        <v>17071639</v>
      </c>
      <c r="P3045">
        <v>32</v>
      </c>
      <c r="Q3045" t="s">
        <v>6438</v>
      </c>
    </row>
    <row r="3046" spans="1:17" x14ac:dyDescent="0.3">
      <c r="A3046" t="s">
        <v>59</v>
      </c>
      <c r="B3046" t="str">
        <f>"200020"</f>
        <v>200020</v>
      </c>
      <c r="C3046" t="s">
        <v>6439</v>
      </c>
      <c r="F3046">
        <v>-15069493.728</v>
      </c>
      <c r="G3046">
        <v>70833026.147</v>
      </c>
      <c r="H3046">
        <v>83287656.279499993</v>
      </c>
      <c r="I3046">
        <v>-24926842.710000001</v>
      </c>
      <c r="J3046">
        <v>14070249.4508</v>
      </c>
      <c r="K3046">
        <v>-20865458.111400001</v>
      </c>
      <c r="L3046">
        <v>207090257.2992</v>
      </c>
      <c r="M3046">
        <v>149412995.61359999</v>
      </c>
      <c r="N3046">
        <v>-88890304.047999993</v>
      </c>
      <c r="O3046">
        <v>22924400.658599999</v>
      </c>
      <c r="P3046">
        <v>6</v>
      </c>
      <c r="Q3046" t="s">
        <v>6440</v>
      </c>
    </row>
    <row r="3047" spans="1:17" x14ac:dyDescent="0.3">
      <c r="A3047" t="s">
        <v>59</v>
      </c>
      <c r="B3047" t="str">
        <f>"300950"</f>
        <v>300950</v>
      </c>
      <c r="C3047" t="s">
        <v>6441</v>
      </c>
      <c r="D3047" t="s">
        <v>741</v>
      </c>
      <c r="F3047">
        <v>37224030</v>
      </c>
      <c r="G3047">
        <v>84891368</v>
      </c>
      <c r="H3047">
        <v>83183106</v>
      </c>
      <c r="I3047">
        <v>13168838</v>
      </c>
      <c r="J3047">
        <v>27418940</v>
      </c>
      <c r="K3047">
        <v>19450356</v>
      </c>
      <c r="P3047">
        <v>58</v>
      </c>
      <c r="Q3047" t="s">
        <v>6442</v>
      </c>
    </row>
    <row r="3048" spans="1:17" x14ac:dyDescent="0.3">
      <c r="A3048" t="s">
        <v>59</v>
      </c>
      <c r="B3048" t="str">
        <f>"300831"</f>
        <v>300831</v>
      </c>
      <c r="C3048" t="s">
        <v>6443</v>
      </c>
      <c r="D3048" t="s">
        <v>3230</v>
      </c>
      <c r="F3048">
        <v>29657316</v>
      </c>
      <c r="G3048">
        <v>126889658</v>
      </c>
      <c r="H3048">
        <v>83118870</v>
      </c>
      <c r="I3048">
        <v>122939619</v>
      </c>
      <c r="J3048">
        <v>106985133</v>
      </c>
      <c r="P3048">
        <v>129</v>
      </c>
      <c r="Q3048" t="s">
        <v>6444</v>
      </c>
    </row>
    <row r="3049" spans="1:17" x14ac:dyDescent="0.3">
      <c r="A3049" t="s">
        <v>59</v>
      </c>
      <c r="B3049" t="str">
        <f>"300147"</f>
        <v>300147</v>
      </c>
      <c r="C3049" t="s">
        <v>6445</v>
      </c>
      <c r="D3049" t="s">
        <v>455</v>
      </c>
      <c r="F3049">
        <v>257562270</v>
      </c>
      <c r="G3049">
        <v>257180839</v>
      </c>
      <c r="H3049">
        <v>83019534</v>
      </c>
      <c r="I3049">
        <v>91238235</v>
      </c>
      <c r="J3049">
        <v>109533184</v>
      </c>
      <c r="K3049">
        <v>198481275</v>
      </c>
      <c r="L3049">
        <v>159890413</v>
      </c>
      <c r="M3049">
        <v>165580270</v>
      </c>
      <c r="N3049">
        <v>328367623</v>
      </c>
      <c r="O3049">
        <v>118907427</v>
      </c>
      <c r="P3049">
        <v>166</v>
      </c>
      <c r="Q3049" t="s">
        <v>6446</v>
      </c>
    </row>
    <row r="3050" spans="1:17" x14ac:dyDescent="0.3">
      <c r="A3050" t="s">
        <v>59</v>
      </c>
      <c r="B3050" t="str">
        <f>"300847"</f>
        <v>300847</v>
      </c>
      <c r="C3050" t="s">
        <v>6447</v>
      </c>
      <c r="D3050" t="s">
        <v>1252</v>
      </c>
      <c r="F3050">
        <v>84877654</v>
      </c>
      <c r="G3050">
        <v>109479110</v>
      </c>
      <c r="H3050">
        <v>82917467</v>
      </c>
      <c r="I3050">
        <v>117399911</v>
      </c>
      <c r="J3050">
        <v>52339903</v>
      </c>
      <c r="K3050">
        <v>83228848</v>
      </c>
      <c r="P3050">
        <v>53</v>
      </c>
      <c r="Q3050" t="s">
        <v>6448</v>
      </c>
    </row>
    <row r="3051" spans="1:17" x14ac:dyDescent="0.3">
      <c r="A3051" t="s">
        <v>17</v>
      </c>
      <c r="B3051" t="str">
        <f>"688028"</f>
        <v>688028</v>
      </c>
      <c r="C3051" t="s">
        <v>6449</v>
      </c>
      <c r="D3051" t="s">
        <v>1636</v>
      </c>
      <c r="F3051">
        <v>70734829</v>
      </c>
      <c r="G3051">
        <v>74506479</v>
      </c>
      <c r="H3051">
        <v>82897770</v>
      </c>
      <c r="I3051">
        <v>63557325</v>
      </c>
      <c r="J3051">
        <v>58866147</v>
      </c>
      <c r="K3051">
        <v>46159245</v>
      </c>
      <c r="P3051">
        <v>76</v>
      </c>
      <c r="Q3051" t="s">
        <v>6450</v>
      </c>
    </row>
    <row r="3052" spans="1:17" x14ac:dyDescent="0.3">
      <c r="A3052" t="s">
        <v>59</v>
      </c>
      <c r="B3052" t="str">
        <f>"300416"</f>
        <v>300416</v>
      </c>
      <c r="C3052" t="s">
        <v>6451</v>
      </c>
      <c r="D3052" t="s">
        <v>2382</v>
      </c>
      <c r="F3052">
        <v>249897982</v>
      </c>
      <c r="G3052">
        <v>248324163</v>
      </c>
      <c r="H3052">
        <v>82889040</v>
      </c>
      <c r="I3052">
        <v>77475809</v>
      </c>
      <c r="J3052">
        <v>57884647</v>
      </c>
      <c r="K3052">
        <v>34334095</v>
      </c>
      <c r="L3052">
        <v>9336697</v>
      </c>
      <c r="M3052">
        <v>43667578</v>
      </c>
      <c r="N3052">
        <v>42760575</v>
      </c>
      <c r="O3052">
        <v>23853778</v>
      </c>
      <c r="P3052">
        <v>305</v>
      </c>
      <c r="Q3052" t="s">
        <v>6452</v>
      </c>
    </row>
    <row r="3053" spans="1:17" x14ac:dyDescent="0.3">
      <c r="A3053" t="s">
        <v>59</v>
      </c>
      <c r="B3053" t="str">
        <f>"300494"</f>
        <v>300494</v>
      </c>
      <c r="C3053" t="s">
        <v>6453</v>
      </c>
      <c r="D3053" t="s">
        <v>689</v>
      </c>
      <c r="F3053">
        <v>218474799</v>
      </c>
      <c r="G3053">
        <v>110608865</v>
      </c>
      <c r="H3053">
        <v>82738062</v>
      </c>
      <c r="I3053">
        <v>735028</v>
      </c>
      <c r="J3053">
        <v>57263990</v>
      </c>
      <c r="K3053">
        <v>110922406</v>
      </c>
      <c r="L3053">
        <v>103915976</v>
      </c>
      <c r="M3053">
        <v>96783863</v>
      </c>
      <c r="N3053">
        <v>117314226</v>
      </c>
      <c r="O3053">
        <v>83651449</v>
      </c>
      <c r="P3053">
        <v>134</v>
      </c>
      <c r="Q3053" t="s">
        <v>6454</v>
      </c>
    </row>
    <row r="3054" spans="1:17" x14ac:dyDescent="0.3">
      <c r="A3054" t="s">
        <v>17</v>
      </c>
      <c r="B3054" t="str">
        <f>"605399"</f>
        <v>605399</v>
      </c>
      <c r="C3054" t="s">
        <v>6455</v>
      </c>
      <c r="D3054" t="s">
        <v>1900</v>
      </c>
      <c r="F3054">
        <v>343718741</v>
      </c>
      <c r="G3054">
        <v>121969098</v>
      </c>
      <c r="H3054">
        <v>82602289</v>
      </c>
      <c r="I3054">
        <v>134268554</v>
      </c>
      <c r="J3054">
        <v>97964256</v>
      </c>
      <c r="P3054">
        <v>126</v>
      </c>
      <c r="Q3054" t="s">
        <v>6456</v>
      </c>
    </row>
    <row r="3055" spans="1:17" x14ac:dyDescent="0.3">
      <c r="A3055" t="s">
        <v>59</v>
      </c>
      <c r="B3055" t="str">
        <f>"300726"</f>
        <v>300726</v>
      </c>
      <c r="C3055" t="s">
        <v>6457</v>
      </c>
      <c r="D3055" t="s">
        <v>1983</v>
      </c>
      <c r="F3055">
        <v>525502277</v>
      </c>
      <c r="G3055">
        <v>256625395</v>
      </c>
      <c r="H3055">
        <v>82567601</v>
      </c>
      <c r="I3055">
        <v>-38180645</v>
      </c>
      <c r="J3055">
        <v>71680963</v>
      </c>
      <c r="K3055">
        <v>52529954</v>
      </c>
      <c r="L3055">
        <v>4475784</v>
      </c>
      <c r="M3055">
        <v>52964731</v>
      </c>
      <c r="P3055">
        <v>748</v>
      </c>
      <c r="Q3055" t="s">
        <v>6458</v>
      </c>
    </row>
    <row r="3056" spans="1:17" x14ac:dyDescent="0.3">
      <c r="A3056" t="s">
        <v>59</v>
      </c>
      <c r="B3056" t="str">
        <f>"300654"</f>
        <v>300654</v>
      </c>
      <c r="C3056" t="s">
        <v>6459</v>
      </c>
      <c r="D3056" t="s">
        <v>721</v>
      </c>
      <c r="F3056">
        <v>5611162</v>
      </c>
      <c r="G3056">
        <v>2386482</v>
      </c>
      <c r="H3056">
        <v>82478881</v>
      </c>
      <c r="I3056">
        <v>43556507</v>
      </c>
      <c r="J3056">
        <v>11077043</v>
      </c>
      <c r="K3056">
        <v>64171034</v>
      </c>
      <c r="L3056">
        <v>15798654</v>
      </c>
      <c r="M3056">
        <v>49450898</v>
      </c>
      <c r="P3056">
        <v>73</v>
      </c>
      <c r="Q3056" t="s">
        <v>6460</v>
      </c>
    </row>
    <row r="3057" spans="1:17" x14ac:dyDescent="0.3">
      <c r="A3057" t="s">
        <v>59</v>
      </c>
      <c r="B3057" t="str">
        <f>"300824"</f>
        <v>300824</v>
      </c>
      <c r="C3057" t="s">
        <v>6461</v>
      </c>
      <c r="D3057" t="s">
        <v>1173</v>
      </c>
      <c r="F3057">
        <v>65221561</v>
      </c>
      <c r="G3057">
        <v>94088840</v>
      </c>
      <c r="H3057">
        <v>82460331</v>
      </c>
      <c r="I3057">
        <v>53480399</v>
      </c>
      <c r="J3057">
        <v>38491393</v>
      </c>
      <c r="K3057">
        <v>74132215</v>
      </c>
      <c r="P3057">
        <v>167</v>
      </c>
      <c r="Q3057" t="s">
        <v>6462</v>
      </c>
    </row>
    <row r="3058" spans="1:17" x14ac:dyDescent="0.3">
      <c r="A3058" t="s">
        <v>17</v>
      </c>
      <c r="B3058" t="str">
        <f>"688323"</f>
        <v>688323</v>
      </c>
      <c r="C3058" t="s">
        <v>6463</v>
      </c>
      <c r="D3058" t="s">
        <v>1674</v>
      </c>
      <c r="F3058">
        <v>78383334</v>
      </c>
      <c r="G3058">
        <v>90268599</v>
      </c>
      <c r="H3058">
        <v>82435802</v>
      </c>
      <c r="I3058">
        <v>15662062</v>
      </c>
      <c r="J3058">
        <v>10377029</v>
      </c>
      <c r="P3058">
        <v>26</v>
      </c>
      <c r="Q3058" t="s">
        <v>6464</v>
      </c>
    </row>
    <row r="3059" spans="1:17" x14ac:dyDescent="0.3">
      <c r="A3059" t="s">
        <v>17</v>
      </c>
      <c r="B3059" t="str">
        <f>"603755"</f>
        <v>603755</v>
      </c>
      <c r="C3059" t="s">
        <v>6465</v>
      </c>
      <c r="D3059" t="s">
        <v>375</v>
      </c>
      <c r="F3059">
        <v>59532274</v>
      </c>
      <c r="G3059">
        <v>68897231</v>
      </c>
      <c r="H3059">
        <v>82395199</v>
      </c>
      <c r="I3059">
        <v>72802278</v>
      </c>
      <c r="J3059">
        <v>60217320</v>
      </c>
      <c r="K3059">
        <v>39391307</v>
      </c>
      <c r="P3059">
        <v>370</v>
      </c>
      <c r="Q3059" t="s">
        <v>6466</v>
      </c>
    </row>
    <row r="3060" spans="1:17" x14ac:dyDescent="0.3">
      <c r="A3060" t="s">
        <v>17</v>
      </c>
      <c r="B3060" t="str">
        <f>"603232"</f>
        <v>603232</v>
      </c>
      <c r="C3060" t="s">
        <v>6467</v>
      </c>
      <c r="D3060" t="s">
        <v>1528</v>
      </c>
      <c r="F3060">
        <v>-12617595</v>
      </c>
      <c r="G3060">
        <v>145981400</v>
      </c>
      <c r="H3060">
        <v>82339046</v>
      </c>
      <c r="I3060">
        <v>-1802035</v>
      </c>
      <c r="J3060">
        <v>19186452</v>
      </c>
      <c r="K3060">
        <v>41931916</v>
      </c>
      <c r="L3060">
        <v>41464454</v>
      </c>
      <c r="M3060">
        <v>31515777</v>
      </c>
      <c r="P3060">
        <v>159</v>
      </c>
      <c r="Q3060" t="s">
        <v>6468</v>
      </c>
    </row>
    <row r="3061" spans="1:17" x14ac:dyDescent="0.3">
      <c r="A3061" t="s">
        <v>59</v>
      </c>
      <c r="B3061" t="str">
        <f>"301100"</f>
        <v>301100</v>
      </c>
      <c r="C3061" t="s">
        <v>6469</v>
      </c>
      <c r="D3061" t="s">
        <v>1252</v>
      </c>
      <c r="F3061">
        <v>72462206</v>
      </c>
      <c r="G3061">
        <v>158210411</v>
      </c>
      <c r="H3061">
        <v>82270894</v>
      </c>
      <c r="I3061">
        <v>139722575</v>
      </c>
      <c r="J3061">
        <v>66641481</v>
      </c>
      <c r="P3061">
        <v>11</v>
      </c>
      <c r="Q3061" t="s">
        <v>6470</v>
      </c>
    </row>
    <row r="3062" spans="1:17" x14ac:dyDescent="0.3">
      <c r="A3062" t="s">
        <v>17</v>
      </c>
      <c r="B3062" t="str">
        <f>"688049"</f>
        <v>688049</v>
      </c>
      <c r="C3062" t="s">
        <v>6471</v>
      </c>
      <c r="D3062" t="s">
        <v>817</v>
      </c>
      <c r="F3062">
        <v>86190900</v>
      </c>
      <c r="G3062">
        <v>17538395</v>
      </c>
      <c r="H3062">
        <v>82255905</v>
      </c>
      <c r="I3062">
        <v>73162205</v>
      </c>
      <c r="J3062">
        <v>21104877</v>
      </c>
      <c r="P3062">
        <v>21</v>
      </c>
      <c r="Q3062" t="s">
        <v>6472</v>
      </c>
    </row>
    <row r="3063" spans="1:17" x14ac:dyDescent="0.3">
      <c r="A3063" t="s">
        <v>17</v>
      </c>
      <c r="B3063" t="str">
        <f>"603121"</f>
        <v>603121</v>
      </c>
      <c r="C3063" t="s">
        <v>6473</v>
      </c>
      <c r="D3063" t="s">
        <v>156</v>
      </c>
      <c r="F3063">
        <v>94873299</v>
      </c>
      <c r="G3063">
        <v>111182883</v>
      </c>
      <c r="H3063">
        <v>82226185</v>
      </c>
      <c r="I3063">
        <v>91172941</v>
      </c>
      <c r="J3063">
        <v>65549908</v>
      </c>
      <c r="K3063">
        <v>92612133</v>
      </c>
      <c r="L3063">
        <v>92498103</v>
      </c>
      <c r="P3063">
        <v>77</v>
      </c>
      <c r="Q3063" t="s">
        <v>6474</v>
      </c>
    </row>
    <row r="3064" spans="1:17" x14ac:dyDescent="0.3">
      <c r="A3064" t="s">
        <v>59</v>
      </c>
      <c r="B3064" t="str">
        <f>"300893"</f>
        <v>300893</v>
      </c>
      <c r="C3064" t="s">
        <v>6475</v>
      </c>
      <c r="D3064" t="s">
        <v>1226</v>
      </c>
      <c r="F3064">
        <v>104650439</v>
      </c>
      <c r="G3064">
        <v>55541986</v>
      </c>
      <c r="H3064">
        <v>82048720</v>
      </c>
      <c r="I3064">
        <v>78811276</v>
      </c>
      <c r="J3064">
        <v>46038600</v>
      </c>
      <c r="P3064">
        <v>48</v>
      </c>
      <c r="Q3064" t="s">
        <v>6476</v>
      </c>
    </row>
    <row r="3065" spans="1:17" x14ac:dyDescent="0.3">
      <c r="A3065" t="s">
        <v>59</v>
      </c>
      <c r="B3065" t="str">
        <f>"300932"</f>
        <v>300932</v>
      </c>
      <c r="C3065" t="s">
        <v>6477</v>
      </c>
      <c r="D3065" t="s">
        <v>458</v>
      </c>
      <c r="F3065">
        <v>58281229</v>
      </c>
      <c r="G3065">
        <v>85992447</v>
      </c>
      <c r="H3065">
        <v>82036954</v>
      </c>
      <c r="I3065">
        <v>54921442</v>
      </c>
      <c r="J3065">
        <v>24431225</v>
      </c>
      <c r="K3065">
        <v>78875017</v>
      </c>
      <c r="P3065">
        <v>29</v>
      </c>
      <c r="Q3065" t="s">
        <v>6478</v>
      </c>
    </row>
    <row r="3066" spans="1:17" x14ac:dyDescent="0.3">
      <c r="A3066" t="s">
        <v>17</v>
      </c>
      <c r="B3066" t="str">
        <f>"688163"</f>
        <v>688163</v>
      </c>
      <c r="C3066" t="s">
        <v>6479</v>
      </c>
      <c r="F3066">
        <v>92288488</v>
      </c>
      <c r="G3066">
        <v>98354730</v>
      </c>
      <c r="H3066">
        <v>81850838</v>
      </c>
      <c r="I3066">
        <v>39712406</v>
      </c>
      <c r="J3066">
        <v>28831080</v>
      </c>
      <c r="P3066">
        <v>12</v>
      </c>
      <c r="Q3066" t="s">
        <v>6480</v>
      </c>
    </row>
    <row r="3067" spans="1:17" x14ac:dyDescent="0.3">
      <c r="A3067" t="s">
        <v>59</v>
      </c>
      <c r="B3067" t="str">
        <f>"300019"</f>
        <v>300019</v>
      </c>
      <c r="C3067" t="s">
        <v>6481</v>
      </c>
      <c r="D3067" t="s">
        <v>1900</v>
      </c>
      <c r="F3067">
        <v>175535918</v>
      </c>
      <c r="G3067">
        <v>222345903</v>
      </c>
      <c r="H3067">
        <v>81662622</v>
      </c>
      <c r="I3067">
        <v>68117303</v>
      </c>
      <c r="J3067">
        <v>92131089</v>
      </c>
      <c r="K3067">
        <v>78191456</v>
      </c>
      <c r="L3067">
        <v>66338545</v>
      </c>
      <c r="M3067">
        <v>45262874</v>
      </c>
      <c r="N3067">
        <v>56438703</v>
      </c>
      <c r="O3067">
        <v>34117067</v>
      </c>
      <c r="P3067">
        <v>295</v>
      </c>
      <c r="Q3067" t="s">
        <v>6482</v>
      </c>
    </row>
    <row r="3068" spans="1:17" x14ac:dyDescent="0.3">
      <c r="A3068" t="s">
        <v>59</v>
      </c>
      <c r="B3068" t="str">
        <f>"002654"</f>
        <v>002654</v>
      </c>
      <c r="C3068" t="s">
        <v>6483</v>
      </c>
      <c r="D3068" t="s">
        <v>772</v>
      </c>
      <c r="F3068">
        <v>-181297843</v>
      </c>
      <c r="G3068">
        <v>172214660</v>
      </c>
      <c r="H3068">
        <v>81656956</v>
      </c>
      <c r="I3068">
        <v>94187613</v>
      </c>
      <c r="J3068">
        <v>44294286</v>
      </c>
      <c r="K3068">
        <v>252737603</v>
      </c>
      <c r="L3068">
        <v>46201854</v>
      </c>
      <c r="M3068">
        <v>45530745</v>
      </c>
      <c r="N3068">
        <v>110049542</v>
      </c>
      <c r="O3068">
        <v>45088224</v>
      </c>
      <c r="P3068">
        <v>124</v>
      </c>
      <c r="Q3068" t="s">
        <v>6484</v>
      </c>
    </row>
    <row r="3069" spans="1:17" x14ac:dyDescent="0.3">
      <c r="A3069" t="s">
        <v>17</v>
      </c>
      <c r="B3069" t="str">
        <f>"603559"</f>
        <v>603559</v>
      </c>
      <c r="C3069" t="s">
        <v>6485</v>
      </c>
      <c r="D3069" t="s">
        <v>2057</v>
      </c>
      <c r="F3069">
        <v>-4935620</v>
      </c>
      <c r="G3069">
        <v>-125431224</v>
      </c>
      <c r="H3069">
        <v>81564155</v>
      </c>
      <c r="I3069">
        <v>-117106755</v>
      </c>
      <c r="J3069">
        <v>-67850137</v>
      </c>
      <c r="K3069">
        <v>45902471</v>
      </c>
      <c r="L3069">
        <v>33510687</v>
      </c>
      <c r="M3069">
        <v>25715585</v>
      </c>
      <c r="N3069">
        <v>-18443416</v>
      </c>
      <c r="P3069">
        <v>159</v>
      </c>
      <c r="Q3069" t="s">
        <v>6486</v>
      </c>
    </row>
    <row r="3070" spans="1:17" x14ac:dyDescent="0.3">
      <c r="A3070" t="s">
        <v>59</v>
      </c>
      <c r="B3070" t="str">
        <f>"300246"</f>
        <v>300246</v>
      </c>
      <c r="C3070" t="s">
        <v>6487</v>
      </c>
      <c r="D3070" t="s">
        <v>485</v>
      </c>
      <c r="F3070">
        <v>80613715</v>
      </c>
      <c r="G3070">
        <v>455780884</v>
      </c>
      <c r="H3070">
        <v>81425907</v>
      </c>
      <c r="I3070">
        <v>81207348</v>
      </c>
      <c r="J3070">
        <v>72306092</v>
      </c>
      <c r="K3070">
        <v>50805215</v>
      </c>
      <c r="L3070">
        <v>28397760</v>
      </c>
      <c r="M3070">
        <v>42310641</v>
      </c>
      <c r="N3070">
        <v>27320098</v>
      </c>
      <c r="O3070">
        <v>40515475</v>
      </c>
      <c r="P3070">
        <v>511</v>
      </c>
      <c r="Q3070" t="s">
        <v>6488</v>
      </c>
    </row>
    <row r="3071" spans="1:17" x14ac:dyDescent="0.3">
      <c r="A3071" t="s">
        <v>59</v>
      </c>
      <c r="B3071" t="str">
        <f>"002708"</f>
        <v>002708</v>
      </c>
      <c r="C3071" t="s">
        <v>6489</v>
      </c>
      <c r="D3071" t="s">
        <v>156</v>
      </c>
      <c r="F3071">
        <v>-45227301</v>
      </c>
      <c r="G3071">
        <v>133102739</v>
      </c>
      <c r="H3071">
        <v>81361255</v>
      </c>
      <c r="I3071">
        <v>178982407</v>
      </c>
      <c r="J3071">
        <v>151322361</v>
      </c>
      <c r="K3071">
        <v>33983215</v>
      </c>
      <c r="L3071">
        <v>99570156</v>
      </c>
      <c r="M3071">
        <v>73120056</v>
      </c>
      <c r="N3071">
        <v>36643929</v>
      </c>
      <c r="O3071">
        <v>30329739</v>
      </c>
      <c r="P3071">
        <v>91</v>
      </c>
      <c r="Q3071" t="s">
        <v>6490</v>
      </c>
    </row>
    <row r="3072" spans="1:17" x14ac:dyDescent="0.3">
      <c r="A3072" t="s">
        <v>59</v>
      </c>
      <c r="B3072" t="str">
        <f>"000677"</f>
        <v>000677</v>
      </c>
      <c r="C3072" t="s">
        <v>6491</v>
      </c>
      <c r="D3072" t="s">
        <v>1756</v>
      </c>
      <c r="F3072">
        <v>81396872</v>
      </c>
      <c r="G3072">
        <v>48644590</v>
      </c>
      <c r="H3072">
        <v>81217421</v>
      </c>
      <c r="I3072">
        <v>62551842</v>
      </c>
      <c r="J3072">
        <v>1220222</v>
      </c>
      <c r="K3072">
        <v>2731811</v>
      </c>
      <c r="L3072">
        <v>71871551</v>
      </c>
      <c r="M3072">
        <v>43455633</v>
      </c>
      <c r="N3072">
        <v>51002874</v>
      </c>
      <c r="O3072">
        <v>-390719681</v>
      </c>
      <c r="P3072">
        <v>80</v>
      </c>
      <c r="Q3072" t="s">
        <v>6492</v>
      </c>
    </row>
    <row r="3073" spans="1:17" x14ac:dyDescent="0.3">
      <c r="A3073" t="s">
        <v>59</v>
      </c>
      <c r="B3073" t="str">
        <f>"300397"</f>
        <v>300397</v>
      </c>
      <c r="C3073" t="s">
        <v>6493</v>
      </c>
      <c r="D3073" t="s">
        <v>448</v>
      </c>
      <c r="F3073">
        <v>30563348</v>
      </c>
      <c r="G3073">
        <v>334043574</v>
      </c>
      <c r="H3073">
        <v>81146447</v>
      </c>
      <c r="I3073">
        <v>-213660099</v>
      </c>
      <c r="J3073">
        <v>103341693</v>
      </c>
      <c r="K3073">
        <v>-33100648</v>
      </c>
      <c r="L3073">
        <v>-74888163</v>
      </c>
      <c r="M3073">
        <v>-83975312</v>
      </c>
      <c r="N3073">
        <v>20039694</v>
      </c>
      <c r="O3073">
        <v>-16072930</v>
      </c>
      <c r="P3073">
        <v>232</v>
      </c>
      <c r="Q3073" t="s">
        <v>6494</v>
      </c>
    </row>
    <row r="3074" spans="1:17" x14ac:dyDescent="0.3">
      <c r="A3074" t="s">
        <v>17</v>
      </c>
      <c r="B3074" t="str">
        <f>"603015"</f>
        <v>603015</v>
      </c>
      <c r="C3074" t="s">
        <v>6495</v>
      </c>
      <c r="D3074" t="s">
        <v>1426</v>
      </c>
      <c r="F3074">
        <v>96458400</v>
      </c>
      <c r="G3074">
        <v>54093099</v>
      </c>
      <c r="H3074">
        <v>81101655</v>
      </c>
      <c r="I3074">
        <v>61522438</v>
      </c>
      <c r="J3074">
        <v>-1867474</v>
      </c>
      <c r="K3074">
        <v>5940222</v>
      </c>
      <c r="L3074">
        <v>64533161</v>
      </c>
      <c r="M3074">
        <v>54044490</v>
      </c>
      <c r="N3074">
        <v>104177683</v>
      </c>
      <c r="O3074">
        <v>109689851</v>
      </c>
      <c r="P3074">
        <v>91</v>
      </c>
      <c r="Q3074" t="s">
        <v>6496</v>
      </c>
    </row>
    <row r="3075" spans="1:17" x14ac:dyDescent="0.3">
      <c r="A3075" t="s">
        <v>59</v>
      </c>
      <c r="B3075" t="str">
        <f>"300820"</f>
        <v>300820</v>
      </c>
      <c r="C3075" t="s">
        <v>6497</v>
      </c>
      <c r="D3075" t="s">
        <v>1746</v>
      </c>
      <c r="F3075">
        <v>9168514</v>
      </c>
      <c r="G3075">
        <v>51965224</v>
      </c>
      <c r="H3075">
        <v>80854919</v>
      </c>
      <c r="I3075">
        <v>79548644</v>
      </c>
      <c r="J3075">
        <v>34388859</v>
      </c>
      <c r="K3075">
        <v>37086413</v>
      </c>
      <c r="P3075">
        <v>369</v>
      </c>
      <c r="Q3075" t="s">
        <v>6498</v>
      </c>
    </row>
    <row r="3076" spans="1:17" x14ac:dyDescent="0.3">
      <c r="A3076" t="s">
        <v>59</v>
      </c>
      <c r="B3076" t="str">
        <f>"003015"</f>
        <v>003015</v>
      </c>
      <c r="C3076" t="s">
        <v>6499</v>
      </c>
      <c r="D3076" t="s">
        <v>692</v>
      </c>
      <c r="F3076">
        <v>161308303</v>
      </c>
      <c r="G3076">
        <v>112246546</v>
      </c>
      <c r="H3076">
        <v>80769085</v>
      </c>
      <c r="I3076">
        <v>85912087</v>
      </c>
      <c r="J3076">
        <v>24853297</v>
      </c>
      <c r="K3076">
        <v>25950845</v>
      </c>
      <c r="P3076">
        <v>46</v>
      </c>
      <c r="Q3076" t="s">
        <v>6500</v>
      </c>
    </row>
    <row r="3077" spans="1:17" x14ac:dyDescent="0.3">
      <c r="A3077" t="s">
        <v>59</v>
      </c>
      <c r="B3077" t="str">
        <f>"002655"</f>
        <v>002655</v>
      </c>
      <c r="C3077" t="s">
        <v>6501</v>
      </c>
      <c r="D3077" t="s">
        <v>349</v>
      </c>
      <c r="F3077">
        <v>11672156</v>
      </c>
      <c r="G3077">
        <v>184936881</v>
      </c>
      <c r="H3077">
        <v>80759595</v>
      </c>
      <c r="I3077">
        <v>60057256</v>
      </c>
      <c r="J3077">
        <v>74005692</v>
      </c>
      <c r="K3077">
        <v>23147322</v>
      </c>
      <c r="L3077">
        <v>71353365</v>
      </c>
      <c r="M3077">
        <v>67837154</v>
      </c>
      <c r="N3077">
        <v>54821061</v>
      </c>
      <c r="O3077">
        <v>266122</v>
      </c>
      <c r="P3077">
        <v>230</v>
      </c>
      <c r="Q3077" t="s">
        <v>6502</v>
      </c>
    </row>
    <row r="3078" spans="1:17" x14ac:dyDescent="0.3">
      <c r="A3078" t="s">
        <v>59</v>
      </c>
      <c r="B3078" t="str">
        <f>"002825"</f>
        <v>002825</v>
      </c>
      <c r="C3078" t="s">
        <v>6503</v>
      </c>
      <c r="D3078" t="s">
        <v>2104</v>
      </c>
      <c r="F3078">
        <v>127569088</v>
      </c>
      <c r="G3078">
        <v>124686352</v>
      </c>
      <c r="H3078">
        <v>80621381</v>
      </c>
      <c r="I3078">
        <v>83295311</v>
      </c>
      <c r="J3078">
        <v>101576034</v>
      </c>
      <c r="K3078">
        <v>37121597</v>
      </c>
      <c r="L3078">
        <v>63088039</v>
      </c>
      <c r="M3078">
        <v>85175603</v>
      </c>
      <c r="N3078">
        <v>44838373</v>
      </c>
      <c r="P3078">
        <v>100</v>
      </c>
      <c r="Q3078" t="s">
        <v>6504</v>
      </c>
    </row>
    <row r="3079" spans="1:17" x14ac:dyDescent="0.3">
      <c r="A3079" t="s">
        <v>17</v>
      </c>
      <c r="B3079" t="str">
        <f>"688300"</f>
        <v>688300</v>
      </c>
      <c r="C3079" t="s">
        <v>6505</v>
      </c>
      <c r="D3079" t="s">
        <v>1408</v>
      </c>
      <c r="F3079">
        <v>153423337</v>
      </c>
      <c r="G3079">
        <v>89686224</v>
      </c>
      <c r="H3079">
        <v>80576233</v>
      </c>
      <c r="I3079">
        <v>55685281</v>
      </c>
      <c r="J3079">
        <v>6497142</v>
      </c>
      <c r="K3079">
        <v>23170828</v>
      </c>
      <c r="P3079">
        <v>196</v>
      </c>
      <c r="Q3079" t="s">
        <v>6506</v>
      </c>
    </row>
    <row r="3080" spans="1:17" x14ac:dyDescent="0.3">
      <c r="A3080" t="s">
        <v>59</v>
      </c>
      <c r="B3080" t="str">
        <f>"000893"</f>
        <v>000893</v>
      </c>
      <c r="C3080" t="s">
        <v>6507</v>
      </c>
      <c r="D3080" t="s">
        <v>778</v>
      </c>
      <c r="F3080">
        <v>484402005</v>
      </c>
      <c r="G3080">
        <v>104629674</v>
      </c>
      <c r="H3080">
        <v>80456811</v>
      </c>
      <c r="I3080">
        <v>42042406</v>
      </c>
      <c r="J3080">
        <v>14425310</v>
      </c>
      <c r="K3080">
        <v>119022392</v>
      </c>
      <c r="L3080">
        <v>-362755456</v>
      </c>
      <c r="M3080">
        <v>229909324</v>
      </c>
      <c r="N3080">
        <v>-1306976253</v>
      </c>
      <c r="O3080">
        <v>-619009095</v>
      </c>
      <c r="P3080">
        <v>159</v>
      </c>
      <c r="Q3080" t="s">
        <v>6508</v>
      </c>
    </row>
    <row r="3081" spans="1:17" x14ac:dyDescent="0.3">
      <c r="A3081" t="s">
        <v>17</v>
      </c>
      <c r="B3081" t="str">
        <f>"600980"</f>
        <v>600980</v>
      </c>
      <c r="C3081" t="s">
        <v>6509</v>
      </c>
      <c r="D3081" t="s">
        <v>2132</v>
      </c>
      <c r="F3081">
        <v>41869129</v>
      </c>
      <c r="G3081">
        <v>18982345</v>
      </c>
      <c r="H3081">
        <v>80405049</v>
      </c>
      <c r="I3081">
        <v>5073682</v>
      </c>
      <c r="J3081">
        <v>107577269</v>
      </c>
      <c r="K3081">
        <v>-62491803</v>
      </c>
      <c r="L3081">
        <v>-12354774</v>
      </c>
      <c r="M3081">
        <v>43968775</v>
      </c>
      <c r="N3081">
        <v>-606490</v>
      </c>
      <c r="O3081">
        <v>-1537243</v>
      </c>
      <c r="P3081">
        <v>97</v>
      </c>
      <c r="Q3081" t="s">
        <v>6510</v>
      </c>
    </row>
    <row r="3082" spans="1:17" x14ac:dyDescent="0.3">
      <c r="A3082" t="s">
        <v>59</v>
      </c>
      <c r="B3082" t="str">
        <f>"300290"</f>
        <v>300290</v>
      </c>
      <c r="C3082" t="s">
        <v>6511</v>
      </c>
      <c r="D3082" t="s">
        <v>1189</v>
      </c>
      <c r="F3082">
        <v>455136</v>
      </c>
      <c r="G3082">
        <v>113833221</v>
      </c>
      <c r="H3082">
        <v>80302890</v>
      </c>
      <c r="I3082">
        <v>95090719</v>
      </c>
      <c r="J3082">
        <v>18674876</v>
      </c>
      <c r="K3082">
        <v>49336257</v>
      </c>
      <c r="L3082">
        <v>52973662</v>
      </c>
      <c r="M3082">
        <v>-27009450</v>
      </c>
      <c r="N3082">
        <v>-113996085</v>
      </c>
      <c r="O3082">
        <v>30700579</v>
      </c>
      <c r="P3082">
        <v>113</v>
      </c>
      <c r="Q3082" t="s">
        <v>6512</v>
      </c>
    </row>
    <row r="3083" spans="1:17" x14ac:dyDescent="0.3">
      <c r="A3083" t="s">
        <v>17</v>
      </c>
      <c r="B3083" t="str">
        <f>"688678"</f>
        <v>688678</v>
      </c>
      <c r="C3083" t="s">
        <v>6513</v>
      </c>
      <c r="D3083" t="s">
        <v>349</v>
      </c>
      <c r="F3083">
        <v>43901889</v>
      </c>
      <c r="G3083">
        <v>143334918</v>
      </c>
      <c r="H3083">
        <v>80204436</v>
      </c>
      <c r="I3083">
        <v>30508015</v>
      </c>
      <c r="J3083">
        <v>32137856</v>
      </c>
      <c r="K3083">
        <v>9179959</v>
      </c>
      <c r="P3083">
        <v>29</v>
      </c>
      <c r="Q3083" t="s">
        <v>6514</v>
      </c>
    </row>
    <row r="3084" spans="1:17" x14ac:dyDescent="0.3">
      <c r="A3084" t="s">
        <v>59</v>
      </c>
      <c r="B3084" t="str">
        <f>"301006"</f>
        <v>301006</v>
      </c>
      <c r="C3084" t="s">
        <v>6515</v>
      </c>
      <c r="D3084" t="s">
        <v>2382</v>
      </c>
      <c r="F3084">
        <v>98182541</v>
      </c>
      <c r="G3084">
        <v>124128178</v>
      </c>
      <c r="H3084">
        <v>80176225</v>
      </c>
      <c r="I3084">
        <v>60805990</v>
      </c>
      <c r="J3084">
        <v>41824186</v>
      </c>
      <c r="P3084">
        <v>50</v>
      </c>
      <c r="Q3084" t="s">
        <v>6516</v>
      </c>
    </row>
    <row r="3085" spans="1:17" x14ac:dyDescent="0.3">
      <c r="A3085" t="s">
        <v>59</v>
      </c>
      <c r="B3085" t="str">
        <f>"002330"</f>
        <v>002330</v>
      </c>
      <c r="C3085" t="s">
        <v>6517</v>
      </c>
      <c r="D3085" t="s">
        <v>514</v>
      </c>
      <c r="F3085">
        <v>9999470</v>
      </c>
      <c r="G3085">
        <v>79346520</v>
      </c>
      <c r="H3085">
        <v>80167831</v>
      </c>
      <c r="I3085">
        <v>22643362</v>
      </c>
      <c r="J3085">
        <v>86355294</v>
      </c>
      <c r="K3085">
        <v>88595870</v>
      </c>
      <c r="L3085">
        <v>141921942</v>
      </c>
      <c r="M3085">
        <v>44217728</v>
      </c>
      <c r="N3085">
        <v>96323599</v>
      </c>
      <c r="O3085">
        <v>113748259</v>
      </c>
      <c r="P3085">
        <v>540</v>
      </c>
      <c r="Q3085" t="s">
        <v>6518</v>
      </c>
    </row>
    <row r="3086" spans="1:17" x14ac:dyDescent="0.3">
      <c r="A3086" t="s">
        <v>59</v>
      </c>
      <c r="B3086" t="str">
        <f>"300451"</f>
        <v>300451</v>
      </c>
      <c r="C3086" t="s">
        <v>6519</v>
      </c>
      <c r="D3086" t="s">
        <v>1528</v>
      </c>
      <c r="F3086">
        <v>176219112</v>
      </c>
      <c r="G3086">
        <v>271326850</v>
      </c>
      <c r="H3086">
        <v>80158689</v>
      </c>
      <c r="I3086">
        <v>169697618</v>
      </c>
      <c r="J3086">
        <v>174126342</v>
      </c>
      <c r="K3086">
        <v>118987534</v>
      </c>
      <c r="L3086">
        <v>18473128</v>
      </c>
      <c r="M3086">
        <v>54914018</v>
      </c>
      <c r="N3086">
        <v>47060224</v>
      </c>
      <c r="O3086">
        <v>24290774</v>
      </c>
      <c r="P3086">
        <v>351</v>
      </c>
      <c r="Q3086" t="s">
        <v>6520</v>
      </c>
    </row>
    <row r="3087" spans="1:17" x14ac:dyDescent="0.3">
      <c r="A3087" t="s">
        <v>59</v>
      </c>
      <c r="B3087" t="str">
        <f>"301188"</f>
        <v>301188</v>
      </c>
      <c r="C3087" t="s">
        <v>6521</v>
      </c>
      <c r="D3087" t="s">
        <v>923</v>
      </c>
      <c r="F3087">
        <v>52467645</v>
      </c>
      <c r="G3087">
        <v>88704125</v>
      </c>
      <c r="H3087">
        <v>80138957</v>
      </c>
      <c r="I3087">
        <v>84381643</v>
      </c>
      <c r="J3087">
        <v>-1489027</v>
      </c>
      <c r="P3087">
        <v>18</v>
      </c>
      <c r="Q3087" t="s">
        <v>6522</v>
      </c>
    </row>
    <row r="3088" spans="1:17" x14ac:dyDescent="0.3">
      <c r="A3088" t="s">
        <v>59</v>
      </c>
      <c r="B3088" t="str">
        <f>"300985"</f>
        <v>300985</v>
      </c>
      <c r="C3088" t="s">
        <v>6523</v>
      </c>
      <c r="D3088" t="s">
        <v>637</v>
      </c>
      <c r="F3088">
        <v>55166570</v>
      </c>
      <c r="G3088">
        <v>82288211</v>
      </c>
      <c r="H3088">
        <v>79922724</v>
      </c>
      <c r="I3088">
        <v>15615405</v>
      </c>
      <c r="J3088">
        <v>-53256369</v>
      </c>
      <c r="P3088">
        <v>32</v>
      </c>
      <c r="Q3088" t="s">
        <v>6524</v>
      </c>
    </row>
    <row r="3089" spans="1:17" x14ac:dyDescent="0.3">
      <c r="A3089" t="s">
        <v>17</v>
      </c>
      <c r="B3089" t="str">
        <f>"688358"</f>
        <v>688358</v>
      </c>
      <c r="C3089" t="s">
        <v>6525</v>
      </c>
      <c r="D3089" t="s">
        <v>485</v>
      </c>
      <c r="F3089">
        <v>39960965</v>
      </c>
      <c r="G3089">
        <v>82448048</v>
      </c>
      <c r="H3089">
        <v>79827109</v>
      </c>
      <c r="I3089">
        <v>71417116</v>
      </c>
      <c r="J3089">
        <v>62195004</v>
      </c>
      <c r="K3089">
        <v>42148582</v>
      </c>
      <c r="P3089">
        <v>122</v>
      </c>
      <c r="Q3089" t="s">
        <v>6526</v>
      </c>
    </row>
    <row r="3090" spans="1:17" x14ac:dyDescent="0.3">
      <c r="A3090" t="s">
        <v>17</v>
      </c>
      <c r="B3090" t="str">
        <f>"600749"</f>
        <v>600749</v>
      </c>
      <c r="C3090" t="s">
        <v>6527</v>
      </c>
      <c r="D3090" t="s">
        <v>2982</v>
      </c>
      <c r="F3090">
        <v>42227386</v>
      </c>
      <c r="G3090">
        <v>20935762</v>
      </c>
      <c r="H3090">
        <v>79803421</v>
      </c>
      <c r="I3090">
        <v>38167337</v>
      </c>
      <c r="J3090">
        <v>33498199</v>
      </c>
      <c r="K3090">
        <v>-24364351</v>
      </c>
      <c r="L3090">
        <v>37749061</v>
      </c>
      <c r="M3090">
        <v>-13774465</v>
      </c>
      <c r="N3090">
        <v>68361519</v>
      </c>
      <c r="O3090">
        <v>81053975</v>
      </c>
      <c r="P3090">
        <v>106</v>
      </c>
      <c r="Q3090" t="s">
        <v>6528</v>
      </c>
    </row>
    <row r="3091" spans="1:17" x14ac:dyDescent="0.3">
      <c r="A3091" t="s">
        <v>59</v>
      </c>
      <c r="B3091" t="str">
        <f>"002604"</f>
        <v>002604</v>
      </c>
      <c r="C3091" t="s">
        <v>6529</v>
      </c>
      <c r="H3091">
        <v>79702061</v>
      </c>
      <c r="I3091">
        <v>255595083</v>
      </c>
      <c r="J3091">
        <v>-250347601</v>
      </c>
      <c r="K3091">
        <v>201733292</v>
      </c>
      <c r="L3091">
        <v>286385415</v>
      </c>
      <c r="M3091">
        <v>97571661</v>
      </c>
      <c r="N3091">
        <v>266290675</v>
      </c>
      <c r="O3091">
        <v>139635390</v>
      </c>
      <c r="P3091">
        <v>49</v>
      </c>
      <c r="Q3091" t="s">
        <v>6530</v>
      </c>
    </row>
    <row r="3092" spans="1:17" x14ac:dyDescent="0.3">
      <c r="A3092" t="s">
        <v>59</v>
      </c>
      <c r="B3092" t="str">
        <f>"300109"</f>
        <v>300109</v>
      </c>
      <c r="C3092" t="s">
        <v>6531</v>
      </c>
      <c r="D3092" t="s">
        <v>1252</v>
      </c>
      <c r="F3092">
        <v>43440306</v>
      </c>
      <c r="G3092">
        <v>266871090</v>
      </c>
      <c r="H3092">
        <v>79638058</v>
      </c>
      <c r="I3092">
        <v>48810509</v>
      </c>
      <c r="J3092">
        <v>47279359</v>
      </c>
      <c r="K3092">
        <v>114144489</v>
      </c>
      <c r="L3092">
        <v>64116278</v>
      </c>
      <c r="M3092">
        <v>46599083</v>
      </c>
      <c r="N3092">
        <v>23172955</v>
      </c>
      <c r="O3092">
        <v>20648176</v>
      </c>
      <c r="P3092">
        <v>122</v>
      </c>
      <c r="Q3092" t="s">
        <v>6532</v>
      </c>
    </row>
    <row r="3093" spans="1:17" x14ac:dyDescent="0.3">
      <c r="A3093" t="s">
        <v>59</v>
      </c>
      <c r="B3093" t="str">
        <f>"300452"</f>
        <v>300452</v>
      </c>
      <c r="C3093" t="s">
        <v>6533</v>
      </c>
      <c r="D3093" t="s">
        <v>984</v>
      </c>
      <c r="F3093">
        <v>103823162</v>
      </c>
      <c r="G3093">
        <v>85551579</v>
      </c>
      <c r="H3093">
        <v>79474814</v>
      </c>
      <c r="I3093">
        <v>74764439</v>
      </c>
      <c r="J3093">
        <v>63512143</v>
      </c>
      <c r="K3093">
        <v>55334018</v>
      </c>
      <c r="L3093">
        <v>42657408</v>
      </c>
      <c r="M3093">
        <v>36827621</v>
      </c>
      <c r="N3093">
        <v>25889314</v>
      </c>
      <c r="O3093">
        <v>26414065</v>
      </c>
      <c r="P3093">
        <v>300</v>
      </c>
      <c r="Q3093" t="s">
        <v>6534</v>
      </c>
    </row>
    <row r="3094" spans="1:17" x14ac:dyDescent="0.3">
      <c r="A3094" t="s">
        <v>17</v>
      </c>
      <c r="B3094" t="str">
        <f>"601116"</f>
        <v>601116</v>
      </c>
      <c r="C3094" t="s">
        <v>6535</v>
      </c>
      <c r="D3094" t="s">
        <v>1147</v>
      </c>
      <c r="F3094">
        <v>308027235</v>
      </c>
      <c r="G3094">
        <v>105826083</v>
      </c>
      <c r="H3094">
        <v>79446932</v>
      </c>
      <c r="I3094">
        <v>320653686</v>
      </c>
      <c r="J3094">
        <v>307019966</v>
      </c>
      <c r="K3094">
        <v>185738941</v>
      </c>
      <c r="L3094">
        <v>50717644</v>
      </c>
      <c r="M3094">
        <v>40888554</v>
      </c>
      <c r="N3094">
        <v>172062929</v>
      </c>
      <c r="O3094">
        <v>308050566</v>
      </c>
      <c r="P3094">
        <v>124</v>
      </c>
      <c r="Q3094" t="s">
        <v>6536</v>
      </c>
    </row>
    <row r="3095" spans="1:17" x14ac:dyDescent="0.3">
      <c r="A3095" t="s">
        <v>59</v>
      </c>
      <c r="B3095" t="str">
        <f>"002329"</f>
        <v>002329</v>
      </c>
      <c r="C3095" t="s">
        <v>6537</v>
      </c>
      <c r="D3095" t="s">
        <v>308</v>
      </c>
      <c r="F3095">
        <v>266229465</v>
      </c>
      <c r="G3095">
        <v>-44910412</v>
      </c>
      <c r="H3095">
        <v>79361230</v>
      </c>
      <c r="I3095">
        <v>94297680</v>
      </c>
      <c r="J3095">
        <v>612025027</v>
      </c>
      <c r="K3095">
        <v>245186765</v>
      </c>
      <c r="L3095">
        <v>431556773</v>
      </c>
      <c r="M3095">
        <v>120597163</v>
      </c>
      <c r="N3095">
        <v>118449658</v>
      </c>
      <c r="O3095">
        <v>44866289</v>
      </c>
      <c r="P3095">
        <v>186</v>
      </c>
      <c r="Q3095" t="s">
        <v>6538</v>
      </c>
    </row>
    <row r="3096" spans="1:17" x14ac:dyDescent="0.3">
      <c r="A3096" t="s">
        <v>59</v>
      </c>
      <c r="B3096" t="str">
        <f>"002858"</f>
        <v>002858</v>
      </c>
      <c r="C3096" t="s">
        <v>6539</v>
      </c>
      <c r="D3096" t="s">
        <v>3293</v>
      </c>
      <c r="F3096">
        <v>73745194</v>
      </c>
      <c r="G3096">
        <v>71923261</v>
      </c>
      <c r="H3096">
        <v>79354952</v>
      </c>
      <c r="I3096">
        <v>5751833</v>
      </c>
      <c r="J3096">
        <v>26770919</v>
      </c>
      <c r="K3096">
        <v>54501118</v>
      </c>
      <c r="L3096">
        <v>20774965</v>
      </c>
      <c r="M3096">
        <v>27564995</v>
      </c>
      <c r="P3096">
        <v>75</v>
      </c>
      <c r="Q3096" t="s">
        <v>6540</v>
      </c>
    </row>
    <row r="3097" spans="1:17" x14ac:dyDescent="0.3">
      <c r="A3097" t="s">
        <v>59</v>
      </c>
      <c r="B3097" t="str">
        <f>"002765"</f>
        <v>002765</v>
      </c>
      <c r="C3097" t="s">
        <v>6541</v>
      </c>
      <c r="D3097" t="s">
        <v>139</v>
      </c>
      <c r="F3097">
        <v>93155417</v>
      </c>
      <c r="G3097">
        <v>71397632</v>
      </c>
      <c r="H3097">
        <v>79158076</v>
      </c>
      <c r="I3097">
        <v>294040972</v>
      </c>
      <c r="J3097">
        <v>103127530</v>
      </c>
      <c r="K3097">
        <v>-74601261</v>
      </c>
      <c r="L3097">
        <v>-5760117</v>
      </c>
      <c r="M3097">
        <v>-11979213</v>
      </c>
      <c r="N3097">
        <v>63729569</v>
      </c>
      <c r="O3097">
        <v>48154076</v>
      </c>
      <c r="P3097">
        <v>118</v>
      </c>
      <c r="Q3097" t="s">
        <v>6542</v>
      </c>
    </row>
    <row r="3098" spans="1:17" x14ac:dyDescent="0.3">
      <c r="A3098" t="s">
        <v>59</v>
      </c>
      <c r="B3098" t="str">
        <f>"002524"</f>
        <v>002524</v>
      </c>
      <c r="C3098" t="s">
        <v>6543</v>
      </c>
      <c r="D3098" t="s">
        <v>999</v>
      </c>
      <c r="F3098">
        <v>145374912</v>
      </c>
      <c r="G3098">
        <v>154988066</v>
      </c>
      <c r="H3098">
        <v>79045976</v>
      </c>
      <c r="I3098">
        <v>321050569</v>
      </c>
      <c r="J3098">
        <v>121351679</v>
      </c>
      <c r="K3098">
        <v>67428894</v>
      </c>
      <c r="L3098">
        <v>133121445</v>
      </c>
      <c r="M3098">
        <v>95280412</v>
      </c>
      <c r="N3098">
        <v>11929989</v>
      </c>
      <c r="O3098">
        <v>25031632</v>
      </c>
      <c r="P3098">
        <v>180</v>
      </c>
      <c r="Q3098" t="s">
        <v>6544</v>
      </c>
    </row>
    <row r="3099" spans="1:17" x14ac:dyDescent="0.3">
      <c r="A3099" t="s">
        <v>59</v>
      </c>
      <c r="B3099" t="str">
        <f>"000025"</f>
        <v>000025</v>
      </c>
      <c r="C3099" t="s">
        <v>6545</v>
      </c>
      <c r="D3099" t="s">
        <v>337</v>
      </c>
      <c r="F3099">
        <v>126611735</v>
      </c>
      <c r="G3099">
        <v>109105303</v>
      </c>
      <c r="H3099">
        <v>78911353</v>
      </c>
      <c r="I3099">
        <v>-6574980</v>
      </c>
      <c r="J3099">
        <v>-2093068</v>
      </c>
      <c r="K3099">
        <v>57874934</v>
      </c>
      <c r="L3099">
        <v>80682627</v>
      </c>
      <c r="M3099">
        <v>6214707</v>
      </c>
      <c r="N3099">
        <v>-2629635</v>
      </c>
      <c r="O3099">
        <v>-7756382</v>
      </c>
      <c r="P3099">
        <v>140</v>
      </c>
      <c r="Q3099" t="s">
        <v>6546</v>
      </c>
    </row>
    <row r="3100" spans="1:17" x14ac:dyDescent="0.3">
      <c r="A3100" t="s">
        <v>59</v>
      </c>
      <c r="B3100" t="str">
        <f>"300984"</f>
        <v>300984</v>
      </c>
      <c r="C3100" t="s">
        <v>6547</v>
      </c>
      <c r="D3100" t="s">
        <v>1838</v>
      </c>
      <c r="F3100">
        <v>-82665815</v>
      </c>
      <c r="G3100">
        <v>70442634</v>
      </c>
      <c r="H3100">
        <v>78841043</v>
      </c>
      <c r="I3100">
        <v>20683913</v>
      </c>
      <c r="J3100">
        <v>15384604</v>
      </c>
      <c r="P3100">
        <v>18</v>
      </c>
      <c r="Q3100" t="s">
        <v>6548</v>
      </c>
    </row>
    <row r="3101" spans="1:17" x14ac:dyDescent="0.3">
      <c r="A3101" t="s">
        <v>17</v>
      </c>
      <c r="B3101" t="str">
        <f>"603268"</f>
        <v>603268</v>
      </c>
      <c r="C3101" t="s">
        <v>6549</v>
      </c>
      <c r="D3101" t="s">
        <v>923</v>
      </c>
      <c r="F3101">
        <v>-18303115</v>
      </c>
      <c r="G3101">
        <v>65447696</v>
      </c>
      <c r="H3101">
        <v>78757925</v>
      </c>
      <c r="I3101">
        <v>43647036</v>
      </c>
      <c r="J3101">
        <v>65244133</v>
      </c>
      <c r="K3101">
        <v>73893790</v>
      </c>
      <c r="L3101">
        <v>4206288</v>
      </c>
      <c r="M3101">
        <v>46710384</v>
      </c>
      <c r="N3101">
        <v>44139433</v>
      </c>
      <c r="O3101">
        <v>22135880</v>
      </c>
      <c r="P3101">
        <v>70</v>
      </c>
      <c r="Q3101" t="s">
        <v>6550</v>
      </c>
    </row>
    <row r="3102" spans="1:17" x14ac:dyDescent="0.3">
      <c r="A3102" t="s">
        <v>17</v>
      </c>
      <c r="B3102" t="str">
        <f>"688201"</f>
        <v>688201</v>
      </c>
      <c r="C3102" t="s">
        <v>6551</v>
      </c>
      <c r="D3102" t="s">
        <v>789</v>
      </c>
      <c r="F3102">
        <v>93935530</v>
      </c>
      <c r="G3102">
        <v>101475802</v>
      </c>
      <c r="H3102">
        <v>78678346</v>
      </c>
      <c r="I3102">
        <v>49783539</v>
      </c>
      <c r="J3102">
        <v>1850281</v>
      </c>
      <c r="P3102">
        <v>62</v>
      </c>
      <c r="Q3102" t="s">
        <v>6552</v>
      </c>
    </row>
    <row r="3103" spans="1:17" x14ac:dyDescent="0.3">
      <c r="A3103" t="s">
        <v>59</v>
      </c>
      <c r="B3103" t="str">
        <f>"002778"</f>
        <v>002778</v>
      </c>
      <c r="C3103" t="s">
        <v>6553</v>
      </c>
      <c r="D3103" t="s">
        <v>445</v>
      </c>
      <c r="F3103">
        <v>90489319</v>
      </c>
      <c r="G3103">
        <v>62012241</v>
      </c>
      <c r="H3103">
        <v>78622949</v>
      </c>
      <c r="I3103">
        <v>-2828967</v>
      </c>
      <c r="J3103">
        <v>19853433</v>
      </c>
      <c r="K3103">
        <v>31443617</v>
      </c>
      <c r="L3103">
        <v>34425906</v>
      </c>
      <c r="M3103">
        <v>30067079</v>
      </c>
      <c r="N3103">
        <v>11206369</v>
      </c>
      <c r="O3103">
        <v>29939565</v>
      </c>
      <c r="P3103">
        <v>75</v>
      </c>
      <c r="Q3103" t="s">
        <v>6554</v>
      </c>
    </row>
    <row r="3104" spans="1:17" x14ac:dyDescent="0.3">
      <c r="A3104" t="s">
        <v>59</v>
      </c>
      <c r="B3104" t="str">
        <f>"300816"</f>
        <v>300816</v>
      </c>
      <c r="C3104" t="s">
        <v>6555</v>
      </c>
      <c r="D3104" t="s">
        <v>1226</v>
      </c>
      <c r="F3104">
        <v>1765519</v>
      </c>
      <c r="G3104">
        <v>-13897637</v>
      </c>
      <c r="H3104">
        <v>78484081</v>
      </c>
      <c r="I3104">
        <v>58065077</v>
      </c>
      <c r="J3104">
        <v>1244132</v>
      </c>
      <c r="K3104">
        <v>-17690141</v>
      </c>
      <c r="P3104">
        <v>150</v>
      </c>
      <c r="Q3104" t="s">
        <v>6556</v>
      </c>
    </row>
    <row r="3105" spans="1:17" x14ac:dyDescent="0.3">
      <c r="A3105" t="s">
        <v>59</v>
      </c>
      <c r="B3105" t="str">
        <f>"002972"</f>
        <v>002972</v>
      </c>
      <c r="C3105" t="s">
        <v>6557</v>
      </c>
      <c r="D3105" t="s">
        <v>165</v>
      </c>
      <c r="F3105">
        <v>74767425</v>
      </c>
      <c r="G3105">
        <v>81684465</v>
      </c>
      <c r="H3105">
        <v>78344997</v>
      </c>
      <c r="I3105">
        <v>7819723</v>
      </c>
      <c r="J3105">
        <v>53903282</v>
      </c>
      <c r="K3105">
        <v>20263105</v>
      </c>
      <c r="P3105">
        <v>188</v>
      </c>
      <c r="Q3105" t="s">
        <v>6558</v>
      </c>
    </row>
    <row r="3106" spans="1:17" x14ac:dyDescent="0.3">
      <c r="A3106" t="s">
        <v>17</v>
      </c>
      <c r="B3106" t="str">
        <f>"603217"</f>
        <v>603217</v>
      </c>
      <c r="C3106" t="s">
        <v>6559</v>
      </c>
      <c r="D3106" t="s">
        <v>1252</v>
      </c>
      <c r="F3106">
        <v>162830381</v>
      </c>
      <c r="G3106">
        <v>156111145</v>
      </c>
      <c r="H3106">
        <v>78315988</v>
      </c>
      <c r="I3106">
        <v>158799449</v>
      </c>
      <c r="J3106">
        <v>241997624</v>
      </c>
      <c r="K3106">
        <v>122022235</v>
      </c>
      <c r="P3106">
        <v>71</v>
      </c>
      <c r="Q3106" t="s">
        <v>6560</v>
      </c>
    </row>
    <row r="3107" spans="1:17" x14ac:dyDescent="0.3">
      <c r="A3107" t="s">
        <v>59</v>
      </c>
      <c r="B3107" t="str">
        <f>"003003"</f>
        <v>003003</v>
      </c>
      <c r="C3107" t="s">
        <v>6561</v>
      </c>
      <c r="D3107" t="s">
        <v>5073</v>
      </c>
      <c r="F3107">
        <v>-42227205</v>
      </c>
      <c r="G3107">
        <v>16767325</v>
      </c>
      <c r="H3107">
        <v>78249874</v>
      </c>
      <c r="I3107">
        <v>58345516</v>
      </c>
      <c r="J3107">
        <v>52629435</v>
      </c>
      <c r="K3107">
        <v>31837935</v>
      </c>
      <c r="P3107">
        <v>39</v>
      </c>
      <c r="Q3107" t="s">
        <v>6562</v>
      </c>
    </row>
    <row r="3108" spans="1:17" x14ac:dyDescent="0.3">
      <c r="A3108" t="s">
        <v>59</v>
      </c>
      <c r="B3108" t="str">
        <f>"300817"</f>
        <v>300817</v>
      </c>
      <c r="C3108" t="s">
        <v>6563</v>
      </c>
      <c r="D3108" t="s">
        <v>637</v>
      </c>
      <c r="F3108">
        <v>56898813</v>
      </c>
      <c r="G3108">
        <v>20123447</v>
      </c>
      <c r="H3108">
        <v>78239916</v>
      </c>
      <c r="I3108">
        <v>68103682</v>
      </c>
      <c r="J3108">
        <v>47859262</v>
      </c>
      <c r="K3108">
        <v>48844726</v>
      </c>
      <c r="P3108">
        <v>63</v>
      </c>
      <c r="Q3108" t="s">
        <v>6564</v>
      </c>
    </row>
    <row r="3109" spans="1:17" x14ac:dyDescent="0.3">
      <c r="A3109" t="s">
        <v>59</v>
      </c>
      <c r="B3109" t="str">
        <f>"300307"</f>
        <v>300307</v>
      </c>
      <c r="C3109" t="s">
        <v>6565</v>
      </c>
      <c r="D3109" t="s">
        <v>3970</v>
      </c>
      <c r="F3109">
        <v>-143613969</v>
      </c>
      <c r="G3109">
        <v>37112545</v>
      </c>
      <c r="H3109">
        <v>78126857</v>
      </c>
      <c r="I3109">
        <v>-27812988</v>
      </c>
      <c r="J3109">
        <v>182518024</v>
      </c>
      <c r="K3109">
        <v>65199551</v>
      </c>
      <c r="L3109">
        <v>68305943</v>
      </c>
      <c r="M3109">
        <v>-167474177</v>
      </c>
      <c r="N3109">
        <v>330352841</v>
      </c>
      <c r="O3109">
        <v>623858371</v>
      </c>
      <c r="P3109">
        <v>2981</v>
      </c>
      <c r="Q3109" t="s">
        <v>6566</v>
      </c>
    </row>
    <row r="3110" spans="1:17" x14ac:dyDescent="0.3">
      <c r="A3110" t="s">
        <v>17</v>
      </c>
      <c r="B3110" t="str">
        <f>"603773"</f>
        <v>603773</v>
      </c>
      <c r="C3110" t="s">
        <v>6567</v>
      </c>
      <c r="D3110" t="s">
        <v>139</v>
      </c>
      <c r="F3110">
        <v>91015280</v>
      </c>
      <c r="G3110">
        <v>108632381</v>
      </c>
      <c r="H3110">
        <v>78056509</v>
      </c>
      <c r="I3110">
        <v>199767022</v>
      </c>
      <c r="J3110">
        <v>221967654</v>
      </c>
      <c r="K3110">
        <v>57034579</v>
      </c>
      <c r="L3110">
        <v>39220183</v>
      </c>
      <c r="P3110">
        <v>141</v>
      </c>
      <c r="Q3110" t="s">
        <v>6568</v>
      </c>
    </row>
    <row r="3111" spans="1:17" x14ac:dyDescent="0.3">
      <c r="A3111" t="s">
        <v>17</v>
      </c>
      <c r="B3111" t="str">
        <f>"688155"</f>
        <v>688155</v>
      </c>
      <c r="C3111" t="s">
        <v>6569</v>
      </c>
      <c r="D3111" t="s">
        <v>2601</v>
      </c>
      <c r="F3111">
        <v>35031324</v>
      </c>
      <c r="G3111">
        <v>43217529</v>
      </c>
      <c r="H3111">
        <v>77947769</v>
      </c>
      <c r="I3111">
        <v>-73637362</v>
      </c>
      <c r="J3111">
        <v>4424955</v>
      </c>
      <c r="K3111">
        <v>-19322023</v>
      </c>
      <c r="P3111">
        <v>101</v>
      </c>
      <c r="Q3111" t="s">
        <v>6570</v>
      </c>
    </row>
    <row r="3112" spans="1:17" x14ac:dyDescent="0.3">
      <c r="A3112" t="s">
        <v>17</v>
      </c>
      <c r="B3112" t="str">
        <f>"603031"</f>
        <v>603031</v>
      </c>
      <c r="C3112" t="s">
        <v>6571</v>
      </c>
      <c r="D3112" t="s">
        <v>1147</v>
      </c>
      <c r="F3112">
        <v>47047890</v>
      </c>
      <c r="G3112">
        <v>77654366</v>
      </c>
      <c r="H3112">
        <v>77904267</v>
      </c>
      <c r="I3112">
        <v>137530543</v>
      </c>
      <c r="J3112">
        <v>141827043</v>
      </c>
      <c r="K3112">
        <v>131520642</v>
      </c>
      <c r="L3112">
        <v>118259842</v>
      </c>
      <c r="M3112">
        <v>46236680</v>
      </c>
      <c r="N3112">
        <v>154844529</v>
      </c>
      <c r="P3112">
        <v>70</v>
      </c>
      <c r="Q3112" t="s">
        <v>6572</v>
      </c>
    </row>
    <row r="3113" spans="1:17" x14ac:dyDescent="0.3">
      <c r="A3113" t="s">
        <v>17</v>
      </c>
      <c r="B3113" t="str">
        <f>"688622"</f>
        <v>688622</v>
      </c>
      <c r="C3113" t="s">
        <v>6573</v>
      </c>
      <c r="D3113" t="s">
        <v>2382</v>
      </c>
      <c r="F3113">
        <v>14928900</v>
      </c>
      <c r="G3113">
        <v>64087117</v>
      </c>
      <c r="H3113">
        <v>77901180</v>
      </c>
      <c r="I3113">
        <v>4922571</v>
      </c>
      <c r="J3113">
        <v>-8376264</v>
      </c>
      <c r="K3113">
        <v>18039019</v>
      </c>
      <c r="P3113">
        <v>29</v>
      </c>
      <c r="Q3113" t="s">
        <v>6574</v>
      </c>
    </row>
    <row r="3114" spans="1:17" x14ac:dyDescent="0.3">
      <c r="A3114" t="s">
        <v>59</v>
      </c>
      <c r="B3114" t="str">
        <f>"002591"</f>
        <v>002591</v>
      </c>
      <c r="C3114" t="s">
        <v>6575</v>
      </c>
      <c r="D3114" t="s">
        <v>1889</v>
      </c>
      <c r="F3114">
        <v>-8317024</v>
      </c>
      <c r="G3114">
        <v>77435788</v>
      </c>
      <c r="H3114">
        <v>77837527</v>
      </c>
      <c r="I3114">
        <v>-37199645</v>
      </c>
      <c r="J3114">
        <v>37757408</v>
      </c>
      <c r="K3114">
        <v>31137921</v>
      </c>
      <c r="L3114">
        <v>-6119398</v>
      </c>
      <c r="M3114">
        <v>-26477210</v>
      </c>
      <c r="N3114">
        <v>-26125371</v>
      </c>
      <c r="O3114">
        <v>-18583856</v>
      </c>
      <c r="P3114">
        <v>113</v>
      </c>
      <c r="Q3114" t="s">
        <v>6576</v>
      </c>
    </row>
    <row r="3115" spans="1:17" x14ac:dyDescent="0.3">
      <c r="A3115" t="s">
        <v>17</v>
      </c>
      <c r="B3115" t="str">
        <f>"603016"</f>
        <v>603016</v>
      </c>
      <c r="C3115" t="s">
        <v>6577</v>
      </c>
      <c r="D3115" t="s">
        <v>458</v>
      </c>
      <c r="F3115">
        <v>48748711</v>
      </c>
      <c r="G3115">
        <v>72313604</v>
      </c>
      <c r="H3115">
        <v>77752835</v>
      </c>
      <c r="I3115">
        <v>46896187</v>
      </c>
      <c r="J3115">
        <v>76360955</v>
      </c>
      <c r="K3115">
        <v>81949730</v>
      </c>
      <c r="L3115">
        <v>88926156</v>
      </c>
      <c r="M3115">
        <v>75011508</v>
      </c>
      <c r="N3115">
        <v>109280979</v>
      </c>
      <c r="P3115">
        <v>93</v>
      </c>
      <c r="Q3115" t="s">
        <v>6578</v>
      </c>
    </row>
    <row r="3116" spans="1:17" x14ac:dyDescent="0.3">
      <c r="A3116" t="s">
        <v>17</v>
      </c>
      <c r="B3116" t="str">
        <f>"688668"</f>
        <v>688668</v>
      </c>
      <c r="C3116" t="s">
        <v>6579</v>
      </c>
      <c r="D3116" t="s">
        <v>352</v>
      </c>
      <c r="F3116">
        <v>44316757</v>
      </c>
      <c r="G3116">
        <v>3326058</v>
      </c>
      <c r="H3116">
        <v>77740543</v>
      </c>
      <c r="I3116">
        <v>29222648</v>
      </c>
      <c r="J3116">
        <v>14567442</v>
      </c>
      <c r="P3116">
        <v>44</v>
      </c>
      <c r="Q3116" t="s">
        <v>6580</v>
      </c>
    </row>
    <row r="3117" spans="1:17" x14ac:dyDescent="0.3">
      <c r="A3117" t="s">
        <v>59</v>
      </c>
      <c r="B3117" t="str">
        <f>"300753"</f>
        <v>300753</v>
      </c>
      <c r="C3117" t="s">
        <v>6581</v>
      </c>
      <c r="D3117" t="s">
        <v>485</v>
      </c>
      <c r="F3117">
        <v>18286464</v>
      </c>
      <c r="G3117">
        <v>83339499</v>
      </c>
      <c r="H3117">
        <v>77590762</v>
      </c>
      <c r="I3117">
        <v>78127068</v>
      </c>
      <c r="J3117">
        <v>67075966</v>
      </c>
      <c r="K3117">
        <v>60968921</v>
      </c>
      <c r="L3117">
        <v>38077490</v>
      </c>
      <c r="P3117">
        <v>243</v>
      </c>
      <c r="Q3117" t="s">
        <v>6582</v>
      </c>
    </row>
    <row r="3118" spans="1:17" x14ac:dyDescent="0.3">
      <c r="A3118" t="s">
        <v>59</v>
      </c>
      <c r="B3118" t="str">
        <f>"301198"</f>
        <v>301198</v>
      </c>
      <c r="C3118" t="s">
        <v>6583</v>
      </c>
      <c r="D3118" t="s">
        <v>1741</v>
      </c>
      <c r="F3118">
        <v>-17217615</v>
      </c>
      <c r="G3118">
        <v>79680368</v>
      </c>
      <c r="H3118">
        <v>77413506</v>
      </c>
      <c r="I3118">
        <v>16822371</v>
      </c>
      <c r="J3118">
        <v>25763972</v>
      </c>
      <c r="P3118">
        <v>16</v>
      </c>
      <c r="Q3118" t="s">
        <v>6584</v>
      </c>
    </row>
    <row r="3119" spans="1:17" x14ac:dyDescent="0.3">
      <c r="A3119" t="s">
        <v>17</v>
      </c>
      <c r="B3119" t="str">
        <f>"603725"</f>
        <v>603725</v>
      </c>
      <c r="C3119" t="s">
        <v>6585</v>
      </c>
      <c r="D3119" t="s">
        <v>1252</v>
      </c>
      <c r="F3119">
        <v>292578936</v>
      </c>
      <c r="G3119">
        <v>66001118</v>
      </c>
      <c r="H3119">
        <v>77381142</v>
      </c>
      <c r="I3119">
        <v>66878574</v>
      </c>
      <c r="J3119">
        <v>-20184001</v>
      </c>
      <c r="K3119">
        <v>38989675</v>
      </c>
      <c r="L3119">
        <v>60227644</v>
      </c>
      <c r="M3119">
        <v>22700742</v>
      </c>
      <c r="P3119">
        <v>74</v>
      </c>
      <c r="Q3119" t="s">
        <v>6586</v>
      </c>
    </row>
    <row r="3120" spans="1:17" x14ac:dyDescent="0.3">
      <c r="A3120" t="s">
        <v>59</v>
      </c>
      <c r="B3120" t="str">
        <f>"300931"</f>
        <v>300931</v>
      </c>
      <c r="C3120" t="s">
        <v>6587</v>
      </c>
      <c r="D3120" t="s">
        <v>3004</v>
      </c>
      <c r="F3120">
        <v>20459327</v>
      </c>
      <c r="G3120">
        <v>28253396</v>
      </c>
      <c r="H3120">
        <v>77208755</v>
      </c>
      <c r="I3120">
        <v>31891952</v>
      </c>
      <c r="J3120">
        <v>9082778</v>
      </c>
      <c r="K3120">
        <v>40770288</v>
      </c>
      <c r="P3120">
        <v>31</v>
      </c>
      <c r="Q3120" t="s">
        <v>6588</v>
      </c>
    </row>
    <row r="3121" spans="1:17" x14ac:dyDescent="0.3">
      <c r="A3121" t="s">
        <v>17</v>
      </c>
      <c r="B3121" t="str">
        <f>"603699"</f>
        <v>603699</v>
      </c>
      <c r="C3121" t="s">
        <v>6589</v>
      </c>
      <c r="D3121" t="s">
        <v>637</v>
      </c>
      <c r="F3121">
        <v>691671483</v>
      </c>
      <c r="G3121">
        <v>574820727</v>
      </c>
      <c r="H3121">
        <v>77147718</v>
      </c>
      <c r="I3121">
        <v>334694395</v>
      </c>
      <c r="J3121">
        <v>295957790</v>
      </c>
      <c r="K3121">
        <v>273095064</v>
      </c>
      <c r="L3121">
        <v>282171472</v>
      </c>
      <c r="M3121">
        <v>426446017</v>
      </c>
      <c r="N3121">
        <v>411969107</v>
      </c>
      <c r="O3121">
        <v>442670746</v>
      </c>
      <c r="P3121">
        <v>271</v>
      </c>
      <c r="Q3121" t="s">
        <v>6590</v>
      </c>
    </row>
    <row r="3122" spans="1:17" x14ac:dyDescent="0.3">
      <c r="A3122" t="s">
        <v>59</v>
      </c>
      <c r="B3122" t="str">
        <f>"002953"</f>
        <v>002953</v>
      </c>
      <c r="C3122" t="s">
        <v>6591</v>
      </c>
      <c r="D3122" t="s">
        <v>1065</v>
      </c>
      <c r="F3122">
        <v>-312647752</v>
      </c>
      <c r="G3122">
        <v>-83297035</v>
      </c>
      <c r="H3122">
        <v>77008922</v>
      </c>
      <c r="I3122">
        <v>97446630</v>
      </c>
      <c r="J3122">
        <v>34899042</v>
      </c>
      <c r="K3122">
        <v>42772683</v>
      </c>
      <c r="P3122">
        <v>99</v>
      </c>
      <c r="Q3122" t="s">
        <v>6592</v>
      </c>
    </row>
    <row r="3123" spans="1:17" x14ac:dyDescent="0.3">
      <c r="A3123" t="s">
        <v>59</v>
      </c>
      <c r="B3123" t="str">
        <f>"300211"</f>
        <v>300211</v>
      </c>
      <c r="C3123" t="s">
        <v>6593</v>
      </c>
      <c r="D3123" t="s">
        <v>2057</v>
      </c>
      <c r="F3123">
        <v>39322480</v>
      </c>
      <c r="G3123">
        <v>36322967</v>
      </c>
      <c r="H3123">
        <v>77004604</v>
      </c>
      <c r="I3123">
        <v>60708171</v>
      </c>
      <c r="J3123">
        <v>26726707</v>
      </c>
      <c r="K3123">
        <v>35865803</v>
      </c>
      <c r="L3123">
        <v>54628262</v>
      </c>
      <c r="M3123">
        <v>23469432</v>
      </c>
      <c r="N3123">
        <v>31394226</v>
      </c>
      <c r="O3123">
        <v>15611089</v>
      </c>
      <c r="P3123">
        <v>63</v>
      </c>
      <c r="Q3123" t="s">
        <v>6594</v>
      </c>
    </row>
    <row r="3124" spans="1:17" x14ac:dyDescent="0.3">
      <c r="A3124" t="s">
        <v>59</v>
      </c>
      <c r="B3124" t="str">
        <f>"002892"</f>
        <v>002892</v>
      </c>
      <c r="C3124" t="s">
        <v>6595</v>
      </c>
      <c r="D3124" t="s">
        <v>1556</v>
      </c>
      <c r="F3124">
        <v>-14132348</v>
      </c>
      <c r="G3124">
        <v>27607971</v>
      </c>
      <c r="H3124">
        <v>76934326</v>
      </c>
      <c r="I3124">
        <v>58222453</v>
      </c>
      <c r="J3124">
        <v>45078097</v>
      </c>
      <c r="K3124">
        <v>63502574</v>
      </c>
      <c r="L3124">
        <v>78438511</v>
      </c>
      <c r="M3124">
        <v>42983956</v>
      </c>
      <c r="P3124">
        <v>145</v>
      </c>
      <c r="Q3124" t="s">
        <v>6596</v>
      </c>
    </row>
    <row r="3125" spans="1:17" x14ac:dyDescent="0.3">
      <c r="A3125" t="s">
        <v>17</v>
      </c>
      <c r="B3125" t="str">
        <f>"688317"</f>
        <v>688317</v>
      </c>
      <c r="C3125" t="s">
        <v>6597</v>
      </c>
      <c r="D3125" t="s">
        <v>1953</v>
      </c>
      <c r="F3125">
        <v>641937293</v>
      </c>
      <c r="G3125">
        <v>1141796462</v>
      </c>
      <c r="H3125">
        <v>76660806</v>
      </c>
      <c r="I3125">
        <v>80631600</v>
      </c>
      <c r="J3125">
        <v>48002059</v>
      </c>
      <c r="P3125">
        <v>120</v>
      </c>
      <c r="Q3125" t="s">
        <v>6598</v>
      </c>
    </row>
    <row r="3126" spans="1:17" x14ac:dyDescent="0.3">
      <c r="A3126" t="s">
        <v>59</v>
      </c>
      <c r="B3126" t="str">
        <f>"301138"</f>
        <v>301138</v>
      </c>
      <c r="C3126" t="s">
        <v>6599</v>
      </c>
      <c r="D3126" t="s">
        <v>1351</v>
      </c>
      <c r="F3126">
        <v>140747336</v>
      </c>
      <c r="G3126">
        <v>70031137</v>
      </c>
      <c r="H3126">
        <v>76523575</v>
      </c>
      <c r="I3126">
        <v>68329702</v>
      </c>
      <c r="J3126">
        <v>53283049</v>
      </c>
      <c r="P3126">
        <v>16</v>
      </c>
      <c r="Q3126" t="s">
        <v>6600</v>
      </c>
    </row>
    <row r="3127" spans="1:17" x14ac:dyDescent="0.3">
      <c r="A3127" t="s">
        <v>17</v>
      </c>
      <c r="B3127" t="str">
        <f>"688633"</f>
        <v>688633</v>
      </c>
      <c r="C3127" t="s">
        <v>6601</v>
      </c>
      <c r="D3127" t="s">
        <v>741</v>
      </c>
      <c r="F3127">
        <v>-51487980</v>
      </c>
      <c r="G3127">
        <v>133768264</v>
      </c>
      <c r="H3127">
        <v>76474684</v>
      </c>
      <c r="I3127">
        <v>67578622</v>
      </c>
      <c r="J3127">
        <v>15577128</v>
      </c>
      <c r="P3127">
        <v>38</v>
      </c>
      <c r="Q3127" t="s">
        <v>6602</v>
      </c>
    </row>
    <row r="3128" spans="1:17" x14ac:dyDescent="0.3">
      <c r="A3128" t="s">
        <v>17</v>
      </c>
      <c r="B3128" t="str">
        <f>"688557"</f>
        <v>688557</v>
      </c>
      <c r="C3128" t="s">
        <v>6603</v>
      </c>
      <c r="D3128" t="s">
        <v>1838</v>
      </c>
      <c r="F3128">
        <v>25851667</v>
      </c>
      <c r="G3128">
        <v>-7054629</v>
      </c>
      <c r="H3128">
        <v>76377321</v>
      </c>
      <c r="I3128">
        <v>-48692884</v>
      </c>
      <c r="J3128">
        <v>-8075430</v>
      </c>
      <c r="P3128">
        <v>47</v>
      </c>
      <c r="Q3128" t="s">
        <v>6604</v>
      </c>
    </row>
    <row r="3129" spans="1:17" x14ac:dyDescent="0.3">
      <c r="A3129" t="s">
        <v>17</v>
      </c>
      <c r="B3129" t="str">
        <f>"600088"</f>
        <v>600088</v>
      </c>
      <c r="C3129" t="s">
        <v>6605</v>
      </c>
      <c r="D3129" t="s">
        <v>1889</v>
      </c>
      <c r="F3129">
        <v>-79374794</v>
      </c>
      <c r="G3129">
        <v>79147396</v>
      </c>
      <c r="H3129">
        <v>76331629</v>
      </c>
      <c r="I3129">
        <v>187504984</v>
      </c>
      <c r="J3129">
        <v>85532201</v>
      </c>
      <c r="K3129">
        <v>133875908</v>
      </c>
      <c r="L3129">
        <v>-46390312</v>
      </c>
      <c r="M3129">
        <v>92953145</v>
      </c>
      <c r="N3129">
        <v>-144713043</v>
      </c>
      <c r="O3129">
        <v>-576963263</v>
      </c>
      <c r="P3129">
        <v>114</v>
      </c>
      <c r="Q3129" t="s">
        <v>6606</v>
      </c>
    </row>
    <row r="3130" spans="1:17" x14ac:dyDescent="0.3">
      <c r="A3130" t="s">
        <v>59</v>
      </c>
      <c r="B3130" t="str">
        <f>"300515"</f>
        <v>300515</v>
      </c>
      <c r="C3130" t="s">
        <v>6607</v>
      </c>
      <c r="D3130" t="s">
        <v>2382</v>
      </c>
      <c r="F3130">
        <v>82898093</v>
      </c>
      <c r="G3130">
        <v>75892885</v>
      </c>
      <c r="H3130">
        <v>76324398</v>
      </c>
      <c r="I3130">
        <v>31376225</v>
      </c>
      <c r="J3130">
        <v>24369323</v>
      </c>
      <c r="K3130">
        <v>31485867</v>
      </c>
      <c r="L3130">
        <v>27495800</v>
      </c>
      <c r="M3130">
        <v>15296316</v>
      </c>
      <c r="N3130">
        <v>52578786</v>
      </c>
      <c r="P3130">
        <v>80</v>
      </c>
      <c r="Q3130" t="s">
        <v>6608</v>
      </c>
    </row>
    <row r="3131" spans="1:17" x14ac:dyDescent="0.3">
      <c r="A3131" t="s">
        <v>17</v>
      </c>
      <c r="B3131" t="str">
        <f>"688377"</f>
        <v>688377</v>
      </c>
      <c r="C3131" t="s">
        <v>6609</v>
      </c>
      <c r="D3131" t="s">
        <v>741</v>
      </c>
      <c r="F3131">
        <v>66874933</v>
      </c>
      <c r="G3131">
        <v>154391285</v>
      </c>
      <c r="H3131">
        <v>76272515</v>
      </c>
      <c r="I3131">
        <v>51021890</v>
      </c>
      <c r="J3131">
        <v>2864492</v>
      </c>
      <c r="K3131">
        <v>41491728</v>
      </c>
      <c r="P3131">
        <v>52</v>
      </c>
      <c r="Q3131" t="s">
        <v>6610</v>
      </c>
    </row>
    <row r="3132" spans="1:17" x14ac:dyDescent="0.3">
      <c r="A3132" t="s">
        <v>59</v>
      </c>
      <c r="B3132" t="str">
        <f>"301167"</f>
        <v>301167</v>
      </c>
      <c r="C3132" t="s">
        <v>6611</v>
      </c>
      <c r="D3132" t="s">
        <v>2254</v>
      </c>
      <c r="F3132">
        <v>11348788</v>
      </c>
      <c r="G3132">
        <v>57450630</v>
      </c>
      <c r="H3132">
        <v>76237525</v>
      </c>
      <c r="I3132">
        <v>96327447</v>
      </c>
      <c r="J3132">
        <v>40139437</v>
      </c>
      <c r="P3132">
        <v>17</v>
      </c>
      <c r="Q3132" t="s">
        <v>6612</v>
      </c>
    </row>
    <row r="3133" spans="1:17" x14ac:dyDescent="0.3">
      <c r="A3133" t="s">
        <v>59</v>
      </c>
      <c r="B3133" t="str">
        <f>"003029"</f>
        <v>003029</v>
      </c>
      <c r="C3133" t="s">
        <v>6613</v>
      </c>
      <c r="D3133" t="s">
        <v>1528</v>
      </c>
      <c r="F3133">
        <v>126031697</v>
      </c>
      <c r="G3133">
        <v>110534121</v>
      </c>
      <c r="H3133">
        <v>76154233</v>
      </c>
      <c r="I3133">
        <v>84574197</v>
      </c>
      <c r="J3133">
        <v>11919431</v>
      </c>
      <c r="K3133">
        <v>-18504267</v>
      </c>
      <c r="P3133">
        <v>75</v>
      </c>
      <c r="Q3133" t="s">
        <v>6614</v>
      </c>
    </row>
    <row r="3134" spans="1:17" x14ac:dyDescent="0.3">
      <c r="A3134" t="s">
        <v>59</v>
      </c>
      <c r="B3134" t="str">
        <f>"002949"</f>
        <v>002949</v>
      </c>
      <c r="C3134" t="s">
        <v>6615</v>
      </c>
      <c r="D3134" t="s">
        <v>2254</v>
      </c>
      <c r="F3134">
        <v>238219622</v>
      </c>
      <c r="G3134">
        <v>259646793</v>
      </c>
      <c r="H3134">
        <v>76054239</v>
      </c>
      <c r="I3134">
        <v>181992897</v>
      </c>
      <c r="J3134">
        <v>135112528</v>
      </c>
      <c r="K3134">
        <v>133655791</v>
      </c>
      <c r="L3134">
        <v>94220348</v>
      </c>
      <c r="P3134">
        <v>158</v>
      </c>
      <c r="Q3134" t="s">
        <v>6616</v>
      </c>
    </row>
    <row r="3135" spans="1:17" x14ac:dyDescent="0.3">
      <c r="A3135" t="s">
        <v>59</v>
      </c>
      <c r="B3135" t="str">
        <f>"300793"</f>
        <v>300793</v>
      </c>
      <c r="C3135" t="s">
        <v>6617</v>
      </c>
      <c r="D3135" t="s">
        <v>349</v>
      </c>
      <c r="F3135">
        <v>-191939020</v>
      </c>
      <c r="G3135">
        <v>98773675</v>
      </c>
      <c r="H3135">
        <v>76035771</v>
      </c>
      <c r="I3135">
        <v>197622652</v>
      </c>
      <c r="J3135">
        <v>159690037</v>
      </c>
      <c r="K3135">
        <v>9604272</v>
      </c>
      <c r="P3135">
        <v>144</v>
      </c>
      <c r="Q3135" t="s">
        <v>6618</v>
      </c>
    </row>
    <row r="3136" spans="1:17" x14ac:dyDescent="0.3">
      <c r="A3136" t="s">
        <v>17</v>
      </c>
      <c r="B3136" t="str">
        <f>"605186"</f>
        <v>605186</v>
      </c>
      <c r="C3136" t="s">
        <v>6619</v>
      </c>
      <c r="D3136" t="s">
        <v>4218</v>
      </c>
      <c r="F3136">
        <v>53827756</v>
      </c>
      <c r="G3136">
        <v>71777509</v>
      </c>
      <c r="H3136">
        <v>76034540</v>
      </c>
      <c r="I3136">
        <v>67927558</v>
      </c>
      <c r="J3136">
        <v>57011453</v>
      </c>
      <c r="K3136">
        <v>58224720</v>
      </c>
      <c r="P3136">
        <v>47</v>
      </c>
      <c r="Q3136" t="s">
        <v>6620</v>
      </c>
    </row>
    <row r="3137" spans="1:17" x14ac:dyDescent="0.3">
      <c r="A3137" t="s">
        <v>59</v>
      </c>
      <c r="B3137" t="str">
        <f>"000400"</f>
        <v>000400</v>
      </c>
      <c r="C3137" t="s">
        <v>6621</v>
      </c>
      <c r="D3137" t="s">
        <v>494</v>
      </c>
      <c r="F3137">
        <v>1304357105</v>
      </c>
      <c r="G3137">
        <v>783466700</v>
      </c>
      <c r="H3137">
        <v>76031069</v>
      </c>
      <c r="I3137">
        <v>463240385</v>
      </c>
      <c r="J3137">
        <v>-34942131</v>
      </c>
      <c r="K3137">
        <v>1247015877</v>
      </c>
      <c r="L3137">
        <v>503307372</v>
      </c>
      <c r="M3137">
        <v>-208308549</v>
      </c>
      <c r="N3137">
        <v>811901957</v>
      </c>
      <c r="O3137">
        <v>497672226</v>
      </c>
      <c r="P3137">
        <v>688</v>
      </c>
      <c r="Q3137" t="s">
        <v>6622</v>
      </c>
    </row>
    <row r="3138" spans="1:17" x14ac:dyDescent="0.3">
      <c r="A3138" t="s">
        <v>17</v>
      </c>
      <c r="B3138" t="str">
        <f>"600990"</f>
        <v>600990</v>
      </c>
      <c r="C3138" t="s">
        <v>6623</v>
      </c>
      <c r="D3138" t="s">
        <v>1983</v>
      </c>
      <c r="F3138">
        <v>-50945558</v>
      </c>
      <c r="G3138">
        <v>-108694489</v>
      </c>
      <c r="H3138">
        <v>75933317</v>
      </c>
      <c r="I3138">
        <v>132372325</v>
      </c>
      <c r="J3138">
        <v>23392929</v>
      </c>
      <c r="K3138">
        <v>245650743</v>
      </c>
      <c r="L3138">
        <v>6521425</v>
      </c>
      <c r="M3138">
        <v>43938080</v>
      </c>
      <c r="N3138">
        <v>-3772713</v>
      </c>
      <c r="O3138">
        <v>189488955</v>
      </c>
      <c r="P3138">
        <v>166</v>
      </c>
      <c r="Q3138" t="s">
        <v>6624</v>
      </c>
    </row>
    <row r="3139" spans="1:17" x14ac:dyDescent="0.3">
      <c r="A3139" t="s">
        <v>17</v>
      </c>
      <c r="B3139" t="str">
        <f>"688257"</f>
        <v>688257</v>
      </c>
      <c r="C3139" t="s">
        <v>6625</v>
      </c>
      <c r="D3139" t="s">
        <v>637</v>
      </c>
      <c r="F3139">
        <v>73611541</v>
      </c>
      <c r="G3139">
        <v>92396746</v>
      </c>
      <c r="H3139">
        <v>75898137</v>
      </c>
      <c r="I3139">
        <v>26001635</v>
      </c>
      <c r="J3139">
        <v>39698110</v>
      </c>
      <c r="P3139">
        <v>17</v>
      </c>
      <c r="Q3139" t="s">
        <v>6626</v>
      </c>
    </row>
    <row r="3140" spans="1:17" x14ac:dyDescent="0.3">
      <c r="A3140" t="s">
        <v>17</v>
      </c>
      <c r="B3140" t="str">
        <f>"600189"</f>
        <v>600189</v>
      </c>
      <c r="C3140" t="s">
        <v>6627</v>
      </c>
      <c r="D3140" t="s">
        <v>1209</v>
      </c>
      <c r="F3140">
        <v>205136076</v>
      </c>
      <c r="G3140">
        <v>196589293</v>
      </c>
      <c r="H3140">
        <v>75865007</v>
      </c>
      <c r="I3140">
        <v>191343741</v>
      </c>
      <c r="J3140">
        <v>296748586</v>
      </c>
      <c r="K3140">
        <v>-53031717</v>
      </c>
      <c r="L3140">
        <v>156312556</v>
      </c>
      <c r="M3140">
        <v>3847997</v>
      </c>
      <c r="N3140">
        <v>119100126</v>
      </c>
      <c r="O3140">
        <v>-248948149</v>
      </c>
      <c r="P3140">
        <v>177</v>
      </c>
      <c r="Q3140" t="s">
        <v>6628</v>
      </c>
    </row>
    <row r="3141" spans="1:17" x14ac:dyDescent="0.3">
      <c r="A3141" t="s">
        <v>59</v>
      </c>
      <c r="B3141" t="str">
        <f>"300651"</f>
        <v>300651</v>
      </c>
      <c r="C3141" t="s">
        <v>6629</v>
      </c>
      <c r="D3141" t="s">
        <v>3293</v>
      </c>
      <c r="F3141">
        <v>115549170</v>
      </c>
      <c r="G3141">
        <v>87129775</v>
      </c>
      <c r="H3141">
        <v>75763883</v>
      </c>
      <c r="I3141">
        <v>11785128</v>
      </c>
      <c r="J3141">
        <v>-3219554</v>
      </c>
      <c r="K3141">
        <v>43224831</v>
      </c>
      <c r="L3141">
        <v>57137164</v>
      </c>
      <c r="M3141">
        <v>24503602</v>
      </c>
      <c r="P3141">
        <v>99</v>
      </c>
      <c r="Q3141" t="s">
        <v>6630</v>
      </c>
    </row>
    <row r="3142" spans="1:17" x14ac:dyDescent="0.3">
      <c r="A3142" t="s">
        <v>17</v>
      </c>
      <c r="B3142" t="str">
        <f>"603701"</f>
        <v>603701</v>
      </c>
      <c r="C3142" t="s">
        <v>6631</v>
      </c>
      <c r="D3142" t="s">
        <v>156</v>
      </c>
      <c r="F3142">
        <v>55589786</v>
      </c>
      <c r="G3142">
        <v>19382411</v>
      </c>
      <c r="H3142">
        <v>75678629</v>
      </c>
      <c r="I3142">
        <v>65836021</v>
      </c>
      <c r="J3142">
        <v>53355787</v>
      </c>
      <c r="K3142">
        <v>74939940</v>
      </c>
      <c r="L3142">
        <v>73794966</v>
      </c>
      <c r="M3142">
        <v>48787784</v>
      </c>
      <c r="N3142">
        <v>53208969</v>
      </c>
      <c r="O3142">
        <v>49780433</v>
      </c>
      <c r="P3142">
        <v>93</v>
      </c>
      <c r="Q3142" t="s">
        <v>6632</v>
      </c>
    </row>
    <row r="3143" spans="1:17" x14ac:dyDescent="0.3">
      <c r="A3143" t="s">
        <v>17</v>
      </c>
      <c r="B3143" t="str">
        <f>"688153"</f>
        <v>688153</v>
      </c>
      <c r="C3143" t="s">
        <v>6633</v>
      </c>
      <c r="F3143">
        <v>31706567</v>
      </c>
      <c r="G3143">
        <v>190042596</v>
      </c>
      <c r="H3143">
        <v>75618360</v>
      </c>
      <c r="I3143">
        <v>-23900802</v>
      </c>
      <c r="P3143">
        <v>8</v>
      </c>
      <c r="Q3143" t="s">
        <v>6634</v>
      </c>
    </row>
    <row r="3144" spans="1:17" x14ac:dyDescent="0.3">
      <c r="A3144" t="s">
        <v>59</v>
      </c>
      <c r="B3144" t="str">
        <f>"300330"</f>
        <v>300330</v>
      </c>
      <c r="C3144" t="s">
        <v>6635</v>
      </c>
      <c r="D3144" t="s">
        <v>707</v>
      </c>
      <c r="F3144">
        <v>49758704</v>
      </c>
      <c r="G3144">
        <v>-59014917</v>
      </c>
      <c r="H3144">
        <v>75604314</v>
      </c>
      <c r="I3144">
        <v>-36684016</v>
      </c>
      <c r="J3144">
        <v>-15740546</v>
      </c>
      <c r="K3144">
        <v>10288514</v>
      </c>
      <c r="L3144">
        <v>-8542329</v>
      </c>
      <c r="M3144">
        <v>-39751725</v>
      </c>
      <c r="N3144">
        <v>-46067888</v>
      </c>
      <c r="O3144">
        <v>-55457164</v>
      </c>
      <c r="P3144">
        <v>82</v>
      </c>
      <c r="Q3144" t="s">
        <v>6636</v>
      </c>
    </row>
    <row r="3145" spans="1:17" x14ac:dyDescent="0.3">
      <c r="A3145" t="s">
        <v>59</v>
      </c>
      <c r="B3145" t="str">
        <f>"301263"</f>
        <v>301263</v>
      </c>
      <c r="C3145" t="s">
        <v>6637</v>
      </c>
      <c r="F3145">
        <v>120023212</v>
      </c>
      <c r="G3145">
        <v>125527092</v>
      </c>
      <c r="H3145">
        <v>75440365</v>
      </c>
      <c r="I3145">
        <v>69216604</v>
      </c>
      <c r="J3145">
        <v>22651118</v>
      </c>
      <c r="P3145">
        <v>5</v>
      </c>
      <c r="Q3145" t="s">
        <v>6638</v>
      </c>
    </row>
    <row r="3146" spans="1:17" x14ac:dyDescent="0.3">
      <c r="A3146" t="s">
        <v>59</v>
      </c>
      <c r="B3146" t="str">
        <f>"002735"</f>
        <v>002735</v>
      </c>
      <c r="C3146" t="s">
        <v>6639</v>
      </c>
      <c r="D3146" t="s">
        <v>1741</v>
      </c>
      <c r="F3146">
        <v>93773663</v>
      </c>
      <c r="G3146">
        <v>83083878</v>
      </c>
      <c r="H3146">
        <v>75417052</v>
      </c>
      <c r="I3146">
        <v>-112997336</v>
      </c>
      <c r="J3146">
        <v>9926366</v>
      </c>
      <c r="K3146">
        <v>20064315</v>
      </c>
      <c r="L3146">
        <v>51870404</v>
      </c>
      <c r="M3146">
        <v>36701057</v>
      </c>
      <c r="N3146">
        <v>58664221</v>
      </c>
      <c r="O3146">
        <v>31317952</v>
      </c>
      <c r="P3146">
        <v>71</v>
      </c>
      <c r="Q3146" t="s">
        <v>6640</v>
      </c>
    </row>
    <row r="3147" spans="1:17" x14ac:dyDescent="0.3">
      <c r="A3147" t="s">
        <v>59</v>
      </c>
      <c r="B3147" t="str">
        <f>"300592"</f>
        <v>300592</v>
      </c>
      <c r="C3147" t="s">
        <v>6641</v>
      </c>
      <c r="D3147" t="s">
        <v>1150</v>
      </c>
      <c r="F3147">
        <v>322618205</v>
      </c>
      <c r="G3147">
        <v>28202598</v>
      </c>
      <c r="H3147">
        <v>75378395</v>
      </c>
      <c r="I3147">
        <v>35001505</v>
      </c>
      <c r="J3147">
        <v>-4426324</v>
      </c>
      <c r="K3147">
        <v>-19413635</v>
      </c>
      <c r="L3147">
        <v>37574561</v>
      </c>
      <c r="M3147">
        <v>-40060384</v>
      </c>
      <c r="N3147">
        <v>1415206</v>
      </c>
      <c r="P3147">
        <v>65</v>
      </c>
      <c r="Q3147" t="s">
        <v>6642</v>
      </c>
    </row>
    <row r="3148" spans="1:17" x14ac:dyDescent="0.3">
      <c r="A3148" t="s">
        <v>59</v>
      </c>
      <c r="B3148" t="str">
        <f>"300731"</f>
        <v>300731</v>
      </c>
      <c r="C3148" t="s">
        <v>6643</v>
      </c>
      <c r="D3148" t="s">
        <v>3821</v>
      </c>
      <c r="F3148">
        <v>-1209947</v>
      </c>
      <c r="G3148">
        <v>51609525</v>
      </c>
      <c r="H3148">
        <v>75328924</v>
      </c>
      <c r="I3148">
        <v>24216821</v>
      </c>
      <c r="J3148">
        <v>43221916</v>
      </c>
      <c r="K3148">
        <v>38318583</v>
      </c>
      <c r="L3148">
        <v>55673236</v>
      </c>
      <c r="M3148">
        <v>43649713</v>
      </c>
      <c r="P3148">
        <v>186</v>
      </c>
      <c r="Q3148" t="s">
        <v>6644</v>
      </c>
    </row>
    <row r="3149" spans="1:17" x14ac:dyDescent="0.3">
      <c r="A3149" t="s">
        <v>59</v>
      </c>
      <c r="B3149" t="str">
        <f>"002768"</f>
        <v>002768</v>
      </c>
      <c r="C3149" t="s">
        <v>6645</v>
      </c>
      <c r="D3149" t="s">
        <v>792</v>
      </c>
      <c r="F3149">
        <v>527976756</v>
      </c>
      <c r="G3149">
        <v>149958072</v>
      </c>
      <c r="H3149">
        <v>75274015</v>
      </c>
      <c r="I3149">
        <v>10641307</v>
      </c>
      <c r="J3149">
        <v>54757670</v>
      </c>
      <c r="K3149">
        <v>-13422252</v>
      </c>
      <c r="L3149">
        <v>-83156167</v>
      </c>
      <c r="M3149">
        <v>24242436</v>
      </c>
      <c r="N3149">
        <v>13526104</v>
      </c>
      <c r="O3149">
        <v>42385249</v>
      </c>
      <c r="P3149">
        <v>595</v>
      </c>
      <c r="Q3149" t="s">
        <v>6646</v>
      </c>
    </row>
    <row r="3150" spans="1:17" x14ac:dyDescent="0.3">
      <c r="A3150" t="s">
        <v>59</v>
      </c>
      <c r="B3150" t="str">
        <f>"002125"</f>
        <v>002125</v>
      </c>
      <c r="C3150" t="s">
        <v>6647</v>
      </c>
      <c r="D3150" t="s">
        <v>1241</v>
      </c>
      <c r="F3150">
        <v>112215040</v>
      </c>
      <c r="G3150">
        <v>15069590</v>
      </c>
      <c r="H3150">
        <v>75189682</v>
      </c>
      <c r="I3150">
        <v>58342399</v>
      </c>
      <c r="J3150">
        <v>55338505</v>
      </c>
      <c r="K3150">
        <v>24306762</v>
      </c>
      <c r="L3150">
        <v>97193213</v>
      </c>
      <c r="M3150">
        <v>77294297</v>
      </c>
      <c r="N3150">
        <v>58433074</v>
      </c>
      <c r="O3150">
        <v>22751111</v>
      </c>
      <c r="P3150">
        <v>157</v>
      </c>
      <c r="Q3150" t="s">
        <v>6648</v>
      </c>
    </row>
    <row r="3151" spans="1:17" x14ac:dyDescent="0.3">
      <c r="A3151" t="s">
        <v>59</v>
      </c>
      <c r="B3151" t="str">
        <f>"300839"</f>
        <v>300839</v>
      </c>
      <c r="C3151" t="s">
        <v>6649</v>
      </c>
      <c r="D3151" t="s">
        <v>445</v>
      </c>
      <c r="F3151">
        <v>98675830</v>
      </c>
      <c r="G3151">
        <v>-4974154</v>
      </c>
      <c r="H3151">
        <v>75143383</v>
      </c>
      <c r="I3151">
        <v>49121871</v>
      </c>
      <c r="J3151">
        <v>101500222</v>
      </c>
      <c r="P3151">
        <v>58</v>
      </c>
      <c r="Q3151" t="s">
        <v>6650</v>
      </c>
    </row>
    <row r="3152" spans="1:17" x14ac:dyDescent="0.3">
      <c r="A3152" t="s">
        <v>17</v>
      </c>
      <c r="B3152" t="str">
        <f>"605111"</f>
        <v>605111</v>
      </c>
      <c r="C3152" t="s">
        <v>6651</v>
      </c>
      <c r="D3152" t="s">
        <v>3230</v>
      </c>
      <c r="F3152">
        <v>450884686</v>
      </c>
      <c r="G3152">
        <v>80659974</v>
      </c>
      <c r="H3152">
        <v>75126607</v>
      </c>
      <c r="I3152">
        <v>94377630</v>
      </c>
      <c r="J3152">
        <v>72171051</v>
      </c>
      <c r="K3152">
        <v>393875</v>
      </c>
      <c r="P3152">
        <v>332</v>
      </c>
      <c r="Q3152" t="s">
        <v>6652</v>
      </c>
    </row>
    <row r="3153" spans="1:17" x14ac:dyDescent="0.3">
      <c r="A3153" t="s">
        <v>59</v>
      </c>
      <c r="B3153" t="str">
        <f>"300562"</f>
        <v>300562</v>
      </c>
      <c r="C3153" t="s">
        <v>6653</v>
      </c>
      <c r="D3153" t="s">
        <v>485</v>
      </c>
      <c r="F3153">
        <v>-880845</v>
      </c>
      <c r="G3153">
        <v>77989587</v>
      </c>
      <c r="H3153">
        <v>74957799</v>
      </c>
      <c r="I3153">
        <v>85156181</v>
      </c>
      <c r="J3153">
        <v>-4103342</v>
      </c>
      <c r="K3153">
        <v>78177015</v>
      </c>
      <c r="L3153">
        <v>35967835</v>
      </c>
      <c r="M3153">
        <v>54250469</v>
      </c>
      <c r="N3153">
        <v>37061590</v>
      </c>
      <c r="P3153">
        <v>155</v>
      </c>
      <c r="Q3153" t="s">
        <v>6654</v>
      </c>
    </row>
    <row r="3154" spans="1:17" x14ac:dyDescent="0.3">
      <c r="A3154" t="s">
        <v>59</v>
      </c>
      <c r="B3154" t="str">
        <f>"000420"</f>
        <v>000420</v>
      </c>
      <c r="C3154" t="s">
        <v>6655</v>
      </c>
      <c r="D3154" t="s">
        <v>1756</v>
      </c>
      <c r="G3154">
        <v>101987965</v>
      </c>
      <c r="H3154">
        <v>74933366</v>
      </c>
      <c r="I3154">
        <v>177100494</v>
      </c>
      <c r="J3154">
        <v>31664180</v>
      </c>
      <c r="K3154">
        <v>-114705111</v>
      </c>
      <c r="L3154">
        <v>-164500264</v>
      </c>
      <c r="M3154">
        <v>-61048439</v>
      </c>
      <c r="N3154">
        <v>-140026599</v>
      </c>
      <c r="O3154">
        <v>60410661</v>
      </c>
      <c r="P3154">
        <v>101</v>
      </c>
      <c r="Q3154" t="s">
        <v>6656</v>
      </c>
    </row>
    <row r="3155" spans="1:17" x14ac:dyDescent="0.3">
      <c r="A3155" t="s">
        <v>59</v>
      </c>
      <c r="B3155" t="str">
        <f>"000766"</f>
        <v>000766</v>
      </c>
      <c r="C3155" t="s">
        <v>6657</v>
      </c>
      <c r="D3155" t="s">
        <v>592</v>
      </c>
      <c r="F3155">
        <v>138329705</v>
      </c>
      <c r="G3155">
        <v>80705132</v>
      </c>
      <c r="H3155">
        <v>74861079</v>
      </c>
      <c r="I3155">
        <v>170722976</v>
      </c>
      <c r="J3155">
        <v>26434195</v>
      </c>
      <c r="K3155">
        <v>90629100</v>
      </c>
      <c r="L3155">
        <v>-160949747</v>
      </c>
      <c r="M3155">
        <v>34317920</v>
      </c>
      <c r="N3155">
        <v>102962802</v>
      </c>
      <c r="O3155">
        <v>-6494214</v>
      </c>
      <c r="P3155">
        <v>146</v>
      </c>
      <c r="Q3155" t="s">
        <v>6658</v>
      </c>
    </row>
    <row r="3156" spans="1:17" x14ac:dyDescent="0.3">
      <c r="A3156" t="s">
        <v>59</v>
      </c>
      <c r="B3156" t="str">
        <f>"003007"</f>
        <v>003007</v>
      </c>
      <c r="C3156" t="s">
        <v>6659</v>
      </c>
      <c r="D3156" t="s">
        <v>1528</v>
      </c>
      <c r="F3156">
        <v>-41217944</v>
      </c>
      <c r="G3156">
        <v>60302806</v>
      </c>
      <c r="H3156">
        <v>74848835</v>
      </c>
      <c r="I3156">
        <v>9782834</v>
      </c>
      <c r="J3156">
        <v>91664499</v>
      </c>
      <c r="K3156">
        <v>72314045</v>
      </c>
      <c r="P3156">
        <v>38</v>
      </c>
      <c r="Q3156" t="s">
        <v>6660</v>
      </c>
    </row>
    <row r="3157" spans="1:17" x14ac:dyDescent="0.3">
      <c r="A3157" t="s">
        <v>17</v>
      </c>
      <c r="B3157" t="str">
        <f>"603041"</f>
        <v>603041</v>
      </c>
      <c r="C3157" t="s">
        <v>6661</v>
      </c>
      <c r="D3157" t="s">
        <v>144</v>
      </c>
      <c r="F3157">
        <v>78559356</v>
      </c>
      <c r="G3157">
        <v>103253836</v>
      </c>
      <c r="H3157">
        <v>74787710</v>
      </c>
      <c r="I3157">
        <v>28884975</v>
      </c>
      <c r="J3157">
        <v>61055308</v>
      </c>
      <c r="K3157">
        <v>80853064</v>
      </c>
      <c r="L3157">
        <v>82655273</v>
      </c>
      <c r="M3157">
        <v>68152391</v>
      </c>
      <c r="P3157">
        <v>98</v>
      </c>
      <c r="Q3157" t="s">
        <v>6662</v>
      </c>
    </row>
    <row r="3158" spans="1:17" x14ac:dyDescent="0.3">
      <c r="A3158" t="s">
        <v>59</v>
      </c>
      <c r="B3158" t="str">
        <f>"300579"</f>
        <v>300579</v>
      </c>
      <c r="C3158" t="s">
        <v>6663</v>
      </c>
      <c r="D3158" t="s">
        <v>1528</v>
      </c>
      <c r="F3158">
        <v>2593471</v>
      </c>
      <c r="G3158">
        <v>83671964</v>
      </c>
      <c r="H3158">
        <v>74786411</v>
      </c>
      <c r="I3158">
        <v>127963062</v>
      </c>
      <c r="J3158">
        <v>115323351</v>
      </c>
      <c r="K3158">
        <v>40171268</v>
      </c>
      <c r="L3158">
        <v>47524199</v>
      </c>
      <c r="M3158">
        <v>68907071</v>
      </c>
      <c r="N3158">
        <v>37149539</v>
      </c>
      <c r="P3158">
        <v>335</v>
      </c>
      <c r="Q3158" t="s">
        <v>6664</v>
      </c>
    </row>
    <row r="3159" spans="1:17" x14ac:dyDescent="0.3">
      <c r="A3159" t="s">
        <v>17</v>
      </c>
      <c r="B3159" t="str">
        <f>"600071"</f>
        <v>600071</v>
      </c>
      <c r="C3159" t="s">
        <v>6665</v>
      </c>
      <c r="D3159" t="s">
        <v>692</v>
      </c>
      <c r="F3159">
        <v>2955427</v>
      </c>
      <c r="G3159">
        <v>22464843</v>
      </c>
      <c r="H3159">
        <v>74725546</v>
      </c>
      <c r="I3159">
        <v>-25549127</v>
      </c>
      <c r="J3159">
        <v>-40398917</v>
      </c>
      <c r="K3159">
        <v>-24840610</v>
      </c>
      <c r="L3159">
        <v>7283139</v>
      </c>
      <c r="M3159">
        <v>-48333836</v>
      </c>
      <c r="N3159">
        <v>12139421</v>
      </c>
      <c r="O3159">
        <v>89216807</v>
      </c>
      <c r="P3159">
        <v>97</v>
      </c>
      <c r="Q3159" t="s">
        <v>6666</v>
      </c>
    </row>
    <row r="3160" spans="1:17" x14ac:dyDescent="0.3">
      <c r="A3160" t="s">
        <v>59</v>
      </c>
      <c r="B3160" t="str">
        <f>"300812"</f>
        <v>300812</v>
      </c>
      <c r="C3160" t="s">
        <v>6667</v>
      </c>
      <c r="D3160" t="s">
        <v>5407</v>
      </c>
      <c r="F3160">
        <v>-8471557</v>
      </c>
      <c r="G3160">
        <v>-49380739</v>
      </c>
      <c r="H3160">
        <v>74713455</v>
      </c>
      <c r="I3160">
        <v>61799241</v>
      </c>
      <c r="J3160">
        <v>34341166</v>
      </c>
      <c r="K3160">
        <v>29929008</v>
      </c>
      <c r="P3160">
        <v>111</v>
      </c>
      <c r="Q3160" t="s">
        <v>6668</v>
      </c>
    </row>
    <row r="3161" spans="1:17" x14ac:dyDescent="0.3">
      <c r="A3161" t="s">
        <v>59</v>
      </c>
      <c r="B3161" t="str">
        <f>"300913"</f>
        <v>300913</v>
      </c>
      <c r="C3161" t="s">
        <v>6669</v>
      </c>
      <c r="D3161" t="s">
        <v>754</v>
      </c>
      <c r="F3161">
        <v>79443213</v>
      </c>
      <c r="G3161">
        <v>68696702</v>
      </c>
      <c r="H3161">
        <v>74572835</v>
      </c>
      <c r="I3161">
        <v>66384185</v>
      </c>
      <c r="J3161">
        <v>-8683082</v>
      </c>
      <c r="K3161">
        <v>11952040</v>
      </c>
      <c r="P3161">
        <v>33</v>
      </c>
      <c r="Q3161" t="s">
        <v>6670</v>
      </c>
    </row>
    <row r="3162" spans="1:17" x14ac:dyDescent="0.3">
      <c r="A3162" t="s">
        <v>59</v>
      </c>
      <c r="B3162" t="str">
        <f>"300657"</f>
        <v>300657</v>
      </c>
      <c r="C3162" t="s">
        <v>6671</v>
      </c>
      <c r="D3162" t="s">
        <v>539</v>
      </c>
      <c r="F3162">
        <v>123298766</v>
      </c>
      <c r="G3162">
        <v>286138976</v>
      </c>
      <c r="H3162">
        <v>74570997</v>
      </c>
      <c r="I3162">
        <v>343701589</v>
      </c>
      <c r="J3162">
        <v>144462984</v>
      </c>
      <c r="K3162">
        <v>59841873</v>
      </c>
      <c r="L3162">
        <v>20933766</v>
      </c>
      <c r="M3162">
        <v>123468445</v>
      </c>
      <c r="P3162">
        <v>257</v>
      </c>
      <c r="Q3162" t="s">
        <v>6672</v>
      </c>
    </row>
    <row r="3163" spans="1:17" x14ac:dyDescent="0.3">
      <c r="A3163" t="s">
        <v>59</v>
      </c>
      <c r="B3163" t="str">
        <f>"000020"</f>
        <v>000020</v>
      </c>
      <c r="C3163" t="s">
        <v>6673</v>
      </c>
      <c r="D3163" t="s">
        <v>139</v>
      </c>
      <c r="F3163">
        <v>-12323760</v>
      </c>
      <c r="G3163">
        <v>59719270</v>
      </c>
      <c r="H3163">
        <v>74463707</v>
      </c>
      <c r="I3163">
        <v>-21894460</v>
      </c>
      <c r="J3163">
        <v>11723254</v>
      </c>
      <c r="K3163">
        <v>-18693297</v>
      </c>
      <c r="L3163">
        <v>173486016</v>
      </c>
      <c r="M3163">
        <v>119492159</v>
      </c>
      <c r="N3163">
        <v>-69353440</v>
      </c>
      <c r="O3163">
        <v>18419091</v>
      </c>
      <c r="P3163">
        <v>75</v>
      </c>
      <c r="Q3163" t="s">
        <v>6674</v>
      </c>
    </row>
    <row r="3164" spans="1:17" x14ac:dyDescent="0.3">
      <c r="A3164" t="s">
        <v>17</v>
      </c>
      <c r="B3164" t="str">
        <f>"600976"</f>
        <v>600976</v>
      </c>
      <c r="C3164" t="s">
        <v>6675</v>
      </c>
      <c r="D3164" t="s">
        <v>455</v>
      </c>
      <c r="F3164">
        <v>259183455</v>
      </c>
      <c r="G3164">
        <v>125538930</v>
      </c>
      <c r="H3164">
        <v>74449433</v>
      </c>
      <c r="I3164">
        <v>63598253</v>
      </c>
      <c r="J3164">
        <v>35197182</v>
      </c>
      <c r="K3164">
        <v>113840271</v>
      </c>
      <c r="L3164">
        <v>48449872</v>
      </c>
      <c r="M3164">
        <v>103228934</v>
      </c>
      <c r="N3164">
        <v>45358292</v>
      </c>
      <c r="O3164">
        <v>98173817</v>
      </c>
      <c r="P3164">
        <v>249</v>
      </c>
      <c r="Q3164" t="s">
        <v>6676</v>
      </c>
    </row>
    <row r="3165" spans="1:17" x14ac:dyDescent="0.3">
      <c r="A3165" t="s">
        <v>59</v>
      </c>
      <c r="B3165" t="str">
        <f>"000920"</f>
        <v>000920</v>
      </c>
      <c r="C3165" t="s">
        <v>6677</v>
      </c>
      <c r="D3165" t="s">
        <v>669</v>
      </c>
      <c r="F3165">
        <v>236324961</v>
      </c>
      <c r="G3165">
        <v>180419146</v>
      </c>
      <c r="H3165">
        <v>74403932</v>
      </c>
      <c r="I3165">
        <v>18425371</v>
      </c>
      <c r="J3165">
        <v>116321575</v>
      </c>
      <c r="K3165">
        <v>188916358</v>
      </c>
      <c r="L3165">
        <v>220384254</v>
      </c>
      <c r="M3165">
        <v>60447826</v>
      </c>
      <c r="N3165">
        <v>95566485</v>
      </c>
      <c r="O3165">
        <v>125019713</v>
      </c>
      <c r="P3165">
        <v>122</v>
      </c>
      <c r="Q3165" t="s">
        <v>6678</v>
      </c>
    </row>
    <row r="3166" spans="1:17" x14ac:dyDescent="0.3">
      <c r="A3166" t="s">
        <v>59</v>
      </c>
      <c r="B3166" t="str">
        <f>"300885"</f>
        <v>300885</v>
      </c>
      <c r="C3166" t="s">
        <v>6679</v>
      </c>
      <c r="D3166" t="s">
        <v>637</v>
      </c>
      <c r="F3166">
        <v>79053208</v>
      </c>
      <c r="G3166">
        <v>46988301</v>
      </c>
      <c r="H3166">
        <v>74381034</v>
      </c>
      <c r="I3166">
        <v>36426974</v>
      </c>
      <c r="J3166">
        <v>33205289</v>
      </c>
      <c r="K3166">
        <v>37299432</v>
      </c>
      <c r="P3166">
        <v>45</v>
      </c>
      <c r="Q3166" t="s">
        <v>6680</v>
      </c>
    </row>
    <row r="3167" spans="1:17" x14ac:dyDescent="0.3">
      <c r="A3167" t="s">
        <v>17</v>
      </c>
      <c r="B3167" t="str">
        <f>"900932"</f>
        <v>900932</v>
      </c>
      <c r="C3167" t="s">
        <v>6681</v>
      </c>
      <c r="G3167">
        <v>-107410782.0728</v>
      </c>
      <c r="H3167">
        <v>74294120.477200001</v>
      </c>
      <c r="I3167">
        <v>627746927.68299997</v>
      </c>
      <c r="J3167">
        <v>-823014051.53279996</v>
      </c>
      <c r="K3167">
        <v>-180661793.03999999</v>
      </c>
      <c r="L3167">
        <v>508731618.31800002</v>
      </c>
      <c r="M3167">
        <v>-160463649.5228</v>
      </c>
      <c r="N3167">
        <v>94775066.209600002</v>
      </c>
      <c r="O3167">
        <v>257577696.16949999</v>
      </c>
      <c r="P3167">
        <v>138</v>
      </c>
      <c r="Q3167" t="s">
        <v>6682</v>
      </c>
    </row>
    <row r="3168" spans="1:17" x14ac:dyDescent="0.3">
      <c r="A3168" t="s">
        <v>59</v>
      </c>
      <c r="B3168" t="str">
        <f>"001202"</f>
        <v>001202</v>
      </c>
      <c r="C3168" t="s">
        <v>6683</v>
      </c>
      <c r="D3168" t="s">
        <v>250</v>
      </c>
      <c r="F3168">
        <v>-5946918</v>
      </c>
      <c r="G3168">
        <v>130467556</v>
      </c>
      <c r="H3168">
        <v>74277400</v>
      </c>
      <c r="I3168">
        <v>15411442</v>
      </c>
      <c r="J3168">
        <v>19346958</v>
      </c>
      <c r="P3168">
        <v>32</v>
      </c>
      <c r="Q3168" t="s">
        <v>6684</v>
      </c>
    </row>
    <row r="3169" spans="1:17" x14ac:dyDescent="0.3">
      <c r="A3169" t="s">
        <v>59</v>
      </c>
      <c r="B3169" t="str">
        <f>"300658"</f>
        <v>300658</v>
      </c>
      <c r="C3169" t="s">
        <v>6685</v>
      </c>
      <c r="D3169" t="s">
        <v>1429</v>
      </c>
      <c r="F3169">
        <v>53421995</v>
      </c>
      <c r="G3169">
        <v>331536650</v>
      </c>
      <c r="H3169">
        <v>74223087</v>
      </c>
      <c r="I3169">
        <v>39466823</v>
      </c>
      <c r="J3169">
        <v>77636177</v>
      </c>
      <c r="K3169">
        <v>83925927</v>
      </c>
      <c r="L3169">
        <v>75929490</v>
      </c>
      <c r="M3169">
        <v>7813532</v>
      </c>
      <c r="P3169">
        <v>232</v>
      </c>
      <c r="Q3169" t="s">
        <v>6686</v>
      </c>
    </row>
    <row r="3170" spans="1:17" x14ac:dyDescent="0.3">
      <c r="A3170" t="s">
        <v>59</v>
      </c>
      <c r="B3170" t="str">
        <f>"300620"</f>
        <v>300620</v>
      </c>
      <c r="C3170" t="s">
        <v>6687</v>
      </c>
      <c r="D3170" t="s">
        <v>352</v>
      </c>
      <c r="F3170">
        <v>86324352</v>
      </c>
      <c r="G3170">
        <v>57043986</v>
      </c>
      <c r="H3170">
        <v>74209240</v>
      </c>
      <c r="I3170">
        <v>29319398</v>
      </c>
      <c r="J3170">
        <v>47142559</v>
      </c>
      <c r="K3170">
        <v>42137461</v>
      </c>
      <c r="L3170">
        <v>31621955</v>
      </c>
      <c r="M3170">
        <v>20111849</v>
      </c>
      <c r="P3170">
        <v>245</v>
      </c>
      <c r="Q3170" t="s">
        <v>6688</v>
      </c>
    </row>
    <row r="3171" spans="1:17" x14ac:dyDescent="0.3">
      <c r="A3171" t="s">
        <v>17</v>
      </c>
      <c r="B3171" t="str">
        <f>"688268"</f>
        <v>688268</v>
      </c>
      <c r="C3171" t="s">
        <v>6689</v>
      </c>
      <c r="D3171" t="s">
        <v>2111</v>
      </c>
      <c r="F3171">
        <v>15161642</v>
      </c>
      <c r="G3171">
        <v>107649492</v>
      </c>
      <c r="H3171">
        <v>74139332</v>
      </c>
      <c r="I3171">
        <v>41720661</v>
      </c>
      <c r="J3171">
        <v>91835591</v>
      </c>
      <c r="K3171">
        <v>74220200</v>
      </c>
      <c r="P3171">
        <v>184</v>
      </c>
      <c r="Q3171" t="s">
        <v>6690</v>
      </c>
    </row>
    <row r="3172" spans="1:17" x14ac:dyDescent="0.3">
      <c r="A3172" t="s">
        <v>59</v>
      </c>
      <c r="B3172" t="str">
        <f>"002868"</f>
        <v>002868</v>
      </c>
      <c r="C3172" t="s">
        <v>6691</v>
      </c>
      <c r="D3172" t="s">
        <v>3061</v>
      </c>
      <c r="F3172">
        <v>35170419</v>
      </c>
      <c r="G3172">
        <v>90720874</v>
      </c>
      <c r="H3172">
        <v>74087742</v>
      </c>
      <c r="I3172">
        <v>83697141</v>
      </c>
      <c r="J3172">
        <v>96109559</v>
      </c>
      <c r="K3172">
        <v>135407948</v>
      </c>
      <c r="L3172">
        <v>127107975</v>
      </c>
      <c r="M3172">
        <v>62759717</v>
      </c>
      <c r="P3172">
        <v>88</v>
      </c>
      <c r="Q3172" t="s">
        <v>6692</v>
      </c>
    </row>
    <row r="3173" spans="1:17" x14ac:dyDescent="0.3">
      <c r="A3173" t="s">
        <v>59</v>
      </c>
      <c r="B3173" t="str">
        <f>"300573"</f>
        <v>300573</v>
      </c>
      <c r="C3173" t="s">
        <v>6693</v>
      </c>
      <c r="D3173" t="s">
        <v>592</v>
      </c>
      <c r="F3173">
        <v>306955942</v>
      </c>
      <c r="G3173">
        <v>122158322</v>
      </c>
      <c r="H3173">
        <v>74081245</v>
      </c>
      <c r="I3173">
        <v>44008838</v>
      </c>
      <c r="J3173">
        <v>32697213</v>
      </c>
      <c r="K3173">
        <v>28122456</v>
      </c>
      <c r="L3173">
        <v>21432755</v>
      </c>
      <c r="M3173">
        <v>12998238</v>
      </c>
      <c r="N3173">
        <v>8398467</v>
      </c>
      <c r="P3173">
        <v>315</v>
      </c>
      <c r="Q3173" t="s">
        <v>6694</v>
      </c>
    </row>
    <row r="3174" spans="1:17" x14ac:dyDescent="0.3">
      <c r="A3174" t="s">
        <v>17</v>
      </c>
      <c r="B3174" t="str">
        <f>"688093"</f>
        <v>688093</v>
      </c>
      <c r="C3174" t="s">
        <v>6695</v>
      </c>
      <c r="D3174" t="s">
        <v>595</v>
      </c>
      <c r="F3174">
        <v>182843521</v>
      </c>
      <c r="G3174">
        <v>73797239</v>
      </c>
      <c r="H3174">
        <v>74013201</v>
      </c>
      <c r="I3174">
        <v>91189370</v>
      </c>
      <c r="J3174">
        <v>60533395</v>
      </c>
      <c r="P3174">
        <v>59</v>
      </c>
      <c r="Q3174" t="s">
        <v>6696</v>
      </c>
    </row>
    <row r="3175" spans="1:17" x14ac:dyDescent="0.3">
      <c r="A3175" t="s">
        <v>59</v>
      </c>
      <c r="B3175" t="str">
        <f>"002725"</f>
        <v>002725</v>
      </c>
      <c r="C3175" t="s">
        <v>6697</v>
      </c>
      <c r="D3175" t="s">
        <v>767</v>
      </c>
      <c r="F3175">
        <v>-5106327</v>
      </c>
      <c r="G3175">
        <v>171215602</v>
      </c>
      <c r="H3175">
        <v>73866205</v>
      </c>
      <c r="I3175">
        <v>68946552</v>
      </c>
      <c r="J3175">
        <v>49439140</v>
      </c>
      <c r="K3175">
        <v>38314527</v>
      </c>
      <c r="L3175">
        <v>131966998</v>
      </c>
      <c r="M3175">
        <v>-2470714</v>
      </c>
      <c r="N3175">
        <v>120576245</v>
      </c>
      <c r="O3175">
        <v>127074509</v>
      </c>
      <c r="P3175">
        <v>135</v>
      </c>
      <c r="Q3175" t="s">
        <v>6698</v>
      </c>
    </row>
    <row r="3176" spans="1:17" x14ac:dyDescent="0.3">
      <c r="A3176" t="s">
        <v>17</v>
      </c>
      <c r="B3176" t="str">
        <f>"688123"</f>
        <v>688123</v>
      </c>
      <c r="C3176" t="s">
        <v>6699</v>
      </c>
      <c r="D3176" t="s">
        <v>817</v>
      </c>
      <c r="F3176">
        <v>56114990</v>
      </c>
      <c r="G3176">
        <v>92630901</v>
      </c>
      <c r="H3176">
        <v>73773739</v>
      </c>
      <c r="I3176">
        <v>90078172</v>
      </c>
      <c r="J3176">
        <v>76605454</v>
      </c>
      <c r="K3176">
        <v>38964736</v>
      </c>
      <c r="P3176">
        <v>163</v>
      </c>
      <c r="Q3176" t="s">
        <v>6700</v>
      </c>
    </row>
    <row r="3177" spans="1:17" x14ac:dyDescent="0.3">
      <c r="A3177" t="s">
        <v>59</v>
      </c>
      <c r="B3177" t="str">
        <f>"301004"</f>
        <v>301004</v>
      </c>
      <c r="C3177" t="s">
        <v>6701</v>
      </c>
      <c r="D3177" t="s">
        <v>923</v>
      </c>
      <c r="F3177">
        <v>95676667</v>
      </c>
      <c r="G3177">
        <v>70295529</v>
      </c>
      <c r="H3177">
        <v>73772917</v>
      </c>
      <c r="I3177">
        <v>131789648</v>
      </c>
      <c r="J3177">
        <v>60988282</v>
      </c>
      <c r="P3177">
        <v>25</v>
      </c>
      <c r="Q3177" t="s">
        <v>6702</v>
      </c>
    </row>
    <row r="3178" spans="1:17" x14ac:dyDescent="0.3">
      <c r="A3178" t="s">
        <v>59</v>
      </c>
      <c r="B3178" t="str">
        <f>"000032"</f>
        <v>000032</v>
      </c>
      <c r="C3178" t="s">
        <v>6703</v>
      </c>
      <c r="D3178" t="s">
        <v>1650</v>
      </c>
      <c r="F3178">
        <v>94010749</v>
      </c>
      <c r="G3178">
        <v>-125268309</v>
      </c>
      <c r="H3178">
        <v>73683377</v>
      </c>
      <c r="I3178">
        <v>206094759</v>
      </c>
      <c r="J3178">
        <v>133792382</v>
      </c>
      <c r="K3178">
        <v>78594442</v>
      </c>
      <c r="L3178">
        <v>334847039</v>
      </c>
      <c r="M3178">
        <v>62757357</v>
      </c>
      <c r="N3178">
        <v>-54597518</v>
      </c>
      <c r="O3178">
        <v>25453168</v>
      </c>
      <c r="P3178">
        <v>121</v>
      </c>
      <c r="Q3178" t="s">
        <v>6704</v>
      </c>
    </row>
    <row r="3179" spans="1:17" x14ac:dyDescent="0.3">
      <c r="A3179" t="s">
        <v>59</v>
      </c>
      <c r="B3179" t="str">
        <f>"002795"</f>
        <v>002795</v>
      </c>
      <c r="C3179" t="s">
        <v>6705</v>
      </c>
      <c r="D3179" t="s">
        <v>637</v>
      </c>
      <c r="F3179">
        <v>115162707</v>
      </c>
      <c r="G3179">
        <v>56472416</v>
      </c>
      <c r="H3179">
        <v>73571356</v>
      </c>
      <c r="I3179">
        <v>120619053</v>
      </c>
      <c r="J3179">
        <v>23885079</v>
      </c>
      <c r="K3179">
        <v>67835751</v>
      </c>
      <c r="L3179">
        <v>66008998</v>
      </c>
      <c r="M3179">
        <v>102833214</v>
      </c>
      <c r="N3179">
        <v>59108773</v>
      </c>
      <c r="P3179">
        <v>73</v>
      </c>
      <c r="Q3179" t="s">
        <v>6706</v>
      </c>
    </row>
    <row r="3180" spans="1:17" x14ac:dyDescent="0.3">
      <c r="A3180" t="s">
        <v>59</v>
      </c>
      <c r="B3180" t="str">
        <f>"300819"</f>
        <v>300819</v>
      </c>
      <c r="C3180" t="s">
        <v>6707</v>
      </c>
      <c r="D3180" t="s">
        <v>3101</v>
      </c>
      <c r="F3180">
        <v>32879769</v>
      </c>
      <c r="G3180">
        <v>83929832</v>
      </c>
      <c r="H3180">
        <v>73515417</v>
      </c>
      <c r="I3180">
        <v>60920773</v>
      </c>
      <c r="J3180">
        <v>85785632</v>
      </c>
      <c r="K3180">
        <v>112346711</v>
      </c>
      <c r="P3180">
        <v>50</v>
      </c>
      <c r="Q3180" t="s">
        <v>6708</v>
      </c>
    </row>
    <row r="3181" spans="1:17" x14ac:dyDescent="0.3">
      <c r="A3181" t="s">
        <v>59</v>
      </c>
      <c r="B3181" t="str">
        <f>"003026"</f>
        <v>003026</v>
      </c>
      <c r="C3181" t="s">
        <v>6709</v>
      </c>
      <c r="D3181" t="s">
        <v>874</v>
      </c>
      <c r="F3181">
        <v>85860320</v>
      </c>
      <c r="G3181">
        <v>85666526</v>
      </c>
      <c r="H3181">
        <v>73226875</v>
      </c>
      <c r="I3181">
        <v>32933337</v>
      </c>
      <c r="J3181">
        <v>14797546</v>
      </c>
      <c r="K3181">
        <v>-48456691</v>
      </c>
      <c r="P3181">
        <v>106</v>
      </c>
      <c r="Q3181" t="s">
        <v>6710</v>
      </c>
    </row>
    <row r="3182" spans="1:17" x14ac:dyDescent="0.3">
      <c r="A3182" t="s">
        <v>59</v>
      </c>
      <c r="B3182" t="str">
        <f>"300802"</f>
        <v>300802</v>
      </c>
      <c r="C3182" t="s">
        <v>6711</v>
      </c>
      <c r="D3182" t="s">
        <v>4218</v>
      </c>
      <c r="F3182">
        <v>26074279</v>
      </c>
      <c r="G3182">
        <v>29406439</v>
      </c>
      <c r="H3182">
        <v>73168639</v>
      </c>
      <c r="I3182">
        <v>74530118</v>
      </c>
      <c r="J3182">
        <v>30685721</v>
      </c>
      <c r="K3182">
        <v>43442115</v>
      </c>
      <c r="P3182">
        <v>182</v>
      </c>
      <c r="Q3182" t="s">
        <v>6712</v>
      </c>
    </row>
    <row r="3183" spans="1:17" x14ac:dyDescent="0.3">
      <c r="A3183" t="s">
        <v>59</v>
      </c>
      <c r="B3183" t="str">
        <f>"002278"</f>
        <v>002278</v>
      </c>
      <c r="C3183" t="s">
        <v>6713</v>
      </c>
      <c r="D3183" t="s">
        <v>741</v>
      </c>
      <c r="F3183">
        <v>55316832</v>
      </c>
      <c r="G3183">
        <v>94700245</v>
      </c>
      <c r="H3183">
        <v>73103907</v>
      </c>
      <c r="I3183">
        <v>22293081</v>
      </c>
      <c r="J3183">
        <v>24814183</v>
      </c>
      <c r="K3183">
        <v>-53855002</v>
      </c>
      <c r="L3183">
        <v>-38246718</v>
      </c>
      <c r="M3183">
        <v>25105058</v>
      </c>
      <c r="N3183">
        <v>83650508</v>
      </c>
      <c r="O3183">
        <v>82338560</v>
      </c>
      <c r="P3183">
        <v>57</v>
      </c>
      <c r="Q3183" t="s">
        <v>6714</v>
      </c>
    </row>
    <row r="3184" spans="1:17" x14ac:dyDescent="0.3">
      <c r="A3184" t="s">
        <v>59</v>
      </c>
      <c r="B3184" t="str">
        <f>"301072"</f>
        <v>301072</v>
      </c>
      <c r="C3184" t="s">
        <v>6715</v>
      </c>
      <c r="D3184" t="s">
        <v>156</v>
      </c>
      <c r="F3184">
        <v>30899300</v>
      </c>
      <c r="G3184">
        <v>42472914</v>
      </c>
      <c r="H3184">
        <v>73077566</v>
      </c>
      <c r="I3184">
        <v>64256457</v>
      </c>
      <c r="J3184">
        <v>73529517</v>
      </c>
      <c r="P3184">
        <v>17</v>
      </c>
      <c r="Q3184" t="s">
        <v>6716</v>
      </c>
    </row>
    <row r="3185" spans="1:17" x14ac:dyDescent="0.3">
      <c r="A3185" t="s">
        <v>59</v>
      </c>
      <c r="B3185" t="str">
        <f>"002147"</f>
        <v>002147</v>
      </c>
      <c r="C3185" t="s">
        <v>6717</v>
      </c>
      <c r="D3185" t="s">
        <v>1838</v>
      </c>
      <c r="F3185">
        <v>555564742</v>
      </c>
      <c r="G3185">
        <v>233616448</v>
      </c>
      <c r="H3185">
        <v>73039334</v>
      </c>
      <c r="I3185">
        <v>141452981</v>
      </c>
      <c r="J3185">
        <v>-1945640904</v>
      </c>
      <c r="K3185">
        <v>611855338</v>
      </c>
      <c r="L3185">
        <v>-4060619</v>
      </c>
      <c r="M3185">
        <v>42357908</v>
      </c>
      <c r="N3185">
        <v>3803505</v>
      </c>
      <c r="O3185">
        <v>38119207</v>
      </c>
      <c r="P3185">
        <v>94</v>
      </c>
      <c r="Q3185" t="s">
        <v>6718</v>
      </c>
    </row>
    <row r="3186" spans="1:17" x14ac:dyDescent="0.3">
      <c r="A3186" t="s">
        <v>17</v>
      </c>
      <c r="B3186" t="str">
        <f>"605089"</f>
        <v>605089</v>
      </c>
      <c r="C3186" t="s">
        <v>6719</v>
      </c>
      <c r="D3186" t="s">
        <v>2504</v>
      </c>
      <c r="F3186">
        <v>128286065</v>
      </c>
      <c r="G3186">
        <v>134802573</v>
      </c>
      <c r="H3186">
        <v>72830612</v>
      </c>
      <c r="I3186">
        <v>93557357</v>
      </c>
      <c r="J3186">
        <v>33133767</v>
      </c>
      <c r="P3186">
        <v>131</v>
      </c>
      <c r="Q3186" t="s">
        <v>6720</v>
      </c>
    </row>
    <row r="3187" spans="1:17" x14ac:dyDescent="0.3">
      <c r="A3187" t="s">
        <v>59</v>
      </c>
      <c r="B3187" t="str">
        <f>"002979"</f>
        <v>002979</v>
      </c>
      <c r="C3187" t="s">
        <v>6721</v>
      </c>
      <c r="D3187" t="s">
        <v>3323</v>
      </c>
      <c r="F3187">
        <v>111258124</v>
      </c>
      <c r="G3187">
        <v>114237628</v>
      </c>
      <c r="H3187">
        <v>72710576</v>
      </c>
      <c r="I3187">
        <v>48300140</v>
      </c>
      <c r="J3187">
        <v>64708486</v>
      </c>
      <c r="P3187">
        <v>196</v>
      </c>
      <c r="Q3187" t="s">
        <v>6722</v>
      </c>
    </row>
    <row r="3188" spans="1:17" x14ac:dyDescent="0.3">
      <c r="A3188" t="s">
        <v>17</v>
      </c>
      <c r="B3188" t="str">
        <f>"688082"</f>
        <v>688082</v>
      </c>
      <c r="C3188" t="s">
        <v>6723</v>
      </c>
      <c r="D3188" t="s">
        <v>5407</v>
      </c>
      <c r="F3188">
        <v>-189182778</v>
      </c>
      <c r="G3188">
        <v>-88244945</v>
      </c>
      <c r="H3188">
        <v>72706488</v>
      </c>
      <c r="I3188">
        <v>38810344</v>
      </c>
      <c r="J3188">
        <v>-8992265</v>
      </c>
      <c r="P3188">
        <v>35</v>
      </c>
      <c r="Q3188" t="s">
        <v>6724</v>
      </c>
    </row>
    <row r="3189" spans="1:17" x14ac:dyDescent="0.3">
      <c r="A3189" t="s">
        <v>59</v>
      </c>
      <c r="B3189" t="str">
        <f>"301189"</f>
        <v>301189</v>
      </c>
      <c r="C3189" t="s">
        <v>6725</v>
      </c>
      <c r="D3189" t="s">
        <v>563</v>
      </c>
      <c r="F3189">
        <v>45215060</v>
      </c>
      <c r="G3189">
        <v>155415164</v>
      </c>
      <c r="H3189">
        <v>72693723</v>
      </c>
      <c r="I3189">
        <v>1565948</v>
      </c>
      <c r="J3189">
        <v>-4802299</v>
      </c>
      <c r="P3189">
        <v>10</v>
      </c>
      <c r="Q3189" t="s">
        <v>6726</v>
      </c>
    </row>
    <row r="3190" spans="1:17" x14ac:dyDescent="0.3">
      <c r="A3190" t="s">
        <v>59</v>
      </c>
      <c r="B3190" t="str">
        <f>"301018"</f>
        <v>301018</v>
      </c>
      <c r="C3190" t="s">
        <v>6727</v>
      </c>
      <c r="D3190" t="s">
        <v>3158</v>
      </c>
      <c r="F3190">
        <v>38023421</v>
      </c>
      <c r="G3190">
        <v>195650979</v>
      </c>
      <c r="H3190">
        <v>72665865</v>
      </c>
      <c r="I3190">
        <v>134755700</v>
      </c>
      <c r="J3190">
        <v>112788472</v>
      </c>
      <c r="P3190">
        <v>37</v>
      </c>
      <c r="Q3190" t="s">
        <v>6728</v>
      </c>
    </row>
    <row r="3191" spans="1:17" x14ac:dyDescent="0.3">
      <c r="A3191" t="s">
        <v>17</v>
      </c>
      <c r="B3191" t="str">
        <f>"688157"</f>
        <v>688157</v>
      </c>
      <c r="C3191" t="s">
        <v>6729</v>
      </c>
      <c r="D3191" t="s">
        <v>4667</v>
      </c>
      <c r="F3191">
        <v>56993654</v>
      </c>
      <c r="G3191">
        <v>71752839</v>
      </c>
      <c r="H3191">
        <v>72518101</v>
      </c>
      <c r="I3191">
        <v>16337082</v>
      </c>
      <c r="J3191">
        <v>25586719</v>
      </c>
      <c r="K3191">
        <v>38803371</v>
      </c>
      <c r="P3191">
        <v>100</v>
      </c>
      <c r="Q3191" t="s">
        <v>6730</v>
      </c>
    </row>
    <row r="3192" spans="1:17" x14ac:dyDescent="0.3">
      <c r="A3192" t="s">
        <v>59</v>
      </c>
      <c r="B3192" t="str">
        <f>"301019"</f>
        <v>301019</v>
      </c>
      <c r="C3192" t="s">
        <v>6731</v>
      </c>
      <c r="D3192" t="s">
        <v>2104</v>
      </c>
      <c r="F3192">
        <v>123400161</v>
      </c>
      <c r="G3192">
        <v>36410407</v>
      </c>
      <c r="H3192">
        <v>72505461</v>
      </c>
      <c r="I3192">
        <v>59801668</v>
      </c>
      <c r="J3192">
        <v>57504176</v>
      </c>
      <c r="P3192">
        <v>39</v>
      </c>
      <c r="Q3192" t="s">
        <v>6732</v>
      </c>
    </row>
    <row r="3193" spans="1:17" x14ac:dyDescent="0.3">
      <c r="A3193" t="s">
        <v>59</v>
      </c>
      <c r="B3193" t="str">
        <f>"300903"</f>
        <v>300903</v>
      </c>
      <c r="C3193" t="s">
        <v>6733</v>
      </c>
      <c r="D3193" t="s">
        <v>539</v>
      </c>
      <c r="F3193">
        <v>-1908355</v>
      </c>
      <c r="G3193">
        <v>88368109</v>
      </c>
      <c r="H3193">
        <v>72505289</v>
      </c>
      <c r="I3193">
        <v>66271992</v>
      </c>
      <c r="J3193">
        <v>-51039650</v>
      </c>
      <c r="K3193">
        <v>82523750</v>
      </c>
      <c r="P3193">
        <v>61</v>
      </c>
      <c r="Q3193" t="s">
        <v>6734</v>
      </c>
    </row>
    <row r="3194" spans="1:17" x14ac:dyDescent="0.3">
      <c r="A3194" t="s">
        <v>59</v>
      </c>
      <c r="B3194" t="str">
        <f>"001219"</f>
        <v>001219</v>
      </c>
      <c r="C3194" t="s">
        <v>6735</v>
      </c>
      <c r="D3194" t="s">
        <v>1868</v>
      </c>
      <c r="F3194">
        <v>63461847</v>
      </c>
      <c r="G3194">
        <v>73579518</v>
      </c>
      <c r="H3194">
        <v>72501969</v>
      </c>
      <c r="I3194">
        <v>92476118</v>
      </c>
      <c r="J3194">
        <v>52446867</v>
      </c>
      <c r="P3194">
        <v>33</v>
      </c>
      <c r="Q3194" t="s">
        <v>6736</v>
      </c>
    </row>
    <row r="3195" spans="1:17" x14ac:dyDescent="0.3">
      <c r="A3195" t="s">
        <v>59</v>
      </c>
      <c r="B3195" t="str">
        <f>"301212"</f>
        <v>301212</v>
      </c>
      <c r="C3195" t="s">
        <v>6737</v>
      </c>
      <c r="F3195">
        <v>180777135</v>
      </c>
      <c r="G3195">
        <v>103832805</v>
      </c>
      <c r="H3195">
        <v>72466337</v>
      </c>
      <c r="I3195">
        <v>18738449</v>
      </c>
      <c r="J3195">
        <v>43638209</v>
      </c>
      <c r="P3195">
        <v>3</v>
      </c>
      <c r="Q3195" t="s">
        <v>6738</v>
      </c>
    </row>
    <row r="3196" spans="1:17" x14ac:dyDescent="0.3">
      <c r="A3196" t="s">
        <v>59</v>
      </c>
      <c r="B3196" t="str">
        <f>"002820"</f>
        <v>002820</v>
      </c>
      <c r="C3196" t="s">
        <v>6739</v>
      </c>
      <c r="D3196" t="s">
        <v>1868</v>
      </c>
      <c r="F3196">
        <v>63102140</v>
      </c>
      <c r="G3196">
        <v>26413535</v>
      </c>
      <c r="H3196">
        <v>72325645</v>
      </c>
      <c r="I3196">
        <v>66165839</v>
      </c>
      <c r="J3196">
        <v>80923567</v>
      </c>
      <c r="K3196">
        <v>97859961</v>
      </c>
      <c r="L3196">
        <v>92412842</v>
      </c>
      <c r="M3196">
        <v>108037245</v>
      </c>
      <c r="N3196">
        <v>113122667</v>
      </c>
      <c r="P3196">
        <v>146</v>
      </c>
      <c r="Q3196" t="s">
        <v>6740</v>
      </c>
    </row>
    <row r="3197" spans="1:17" x14ac:dyDescent="0.3">
      <c r="A3197" t="s">
        <v>59</v>
      </c>
      <c r="B3197" t="str">
        <f>"300992"</f>
        <v>300992</v>
      </c>
      <c r="C3197" t="s">
        <v>6741</v>
      </c>
      <c r="D3197" t="s">
        <v>1838</v>
      </c>
      <c r="F3197">
        <v>43828782</v>
      </c>
      <c r="G3197">
        <v>83391318</v>
      </c>
      <c r="H3197">
        <v>72290296</v>
      </c>
      <c r="I3197">
        <v>-6824988</v>
      </c>
      <c r="J3197">
        <v>58183760</v>
      </c>
      <c r="P3197">
        <v>26</v>
      </c>
      <c r="Q3197" t="s">
        <v>6742</v>
      </c>
    </row>
    <row r="3198" spans="1:17" x14ac:dyDescent="0.3">
      <c r="A3198" t="s">
        <v>59</v>
      </c>
      <c r="B3198" t="str">
        <f>"300935"</f>
        <v>300935</v>
      </c>
      <c r="C3198" t="s">
        <v>6743</v>
      </c>
      <c r="D3198" t="s">
        <v>1528</v>
      </c>
      <c r="F3198">
        <v>9429186</v>
      </c>
      <c r="G3198">
        <v>36239761</v>
      </c>
      <c r="H3198">
        <v>72244002</v>
      </c>
      <c r="I3198">
        <v>49687143</v>
      </c>
      <c r="J3198">
        <v>47475632</v>
      </c>
      <c r="K3198">
        <v>18470800</v>
      </c>
      <c r="P3198">
        <v>55</v>
      </c>
      <c r="Q3198" t="s">
        <v>6744</v>
      </c>
    </row>
    <row r="3199" spans="1:17" x14ac:dyDescent="0.3">
      <c r="A3199" t="s">
        <v>59</v>
      </c>
      <c r="B3199" t="str">
        <f>"002338"</f>
        <v>002338</v>
      </c>
      <c r="C3199" t="s">
        <v>6745</v>
      </c>
      <c r="D3199" t="s">
        <v>1983</v>
      </c>
      <c r="F3199">
        <v>44279258</v>
      </c>
      <c r="G3199">
        <v>58027202</v>
      </c>
      <c r="H3199">
        <v>71956293</v>
      </c>
      <c r="I3199">
        <v>7633163</v>
      </c>
      <c r="J3199">
        <v>-4704524</v>
      </c>
      <c r="K3199">
        <v>-18996882</v>
      </c>
      <c r="L3199">
        <v>71779033</v>
      </c>
      <c r="M3199">
        <v>7796544</v>
      </c>
      <c r="N3199">
        <v>29364230</v>
      </c>
      <c r="O3199">
        <v>-10494905</v>
      </c>
      <c r="P3199">
        <v>147</v>
      </c>
      <c r="Q3199" t="s">
        <v>6746</v>
      </c>
    </row>
    <row r="3200" spans="1:17" x14ac:dyDescent="0.3">
      <c r="A3200" t="s">
        <v>59</v>
      </c>
      <c r="B3200" t="str">
        <f>"300172"</f>
        <v>300172</v>
      </c>
      <c r="C3200" t="s">
        <v>6747</v>
      </c>
      <c r="D3200" t="s">
        <v>669</v>
      </c>
      <c r="F3200">
        <v>116555530</v>
      </c>
      <c r="G3200">
        <v>90664943</v>
      </c>
      <c r="H3200">
        <v>71896872</v>
      </c>
      <c r="I3200">
        <v>51997997</v>
      </c>
      <c r="J3200">
        <v>147314615</v>
      </c>
      <c r="K3200">
        <v>6930580</v>
      </c>
      <c r="L3200">
        <v>57778922</v>
      </c>
      <c r="M3200">
        <v>75237340</v>
      </c>
      <c r="N3200">
        <v>80823913</v>
      </c>
      <c r="O3200">
        <v>-15024193</v>
      </c>
      <c r="P3200">
        <v>110</v>
      </c>
      <c r="Q3200" t="s">
        <v>6748</v>
      </c>
    </row>
    <row r="3201" spans="1:17" x14ac:dyDescent="0.3">
      <c r="A3201" t="s">
        <v>59</v>
      </c>
      <c r="B3201" t="str">
        <f>"300921"</f>
        <v>300921</v>
      </c>
      <c r="C3201" t="s">
        <v>6749</v>
      </c>
      <c r="D3201" t="s">
        <v>4468</v>
      </c>
      <c r="F3201">
        <v>49026804</v>
      </c>
      <c r="G3201">
        <v>103349709</v>
      </c>
      <c r="H3201">
        <v>71777418</v>
      </c>
      <c r="I3201">
        <v>65061638</v>
      </c>
      <c r="J3201">
        <v>25698594</v>
      </c>
      <c r="K3201">
        <v>31677641</v>
      </c>
      <c r="P3201">
        <v>39</v>
      </c>
      <c r="Q3201" t="s">
        <v>6750</v>
      </c>
    </row>
    <row r="3202" spans="1:17" x14ac:dyDescent="0.3">
      <c r="A3202" t="s">
        <v>59</v>
      </c>
      <c r="B3202" t="str">
        <f>"301029"</f>
        <v>301029</v>
      </c>
      <c r="C3202" t="s">
        <v>6751</v>
      </c>
      <c r="D3202" t="s">
        <v>4218</v>
      </c>
      <c r="F3202">
        <v>233303385</v>
      </c>
      <c r="G3202">
        <v>246599509</v>
      </c>
      <c r="H3202">
        <v>71530805</v>
      </c>
      <c r="I3202">
        <v>19546727</v>
      </c>
      <c r="J3202">
        <v>11960948</v>
      </c>
      <c r="P3202">
        <v>67</v>
      </c>
      <c r="Q3202" t="s">
        <v>6752</v>
      </c>
    </row>
    <row r="3203" spans="1:17" x14ac:dyDescent="0.3">
      <c r="A3203" t="s">
        <v>59</v>
      </c>
      <c r="B3203" t="str">
        <f>"301096"</f>
        <v>301096</v>
      </c>
      <c r="C3203" t="s">
        <v>6753</v>
      </c>
      <c r="D3203" t="s">
        <v>751</v>
      </c>
      <c r="F3203">
        <v>145424030</v>
      </c>
      <c r="G3203">
        <v>54360128</v>
      </c>
      <c r="H3203">
        <v>71465284</v>
      </c>
      <c r="I3203">
        <v>45363509</v>
      </c>
      <c r="J3203">
        <v>10740740</v>
      </c>
      <c r="P3203">
        <v>26</v>
      </c>
      <c r="Q3203" t="s">
        <v>6754</v>
      </c>
    </row>
    <row r="3204" spans="1:17" x14ac:dyDescent="0.3">
      <c r="A3204" t="s">
        <v>59</v>
      </c>
      <c r="B3204" t="str">
        <f>"301185"</f>
        <v>301185</v>
      </c>
      <c r="C3204" t="s">
        <v>6755</v>
      </c>
      <c r="D3204" t="s">
        <v>1189</v>
      </c>
      <c r="F3204">
        <v>58219855</v>
      </c>
      <c r="G3204">
        <v>86566166</v>
      </c>
      <c r="H3204">
        <v>71412693</v>
      </c>
      <c r="I3204">
        <v>44376958</v>
      </c>
      <c r="J3204">
        <v>59187869</v>
      </c>
      <c r="P3204">
        <v>20</v>
      </c>
      <c r="Q3204" t="s">
        <v>6756</v>
      </c>
    </row>
    <row r="3205" spans="1:17" x14ac:dyDescent="0.3">
      <c r="A3205" t="s">
        <v>59</v>
      </c>
      <c r="B3205" t="str">
        <f>"300996"</f>
        <v>300996</v>
      </c>
      <c r="C3205" t="s">
        <v>6757</v>
      </c>
      <c r="D3205" t="s">
        <v>1528</v>
      </c>
      <c r="F3205">
        <v>164172570</v>
      </c>
      <c r="G3205">
        <v>92530292</v>
      </c>
      <c r="H3205">
        <v>71393032</v>
      </c>
      <c r="I3205">
        <v>29577949</v>
      </c>
      <c r="J3205">
        <v>16178221</v>
      </c>
      <c r="P3205">
        <v>42</v>
      </c>
      <c r="Q3205" t="s">
        <v>6758</v>
      </c>
    </row>
    <row r="3206" spans="1:17" x14ac:dyDescent="0.3">
      <c r="A3206" t="s">
        <v>59</v>
      </c>
      <c r="B3206" t="str">
        <f>"300905"</f>
        <v>300905</v>
      </c>
      <c r="C3206" t="s">
        <v>6759</v>
      </c>
      <c r="D3206" t="s">
        <v>372</v>
      </c>
      <c r="F3206">
        <v>134187876</v>
      </c>
      <c r="G3206">
        <v>61460673</v>
      </c>
      <c r="H3206">
        <v>71381584</v>
      </c>
      <c r="I3206">
        <v>40043548</v>
      </c>
      <c r="J3206">
        <v>23181853</v>
      </c>
      <c r="K3206">
        <v>49319905</v>
      </c>
      <c r="P3206">
        <v>54</v>
      </c>
      <c r="Q3206" t="s">
        <v>6760</v>
      </c>
    </row>
    <row r="3207" spans="1:17" x14ac:dyDescent="0.3">
      <c r="A3207" t="s">
        <v>17</v>
      </c>
      <c r="B3207" t="str">
        <f>"600552"</f>
        <v>600552</v>
      </c>
      <c r="C3207" t="s">
        <v>6761</v>
      </c>
      <c r="D3207" t="s">
        <v>139</v>
      </c>
      <c r="F3207">
        <v>492542048</v>
      </c>
      <c r="G3207">
        <v>126984149</v>
      </c>
      <c r="H3207">
        <v>71270045</v>
      </c>
      <c r="I3207">
        <v>11071856</v>
      </c>
      <c r="J3207">
        <v>-102069903</v>
      </c>
      <c r="K3207">
        <v>66348330</v>
      </c>
      <c r="L3207">
        <v>50967512</v>
      </c>
      <c r="M3207">
        <v>22425165</v>
      </c>
      <c r="N3207">
        <v>115334369</v>
      </c>
      <c r="O3207">
        <v>53929973</v>
      </c>
      <c r="P3207">
        <v>169</v>
      </c>
      <c r="Q3207" t="s">
        <v>6762</v>
      </c>
    </row>
    <row r="3208" spans="1:17" x14ac:dyDescent="0.3">
      <c r="A3208" t="s">
        <v>17</v>
      </c>
      <c r="B3208" t="str">
        <f>"601007"</f>
        <v>601007</v>
      </c>
      <c r="C3208" t="s">
        <v>6763</v>
      </c>
      <c r="D3208" t="s">
        <v>824</v>
      </c>
      <c r="F3208">
        <v>251057973</v>
      </c>
      <c r="G3208">
        <v>134135176</v>
      </c>
      <c r="H3208">
        <v>71128375</v>
      </c>
      <c r="I3208">
        <v>198562306</v>
      </c>
      <c r="J3208">
        <v>283411099</v>
      </c>
      <c r="K3208">
        <v>116178640</v>
      </c>
      <c r="L3208">
        <v>125706751</v>
      </c>
      <c r="M3208">
        <v>108947081</v>
      </c>
      <c r="N3208">
        <v>52906995</v>
      </c>
      <c r="O3208">
        <v>111722206</v>
      </c>
      <c r="P3208">
        <v>111</v>
      </c>
      <c r="Q3208" t="s">
        <v>6764</v>
      </c>
    </row>
    <row r="3209" spans="1:17" x14ac:dyDescent="0.3">
      <c r="A3209" t="s">
        <v>17</v>
      </c>
      <c r="B3209" t="str">
        <f>"605580"</f>
        <v>605580</v>
      </c>
      <c r="C3209" t="s">
        <v>6765</v>
      </c>
      <c r="D3209" t="s">
        <v>1238</v>
      </c>
      <c r="F3209">
        <v>155492267</v>
      </c>
      <c r="G3209">
        <v>104246066</v>
      </c>
      <c r="H3209">
        <v>71012843</v>
      </c>
      <c r="I3209">
        <v>95805590</v>
      </c>
      <c r="J3209">
        <v>30640273</v>
      </c>
      <c r="P3209">
        <v>30</v>
      </c>
      <c r="Q3209" t="s">
        <v>6766</v>
      </c>
    </row>
    <row r="3210" spans="1:17" x14ac:dyDescent="0.3">
      <c r="A3210" t="s">
        <v>17</v>
      </c>
      <c r="B3210" t="str">
        <f>"688776"</f>
        <v>688776</v>
      </c>
      <c r="C3210" t="s">
        <v>6767</v>
      </c>
      <c r="D3210" t="s">
        <v>1983</v>
      </c>
      <c r="F3210">
        <v>51528134</v>
      </c>
      <c r="G3210">
        <v>37328475</v>
      </c>
      <c r="H3210">
        <v>70960275</v>
      </c>
      <c r="I3210">
        <v>63611810</v>
      </c>
      <c r="J3210">
        <v>42841744</v>
      </c>
      <c r="P3210">
        <v>23</v>
      </c>
      <c r="Q3210" t="s">
        <v>6768</v>
      </c>
    </row>
    <row r="3211" spans="1:17" x14ac:dyDescent="0.3">
      <c r="A3211" t="s">
        <v>59</v>
      </c>
      <c r="B3211" t="str">
        <f>"000663"</f>
        <v>000663</v>
      </c>
      <c r="C3211" t="s">
        <v>6769</v>
      </c>
      <c r="D3211" t="s">
        <v>963</v>
      </c>
      <c r="F3211">
        <v>164343803</v>
      </c>
      <c r="G3211">
        <v>43880553</v>
      </c>
      <c r="H3211">
        <v>70941911</v>
      </c>
      <c r="I3211">
        <v>-146960566</v>
      </c>
      <c r="J3211">
        <v>73790372</v>
      </c>
      <c r="K3211">
        <v>229338608</v>
      </c>
      <c r="L3211">
        <v>52783869</v>
      </c>
      <c r="M3211">
        <v>62419042</v>
      </c>
      <c r="N3211">
        <v>47707769</v>
      </c>
      <c r="O3211">
        <v>122246105</v>
      </c>
      <c r="P3211">
        <v>93</v>
      </c>
      <c r="Q3211" t="s">
        <v>6770</v>
      </c>
    </row>
    <row r="3212" spans="1:17" x14ac:dyDescent="0.3">
      <c r="A3212" t="s">
        <v>17</v>
      </c>
      <c r="B3212" t="str">
        <f>"603318"</f>
        <v>603318</v>
      </c>
      <c r="C3212" t="s">
        <v>6771</v>
      </c>
      <c r="D3212" t="s">
        <v>883</v>
      </c>
      <c r="F3212">
        <v>216999656</v>
      </c>
      <c r="G3212">
        <v>176915178</v>
      </c>
      <c r="H3212">
        <v>70848385</v>
      </c>
      <c r="I3212">
        <v>-68934670</v>
      </c>
      <c r="J3212">
        <v>37522719</v>
      </c>
      <c r="K3212">
        <v>137250079</v>
      </c>
      <c r="L3212">
        <v>-224638096</v>
      </c>
      <c r="M3212">
        <v>5516614</v>
      </c>
      <c r="N3212">
        <v>28802200</v>
      </c>
      <c r="O3212">
        <v>22674712</v>
      </c>
      <c r="P3212">
        <v>63</v>
      </c>
      <c r="Q3212" t="s">
        <v>6772</v>
      </c>
    </row>
    <row r="3213" spans="1:17" x14ac:dyDescent="0.3">
      <c r="A3213" t="s">
        <v>17</v>
      </c>
      <c r="B3213" t="str">
        <f>"688698"</f>
        <v>688698</v>
      </c>
      <c r="C3213" t="s">
        <v>6773</v>
      </c>
      <c r="D3213" t="s">
        <v>1426</v>
      </c>
      <c r="F3213">
        <v>30070099</v>
      </c>
      <c r="G3213">
        <v>53912150</v>
      </c>
      <c r="H3213">
        <v>70842024</v>
      </c>
      <c r="I3213">
        <v>47542985</v>
      </c>
      <c r="J3213">
        <v>-10381535</v>
      </c>
      <c r="P3213">
        <v>74</v>
      </c>
      <c r="Q3213" t="s">
        <v>6774</v>
      </c>
    </row>
    <row r="3214" spans="1:17" x14ac:dyDescent="0.3">
      <c r="A3214" t="s">
        <v>59</v>
      </c>
      <c r="B3214" t="str">
        <f>"300455"</f>
        <v>300455</v>
      </c>
      <c r="C3214" t="s">
        <v>6775</v>
      </c>
      <c r="D3214" t="s">
        <v>707</v>
      </c>
      <c r="F3214">
        <v>135788461</v>
      </c>
      <c r="G3214">
        <v>-102094284</v>
      </c>
      <c r="H3214">
        <v>70759660</v>
      </c>
      <c r="I3214">
        <v>25715635</v>
      </c>
      <c r="J3214">
        <v>33315025</v>
      </c>
      <c r="K3214">
        <v>-13393620</v>
      </c>
      <c r="L3214">
        <v>-6228949</v>
      </c>
      <c r="M3214">
        <v>49708254</v>
      </c>
      <c r="N3214">
        <v>35321885</v>
      </c>
      <c r="O3214">
        <v>46791565</v>
      </c>
      <c r="P3214">
        <v>137</v>
      </c>
      <c r="Q3214" t="s">
        <v>6776</v>
      </c>
    </row>
    <row r="3215" spans="1:17" x14ac:dyDescent="0.3">
      <c r="A3215" t="s">
        <v>59</v>
      </c>
      <c r="B3215" t="str">
        <f>"301060"</f>
        <v>301060</v>
      </c>
      <c r="C3215" t="s">
        <v>6777</v>
      </c>
      <c r="D3215" t="s">
        <v>2312</v>
      </c>
      <c r="F3215">
        <v>223510225</v>
      </c>
      <c r="G3215">
        <v>167874989</v>
      </c>
      <c r="H3215">
        <v>70603024</v>
      </c>
      <c r="I3215">
        <v>184794212</v>
      </c>
      <c r="J3215">
        <v>-95519201</v>
      </c>
      <c r="P3215">
        <v>41</v>
      </c>
      <c r="Q3215" t="s">
        <v>6778</v>
      </c>
    </row>
    <row r="3216" spans="1:17" x14ac:dyDescent="0.3">
      <c r="A3216" t="s">
        <v>59</v>
      </c>
      <c r="B3216" t="str">
        <f>"002576"</f>
        <v>002576</v>
      </c>
      <c r="C3216" t="s">
        <v>6779</v>
      </c>
      <c r="D3216" t="s">
        <v>1556</v>
      </c>
      <c r="F3216">
        <v>18112843</v>
      </c>
      <c r="G3216">
        <v>640841</v>
      </c>
      <c r="H3216">
        <v>70602140</v>
      </c>
      <c r="I3216">
        <v>15465654</v>
      </c>
      <c r="J3216">
        <v>-5037106</v>
      </c>
      <c r="K3216">
        <v>2451515</v>
      </c>
      <c r="L3216">
        <v>17273357</v>
      </c>
      <c r="M3216">
        <v>-24089236</v>
      </c>
      <c r="N3216">
        <v>18739317</v>
      </c>
      <c r="O3216">
        <v>51733031</v>
      </c>
      <c r="P3216">
        <v>123</v>
      </c>
      <c r="Q3216" t="s">
        <v>6780</v>
      </c>
    </row>
    <row r="3217" spans="1:17" x14ac:dyDescent="0.3">
      <c r="A3217" t="s">
        <v>17</v>
      </c>
      <c r="B3217" t="str">
        <f>"688555"</f>
        <v>688555</v>
      </c>
      <c r="C3217" t="s">
        <v>6781</v>
      </c>
      <c r="D3217" t="s">
        <v>1528</v>
      </c>
      <c r="F3217">
        <v>-66042660</v>
      </c>
      <c r="G3217">
        <v>38736938</v>
      </c>
      <c r="H3217">
        <v>70542886</v>
      </c>
      <c r="I3217">
        <v>46849319</v>
      </c>
      <c r="J3217">
        <v>37055653</v>
      </c>
      <c r="K3217">
        <v>12078046</v>
      </c>
      <c r="P3217">
        <v>55</v>
      </c>
      <c r="Q3217" t="s">
        <v>6782</v>
      </c>
    </row>
    <row r="3218" spans="1:17" x14ac:dyDescent="0.3">
      <c r="A3218" t="s">
        <v>59</v>
      </c>
      <c r="B3218" t="str">
        <f>"301070"</f>
        <v>301070</v>
      </c>
      <c r="C3218" t="s">
        <v>6783</v>
      </c>
      <c r="D3218" t="s">
        <v>1838</v>
      </c>
      <c r="F3218">
        <v>55090775</v>
      </c>
      <c r="G3218">
        <v>58580488</v>
      </c>
      <c r="H3218">
        <v>70342701</v>
      </c>
      <c r="I3218">
        <v>54419797</v>
      </c>
      <c r="J3218">
        <v>41264863</v>
      </c>
      <c r="P3218">
        <v>19</v>
      </c>
      <c r="Q3218" t="s">
        <v>6784</v>
      </c>
    </row>
    <row r="3219" spans="1:17" x14ac:dyDescent="0.3">
      <c r="A3219" t="s">
        <v>17</v>
      </c>
      <c r="B3219" t="str">
        <f>"600764"</f>
        <v>600764</v>
      </c>
      <c r="C3219" t="s">
        <v>6785</v>
      </c>
      <c r="D3219" t="s">
        <v>614</v>
      </c>
      <c r="F3219">
        <v>608557056</v>
      </c>
      <c r="G3219">
        <v>171306150</v>
      </c>
      <c r="H3219">
        <v>70316555</v>
      </c>
      <c r="I3219">
        <v>-146582790</v>
      </c>
      <c r="J3219">
        <v>-56186911</v>
      </c>
      <c r="K3219">
        <v>19883491</v>
      </c>
      <c r="L3219">
        <v>88819040</v>
      </c>
      <c r="M3219">
        <v>-29616046</v>
      </c>
      <c r="N3219">
        <v>-76513927</v>
      </c>
      <c r="O3219">
        <v>6286409</v>
      </c>
      <c r="P3219">
        <v>233</v>
      </c>
      <c r="Q3219" t="s">
        <v>6786</v>
      </c>
    </row>
    <row r="3220" spans="1:17" x14ac:dyDescent="0.3">
      <c r="A3220" t="s">
        <v>59</v>
      </c>
      <c r="B3220" t="str">
        <f>"002501"</f>
        <v>002501</v>
      </c>
      <c r="C3220" t="s">
        <v>6787</v>
      </c>
      <c r="D3220" t="s">
        <v>238</v>
      </c>
      <c r="F3220">
        <v>-710042219</v>
      </c>
      <c r="G3220">
        <v>70668291</v>
      </c>
      <c r="H3220">
        <v>70264431</v>
      </c>
      <c r="I3220">
        <v>-246078526</v>
      </c>
      <c r="J3220">
        <v>1281316005</v>
      </c>
      <c r="K3220">
        <v>705635511</v>
      </c>
      <c r="L3220">
        <v>839458707</v>
      </c>
      <c r="M3220">
        <v>733835531</v>
      </c>
      <c r="N3220">
        <v>805252521</v>
      </c>
      <c r="O3220">
        <v>552406616</v>
      </c>
      <c r="P3220">
        <v>107</v>
      </c>
      <c r="Q3220" t="s">
        <v>6788</v>
      </c>
    </row>
    <row r="3221" spans="1:17" x14ac:dyDescent="0.3">
      <c r="A3221" t="s">
        <v>59</v>
      </c>
      <c r="B3221" t="str">
        <f>"002046"</f>
        <v>002046</v>
      </c>
      <c r="C3221" t="s">
        <v>6789</v>
      </c>
      <c r="D3221" t="s">
        <v>637</v>
      </c>
      <c r="F3221">
        <v>185037178</v>
      </c>
      <c r="G3221">
        <v>380808433</v>
      </c>
      <c r="H3221">
        <v>70226279</v>
      </c>
      <c r="I3221">
        <v>-65195222</v>
      </c>
      <c r="J3221">
        <v>139582689</v>
      </c>
      <c r="K3221">
        <v>38942273</v>
      </c>
      <c r="L3221">
        <v>84956121</v>
      </c>
      <c r="M3221">
        <v>-25822270</v>
      </c>
      <c r="N3221">
        <v>-29250228</v>
      </c>
      <c r="O3221">
        <v>24683311</v>
      </c>
      <c r="P3221">
        <v>148</v>
      </c>
      <c r="Q3221" t="s">
        <v>6790</v>
      </c>
    </row>
    <row r="3222" spans="1:17" x14ac:dyDescent="0.3">
      <c r="A3222" t="s">
        <v>17</v>
      </c>
      <c r="B3222" t="str">
        <f>"688129"</f>
        <v>688129</v>
      </c>
      <c r="C3222" t="s">
        <v>6791</v>
      </c>
      <c r="D3222" t="s">
        <v>4667</v>
      </c>
      <c r="F3222">
        <v>67788506</v>
      </c>
      <c r="G3222">
        <v>93292046</v>
      </c>
      <c r="H3222">
        <v>70148363</v>
      </c>
      <c r="I3222">
        <v>85450808</v>
      </c>
      <c r="J3222">
        <v>5520339</v>
      </c>
      <c r="P3222">
        <v>38</v>
      </c>
      <c r="Q3222" t="s">
        <v>6792</v>
      </c>
    </row>
    <row r="3223" spans="1:17" x14ac:dyDescent="0.3">
      <c r="A3223" t="s">
        <v>17</v>
      </c>
      <c r="B3223" t="str">
        <f>"688616"</f>
        <v>688616</v>
      </c>
      <c r="C3223" t="s">
        <v>6793</v>
      </c>
      <c r="D3223" t="s">
        <v>1828</v>
      </c>
      <c r="F3223">
        <v>49790738</v>
      </c>
      <c r="G3223">
        <v>128527465</v>
      </c>
      <c r="H3223">
        <v>70049710</v>
      </c>
      <c r="I3223">
        <v>-22027748</v>
      </c>
      <c r="J3223">
        <v>93837497</v>
      </c>
      <c r="P3223">
        <v>23</v>
      </c>
      <c r="Q3223" t="s">
        <v>6794</v>
      </c>
    </row>
    <row r="3224" spans="1:17" x14ac:dyDescent="0.3">
      <c r="A3224" t="s">
        <v>59</v>
      </c>
      <c r="B3224" t="str">
        <f>"002235"</f>
        <v>002235</v>
      </c>
      <c r="C3224" t="s">
        <v>6795</v>
      </c>
      <c r="D3224" t="s">
        <v>2856</v>
      </c>
      <c r="F3224">
        <v>-16564327</v>
      </c>
      <c r="G3224">
        <v>-41916401</v>
      </c>
      <c r="H3224">
        <v>69955034</v>
      </c>
      <c r="I3224">
        <v>-137740785</v>
      </c>
      <c r="J3224">
        <v>-22309892</v>
      </c>
      <c r="K3224">
        <v>74531563</v>
      </c>
      <c r="L3224">
        <v>115283730</v>
      </c>
      <c r="M3224">
        <v>46194316</v>
      </c>
      <c r="N3224">
        <v>51248082</v>
      </c>
      <c r="O3224">
        <v>106766229</v>
      </c>
      <c r="P3224">
        <v>142</v>
      </c>
      <c r="Q3224" t="s">
        <v>6796</v>
      </c>
    </row>
    <row r="3225" spans="1:17" x14ac:dyDescent="0.3">
      <c r="A3225" t="s">
        <v>17</v>
      </c>
      <c r="B3225" t="str">
        <f>"600589"</f>
        <v>600589</v>
      </c>
      <c r="C3225" t="s">
        <v>6797</v>
      </c>
      <c r="D3225" t="s">
        <v>2104</v>
      </c>
      <c r="F3225">
        <v>-418122363</v>
      </c>
      <c r="G3225">
        <v>-325375693</v>
      </c>
      <c r="H3225">
        <v>69937285</v>
      </c>
      <c r="I3225">
        <v>414991895</v>
      </c>
      <c r="J3225">
        <v>395139540</v>
      </c>
      <c r="K3225">
        <v>55958394</v>
      </c>
      <c r="L3225">
        <v>397671223</v>
      </c>
      <c r="M3225">
        <v>242209338</v>
      </c>
      <c r="N3225">
        <v>129059008</v>
      </c>
      <c r="O3225">
        <v>-28381864</v>
      </c>
      <c r="P3225">
        <v>74</v>
      </c>
      <c r="Q3225" t="s">
        <v>6798</v>
      </c>
    </row>
    <row r="3226" spans="1:17" x14ac:dyDescent="0.3">
      <c r="A3226" t="s">
        <v>59</v>
      </c>
      <c r="B3226" t="str">
        <f>"300062"</f>
        <v>300062</v>
      </c>
      <c r="C3226" t="s">
        <v>6799</v>
      </c>
      <c r="D3226" t="s">
        <v>560</v>
      </c>
      <c r="F3226">
        <v>51367119</v>
      </c>
      <c r="G3226">
        <v>134288787</v>
      </c>
      <c r="H3226">
        <v>69894734</v>
      </c>
      <c r="I3226">
        <v>83813062</v>
      </c>
      <c r="J3226">
        <v>-101903108</v>
      </c>
      <c r="K3226">
        <v>55939803</v>
      </c>
      <c r="L3226">
        <v>164323179</v>
      </c>
      <c r="M3226">
        <v>14248186</v>
      </c>
      <c r="N3226">
        <v>37232330</v>
      </c>
      <c r="O3226">
        <v>-21245190</v>
      </c>
      <c r="P3226">
        <v>125</v>
      </c>
      <c r="Q3226" t="s">
        <v>6800</v>
      </c>
    </row>
    <row r="3227" spans="1:17" x14ac:dyDescent="0.3">
      <c r="A3227" t="s">
        <v>17</v>
      </c>
      <c r="B3227" t="str">
        <f>"603131"</f>
        <v>603131</v>
      </c>
      <c r="C3227" t="s">
        <v>6801</v>
      </c>
      <c r="D3227" t="s">
        <v>1838</v>
      </c>
      <c r="F3227">
        <v>5834688</v>
      </c>
      <c r="G3227">
        <v>165393185</v>
      </c>
      <c r="H3227">
        <v>69894628</v>
      </c>
      <c r="I3227">
        <v>59974671</v>
      </c>
      <c r="J3227">
        <v>100574105</v>
      </c>
      <c r="K3227">
        <v>56588418</v>
      </c>
      <c r="L3227">
        <v>67053802</v>
      </c>
      <c r="M3227">
        <v>54167650</v>
      </c>
      <c r="N3227">
        <v>63214656</v>
      </c>
      <c r="P3227">
        <v>143</v>
      </c>
      <c r="Q3227" t="s">
        <v>6802</v>
      </c>
    </row>
    <row r="3228" spans="1:17" x14ac:dyDescent="0.3">
      <c r="A3228" t="s">
        <v>59</v>
      </c>
      <c r="B3228" t="str">
        <f>"300717"</f>
        <v>300717</v>
      </c>
      <c r="C3228" t="s">
        <v>6803</v>
      </c>
      <c r="D3228" t="s">
        <v>2104</v>
      </c>
      <c r="F3228">
        <v>35729801</v>
      </c>
      <c r="G3228">
        <v>60461214</v>
      </c>
      <c r="H3228">
        <v>69769737</v>
      </c>
      <c r="I3228">
        <v>30745311</v>
      </c>
      <c r="J3228">
        <v>38021019</v>
      </c>
      <c r="K3228">
        <v>54696918</v>
      </c>
      <c r="L3228">
        <v>48979858</v>
      </c>
      <c r="M3228">
        <v>24596331</v>
      </c>
      <c r="P3228">
        <v>71</v>
      </c>
      <c r="Q3228" t="s">
        <v>6804</v>
      </c>
    </row>
    <row r="3229" spans="1:17" x14ac:dyDescent="0.3">
      <c r="A3229" t="s">
        <v>17</v>
      </c>
      <c r="B3229" t="str">
        <f>"603183"</f>
        <v>603183</v>
      </c>
      <c r="C3229" t="s">
        <v>6805</v>
      </c>
      <c r="D3229" t="s">
        <v>2028</v>
      </c>
      <c r="F3229">
        <v>137275395</v>
      </c>
      <c r="G3229">
        <v>150560422</v>
      </c>
      <c r="H3229">
        <v>69756062</v>
      </c>
      <c r="I3229">
        <v>2105365</v>
      </c>
      <c r="J3229">
        <v>31802089</v>
      </c>
      <c r="K3229">
        <v>49568181</v>
      </c>
      <c r="L3229">
        <v>35534359</v>
      </c>
      <c r="M3229">
        <v>37892595</v>
      </c>
      <c r="P3229">
        <v>92</v>
      </c>
      <c r="Q3229" t="s">
        <v>6806</v>
      </c>
    </row>
    <row r="3230" spans="1:17" x14ac:dyDescent="0.3">
      <c r="A3230" t="s">
        <v>59</v>
      </c>
      <c r="B3230" t="str">
        <f>"300254"</f>
        <v>300254</v>
      </c>
      <c r="C3230" t="s">
        <v>6807</v>
      </c>
      <c r="D3230" t="s">
        <v>592</v>
      </c>
      <c r="F3230">
        <v>96921059</v>
      </c>
      <c r="G3230">
        <v>-20877123</v>
      </c>
      <c r="H3230">
        <v>69631647</v>
      </c>
      <c r="I3230">
        <v>38440744</v>
      </c>
      <c r="J3230">
        <v>40103879</v>
      </c>
      <c r="K3230">
        <v>41650141</v>
      </c>
      <c r="L3230">
        <v>15443109</v>
      </c>
      <c r="M3230">
        <v>82191778</v>
      </c>
      <c r="N3230">
        <v>80581533</v>
      </c>
      <c r="O3230">
        <v>35051205</v>
      </c>
      <c r="P3230">
        <v>82</v>
      </c>
      <c r="Q3230" t="s">
        <v>6808</v>
      </c>
    </row>
    <row r="3231" spans="1:17" x14ac:dyDescent="0.3">
      <c r="A3231" t="s">
        <v>59</v>
      </c>
      <c r="B3231" t="str">
        <f>"300650"</f>
        <v>300650</v>
      </c>
      <c r="C3231" t="s">
        <v>6809</v>
      </c>
      <c r="D3231" t="s">
        <v>772</v>
      </c>
      <c r="F3231">
        <v>387363953</v>
      </c>
      <c r="G3231">
        <v>123178914</v>
      </c>
      <c r="H3231">
        <v>69491133</v>
      </c>
      <c r="I3231">
        <v>52063056</v>
      </c>
      <c r="J3231">
        <v>20592345</v>
      </c>
      <c r="K3231">
        <v>48626487</v>
      </c>
      <c r="L3231">
        <v>24403323</v>
      </c>
      <c r="M3231">
        <v>13286135</v>
      </c>
      <c r="P3231">
        <v>125</v>
      </c>
      <c r="Q3231" t="s">
        <v>6810</v>
      </c>
    </row>
    <row r="3232" spans="1:17" x14ac:dyDescent="0.3">
      <c r="A3232" t="s">
        <v>59</v>
      </c>
      <c r="B3232" t="str">
        <f>"001296"</f>
        <v>001296</v>
      </c>
      <c r="C3232" t="s">
        <v>6811</v>
      </c>
      <c r="D3232" t="s">
        <v>1408</v>
      </c>
      <c r="F3232">
        <v>132272319</v>
      </c>
      <c r="G3232">
        <v>19909053</v>
      </c>
      <c r="H3232">
        <v>69486920</v>
      </c>
      <c r="I3232">
        <v>57631166</v>
      </c>
      <c r="K3232">
        <v>118171039</v>
      </c>
      <c r="P3232">
        <v>15</v>
      </c>
      <c r="Q3232" t="s">
        <v>6812</v>
      </c>
    </row>
    <row r="3233" spans="1:17" x14ac:dyDescent="0.3">
      <c r="A3233" t="s">
        <v>59</v>
      </c>
      <c r="B3233" t="str">
        <f>"002355"</f>
        <v>002355</v>
      </c>
      <c r="C3233" t="s">
        <v>6813</v>
      </c>
      <c r="D3233" t="s">
        <v>767</v>
      </c>
      <c r="F3233">
        <v>114988581</v>
      </c>
      <c r="G3233">
        <v>93587462</v>
      </c>
      <c r="H3233">
        <v>69467388</v>
      </c>
      <c r="I3233">
        <v>5928330</v>
      </c>
      <c r="J3233">
        <v>-50926123</v>
      </c>
      <c r="K3233">
        <v>172412307</v>
      </c>
      <c r="L3233">
        <v>111701649</v>
      </c>
      <c r="M3233">
        <v>75260475</v>
      </c>
      <c r="N3233">
        <v>4470653</v>
      </c>
      <c r="O3233">
        <v>32247966</v>
      </c>
      <c r="P3233">
        <v>120</v>
      </c>
      <c r="Q3233" t="s">
        <v>6814</v>
      </c>
    </row>
    <row r="3234" spans="1:17" x14ac:dyDescent="0.3">
      <c r="A3234" t="s">
        <v>17</v>
      </c>
      <c r="B3234" t="str">
        <f>"600634"</f>
        <v>600634</v>
      </c>
      <c r="C3234" t="s">
        <v>6815</v>
      </c>
      <c r="G3234">
        <v>-65340302</v>
      </c>
      <c r="H3234">
        <v>69380482</v>
      </c>
      <c r="I3234">
        <v>-600949287</v>
      </c>
      <c r="J3234">
        <v>450543126</v>
      </c>
      <c r="K3234">
        <v>-279286355</v>
      </c>
      <c r="L3234">
        <v>245673695</v>
      </c>
      <c r="M3234">
        <v>368389840</v>
      </c>
      <c r="N3234">
        <v>408715607</v>
      </c>
      <c r="O3234">
        <v>-41495224</v>
      </c>
      <c r="P3234">
        <v>48</v>
      </c>
      <c r="Q3234" t="s">
        <v>6816</v>
      </c>
    </row>
    <row r="3235" spans="1:17" x14ac:dyDescent="0.3">
      <c r="A3235" t="s">
        <v>17</v>
      </c>
      <c r="B3235" t="str">
        <f>"603860"</f>
        <v>603860</v>
      </c>
      <c r="C3235" t="s">
        <v>6817</v>
      </c>
      <c r="D3235" t="s">
        <v>2254</v>
      </c>
      <c r="F3235">
        <v>36155218</v>
      </c>
      <c r="G3235">
        <v>36193679</v>
      </c>
      <c r="H3235">
        <v>69285665</v>
      </c>
      <c r="I3235">
        <v>40371692</v>
      </c>
      <c r="J3235">
        <v>18425254</v>
      </c>
      <c r="K3235">
        <v>54965107</v>
      </c>
      <c r="L3235">
        <v>56407642</v>
      </c>
      <c r="M3235">
        <v>50244122</v>
      </c>
      <c r="P3235">
        <v>58</v>
      </c>
      <c r="Q3235" t="s">
        <v>6818</v>
      </c>
    </row>
    <row r="3236" spans="1:17" x14ac:dyDescent="0.3">
      <c r="A3236" t="s">
        <v>17</v>
      </c>
      <c r="B3236" t="str">
        <f>"603488"</f>
        <v>603488</v>
      </c>
      <c r="C3236" t="s">
        <v>6819</v>
      </c>
      <c r="D3236" t="s">
        <v>3004</v>
      </c>
      <c r="F3236">
        <v>55538585</v>
      </c>
      <c r="G3236">
        <v>52570843</v>
      </c>
      <c r="H3236">
        <v>69284747</v>
      </c>
      <c r="I3236">
        <v>49049010</v>
      </c>
      <c r="J3236">
        <v>73831442</v>
      </c>
      <c r="K3236">
        <v>62021801</v>
      </c>
      <c r="L3236">
        <v>78055602</v>
      </c>
      <c r="M3236">
        <v>77643434</v>
      </c>
      <c r="P3236">
        <v>64</v>
      </c>
      <c r="Q3236" t="s">
        <v>6820</v>
      </c>
    </row>
    <row r="3237" spans="1:17" x14ac:dyDescent="0.3">
      <c r="A3237" t="s">
        <v>59</v>
      </c>
      <c r="B3237" t="str">
        <f>"300971"</f>
        <v>300971</v>
      </c>
      <c r="C3237" t="s">
        <v>6821</v>
      </c>
      <c r="D3237" t="s">
        <v>1351</v>
      </c>
      <c r="F3237">
        <v>86124557</v>
      </c>
      <c r="G3237">
        <v>50296439</v>
      </c>
      <c r="H3237">
        <v>69141490</v>
      </c>
      <c r="I3237">
        <v>6859116</v>
      </c>
      <c r="J3237">
        <v>38400382</v>
      </c>
      <c r="P3237">
        <v>39</v>
      </c>
      <c r="Q3237" t="s">
        <v>6822</v>
      </c>
    </row>
    <row r="3238" spans="1:17" x14ac:dyDescent="0.3">
      <c r="A3238" t="s">
        <v>17</v>
      </c>
      <c r="B3238" t="str">
        <f>"688079"</f>
        <v>688079</v>
      </c>
      <c r="C3238" t="s">
        <v>6823</v>
      </c>
      <c r="D3238" t="s">
        <v>692</v>
      </c>
      <c r="F3238">
        <v>191014795</v>
      </c>
      <c r="G3238">
        <v>161210804</v>
      </c>
      <c r="H3238">
        <v>69035422</v>
      </c>
      <c r="I3238">
        <v>134856797</v>
      </c>
      <c r="J3238">
        <v>48398867</v>
      </c>
      <c r="P3238">
        <v>36</v>
      </c>
      <c r="Q3238" t="s">
        <v>6824</v>
      </c>
    </row>
    <row r="3239" spans="1:17" x14ac:dyDescent="0.3">
      <c r="A3239" t="s">
        <v>17</v>
      </c>
      <c r="B3239" t="str">
        <f>"603272"</f>
        <v>603272</v>
      </c>
      <c r="C3239" t="s">
        <v>6825</v>
      </c>
      <c r="F3239">
        <v>60893149</v>
      </c>
      <c r="G3239">
        <v>92761739</v>
      </c>
      <c r="H3239">
        <v>69024159</v>
      </c>
      <c r="I3239">
        <v>73178951</v>
      </c>
      <c r="Q3239" t="s">
        <v>6826</v>
      </c>
    </row>
    <row r="3240" spans="1:17" x14ac:dyDescent="0.3">
      <c r="A3240" t="s">
        <v>17</v>
      </c>
      <c r="B3240" t="str">
        <f>"688150"</f>
        <v>688150</v>
      </c>
      <c r="C3240" t="s">
        <v>6827</v>
      </c>
      <c r="F3240">
        <v>169035844</v>
      </c>
      <c r="G3240">
        <v>58096417</v>
      </c>
      <c r="H3240">
        <v>69007216</v>
      </c>
      <c r="I3240">
        <v>-52981046</v>
      </c>
      <c r="P3240">
        <v>4</v>
      </c>
      <c r="Q3240" t="s">
        <v>6828</v>
      </c>
    </row>
    <row r="3241" spans="1:17" x14ac:dyDescent="0.3">
      <c r="A3241" t="s">
        <v>59</v>
      </c>
      <c r="B3241" t="str">
        <f>"300940"</f>
        <v>300940</v>
      </c>
      <c r="C3241" t="s">
        <v>6829</v>
      </c>
      <c r="D3241" t="s">
        <v>772</v>
      </c>
      <c r="F3241">
        <v>69400171</v>
      </c>
      <c r="G3241">
        <v>62332338</v>
      </c>
      <c r="H3241">
        <v>68958696</v>
      </c>
      <c r="I3241">
        <v>28142692</v>
      </c>
      <c r="J3241">
        <v>17059333</v>
      </c>
      <c r="K3241">
        <v>25765068</v>
      </c>
      <c r="P3241">
        <v>39</v>
      </c>
      <c r="Q3241" t="s">
        <v>6830</v>
      </c>
    </row>
    <row r="3242" spans="1:17" x14ac:dyDescent="0.3">
      <c r="A3242" t="s">
        <v>17</v>
      </c>
      <c r="B3242" t="str">
        <f>"603617"</f>
        <v>603617</v>
      </c>
      <c r="C3242" t="s">
        <v>6831</v>
      </c>
      <c r="D3242" t="s">
        <v>1838</v>
      </c>
      <c r="F3242">
        <v>-88746184</v>
      </c>
      <c r="G3242">
        <v>136462962</v>
      </c>
      <c r="H3242">
        <v>68946227</v>
      </c>
      <c r="I3242">
        <v>101543701</v>
      </c>
      <c r="J3242">
        <v>67031530</v>
      </c>
      <c r="K3242">
        <v>58034692</v>
      </c>
      <c r="L3242">
        <v>72858894</v>
      </c>
      <c r="M3242">
        <v>31593960</v>
      </c>
      <c r="P3242">
        <v>104</v>
      </c>
      <c r="Q3242" t="s">
        <v>6832</v>
      </c>
    </row>
    <row r="3243" spans="1:17" x14ac:dyDescent="0.3">
      <c r="A3243" t="s">
        <v>59</v>
      </c>
      <c r="B3243" t="str">
        <f>"002603"</f>
        <v>002603</v>
      </c>
      <c r="C3243" t="s">
        <v>6833</v>
      </c>
      <c r="D3243" t="s">
        <v>455</v>
      </c>
      <c r="F3243">
        <v>528693715</v>
      </c>
      <c r="G3243">
        <v>1586172734</v>
      </c>
      <c r="H3243">
        <v>68925450</v>
      </c>
      <c r="I3243">
        <v>72366630</v>
      </c>
      <c r="J3243">
        <v>114652888</v>
      </c>
      <c r="K3243">
        <v>631641570</v>
      </c>
      <c r="L3243">
        <v>131877728</v>
      </c>
      <c r="M3243">
        <v>105904047</v>
      </c>
      <c r="N3243">
        <v>55322428</v>
      </c>
      <c r="O3243">
        <v>70128569</v>
      </c>
      <c r="P3243">
        <v>833</v>
      </c>
      <c r="Q3243" t="s">
        <v>6834</v>
      </c>
    </row>
    <row r="3244" spans="1:17" x14ac:dyDescent="0.3">
      <c r="A3244" t="s">
        <v>59</v>
      </c>
      <c r="B3244" t="str">
        <f>"002553"</f>
        <v>002553</v>
      </c>
      <c r="C3244" t="s">
        <v>6835</v>
      </c>
      <c r="D3244" t="s">
        <v>156</v>
      </c>
      <c r="F3244">
        <v>72476386</v>
      </c>
      <c r="G3244">
        <v>88354560</v>
      </c>
      <c r="H3244">
        <v>68727131</v>
      </c>
      <c r="I3244">
        <v>44828280</v>
      </c>
      <c r="J3244">
        <v>79020359</v>
      </c>
      <c r="K3244">
        <v>69670965</v>
      </c>
      <c r="L3244">
        <v>64121506</v>
      </c>
      <c r="M3244">
        <v>62027873</v>
      </c>
      <c r="N3244">
        <v>59963148</v>
      </c>
      <c r="O3244">
        <v>55720957</v>
      </c>
      <c r="P3244">
        <v>140</v>
      </c>
      <c r="Q3244" t="s">
        <v>6836</v>
      </c>
    </row>
    <row r="3245" spans="1:17" x14ac:dyDescent="0.3">
      <c r="A3245" t="s">
        <v>17</v>
      </c>
      <c r="B3245" t="str">
        <f>"688368"</f>
        <v>688368</v>
      </c>
      <c r="C3245" t="s">
        <v>6837</v>
      </c>
      <c r="D3245" t="s">
        <v>759</v>
      </c>
      <c r="F3245">
        <v>505231835</v>
      </c>
      <c r="G3245">
        <v>-4954634</v>
      </c>
      <c r="H3245">
        <v>68647607</v>
      </c>
      <c r="I3245">
        <v>37009929</v>
      </c>
      <c r="J3245">
        <v>-6600702</v>
      </c>
      <c r="K3245">
        <v>79732955</v>
      </c>
      <c r="P3245">
        <v>213</v>
      </c>
      <c r="Q3245" t="s">
        <v>6838</v>
      </c>
    </row>
    <row r="3246" spans="1:17" x14ac:dyDescent="0.3">
      <c r="A3246" t="s">
        <v>59</v>
      </c>
      <c r="B3246" t="str">
        <f>"000510"</f>
        <v>000510</v>
      </c>
      <c r="C3246" t="s">
        <v>6839</v>
      </c>
      <c r="D3246" t="s">
        <v>317</v>
      </c>
      <c r="F3246">
        <v>360552598</v>
      </c>
      <c r="G3246">
        <v>195290291</v>
      </c>
      <c r="H3246">
        <v>68581871</v>
      </c>
      <c r="I3246">
        <v>208520783</v>
      </c>
      <c r="J3246">
        <v>45225568</v>
      </c>
      <c r="K3246">
        <v>260371994</v>
      </c>
      <c r="L3246">
        <v>44545256</v>
      </c>
      <c r="M3246">
        <v>125789626</v>
      </c>
      <c r="N3246">
        <v>121317085</v>
      </c>
      <c r="O3246">
        <v>90773103</v>
      </c>
      <c r="P3246">
        <v>128</v>
      </c>
      <c r="Q3246" t="s">
        <v>6840</v>
      </c>
    </row>
    <row r="3247" spans="1:17" x14ac:dyDescent="0.3">
      <c r="A3247" t="s">
        <v>17</v>
      </c>
      <c r="B3247" t="str">
        <f>"688656"</f>
        <v>688656</v>
      </c>
      <c r="C3247" t="s">
        <v>6841</v>
      </c>
      <c r="D3247" t="s">
        <v>1953</v>
      </c>
      <c r="F3247">
        <v>104792848</v>
      </c>
      <c r="G3247">
        <v>58223860</v>
      </c>
      <c r="H3247">
        <v>68574988</v>
      </c>
      <c r="I3247">
        <v>46510822</v>
      </c>
      <c r="J3247">
        <v>22258114</v>
      </c>
      <c r="K3247">
        <v>6421061</v>
      </c>
      <c r="P3247">
        <v>59</v>
      </c>
      <c r="Q3247" t="s">
        <v>6842</v>
      </c>
    </row>
    <row r="3248" spans="1:17" x14ac:dyDescent="0.3">
      <c r="A3248" t="s">
        <v>17</v>
      </c>
      <c r="B3248" t="str">
        <f>"605167"</f>
        <v>605167</v>
      </c>
      <c r="C3248" t="s">
        <v>6843</v>
      </c>
      <c r="D3248" t="s">
        <v>482</v>
      </c>
      <c r="F3248">
        <v>149752823</v>
      </c>
      <c r="G3248">
        <v>100305343</v>
      </c>
      <c r="H3248">
        <v>68531182</v>
      </c>
      <c r="I3248">
        <v>26133720</v>
      </c>
      <c r="J3248">
        <v>78335270</v>
      </c>
      <c r="P3248">
        <v>22</v>
      </c>
      <c r="Q3248" t="s">
        <v>6844</v>
      </c>
    </row>
    <row r="3249" spans="1:17" x14ac:dyDescent="0.3">
      <c r="A3249" t="s">
        <v>59</v>
      </c>
      <c r="B3249" t="str">
        <f>"002186"</f>
        <v>002186</v>
      </c>
      <c r="C3249" t="s">
        <v>6845</v>
      </c>
      <c r="D3249" t="s">
        <v>3991</v>
      </c>
      <c r="F3249">
        <v>-88476020</v>
      </c>
      <c r="G3249">
        <v>-150966203</v>
      </c>
      <c r="H3249">
        <v>68510034</v>
      </c>
      <c r="I3249">
        <v>79983725</v>
      </c>
      <c r="J3249">
        <v>223720458</v>
      </c>
      <c r="K3249">
        <v>216742807</v>
      </c>
      <c r="L3249">
        <v>241391042</v>
      </c>
      <c r="M3249">
        <v>179898799</v>
      </c>
      <c r="N3249">
        <v>205720788</v>
      </c>
      <c r="O3249">
        <v>272641460</v>
      </c>
      <c r="P3249">
        <v>179</v>
      </c>
      <c r="Q3249" t="s">
        <v>6846</v>
      </c>
    </row>
    <row r="3250" spans="1:17" x14ac:dyDescent="0.3">
      <c r="A3250" t="s">
        <v>59</v>
      </c>
      <c r="B3250" t="str">
        <f>"002631"</f>
        <v>002631</v>
      </c>
      <c r="C3250" t="s">
        <v>6847</v>
      </c>
      <c r="D3250" t="s">
        <v>963</v>
      </c>
      <c r="F3250">
        <v>182433270</v>
      </c>
      <c r="G3250">
        <v>29232935</v>
      </c>
      <c r="H3250">
        <v>68430477</v>
      </c>
      <c r="I3250">
        <v>245780689</v>
      </c>
      <c r="J3250">
        <v>238481465</v>
      </c>
      <c r="K3250">
        <v>204542534</v>
      </c>
      <c r="L3250">
        <v>168721705</v>
      </c>
      <c r="M3250">
        <v>33823976</v>
      </c>
      <c r="N3250">
        <v>123000083</v>
      </c>
      <c r="O3250">
        <v>75949051</v>
      </c>
      <c r="P3250">
        <v>156</v>
      </c>
      <c r="Q3250" t="s">
        <v>6848</v>
      </c>
    </row>
    <row r="3251" spans="1:17" x14ac:dyDescent="0.3">
      <c r="A3251" t="s">
        <v>59</v>
      </c>
      <c r="B3251" t="str">
        <f>"003031"</f>
        <v>003031</v>
      </c>
      <c r="C3251" t="s">
        <v>6849</v>
      </c>
      <c r="D3251" t="s">
        <v>1650</v>
      </c>
      <c r="F3251">
        <v>84893853</v>
      </c>
      <c r="G3251">
        <v>89120644</v>
      </c>
      <c r="H3251">
        <v>68368165</v>
      </c>
      <c r="I3251">
        <v>-44862865</v>
      </c>
      <c r="J3251">
        <v>36304853</v>
      </c>
      <c r="K3251">
        <v>30905485</v>
      </c>
      <c r="P3251">
        <v>87</v>
      </c>
      <c r="Q3251" t="s">
        <v>6850</v>
      </c>
    </row>
    <row r="3252" spans="1:17" x14ac:dyDescent="0.3">
      <c r="A3252" t="s">
        <v>17</v>
      </c>
      <c r="B3252" t="str">
        <f>"688575"</f>
        <v>688575</v>
      </c>
      <c r="C3252" t="s">
        <v>6851</v>
      </c>
      <c r="D3252" t="s">
        <v>1953</v>
      </c>
      <c r="F3252">
        <v>259617930</v>
      </c>
      <c r="G3252">
        <v>282155952</v>
      </c>
      <c r="H3252">
        <v>68340695</v>
      </c>
      <c r="I3252">
        <v>29708951</v>
      </c>
      <c r="J3252">
        <v>29823424</v>
      </c>
      <c r="P3252">
        <v>46</v>
      </c>
      <c r="Q3252" t="s">
        <v>6852</v>
      </c>
    </row>
    <row r="3253" spans="1:17" x14ac:dyDescent="0.3">
      <c r="A3253" t="s">
        <v>59</v>
      </c>
      <c r="B3253" t="str">
        <f>"300797"</f>
        <v>300797</v>
      </c>
      <c r="C3253" t="s">
        <v>6853</v>
      </c>
      <c r="D3253" t="s">
        <v>672</v>
      </c>
      <c r="F3253">
        <v>100669130</v>
      </c>
      <c r="G3253">
        <v>111685720</v>
      </c>
      <c r="H3253">
        <v>68218637</v>
      </c>
      <c r="I3253">
        <v>65725838</v>
      </c>
      <c r="J3253">
        <v>19875760</v>
      </c>
      <c r="K3253">
        <v>35416638</v>
      </c>
      <c r="P3253">
        <v>67</v>
      </c>
      <c r="Q3253" t="s">
        <v>6854</v>
      </c>
    </row>
    <row r="3254" spans="1:17" x14ac:dyDescent="0.3">
      <c r="A3254" t="s">
        <v>59</v>
      </c>
      <c r="B3254" t="str">
        <f>"300445"</f>
        <v>300445</v>
      </c>
      <c r="C3254" t="s">
        <v>6855</v>
      </c>
      <c r="D3254" t="s">
        <v>2382</v>
      </c>
      <c r="F3254">
        <v>37666548</v>
      </c>
      <c r="G3254">
        <v>77165972</v>
      </c>
      <c r="H3254">
        <v>68183272</v>
      </c>
      <c r="I3254">
        <v>60481184</v>
      </c>
      <c r="J3254">
        <v>75217066</v>
      </c>
      <c r="K3254">
        <v>43399975</v>
      </c>
      <c r="L3254">
        <v>47276391</v>
      </c>
      <c r="M3254">
        <v>40886926</v>
      </c>
      <c r="N3254">
        <v>35636030</v>
      </c>
      <c r="O3254">
        <v>21960603</v>
      </c>
      <c r="P3254">
        <v>169</v>
      </c>
      <c r="Q3254" t="s">
        <v>6856</v>
      </c>
    </row>
    <row r="3255" spans="1:17" x14ac:dyDescent="0.3">
      <c r="A3255" t="s">
        <v>59</v>
      </c>
      <c r="B3255" t="str">
        <f>"300177"</f>
        <v>300177</v>
      </c>
      <c r="C3255" t="s">
        <v>6857</v>
      </c>
      <c r="D3255" t="s">
        <v>1983</v>
      </c>
      <c r="F3255">
        <v>-217528696</v>
      </c>
      <c r="G3255">
        <v>-44905869</v>
      </c>
      <c r="H3255">
        <v>68142771</v>
      </c>
      <c r="I3255">
        <v>23302697</v>
      </c>
      <c r="J3255">
        <v>112268763</v>
      </c>
      <c r="K3255">
        <v>116349378</v>
      </c>
      <c r="L3255">
        <v>-31695582</v>
      </c>
      <c r="M3255">
        <v>11935371</v>
      </c>
      <c r="N3255">
        <v>66732122</v>
      </c>
      <c r="O3255">
        <v>34063545</v>
      </c>
      <c r="P3255">
        <v>232</v>
      </c>
      <c r="Q3255" t="s">
        <v>6858</v>
      </c>
    </row>
    <row r="3256" spans="1:17" x14ac:dyDescent="0.3">
      <c r="A3256" t="s">
        <v>17</v>
      </c>
      <c r="B3256" t="str">
        <f>"603767"</f>
        <v>603767</v>
      </c>
      <c r="C3256" t="s">
        <v>6859</v>
      </c>
      <c r="D3256" t="s">
        <v>156</v>
      </c>
      <c r="F3256">
        <v>253145542</v>
      </c>
      <c r="G3256">
        <v>45842903</v>
      </c>
      <c r="H3256">
        <v>67963765</v>
      </c>
      <c r="I3256">
        <v>32105894</v>
      </c>
      <c r="J3256">
        <v>174620847</v>
      </c>
      <c r="K3256">
        <v>169375281</v>
      </c>
      <c r="L3256">
        <v>180345674</v>
      </c>
      <c r="M3256">
        <v>173324927</v>
      </c>
      <c r="P3256">
        <v>80</v>
      </c>
      <c r="Q3256" t="s">
        <v>6860</v>
      </c>
    </row>
    <row r="3257" spans="1:17" x14ac:dyDescent="0.3">
      <c r="A3257" t="s">
        <v>59</v>
      </c>
      <c r="B3257" t="str">
        <f>"300609"</f>
        <v>300609</v>
      </c>
      <c r="C3257" t="s">
        <v>6861</v>
      </c>
      <c r="D3257" t="s">
        <v>1189</v>
      </c>
      <c r="F3257">
        <v>56078726</v>
      </c>
      <c r="G3257">
        <v>10466690</v>
      </c>
      <c r="H3257">
        <v>67943403</v>
      </c>
      <c r="I3257">
        <v>21454759</v>
      </c>
      <c r="J3257">
        <v>50226968</v>
      </c>
      <c r="K3257">
        <v>49178419</v>
      </c>
      <c r="L3257">
        <v>6310775</v>
      </c>
      <c r="M3257">
        <v>11420360</v>
      </c>
      <c r="N3257">
        <v>6439814</v>
      </c>
      <c r="P3257">
        <v>155</v>
      </c>
      <c r="Q3257" t="s">
        <v>6862</v>
      </c>
    </row>
    <row r="3258" spans="1:17" x14ac:dyDescent="0.3">
      <c r="A3258" t="s">
        <v>59</v>
      </c>
      <c r="B3258" t="str">
        <f>"002864"</f>
        <v>002864</v>
      </c>
      <c r="C3258" t="s">
        <v>6863</v>
      </c>
      <c r="D3258" t="s">
        <v>455</v>
      </c>
      <c r="F3258">
        <v>116035588</v>
      </c>
      <c r="G3258">
        <v>92238027</v>
      </c>
      <c r="H3258">
        <v>67886531</v>
      </c>
      <c r="I3258">
        <v>46846107</v>
      </c>
      <c r="J3258">
        <v>28449113</v>
      </c>
      <c r="K3258">
        <v>61991436</v>
      </c>
      <c r="L3258">
        <v>40620729</v>
      </c>
      <c r="M3258">
        <v>48555476</v>
      </c>
      <c r="P3258">
        <v>184</v>
      </c>
      <c r="Q3258" t="s">
        <v>6864</v>
      </c>
    </row>
    <row r="3259" spans="1:17" x14ac:dyDescent="0.3">
      <c r="A3259" t="s">
        <v>59</v>
      </c>
      <c r="B3259" t="str">
        <f>"003043"</f>
        <v>003043</v>
      </c>
      <c r="C3259" t="s">
        <v>6865</v>
      </c>
      <c r="D3259" t="s">
        <v>5407</v>
      </c>
      <c r="F3259">
        <v>66238255</v>
      </c>
      <c r="G3259">
        <v>102794083</v>
      </c>
      <c r="H3259">
        <v>67866429</v>
      </c>
      <c r="I3259">
        <v>20326024</v>
      </c>
      <c r="J3259">
        <v>52517177</v>
      </c>
      <c r="K3259">
        <v>51508831</v>
      </c>
      <c r="L3259">
        <v>22675345</v>
      </c>
      <c r="P3259">
        <v>46</v>
      </c>
      <c r="Q3259" t="s">
        <v>6866</v>
      </c>
    </row>
    <row r="3260" spans="1:17" x14ac:dyDescent="0.3">
      <c r="A3260" t="s">
        <v>17</v>
      </c>
      <c r="B3260" t="str">
        <f>"688628"</f>
        <v>688628</v>
      </c>
      <c r="C3260" t="s">
        <v>6867</v>
      </c>
      <c r="D3260" t="s">
        <v>2382</v>
      </c>
      <c r="F3260">
        <v>-36202301</v>
      </c>
      <c r="G3260">
        <v>229683045</v>
      </c>
      <c r="H3260">
        <v>67863439</v>
      </c>
      <c r="I3260">
        <v>-1075830</v>
      </c>
      <c r="J3260">
        <v>22220685</v>
      </c>
      <c r="P3260">
        <v>35</v>
      </c>
      <c r="Q3260" t="s">
        <v>6868</v>
      </c>
    </row>
    <row r="3261" spans="1:17" x14ac:dyDescent="0.3">
      <c r="A3261" t="s">
        <v>59</v>
      </c>
      <c r="B3261" t="str">
        <f>"300545"</f>
        <v>300545</v>
      </c>
      <c r="C3261" t="s">
        <v>6869</v>
      </c>
      <c r="D3261" t="s">
        <v>139</v>
      </c>
      <c r="F3261">
        <v>-32015151</v>
      </c>
      <c r="G3261">
        <v>-41329538</v>
      </c>
      <c r="H3261">
        <v>67855785</v>
      </c>
      <c r="I3261">
        <v>-106315045</v>
      </c>
      <c r="J3261">
        <v>49532143</v>
      </c>
      <c r="K3261">
        <v>-3335710</v>
      </c>
      <c r="L3261">
        <v>27597482</v>
      </c>
      <c r="M3261">
        <v>38146909</v>
      </c>
      <c r="N3261">
        <v>13831708</v>
      </c>
      <c r="P3261">
        <v>182</v>
      </c>
      <c r="Q3261" t="s">
        <v>6870</v>
      </c>
    </row>
    <row r="3262" spans="1:17" x14ac:dyDescent="0.3">
      <c r="A3262" t="s">
        <v>17</v>
      </c>
      <c r="B3262" t="str">
        <f>"603320"</f>
        <v>603320</v>
      </c>
      <c r="C3262" t="s">
        <v>6871</v>
      </c>
      <c r="D3262" t="s">
        <v>1556</v>
      </c>
      <c r="F3262">
        <v>30057516</v>
      </c>
      <c r="G3262">
        <v>95184387</v>
      </c>
      <c r="H3262">
        <v>67762831</v>
      </c>
      <c r="I3262">
        <v>54949477</v>
      </c>
      <c r="J3262">
        <v>20984043</v>
      </c>
      <c r="K3262">
        <v>39689174</v>
      </c>
      <c r="L3262">
        <v>86907129</v>
      </c>
      <c r="M3262">
        <v>84951734</v>
      </c>
      <c r="P3262">
        <v>94</v>
      </c>
      <c r="Q3262" t="s">
        <v>6872</v>
      </c>
    </row>
    <row r="3263" spans="1:17" x14ac:dyDescent="0.3">
      <c r="A3263" t="s">
        <v>59</v>
      </c>
      <c r="B3263" t="str">
        <f>"300643"</f>
        <v>300643</v>
      </c>
      <c r="C3263" t="s">
        <v>6873</v>
      </c>
      <c r="D3263" t="s">
        <v>1226</v>
      </c>
      <c r="F3263">
        <v>115012528</v>
      </c>
      <c r="G3263">
        <v>119943599</v>
      </c>
      <c r="H3263">
        <v>67702399</v>
      </c>
      <c r="I3263">
        <v>22565332</v>
      </c>
      <c r="J3263">
        <v>47133572</v>
      </c>
      <c r="K3263">
        <v>42412845</v>
      </c>
      <c r="L3263">
        <v>55627861</v>
      </c>
      <c r="M3263">
        <v>34785473</v>
      </c>
      <c r="P3263">
        <v>96</v>
      </c>
      <c r="Q3263" t="s">
        <v>6874</v>
      </c>
    </row>
    <row r="3264" spans="1:17" x14ac:dyDescent="0.3">
      <c r="A3264" t="s">
        <v>59</v>
      </c>
      <c r="B3264" t="str">
        <f>"301201"</f>
        <v>301201</v>
      </c>
      <c r="C3264" t="s">
        <v>6875</v>
      </c>
      <c r="D3264" t="s">
        <v>751</v>
      </c>
      <c r="F3264">
        <v>83140535</v>
      </c>
      <c r="G3264">
        <v>128970918</v>
      </c>
      <c r="H3264">
        <v>67523536</v>
      </c>
      <c r="I3264">
        <v>54789551</v>
      </c>
      <c r="J3264">
        <v>35303918</v>
      </c>
      <c r="P3264">
        <v>18</v>
      </c>
      <c r="Q3264" t="s">
        <v>6876</v>
      </c>
    </row>
    <row r="3265" spans="1:17" x14ac:dyDescent="0.3">
      <c r="A3265" t="s">
        <v>59</v>
      </c>
      <c r="B3265" t="str">
        <f>"300942"</f>
        <v>300942</v>
      </c>
      <c r="C3265" t="s">
        <v>6877</v>
      </c>
      <c r="D3265" t="s">
        <v>1953</v>
      </c>
      <c r="F3265">
        <v>255424986</v>
      </c>
      <c r="G3265">
        <v>63793861</v>
      </c>
      <c r="H3265">
        <v>67243604</v>
      </c>
      <c r="I3265">
        <v>57930984</v>
      </c>
      <c r="J3265">
        <v>23602809</v>
      </c>
      <c r="K3265">
        <v>36313068</v>
      </c>
      <c r="P3265">
        <v>98</v>
      </c>
      <c r="Q3265" t="s">
        <v>6878</v>
      </c>
    </row>
    <row r="3266" spans="1:17" x14ac:dyDescent="0.3">
      <c r="A3266" t="s">
        <v>17</v>
      </c>
      <c r="B3266" t="str">
        <f>"603787"</f>
        <v>603787</v>
      </c>
      <c r="C3266" t="s">
        <v>6879</v>
      </c>
      <c r="D3266" t="s">
        <v>1639</v>
      </c>
      <c r="F3266">
        <v>273203011</v>
      </c>
      <c r="G3266">
        <v>371183326</v>
      </c>
      <c r="H3266">
        <v>67160801</v>
      </c>
      <c r="I3266">
        <v>167399088</v>
      </c>
      <c r="J3266">
        <v>138861048</v>
      </c>
      <c r="K3266">
        <v>299018529</v>
      </c>
      <c r="L3266">
        <v>108436932</v>
      </c>
      <c r="M3266">
        <v>131413859</v>
      </c>
      <c r="P3266">
        <v>103</v>
      </c>
      <c r="Q3266" t="s">
        <v>6880</v>
      </c>
    </row>
    <row r="3267" spans="1:17" x14ac:dyDescent="0.3">
      <c r="A3267" t="s">
        <v>17</v>
      </c>
      <c r="B3267" t="str">
        <f>"603933"</f>
        <v>603933</v>
      </c>
      <c r="C3267" t="s">
        <v>6881</v>
      </c>
      <c r="D3267" t="s">
        <v>595</v>
      </c>
      <c r="F3267">
        <v>-42592117</v>
      </c>
      <c r="G3267">
        <v>59462992</v>
      </c>
      <c r="H3267">
        <v>67072118</v>
      </c>
      <c r="I3267">
        <v>-28731041</v>
      </c>
      <c r="J3267">
        <v>1594024</v>
      </c>
      <c r="K3267">
        <v>53957340</v>
      </c>
      <c r="L3267">
        <v>26639182</v>
      </c>
      <c r="M3267">
        <v>44526142</v>
      </c>
      <c r="P3267">
        <v>122</v>
      </c>
      <c r="Q3267" t="s">
        <v>6882</v>
      </c>
    </row>
    <row r="3268" spans="1:17" x14ac:dyDescent="0.3">
      <c r="A3268" t="s">
        <v>17</v>
      </c>
      <c r="B3268" t="str">
        <f>"688611"</f>
        <v>688611</v>
      </c>
      <c r="C3268" t="s">
        <v>6883</v>
      </c>
      <c r="D3268" t="s">
        <v>494</v>
      </c>
      <c r="F3268">
        <v>-2351342</v>
      </c>
      <c r="G3268">
        <v>85494112</v>
      </c>
      <c r="H3268">
        <v>67050499</v>
      </c>
      <c r="I3268">
        <v>121776363</v>
      </c>
      <c r="J3268">
        <v>32136398</v>
      </c>
      <c r="P3268">
        <v>38</v>
      </c>
      <c r="Q3268" t="s">
        <v>6884</v>
      </c>
    </row>
    <row r="3269" spans="1:17" x14ac:dyDescent="0.3">
      <c r="A3269" t="s">
        <v>17</v>
      </c>
      <c r="B3269" t="str">
        <f>"688663"</f>
        <v>688663</v>
      </c>
      <c r="C3269" t="s">
        <v>6885</v>
      </c>
      <c r="D3269" t="s">
        <v>458</v>
      </c>
      <c r="F3269">
        <v>36325518</v>
      </c>
      <c r="G3269">
        <v>124993015</v>
      </c>
      <c r="H3269">
        <v>67046737</v>
      </c>
      <c r="I3269">
        <v>25656270</v>
      </c>
      <c r="J3269">
        <v>30689717</v>
      </c>
      <c r="P3269">
        <v>32</v>
      </c>
      <c r="Q3269" t="s">
        <v>6886</v>
      </c>
    </row>
    <row r="3270" spans="1:17" x14ac:dyDescent="0.3">
      <c r="A3270" t="s">
        <v>59</v>
      </c>
      <c r="B3270" t="str">
        <f>"301008"</f>
        <v>301008</v>
      </c>
      <c r="C3270" t="s">
        <v>6887</v>
      </c>
      <c r="D3270" t="s">
        <v>1087</v>
      </c>
      <c r="F3270">
        <v>25680246</v>
      </c>
      <c r="G3270">
        <v>69440957</v>
      </c>
      <c r="H3270">
        <v>67040284</v>
      </c>
      <c r="I3270">
        <v>44079632</v>
      </c>
      <c r="J3270">
        <v>-11790337</v>
      </c>
      <c r="P3270">
        <v>36</v>
      </c>
      <c r="Q3270" t="s">
        <v>6888</v>
      </c>
    </row>
    <row r="3271" spans="1:17" x14ac:dyDescent="0.3">
      <c r="A3271" t="s">
        <v>59</v>
      </c>
      <c r="B3271" t="str">
        <f>"300344"</f>
        <v>300344</v>
      </c>
      <c r="C3271" t="s">
        <v>6889</v>
      </c>
      <c r="D3271" t="s">
        <v>1528</v>
      </c>
      <c r="F3271">
        <v>-319535926</v>
      </c>
      <c r="G3271">
        <v>-51342532</v>
      </c>
      <c r="H3271">
        <v>67031566</v>
      </c>
      <c r="I3271">
        <v>75645580</v>
      </c>
      <c r="J3271">
        <v>35633668</v>
      </c>
      <c r="K3271">
        <v>-50759813</v>
      </c>
      <c r="L3271">
        <v>-5320621</v>
      </c>
      <c r="M3271">
        <v>-235535</v>
      </c>
      <c r="N3271">
        <v>-6044319</v>
      </c>
      <c r="O3271">
        <v>-51509282</v>
      </c>
      <c r="P3271">
        <v>64</v>
      </c>
      <c r="Q3271" t="s">
        <v>6890</v>
      </c>
    </row>
    <row r="3272" spans="1:17" x14ac:dyDescent="0.3">
      <c r="A3272" t="s">
        <v>59</v>
      </c>
      <c r="B3272" t="str">
        <f>"300593"</f>
        <v>300593</v>
      </c>
      <c r="C3272" t="s">
        <v>6891</v>
      </c>
      <c r="D3272" t="s">
        <v>1746</v>
      </c>
      <c r="F3272">
        <v>-65084917</v>
      </c>
      <c r="G3272">
        <v>16383740</v>
      </c>
      <c r="H3272">
        <v>66927407</v>
      </c>
      <c r="I3272">
        <v>90211873</v>
      </c>
      <c r="J3272">
        <v>-20441314</v>
      </c>
      <c r="K3272">
        <v>16982861</v>
      </c>
      <c r="L3272">
        <v>43241757</v>
      </c>
      <c r="M3272">
        <v>17625515</v>
      </c>
      <c r="N3272">
        <v>-31324324</v>
      </c>
      <c r="P3272">
        <v>254</v>
      </c>
      <c r="Q3272" t="s">
        <v>6892</v>
      </c>
    </row>
    <row r="3273" spans="1:17" x14ac:dyDescent="0.3">
      <c r="A3273" t="s">
        <v>59</v>
      </c>
      <c r="B3273" t="str">
        <f>"301040"</f>
        <v>301040</v>
      </c>
      <c r="C3273" t="s">
        <v>6893</v>
      </c>
      <c r="D3273" t="s">
        <v>1525</v>
      </c>
      <c r="F3273">
        <v>127716130</v>
      </c>
      <c r="G3273">
        <v>103379769</v>
      </c>
      <c r="H3273">
        <v>66849998</v>
      </c>
      <c r="I3273">
        <v>19846946</v>
      </c>
      <c r="J3273">
        <v>17852371</v>
      </c>
      <c r="P3273">
        <v>22</v>
      </c>
      <c r="Q3273" t="s">
        <v>6894</v>
      </c>
    </row>
    <row r="3274" spans="1:17" x14ac:dyDescent="0.3">
      <c r="A3274" t="s">
        <v>59</v>
      </c>
      <c r="B3274" t="str">
        <f>"000906"</f>
        <v>000906</v>
      </c>
      <c r="C3274" t="s">
        <v>6895</v>
      </c>
      <c r="D3274" t="s">
        <v>250</v>
      </c>
      <c r="F3274">
        <v>2438267473</v>
      </c>
      <c r="G3274">
        <v>1164678411</v>
      </c>
      <c r="H3274">
        <v>66784840</v>
      </c>
      <c r="I3274">
        <v>919184158</v>
      </c>
      <c r="J3274">
        <v>-790142521</v>
      </c>
      <c r="K3274">
        <v>287290041</v>
      </c>
      <c r="L3274">
        <v>-89265799</v>
      </c>
      <c r="M3274">
        <v>-417471200</v>
      </c>
      <c r="N3274">
        <v>196085430</v>
      </c>
      <c r="O3274">
        <v>422478287</v>
      </c>
      <c r="P3274">
        <v>238</v>
      </c>
      <c r="Q3274" t="s">
        <v>6896</v>
      </c>
    </row>
    <row r="3275" spans="1:17" x14ac:dyDescent="0.3">
      <c r="A3275" t="s">
        <v>17</v>
      </c>
      <c r="B3275" t="str">
        <f>"605588"</f>
        <v>605588</v>
      </c>
      <c r="C3275" t="s">
        <v>6897</v>
      </c>
      <c r="D3275" t="s">
        <v>692</v>
      </c>
      <c r="F3275">
        <v>22092578</v>
      </c>
      <c r="G3275">
        <v>100881913</v>
      </c>
      <c r="H3275">
        <v>66727291</v>
      </c>
      <c r="I3275">
        <v>39450020</v>
      </c>
      <c r="J3275">
        <v>18499915</v>
      </c>
      <c r="P3275">
        <v>16</v>
      </c>
      <c r="Q3275" t="s">
        <v>6898</v>
      </c>
    </row>
    <row r="3276" spans="1:17" x14ac:dyDescent="0.3">
      <c r="A3276" t="s">
        <v>59</v>
      </c>
      <c r="B3276" t="str">
        <f>"002693"</f>
        <v>002693</v>
      </c>
      <c r="C3276" t="s">
        <v>6899</v>
      </c>
      <c r="D3276" t="s">
        <v>1062</v>
      </c>
      <c r="F3276">
        <v>23553574</v>
      </c>
      <c r="G3276">
        <v>-10501850</v>
      </c>
      <c r="H3276">
        <v>66584747</v>
      </c>
      <c r="I3276">
        <v>46839432</v>
      </c>
      <c r="J3276">
        <v>-22537292</v>
      </c>
      <c r="K3276">
        <v>38646854</v>
      </c>
      <c r="L3276">
        <v>46238561</v>
      </c>
      <c r="M3276">
        <v>51000684</v>
      </c>
      <c r="N3276">
        <v>56433126</v>
      </c>
      <c r="O3276">
        <v>80217907</v>
      </c>
      <c r="P3276">
        <v>95</v>
      </c>
      <c r="Q3276" t="s">
        <v>6900</v>
      </c>
    </row>
    <row r="3277" spans="1:17" x14ac:dyDescent="0.3">
      <c r="A3277" t="s">
        <v>59</v>
      </c>
      <c r="B3277" t="str">
        <f>"300551"</f>
        <v>300551</v>
      </c>
      <c r="C3277" t="s">
        <v>6901</v>
      </c>
      <c r="D3277" t="s">
        <v>707</v>
      </c>
      <c r="F3277">
        <v>-25833904</v>
      </c>
      <c r="G3277">
        <v>64721195</v>
      </c>
      <c r="H3277">
        <v>66567250</v>
      </c>
      <c r="I3277">
        <v>27049172</v>
      </c>
      <c r="J3277">
        <v>12806034</v>
      </c>
      <c r="K3277">
        <v>-37604666</v>
      </c>
      <c r="L3277">
        <v>20944007</v>
      </c>
      <c r="M3277">
        <v>66465083</v>
      </c>
      <c r="N3277">
        <v>64990984</v>
      </c>
      <c r="P3277">
        <v>89</v>
      </c>
      <c r="Q3277" t="s">
        <v>6902</v>
      </c>
    </row>
    <row r="3278" spans="1:17" x14ac:dyDescent="0.3">
      <c r="A3278" t="s">
        <v>59</v>
      </c>
      <c r="B3278" t="str">
        <f>"300845"</f>
        <v>300845</v>
      </c>
      <c r="C3278" t="s">
        <v>6903</v>
      </c>
      <c r="D3278" t="s">
        <v>707</v>
      </c>
      <c r="F3278">
        <v>7635067</v>
      </c>
      <c r="G3278">
        <v>6982107</v>
      </c>
      <c r="H3278">
        <v>66536872</v>
      </c>
      <c r="I3278">
        <v>53666781</v>
      </c>
      <c r="J3278">
        <v>7817756</v>
      </c>
      <c r="K3278">
        <v>15796293</v>
      </c>
      <c r="P3278">
        <v>83</v>
      </c>
      <c r="Q3278" t="s">
        <v>6904</v>
      </c>
    </row>
    <row r="3279" spans="1:17" x14ac:dyDescent="0.3">
      <c r="A3279" t="s">
        <v>59</v>
      </c>
      <c r="B3279" t="str">
        <f>"002290"</f>
        <v>002290</v>
      </c>
      <c r="C3279" t="s">
        <v>6905</v>
      </c>
      <c r="D3279" t="s">
        <v>1087</v>
      </c>
      <c r="F3279">
        <v>110866913</v>
      </c>
      <c r="G3279">
        <v>85004404</v>
      </c>
      <c r="H3279">
        <v>66439341</v>
      </c>
      <c r="I3279">
        <v>-83966840</v>
      </c>
      <c r="J3279">
        <v>-1011611479</v>
      </c>
      <c r="K3279">
        <v>-3722187</v>
      </c>
      <c r="L3279">
        <v>-51467896</v>
      </c>
      <c r="M3279">
        <v>107978120</v>
      </c>
      <c r="N3279">
        <v>60914448</v>
      </c>
      <c r="O3279">
        <v>215303962</v>
      </c>
      <c r="P3279">
        <v>80</v>
      </c>
      <c r="Q3279" t="s">
        <v>6906</v>
      </c>
    </row>
    <row r="3280" spans="1:17" x14ac:dyDescent="0.3">
      <c r="A3280" t="s">
        <v>17</v>
      </c>
      <c r="B3280" t="str">
        <f>"603219"</f>
        <v>603219</v>
      </c>
      <c r="C3280" t="s">
        <v>6907</v>
      </c>
      <c r="D3280" t="s">
        <v>1543</v>
      </c>
      <c r="F3280">
        <v>-101464310</v>
      </c>
      <c r="G3280">
        <v>188393051</v>
      </c>
      <c r="H3280">
        <v>66339511</v>
      </c>
      <c r="I3280">
        <v>137802924</v>
      </c>
      <c r="J3280">
        <v>123808682</v>
      </c>
      <c r="P3280">
        <v>23</v>
      </c>
      <c r="Q3280" t="s">
        <v>6908</v>
      </c>
    </row>
    <row r="3281" spans="1:17" x14ac:dyDescent="0.3">
      <c r="A3281" t="s">
        <v>59</v>
      </c>
      <c r="B3281" t="str">
        <f>"300982"</f>
        <v>300982</v>
      </c>
      <c r="C3281" t="s">
        <v>6909</v>
      </c>
      <c r="D3281" t="s">
        <v>85</v>
      </c>
      <c r="F3281">
        <v>46575085</v>
      </c>
      <c r="G3281">
        <v>252752938</v>
      </c>
      <c r="H3281">
        <v>66320689</v>
      </c>
      <c r="I3281">
        <v>107284296</v>
      </c>
      <c r="J3281">
        <v>113210538</v>
      </c>
      <c r="K3281">
        <v>-37654602</v>
      </c>
      <c r="P3281">
        <v>65</v>
      </c>
      <c r="Q3281" t="s">
        <v>6910</v>
      </c>
    </row>
    <row r="3282" spans="1:17" x14ac:dyDescent="0.3">
      <c r="A3282" t="s">
        <v>59</v>
      </c>
      <c r="B3282" t="str">
        <f>"300170"</f>
        <v>300170</v>
      </c>
      <c r="C3282" t="s">
        <v>6911</v>
      </c>
      <c r="D3282" t="s">
        <v>1189</v>
      </c>
      <c r="F3282">
        <v>191404731</v>
      </c>
      <c r="G3282">
        <v>446512711</v>
      </c>
      <c r="H3282">
        <v>66258554</v>
      </c>
      <c r="I3282">
        <v>201993339</v>
      </c>
      <c r="J3282">
        <v>-25003884</v>
      </c>
      <c r="K3282">
        <v>-270460681</v>
      </c>
      <c r="L3282">
        <v>206128154</v>
      </c>
      <c r="M3282">
        <v>60535594</v>
      </c>
      <c r="N3282">
        <v>63678890</v>
      </c>
      <c r="O3282">
        <v>44935179</v>
      </c>
      <c r="P3282">
        <v>3198</v>
      </c>
      <c r="Q3282" t="s">
        <v>6912</v>
      </c>
    </row>
    <row r="3283" spans="1:17" x14ac:dyDescent="0.3">
      <c r="A3283" t="s">
        <v>17</v>
      </c>
      <c r="B3283" t="str">
        <f>"688313"</f>
        <v>688313</v>
      </c>
      <c r="C3283" t="s">
        <v>6913</v>
      </c>
      <c r="D3283" t="s">
        <v>352</v>
      </c>
      <c r="F3283">
        <v>34045246</v>
      </c>
      <c r="G3283">
        <v>35307157</v>
      </c>
      <c r="H3283">
        <v>66232827</v>
      </c>
      <c r="I3283">
        <v>22187140</v>
      </c>
      <c r="J3283">
        <v>3498294</v>
      </c>
      <c r="P3283">
        <v>50</v>
      </c>
      <c r="Q3283" t="s">
        <v>6914</v>
      </c>
    </row>
    <row r="3284" spans="1:17" x14ac:dyDescent="0.3">
      <c r="A3284" t="s">
        <v>59</v>
      </c>
      <c r="B3284" t="str">
        <f>"000153"</f>
        <v>000153</v>
      </c>
      <c r="C3284" t="s">
        <v>6915</v>
      </c>
      <c r="D3284" t="s">
        <v>592</v>
      </c>
      <c r="F3284">
        <v>237881716</v>
      </c>
      <c r="G3284">
        <v>292753328</v>
      </c>
      <c r="H3284">
        <v>66213295</v>
      </c>
      <c r="I3284">
        <v>233592505</v>
      </c>
      <c r="J3284">
        <v>52395110</v>
      </c>
      <c r="K3284">
        <v>78211866</v>
      </c>
      <c r="L3284">
        <v>45498599</v>
      </c>
      <c r="M3284">
        <v>10510497</v>
      </c>
      <c r="N3284">
        <v>-70311401</v>
      </c>
      <c r="O3284">
        <v>45650434</v>
      </c>
      <c r="P3284">
        <v>118</v>
      </c>
      <c r="Q3284" t="s">
        <v>6916</v>
      </c>
    </row>
    <row r="3285" spans="1:17" x14ac:dyDescent="0.3">
      <c r="A3285" t="s">
        <v>59</v>
      </c>
      <c r="B3285" t="str">
        <f>"300949"</f>
        <v>300949</v>
      </c>
      <c r="C3285" t="s">
        <v>6917</v>
      </c>
      <c r="D3285" t="s">
        <v>1489</v>
      </c>
      <c r="F3285">
        <v>-47462007</v>
      </c>
      <c r="G3285">
        <v>92634440</v>
      </c>
      <c r="H3285">
        <v>66056832</v>
      </c>
      <c r="I3285">
        <v>83309923</v>
      </c>
      <c r="J3285">
        <v>81205352</v>
      </c>
      <c r="K3285">
        <v>44294336</v>
      </c>
      <c r="P3285">
        <v>39</v>
      </c>
      <c r="Q3285" t="s">
        <v>6918</v>
      </c>
    </row>
    <row r="3286" spans="1:17" x14ac:dyDescent="0.3">
      <c r="A3286" t="s">
        <v>59</v>
      </c>
      <c r="B3286" t="str">
        <f>"000503"</f>
        <v>000503</v>
      </c>
      <c r="C3286" t="s">
        <v>6919</v>
      </c>
      <c r="D3286" t="s">
        <v>1528</v>
      </c>
      <c r="F3286">
        <v>-104821324</v>
      </c>
      <c r="G3286">
        <v>-93006323</v>
      </c>
      <c r="H3286">
        <v>66044107</v>
      </c>
      <c r="I3286">
        <v>-23181186</v>
      </c>
      <c r="J3286">
        <v>-241511541</v>
      </c>
      <c r="K3286">
        <v>22942531</v>
      </c>
      <c r="L3286">
        <v>13410826</v>
      </c>
      <c r="M3286">
        <v>-24808052</v>
      </c>
      <c r="N3286">
        <v>159587254</v>
      </c>
      <c r="O3286">
        <v>65869119</v>
      </c>
      <c r="P3286">
        <v>174</v>
      </c>
      <c r="Q3286" t="s">
        <v>6920</v>
      </c>
    </row>
    <row r="3287" spans="1:17" x14ac:dyDescent="0.3">
      <c r="A3287" t="s">
        <v>59</v>
      </c>
      <c r="B3287" t="str">
        <f>"002822"</f>
        <v>002822</v>
      </c>
      <c r="C3287" t="s">
        <v>6921</v>
      </c>
      <c r="D3287" t="s">
        <v>1150</v>
      </c>
      <c r="F3287">
        <v>-535848850</v>
      </c>
      <c r="G3287">
        <v>-302165555</v>
      </c>
      <c r="H3287">
        <v>65977962</v>
      </c>
      <c r="I3287">
        <v>-245506537</v>
      </c>
      <c r="J3287">
        <v>-178298572</v>
      </c>
      <c r="K3287">
        <v>-111879568</v>
      </c>
      <c r="L3287">
        <v>23027526</v>
      </c>
      <c r="M3287">
        <v>-128539128</v>
      </c>
      <c r="N3287">
        <v>22703942</v>
      </c>
      <c r="P3287">
        <v>134</v>
      </c>
      <c r="Q3287" t="s">
        <v>6922</v>
      </c>
    </row>
    <row r="3288" spans="1:17" x14ac:dyDescent="0.3">
      <c r="A3288" t="s">
        <v>17</v>
      </c>
      <c r="B3288" t="str">
        <f>"600715"</f>
        <v>600715</v>
      </c>
      <c r="C3288" t="s">
        <v>6923</v>
      </c>
      <c r="D3288" t="s">
        <v>689</v>
      </c>
      <c r="F3288">
        <v>128806499</v>
      </c>
      <c r="G3288">
        <v>180739061</v>
      </c>
      <c r="H3288">
        <v>65938562</v>
      </c>
      <c r="I3288">
        <v>-661469790</v>
      </c>
      <c r="J3288">
        <v>295479517</v>
      </c>
      <c r="K3288">
        <v>-235822584</v>
      </c>
      <c r="L3288">
        <v>293513669</v>
      </c>
      <c r="M3288">
        <v>14704445</v>
      </c>
      <c r="N3288">
        <v>-27508818</v>
      </c>
      <c r="O3288">
        <v>-48606417</v>
      </c>
      <c r="P3288">
        <v>127</v>
      </c>
      <c r="Q3288" t="s">
        <v>6924</v>
      </c>
    </row>
    <row r="3289" spans="1:17" x14ac:dyDescent="0.3">
      <c r="A3289" t="s">
        <v>59</v>
      </c>
      <c r="B3289" t="str">
        <f>"301130"</f>
        <v>301130</v>
      </c>
      <c r="C3289" t="s">
        <v>6925</v>
      </c>
      <c r="F3289">
        <v>59013817</v>
      </c>
      <c r="G3289">
        <v>64541782</v>
      </c>
      <c r="H3289">
        <v>65933476</v>
      </c>
      <c r="I3289">
        <v>66087436</v>
      </c>
      <c r="J3289">
        <v>31347548</v>
      </c>
      <c r="P3289">
        <v>7</v>
      </c>
      <c r="Q3289" t="s">
        <v>6926</v>
      </c>
    </row>
    <row r="3290" spans="1:17" x14ac:dyDescent="0.3">
      <c r="A3290" t="s">
        <v>59</v>
      </c>
      <c r="B3290" t="str">
        <f>"002888"</f>
        <v>002888</v>
      </c>
      <c r="C3290" t="s">
        <v>6927</v>
      </c>
      <c r="D3290" t="s">
        <v>563</v>
      </c>
      <c r="F3290">
        <v>-19036179</v>
      </c>
      <c r="G3290">
        <v>33721229</v>
      </c>
      <c r="H3290">
        <v>65917253</v>
      </c>
      <c r="I3290">
        <v>13058375</v>
      </c>
      <c r="J3290">
        <v>11702620</v>
      </c>
      <c r="K3290">
        <v>62226266</v>
      </c>
      <c r="L3290">
        <v>61011250</v>
      </c>
      <c r="M3290">
        <v>41404228</v>
      </c>
      <c r="P3290">
        <v>80</v>
      </c>
      <c r="Q3290" t="s">
        <v>6928</v>
      </c>
    </row>
    <row r="3291" spans="1:17" x14ac:dyDescent="0.3">
      <c r="A3291" t="s">
        <v>59</v>
      </c>
      <c r="B3291" t="str">
        <f>"002907"</f>
        <v>002907</v>
      </c>
      <c r="C3291" t="s">
        <v>6929</v>
      </c>
      <c r="D3291" t="s">
        <v>455</v>
      </c>
      <c r="F3291">
        <v>82850660</v>
      </c>
      <c r="G3291">
        <v>113637989</v>
      </c>
      <c r="H3291">
        <v>65915553</v>
      </c>
      <c r="I3291">
        <v>31795465</v>
      </c>
      <c r="J3291">
        <v>81339878</v>
      </c>
      <c r="K3291">
        <v>57732729</v>
      </c>
      <c r="L3291">
        <v>66101058</v>
      </c>
      <c r="M3291">
        <v>20221317</v>
      </c>
      <c r="P3291">
        <v>286</v>
      </c>
      <c r="Q3291" t="s">
        <v>6930</v>
      </c>
    </row>
    <row r="3292" spans="1:17" x14ac:dyDescent="0.3">
      <c r="A3292" t="s">
        <v>59</v>
      </c>
      <c r="B3292" t="str">
        <f>"301222"</f>
        <v>301222</v>
      </c>
      <c r="C3292" t="s">
        <v>6931</v>
      </c>
      <c r="F3292">
        <v>64136095</v>
      </c>
      <c r="G3292">
        <v>93132043</v>
      </c>
      <c r="H3292">
        <v>65913155</v>
      </c>
      <c r="I3292">
        <v>61307479</v>
      </c>
      <c r="J3292">
        <v>54355296</v>
      </c>
      <c r="P3292">
        <v>4</v>
      </c>
      <c r="Q3292" t="s">
        <v>6932</v>
      </c>
    </row>
    <row r="3293" spans="1:17" x14ac:dyDescent="0.3">
      <c r="A3293" t="s">
        <v>59</v>
      </c>
      <c r="B3293" t="str">
        <f>"300554"</f>
        <v>300554</v>
      </c>
      <c r="C3293" t="s">
        <v>6933</v>
      </c>
      <c r="D3293" t="s">
        <v>1636</v>
      </c>
      <c r="F3293">
        <v>103263133</v>
      </c>
      <c r="G3293">
        <v>-11800943</v>
      </c>
      <c r="H3293">
        <v>65814629</v>
      </c>
      <c r="I3293">
        <v>91834707</v>
      </c>
      <c r="J3293">
        <v>64092573</v>
      </c>
      <c r="K3293">
        <v>7909244</v>
      </c>
      <c r="L3293">
        <v>24190419</v>
      </c>
      <c r="M3293">
        <v>13048488</v>
      </c>
      <c r="P3293">
        <v>123</v>
      </c>
      <c r="Q3293" t="s">
        <v>6934</v>
      </c>
    </row>
    <row r="3294" spans="1:17" x14ac:dyDescent="0.3">
      <c r="A3294" t="s">
        <v>17</v>
      </c>
      <c r="B3294" t="str">
        <f>"688355"</f>
        <v>688355</v>
      </c>
      <c r="C3294" t="s">
        <v>6935</v>
      </c>
      <c r="D3294" t="s">
        <v>637</v>
      </c>
      <c r="F3294">
        <v>142942170</v>
      </c>
      <c r="G3294">
        <v>144311923</v>
      </c>
      <c r="H3294">
        <v>65732126</v>
      </c>
      <c r="I3294">
        <v>70789731</v>
      </c>
      <c r="J3294">
        <v>37432394</v>
      </c>
      <c r="P3294">
        <v>21</v>
      </c>
      <c r="Q3294" t="s">
        <v>6936</v>
      </c>
    </row>
    <row r="3295" spans="1:17" x14ac:dyDescent="0.3">
      <c r="A3295" t="s">
        <v>59</v>
      </c>
      <c r="B3295" t="str">
        <f>"002057"</f>
        <v>002057</v>
      </c>
      <c r="C3295" t="s">
        <v>6937</v>
      </c>
      <c r="D3295" t="s">
        <v>2132</v>
      </c>
      <c r="F3295">
        <v>127754425</v>
      </c>
      <c r="G3295">
        <v>164403187</v>
      </c>
      <c r="H3295">
        <v>65706618</v>
      </c>
      <c r="I3295">
        <v>67091223</v>
      </c>
      <c r="J3295">
        <v>115191821</v>
      </c>
      <c r="K3295">
        <v>34083545</v>
      </c>
      <c r="L3295">
        <v>23445371</v>
      </c>
      <c r="M3295">
        <v>-12884109</v>
      </c>
      <c r="N3295">
        <v>9257882</v>
      </c>
      <c r="O3295">
        <v>4028292</v>
      </c>
      <c r="P3295">
        <v>126</v>
      </c>
      <c r="Q3295" t="s">
        <v>6938</v>
      </c>
    </row>
    <row r="3296" spans="1:17" x14ac:dyDescent="0.3">
      <c r="A3296" t="s">
        <v>59</v>
      </c>
      <c r="B3296" t="str">
        <f>"300611"</f>
        <v>300611</v>
      </c>
      <c r="C3296" t="s">
        <v>6939</v>
      </c>
      <c r="D3296" t="s">
        <v>156</v>
      </c>
      <c r="F3296">
        <v>27687931</v>
      </c>
      <c r="G3296">
        <v>82631525</v>
      </c>
      <c r="H3296">
        <v>65677543</v>
      </c>
      <c r="I3296">
        <v>35366050</v>
      </c>
      <c r="J3296">
        <v>14836487</v>
      </c>
      <c r="K3296">
        <v>72042910</v>
      </c>
      <c r="L3296">
        <v>52671305</v>
      </c>
      <c r="M3296">
        <v>27786731</v>
      </c>
      <c r="N3296">
        <v>24162831</v>
      </c>
      <c r="P3296">
        <v>97</v>
      </c>
      <c r="Q3296" t="s">
        <v>6940</v>
      </c>
    </row>
    <row r="3297" spans="1:17" x14ac:dyDescent="0.3">
      <c r="A3297" t="s">
        <v>17</v>
      </c>
      <c r="B3297" t="str">
        <f>"688718"</f>
        <v>688718</v>
      </c>
      <c r="C3297" t="s">
        <v>6941</v>
      </c>
      <c r="D3297" t="s">
        <v>1674</v>
      </c>
      <c r="F3297">
        <v>40750098</v>
      </c>
      <c r="G3297">
        <v>91092992</v>
      </c>
      <c r="H3297">
        <v>65581822</v>
      </c>
      <c r="I3297">
        <v>63995794</v>
      </c>
      <c r="J3297">
        <v>65246244</v>
      </c>
      <c r="P3297">
        <v>20</v>
      </c>
      <c r="Q3297" t="s">
        <v>6942</v>
      </c>
    </row>
    <row r="3298" spans="1:17" x14ac:dyDescent="0.3">
      <c r="A3298" t="s">
        <v>59</v>
      </c>
      <c r="B3298" t="str">
        <f>"301097"</f>
        <v>301097</v>
      </c>
      <c r="C3298" t="s">
        <v>6943</v>
      </c>
      <c r="F3298">
        <v>133029878</v>
      </c>
      <c r="G3298">
        <v>121375903</v>
      </c>
      <c r="H3298">
        <v>65460991</v>
      </c>
      <c r="I3298">
        <v>59796067</v>
      </c>
      <c r="J3298">
        <v>66504016</v>
      </c>
      <c r="P3298">
        <v>2</v>
      </c>
      <c r="Q3298" t="s">
        <v>6944</v>
      </c>
    </row>
    <row r="3299" spans="1:17" x14ac:dyDescent="0.3">
      <c r="A3299" t="s">
        <v>59</v>
      </c>
      <c r="B3299" t="str">
        <f>"300890"</f>
        <v>300890</v>
      </c>
      <c r="C3299" t="s">
        <v>6945</v>
      </c>
      <c r="D3299" t="s">
        <v>1444</v>
      </c>
      <c r="F3299">
        <v>24393912</v>
      </c>
      <c r="G3299">
        <v>20927161</v>
      </c>
      <c r="H3299">
        <v>65434604</v>
      </c>
      <c r="I3299">
        <v>-55013799</v>
      </c>
      <c r="J3299">
        <v>-109866609</v>
      </c>
      <c r="K3299">
        <v>-10720662</v>
      </c>
      <c r="P3299">
        <v>62</v>
      </c>
      <c r="Q3299" t="s">
        <v>6946</v>
      </c>
    </row>
    <row r="3300" spans="1:17" x14ac:dyDescent="0.3">
      <c r="A3300" t="s">
        <v>59</v>
      </c>
      <c r="B3300" t="str">
        <f>"300225"</f>
        <v>300225</v>
      </c>
      <c r="C3300" t="s">
        <v>6947</v>
      </c>
      <c r="D3300" t="s">
        <v>4667</v>
      </c>
      <c r="F3300">
        <v>-210413189</v>
      </c>
      <c r="G3300">
        <v>149722801</v>
      </c>
      <c r="H3300">
        <v>65363863</v>
      </c>
      <c r="I3300">
        <v>-26968284</v>
      </c>
      <c r="J3300">
        <v>88254449</v>
      </c>
      <c r="K3300">
        <v>90098496</v>
      </c>
      <c r="L3300">
        <v>35553839</v>
      </c>
      <c r="M3300">
        <v>92927415</v>
      </c>
      <c r="N3300">
        <v>38280459</v>
      </c>
      <c r="O3300">
        <v>122229621</v>
      </c>
      <c r="P3300">
        <v>94</v>
      </c>
      <c r="Q3300" t="s">
        <v>6948</v>
      </c>
    </row>
    <row r="3301" spans="1:17" x14ac:dyDescent="0.3">
      <c r="A3301" t="s">
        <v>17</v>
      </c>
      <c r="B3301" t="str">
        <f>"603739"</f>
        <v>603739</v>
      </c>
      <c r="C3301" t="s">
        <v>6949</v>
      </c>
      <c r="D3301" t="s">
        <v>3061</v>
      </c>
      <c r="F3301">
        <v>89513700</v>
      </c>
      <c r="G3301">
        <v>172997191</v>
      </c>
      <c r="H3301">
        <v>65327126</v>
      </c>
      <c r="I3301">
        <v>85751379</v>
      </c>
      <c r="J3301">
        <v>121900845</v>
      </c>
      <c r="K3301">
        <v>154487354</v>
      </c>
      <c r="L3301">
        <v>74268466</v>
      </c>
      <c r="P3301">
        <v>123</v>
      </c>
      <c r="Q3301" t="s">
        <v>6950</v>
      </c>
    </row>
    <row r="3302" spans="1:17" x14ac:dyDescent="0.3">
      <c r="A3302" t="s">
        <v>17</v>
      </c>
      <c r="B3302" t="str">
        <f>"688046"</f>
        <v>688046</v>
      </c>
      <c r="C3302" t="s">
        <v>6951</v>
      </c>
      <c r="F3302">
        <v>113312924</v>
      </c>
      <c r="G3302">
        <v>129785193</v>
      </c>
      <c r="H3302">
        <v>65122570</v>
      </c>
      <c r="I3302">
        <v>43413684</v>
      </c>
      <c r="P3302">
        <v>2</v>
      </c>
      <c r="Q3302" t="s">
        <v>6952</v>
      </c>
    </row>
    <row r="3303" spans="1:17" x14ac:dyDescent="0.3">
      <c r="A3303" t="s">
        <v>59</v>
      </c>
      <c r="B3303" t="str">
        <f>"300224"</f>
        <v>300224</v>
      </c>
      <c r="C3303" t="s">
        <v>6953</v>
      </c>
      <c r="D3303" t="s">
        <v>2132</v>
      </c>
      <c r="F3303">
        <v>356409774</v>
      </c>
      <c r="G3303">
        <v>286362526</v>
      </c>
      <c r="H3303">
        <v>65112911</v>
      </c>
      <c r="I3303">
        <v>136308463</v>
      </c>
      <c r="J3303">
        <v>55287715</v>
      </c>
      <c r="K3303">
        <v>-51994602</v>
      </c>
      <c r="L3303">
        <v>115156717</v>
      </c>
      <c r="M3303">
        <v>-71289028</v>
      </c>
      <c r="N3303">
        <v>68375268</v>
      </c>
      <c r="O3303">
        <v>254628705</v>
      </c>
      <c r="P3303">
        <v>198</v>
      </c>
      <c r="Q3303" t="s">
        <v>6954</v>
      </c>
    </row>
    <row r="3304" spans="1:17" x14ac:dyDescent="0.3">
      <c r="A3304" t="s">
        <v>59</v>
      </c>
      <c r="B3304" t="str">
        <f>"300680"</f>
        <v>300680</v>
      </c>
      <c r="C3304" t="s">
        <v>6955</v>
      </c>
      <c r="D3304" t="s">
        <v>156</v>
      </c>
      <c r="F3304">
        <v>21383302</v>
      </c>
      <c r="G3304">
        <v>44072278</v>
      </c>
      <c r="H3304">
        <v>65111181</v>
      </c>
      <c r="I3304">
        <v>24605286</v>
      </c>
      <c r="J3304">
        <v>-8072534</v>
      </c>
      <c r="K3304">
        <v>49204620</v>
      </c>
      <c r="L3304">
        <v>1146830</v>
      </c>
      <c r="M3304">
        <v>-10948443</v>
      </c>
      <c r="P3304">
        <v>114</v>
      </c>
      <c r="Q3304" t="s">
        <v>6956</v>
      </c>
    </row>
    <row r="3305" spans="1:17" x14ac:dyDescent="0.3">
      <c r="A3305" t="s">
        <v>59</v>
      </c>
      <c r="B3305" t="str">
        <f>"000790"</f>
        <v>000790</v>
      </c>
      <c r="C3305" t="s">
        <v>6957</v>
      </c>
      <c r="D3305" t="s">
        <v>455</v>
      </c>
      <c r="F3305">
        <v>-55640088</v>
      </c>
      <c r="G3305">
        <v>13495801</v>
      </c>
      <c r="H3305">
        <v>65027238</v>
      </c>
      <c r="I3305">
        <v>107736443</v>
      </c>
      <c r="J3305">
        <v>-30416754</v>
      </c>
      <c r="K3305">
        <v>51590628</v>
      </c>
      <c r="L3305">
        <v>-60525818</v>
      </c>
      <c r="M3305">
        <v>-18378505</v>
      </c>
      <c r="N3305">
        <v>34850056</v>
      </c>
      <c r="O3305">
        <v>-46435992</v>
      </c>
      <c r="P3305">
        <v>175</v>
      </c>
      <c r="Q3305" t="s">
        <v>6958</v>
      </c>
    </row>
    <row r="3306" spans="1:17" x14ac:dyDescent="0.3">
      <c r="A3306" t="s">
        <v>59</v>
      </c>
      <c r="B3306" t="str">
        <f>"002931"</f>
        <v>002931</v>
      </c>
      <c r="C3306" t="s">
        <v>6959</v>
      </c>
      <c r="D3306" t="s">
        <v>637</v>
      </c>
      <c r="F3306">
        <v>34343119</v>
      </c>
      <c r="G3306">
        <v>59393039</v>
      </c>
      <c r="H3306">
        <v>64999887</v>
      </c>
      <c r="I3306">
        <v>24536758</v>
      </c>
      <c r="J3306">
        <v>57060435</v>
      </c>
      <c r="K3306">
        <v>67544411</v>
      </c>
      <c r="L3306">
        <v>36645303</v>
      </c>
      <c r="P3306">
        <v>107</v>
      </c>
      <c r="Q3306" t="s">
        <v>6960</v>
      </c>
    </row>
    <row r="3307" spans="1:17" x14ac:dyDescent="0.3">
      <c r="A3307" t="s">
        <v>59</v>
      </c>
      <c r="B3307" t="str">
        <f>"300472"</f>
        <v>300472</v>
      </c>
      <c r="C3307" t="s">
        <v>6961</v>
      </c>
      <c r="D3307" t="s">
        <v>1351</v>
      </c>
      <c r="F3307">
        <v>-3201829</v>
      </c>
      <c r="G3307">
        <v>-78404847</v>
      </c>
      <c r="H3307">
        <v>64837183</v>
      </c>
      <c r="I3307">
        <v>61052285</v>
      </c>
      <c r="J3307">
        <v>16005177</v>
      </c>
      <c r="K3307">
        <v>-45381832</v>
      </c>
      <c r="L3307">
        <v>-34151191</v>
      </c>
      <c r="M3307">
        <v>25481506</v>
      </c>
      <c r="N3307">
        <v>10435223</v>
      </c>
      <c r="O3307">
        <v>23551628</v>
      </c>
      <c r="P3307">
        <v>78</v>
      </c>
      <c r="Q3307" t="s">
        <v>6962</v>
      </c>
    </row>
    <row r="3308" spans="1:17" x14ac:dyDescent="0.3">
      <c r="A3308" t="s">
        <v>59</v>
      </c>
      <c r="B3308" t="str">
        <f>"300217"</f>
        <v>300217</v>
      </c>
      <c r="C3308" t="s">
        <v>6963</v>
      </c>
      <c r="D3308" t="s">
        <v>1087</v>
      </c>
      <c r="F3308">
        <v>-65462442</v>
      </c>
      <c r="G3308">
        <v>27896912</v>
      </c>
      <c r="H3308">
        <v>64594361</v>
      </c>
      <c r="I3308">
        <v>-208920114</v>
      </c>
      <c r="J3308">
        <v>-63161431</v>
      </c>
      <c r="K3308">
        <v>78680709</v>
      </c>
      <c r="L3308">
        <v>129069707</v>
      </c>
      <c r="M3308">
        <v>68724704</v>
      </c>
      <c r="N3308">
        <v>-36654495</v>
      </c>
      <c r="O3308">
        <v>74773307</v>
      </c>
      <c r="P3308">
        <v>160</v>
      </c>
      <c r="Q3308" t="s">
        <v>6964</v>
      </c>
    </row>
    <row r="3309" spans="1:17" x14ac:dyDescent="0.3">
      <c r="A3309" t="s">
        <v>59</v>
      </c>
      <c r="B3309" t="str">
        <f>"300055"</f>
        <v>300055</v>
      </c>
      <c r="C3309" t="s">
        <v>6965</v>
      </c>
      <c r="D3309" t="s">
        <v>669</v>
      </c>
      <c r="F3309">
        <v>300285419</v>
      </c>
      <c r="G3309">
        <v>212774424</v>
      </c>
      <c r="H3309">
        <v>64522972</v>
      </c>
      <c r="I3309">
        <v>159624529</v>
      </c>
      <c r="J3309">
        <v>504376892</v>
      </c>
      <c r="K3309">
        <v>104452291</v>
      </c>
      <c r="L3309">
        <v>31218716</v>
      </c>
      <c r="M3309">
        <v>-43142759</v>
      </c>
      <c r="N3309">
        <v>83226379</v>
      </c>
      <c r="O3309">
        <v>179958244</v>
      </c>
      <c r="P3309">
        <v>163</v>
      </c>
      <c r="Q3309" t="s">
        <v>6966</v>
      </c>
    </row>
    <row r="3310" spans="1:17" x14ac:dyDescent="0.3">
      <c r="A3310" t="s">
        <v>59</v>
      </c>
      <c r="B3310" t="str">
        <f>"301128"</f>
        <v>301128</v>
      </c>
      <c r="C3310" t="s">
        <v>6967</v>
      </c>
      <c r="D3310" t="s">
        <v>1351</v>
      </c>
      <c r="F3310">
        <v>44361519</v>
      </c>
      <c r="G3310">
        <v>32567471</v>
      </c>
      <c r="H3310">
        <v>64487611</v>
      </c>
      <c r="I3310">
        <v>5092383</v>
      </c>
      <c r="J3310">
        <v>3209664</v>
      </c>
      <c r="P3310">
        <v>12</v>
      </c>
      <c r="Q3310" t="s">
        <v>6968</v>
      </c>
    </row>
    <row r="3311" spans="1:17" x14ac:dyDescent="0.3">
      <c r="A3311" t="s">
        <v>59</v>
      </c>
      <c r="B3311" t="str">
        <f>"300842"</f>
        <v>300842</v>
      </c>
      <c r="C3311" t="s">
        <v>6969</v>
      </c>
      <c r="D3311" t="s">
        <v>1340</v>
      </c>
      <c r="F3311">
        <v>-259398094</v>
      </c>
      <c r="G3311">
        <v>-520598228</v>
      </c>
      <c r="H3311">
        <v>64466470</v>
      </c>
      <c r="I3311">
        <v>57357981</v>
      </c>
      <c r="J3311">
        <v>-309276556</v>
      </c>
      <c r="K3311">
        <v>-24144067</v>
      </c>
      <c r="P3311">
        <v>130</v>
      </c>
      <c r="Q3311" t="s">
        <v>6970</v>
      </c>
    </row>
    <row r="3312" spans="1:17" x14ac:dyDescent="0.3">
      <c r="A3312" t="s">
        <v>17</v>
      </c>
      <c r="B3312" t="str">
        <f>"600610"</f>
        <v>600610</v>
      </c>
      <c r="C3312" t="s">
        <v>6971</v>
      </c>
      <c r="D3312" t="s">
        <v>1507</v>
      </c>
      <c r="F3312">
        <v>76608656</v>
      </c>
      <c r="G3312">
        <v>2340444</v>
      </c>
      <c r="H3312">
        <v>64429695</v>
      </c>
      <c r="I3312">
        <v>-7404421</v>
      </c>
      <c r="J3312">
        <v>-105571433</v>
      </c>
      <c r="K3312">
        <v>24695412</v>
      </c>
      <c r="L3312">
        <v>-100466996</v>
      </c>
      <c r="M3312">
        <v>-24401917</v>
      </c>
      <c r="N3312">
        <v>-29214184</v>
      </c>
      <c r="O3312">
        <v>-27700973</v>
      </c>
      <c r="P3312">
        <v>91</v>
      </c>
      <c r="Q3312" t="s">
        <v>6972</v>
      </c>
    </row>
    <row r="3313" spans="1:17" x14ac:dyDescent="0.3">
      <c r="A3313" t="s">
        <v>59</v>
      </c>
      <c r="B3313" t="str">
        <f>"300606"</f>
        <v>300606</v>
      </c>
      <c r="C3313" t="s">
        <v>6973</v>
      </c>
      <c r="D3313" t="s">
        <v>1636</v>
      </c>
      <c r="F3313">
        <v>-819801</v>
      </c>
      <c r="G3313">
        <v>109793842</v>
      </c>
      <c r="H3313">
        <v>64399752</v>
      </c>
      <c r="I3313">
        <v>8424889</v>
      </c>
      <c r="J3313">
        <v>59251908</v>
      </c>
      <c r="K3313">
        <v>52072435</v>
      </c>
      <c r="L3313">
        <v>37887644</v>
      </c>
      <c r="M3313">
        <v>22551982</v>
      </c>
      <c r="N3313">
        <v>39639954</v>
      </c>
      <c r="P3313">
        <v>92</v>
      </c>
      <c r="Q3313" t="s">
        <v>6974</v>
      </c>
    </row>
    <row r="3314" spans="1:17" x14ac:dyDescent="0.3">
      <c r="A3314" t="s">
        <v>17</v>
      </c>
      <c r="B3314" t="str">
        <f>"603398"</f>
        <v>603398</v>
      </c>
      <c r="C3314" t="s">
        <v>6975</v>
      </c>
      <c r="D3314" t="s">
        <v>4437</v>
      </c>
      <c r="F3314">
        <v>-10976508</v>
      </c>
      <c r="G3314">
        <v>74818020</v>
      </c>
      <c r="H3314">
        <v>64123021</v>
      </c>
      <c r="I3314">
        <v>27729900</v>
      </c>
      <c r="J3314">
        <v>73412410</v>
      </c>
      <c r="K3314">
        <v>60363035</v>
      </c>
      <c r="L3314">
        <v>63537226</v>
      </c>
      <c r="M3314">
        <v>71944896</v>
      </c>
      <c r="N3314">
        <v>64614239</v>
      </c>
      <c r="O3314">
        <v>58079798</v>
      </c>
      <c r="P3314">
        <v>89</v>
      </c>
      <c r="Q3314" t="s">
        <v>6976</v>
      </c>
    </row>
    <row r="3315" spans="1:17" x14ac:dyDescent="0.3">
      <c r="A3315" t="s">
        <v>59</v>
      </c>
      <c r="B3315" t="str">
        <f>"300752"</f>
        <v>300752</v>
      </c>
      <c r="C3315" t="s">
        <v>6977</v>
      </c>
      <c r="D3315" t="s">
        <v>772</v>
      </c>
      <c r="F3315">
        <v>67252599</v>
      </c>
      <c r="G3315">
        <v>66038391</v>
      </c>
      <c r="H3315">
        <v>64112464</v>
      </c>
      <c r="I3315">
        <v>211941928</v>
      </c>
      <c r="J3315">
        <v>57794848</v>
      </c>
      <c r="K3315">
        <v>63712119</v>
      </c>
      <c r="L3315">
        <v>25383146</v>
      </c>
      <c r="P3315">
        <v>140</v>
      </c>
      <c r="Q3315" t="s">
        <v>6978</v>
      </c>
    </row>
    <row r="3316" spans="1:17" x14ac:dyDescent="0.3">
      <c r="A3316" t="s">
        <v>59</v>
      </c>
      <c r="B3316" t="str">
        <f>"300336"</f>
        <v>300336</v>
      </c>
      <c r="C3316" t="s">
        <v>6979</v>
      </c>
      <c r="D3316" t="s">
        <v>662</v>
      </c>
      <c r="F3316">
        <v>184762635</v>
      </c>
      <c r="G3316">
        <v>92231736</v>
      </c>
      <c r="H3316">
        <v>64102533</v>
      </c>
      <c r="I3316">
        <v>-149080755</v>
      </c>
      <c r="J3316">
        <v>294659083</v>
      </c>
      <c r="K3316">
        <v>446613800</v>
      </c>
      <c r="L3316">
        <v>-52160140</v>
      </c>
      <c r="M3316">
        <v>-117605416</v>
      </c>
      <c r="N3316">
        <v>-70274990</v>
      </c>
      <c r="O3316">
        <v>-66712195</v>
      </c>
      <c r="P3316">
        <v>98</v>
      </c>
      <c r="Q3316" t="s">
        <v>6980</v>
      </c>
    </row>
    <row r="3317" spans="1:17" x14ac:dyDescent="0.3">
      <c r="A3317" t="s">
        <v>17</v>
      </c>
      <c r="B3317" t="str">
        <f>"605016"</f>
        <v>605016</v>
      </c>
      <c r="C3317" t="s">
        <v>6981</v>
      </c>
      <c r="D3317" t="s">
        <v>853</v>
      </c>
      <c r="F3317">
        <v>96195458</v>
      </c>
      <c r="G3317">
        <v>121820416</v>
      </c>
      <c r="H3317">
        <v>64079026</v>
      </c>
      <c r="I3317">
        <v>89119808</v>
      </c>
      <c r="J3317">
        <v>113469200</v>
      </c>
      <c r="P3317">
        <v>65</v>
      </c>
      <c r="Q3317" t="s">
        <v>6982</v>
      </c>
    </row>
    <row r="3318" spans="1:17" x14ac:dyDescent="0.3">
      <c r="A3318" t="s">
        <v>59</v>
      </c>
      <c r="B3318" t="str">
        <f>"301010"</f>
        <v>301010</v>
      </c>
      <c r="C3318" t="s">
        <v>6983</v>
      </c>
      <c r="D3318" t="s">
        <v>1041</v>
      </c>
      <c r="F3318">
        <v>-43987793</v>
      </c>
      <c r="G3318">
        <v>48886107</v>
      </c>
      <c r="H3318">
        <v>64072358</v>
      </c>
      <c r="I3318">
        <v>23500512</v>
      </c>
      <c r="J3318">
        <v>40935033</v>
      </c>
      <c r="K3318">
        <v>29852973</v>
      </c>
      <c r="P3318">
        <v>33</v>
      </c>
      <c r="Q3318" t="s">
        <v>6984</v>
      </c>
    </row>
    <row r="3319" spans="1:17" x14ac:dyDescent="0.3">
      <c r="A3319" t="s">
        <v>59</v>
      </c>
      <c r="B3319" t="str">
        <f>"300991"</f>
        <v>300991</v>
      </c>
      <c r="C3319" t="s">
        <v>6985</v>
      </c>
      <c r="D3319" t="s">
        <v>595</v>
      </c>
      <c r="F3319">
        <v>76076740</v>
      </c>
      <c r="G3319">
        <v>83071715</v>
      </c>
      <c r="H3319">
        <v>63985779</v>
      </c>
      <c r="I3319">
        <v>52379159</v>
      </c>
      <c r="J3319">
        <v>19833807</v>
      </c>
      <c r="P3319">
        <v>58</v>
      </c>
      <c r="Q3319" t="s">
        <v>6986</v>
      </c>
    </row>
    <row r="3320" spans="1:17" x14ac:dyDescent="0.3">
      <c r="A3320" t="s">
        <v>17</v>
      </c>
      <c r="B3320" t="str">
        <f>"688198"</f>
        <v>688198</v>
      </c>
      <c r="C3320" t="s">
        <v>6987</v>
      </c>
      <c r="D3320" t="s">
        <v>1036</v>
      </c>
      <c r="F3320">
        <v>76494974</v>
      </c>
      <c r="G3320">
        <v>50764074</v>
      </c>
      <c r="H3320">
        <v>63880515</v>
      </c>
      <c r="I3320">
        <v>53919343</v>
      </c>
      <c r="J3320">
        <v>46382961</v>
      </c>
      <c r="K3320">
        <v>45066358</v>
      </c>
      <c r="P3320">
        <v>190</v>
      </c>
      <c r="Q3320" t="s">
        <v>6988</v>
      </c>
    </row>
    <row r="3321" spans="1:17" x14ac:dyDescent="0.3">
      <c r="A3321" t="s">
        <v>59</v>
      </c>
      <c r="B3321" t="str">
        <f>"300309"</f>
        <v>300309</v>
      </c>
      <c r="C3321" t="s">
        <v>6989</v>
      </c>
      <c r="D3321" t="s">
        <v>3832</v>
      </c>
      <c r="F3321">
        <v>40330447</v>
      </c>
      <c r="G3321">
        <v>20881334</v>
      </c>
      <c r="H3321">
        <v>63635330</v>
      </c>
      <c r="I3321">
        <v>-533706376</v>
      </c>
      <c r="J3321">
        <v>-953242123</v>
      </c>
      <c r="K3321">
        <v>-789946789</v>
      </c>
      <c r="L3321">
        <v>5048115</v>
      </c>
      <c r="M3321">
        <v>-91180133</v>
      </c>
      <c r="N3321">
        <v>54206513</v>
      </c>
      <c r="O3321">
        <v>-2393842</v>
      </c>
      <c r="P3321">
        <v>108</v>
      </c>
      <c r="Q3321" t="s">
        <v>6990</v>
      </c>
    </row>
    <row r="3322" spans="1:17" x14ac:dyDescent="0.3">
      <c r="A3322" t="s">
        <v>17</v>
      </c>
      <c r="B3322" t="str">
        <f>"600119"</f>
        <v>600119</v>
      </c>
      <c r="C3322" t="s">
        <v>6991</v>
      </c>
      <c r="D3322" t="s">
        <v>677</v>
      </c>
      <c r="F3322">
        <v>94378369</v>
      </c>
      <c r="G3322">
        <v>26648206</v>
      </c>
      <c r="H3322">
        <v>63543913</v>
      </c>
      <c r="I3322">
        <v>190787884</v>
      </c>
      <c r="J3322">
        <v>311247762</v>
      </c>
      <c r="K3322">
        <v>-136908208</v>
      </c>
      <c r="L3322">
        <v>-76894527</v>
      </c>
      <c r="M3322">
        <v>21993919</v>
      </c>
      <c r="N3322">
        <v>-74402269</v>
      </c>
      <c r="O3322">
        <v>-210144460</v>
      </c>
      <c r="P3322">
        <v>55</v>
      </c>
      <c r="Q3322" t="s">
        <v>6992</v>
      </c>
    </row>
    <row r="3323" spans="1:17" x14ac:dyDescent="0.3">
      <c r="A3323" t="s">
        <v>59</v>
      </c>
      <c r="B3323" t="str">
        <f>"300675"</f>
        <v>300675</v>
      </c>
      <c r="C3323" t="s">
        <v>6993</v>
      </c>
      <c r="D3323" t="s">
        <v>2254</v>
      </c>
      <c r="F3323">
        <v>42039478</v>
      </c>
      <c r="G3323">
        <v>65653321</v>
      </c>
      <c r="H3323">
        <v>63513713</v>
      </c>
      <c r="I3323">
        <v>42986795</v>
      </c>
      <c r="J3323">
        <v>97410703</v>
      </c>
      <c r="K3323">
        <v>86889826</v>
      </c>
      <c r="L3323">
        <v>-10140773</v>
      </c>
      <c r="M3323">
        <v>8876397</v>
      </c>
      <c r="P3323">
        <v>85</v>
      </c>
      <c r="Q3323" t="s">
        <v>6994</v>
      </c>
    </row>
    <row r="3324" spans="1:17" x14ac:dyDescent="0.3">
      <c r="A3324" t="s">
        <v>59</v>
      </c>
      <c r="B3324" t="str">
        <f>"300096"</f>
        <v>300096</v>
      </c>
      <c r="C3324" t="s">
        <v>6995</v>
      </c>
      <c r="D3324" t="s">
        <v>1189</v>
      </c>
      <c r="F3324">
        <v>-27954803</v>
      </c>
      <c r="G3324">
        <v>-58728017</v>
      </c>
      <c r="H3324">
        <v>63494198</v>
      </c>
      <c r="I3324">
        <v>56774366</v>
      </c>
      <c r="J3324">
        <v>-936320</v>
      </c>
      <c r="K3324">
        <v>-275594975</v>
      </c>
      <c r="L3324">
        <v>54808846</v>
      </c>
      <c r="M3324">
        <v>62499904</v>
      </c>
      <c r="N3324">
        <v>30520625</v>
      </c>
      <c r="O3324">
        <v>51340827</v>
      </c>
      <c r="P3324">
        <v>169</v>
      </c>
      <c r="Q3324" t="s">
        <v>6996</v>
      </c>
    </row>
    <row r="3325" spans="1:17" x14ac:dyDescent="0.3">
      <c r="A3325" t="s">
        <v>59</v>
      </c>
      <c r="B3325" t="str">
        <f>"300221"</f>
        <v>300221</v>
      </c>
      <c r="C3325" t="s">
        <v>6997</v>
      </c>
      <c r="D3325" t="s">
        <v>792</v>
      </c>
      <c r="F3325">
        <v>-94184968</v>
      </c>
      <c r="G3325">
        <v>134132064</v>
      </c>
      <c r="H3325">
        <v>63494000</v>
      </c>
      <c r="I3325">
        <v>181836992</v>
      </c>
      <c r="J3325">
        <v>9365584</v>
      </c>
      <c r="K3325">
        <v>49131809</v>
      </c>
      <c r="L3325">
        <v>74645170</v>
      </c>
      <c r="M3325">
        <v>1257435</v>
      </c>
      <c r="N3325">
        <v>-50272249</v>
      </c>
      <c r="O3325">
        <v>32375936</v>
      </c>
      <c r="P3325">
        <v>173</v>
      </c>
      <c r="Q3325" t="s">
        <v>6998</v>
      </c>
    </row>
    <row r="3326" spans="1:17" x14ac:dyDescent="0.3">
      <c r="A3326" t="s">
        <v>17</v>
      </c>
      <c r="B3326" t="str">
        <f>"603058"</f>
        <v>603058</v>
      </c>
      <c r="C3326" t="s">
        <v>6999</v>
      </c>
      <c r="D3326" t="s">
        <v>1416</v>
      </c>
      <c r="F3326">
        <v>36703179</v>
      </c>
      <c r="G3326">
        <v>153253111</v>
      </c>
      <c r="H3326">
        <v>63476536</v>
      </c>
      <c r="I3326">
        <v>143637532</v>
      </c>
      <c r="J3326">
        <v>165474116</v>
      </c>
      <c r="K3326">
        <v>97134994</v>
      </c>
      <c r="L3326">
        <v>100767597</v>
      </c>
      <c r="M3326">
        <v>69518378</v>
      </c>
      <c r="N3326">
        <v>124528345</v>
      </c>
      <c r="P3326">
        <v>121</v>
      </c>
      <c r="Q3326" t="s">
        <v>7000</v>
      </c>
    </row>
    <row r="3327" spans="1:17" x14ac:dyDescent="0.3">
      <c r="A3327" t="s">
        <v>17</v>
      </c>
      <c r="B3327" t="str">
        <f>"688700"</f>
        <v>688700</v>
      </c>
      <c r="C3327" t="s">
        <v>7001</v>
      </c>
      <c r="D3327" t="s">
        <v>1351</v>
      </c>
      <c r="F3327">
        <v>88970537</v>
      </c>
      <c r="G3327">
        <v>112236852</v>
      </c>
      <c r="H3327">
        <v>63412457</v>
      </c>
      <c r="I3327">
        <v>19882293</v>
      </c>
      <c r="J3327">
        <v>37442561</v>
      </c>
      <c r="P3327">
        <v>34</v>
      </c>
      <c r="Q3327" t="s">
        <v>7002</v>
      </c>
    </row>
    <row r="3328" spans="1:17" x14ac:dyDescent="0.3">
      <c r="A3328" t="s">
        <v>59</v>
      </c>
      <c r="B3328" t="str">
        <f>"000806"</f>
        <v>000806</v>
      </c>
      <c r="C3328" t="s">
        <v>7003</v>
      </c>
      <c r="D3328" t="s">
        <v>560</v>
      </c>
      <c r="F3328">
        <v>-27259939</v>
      </c>
      <c r="G3328">
        <v>44689032</v>
      </c>
      <c r="H3328">
        <v>63201073</v>
      </c>
      <c r="I3328">
        <v>-364341669</v>
      </c>
      <c r="J3328">
        <v>-67105063</v>
      </c>
      <c r="K3328">
        <v>86405229</v>
      </c>
      <c r="L3328">
        <v>-97676236</v>
      </c>
      <c r="M3328">
        <v>49425310</v>
      </c>
      <c r="N3328">
        <v>64029460</v>
      </c>
      <c r="O3328">
        <v>303274052</v>
      </c>
      <c r="P3328">
        <v>123</v>
      </c>
      <c r="Q3328" t="s">
        <v>7004</v>
      </c>
    </row>
    <row r="3329" spans="1:17" x14ac:dyDescent="0.3">
      <c r="A3329" t="s">
        <v>17</v>
      </c>
      <c r="B3329" t="str">
        <f>"600573"</f>
        <v>600573</v>
      </c>
      <c r="C3329" t="s">
        <v>7005</v>
      </c>
      <c r="D3329" t="s">
        <v>566</v>
      </c>
      <c r="F3329">
        <v>56724894</v>
      </c>
      <c r="G3329">
        <v>86507329</v>
      </c>
      <c r="H3329">
        <v>63182453</v>
      </c>
      <c r="I3329">
        <v>18446752</v>
      </c>
      <c r="J3329">
        <v>3982142</v>
      </c>
      <c r="K3329">
        <v>34730680</v>
      </c>
      <c r="L3329">
        <v>48182013</v>
      </c>
      <c r="M3329">
        <v>83274397</v>
      </c>
      <c r="N3329">
        <v>78785408</v>
      </c>
      <c r="O3329">
        <v>-8316065</v>
      </c>
      <c r="P3329">
        <v>191</v>
      </c>
      <c r="Q3329" t="s">
        <v>7006</v>
      </c>
    </row>
    <row r="3330" spans="1:17" x14ac:dyDescent="0.3">
      <c r="A3330" t="s">
        <v>17</v>
      </c>
      <c r="B3330" t="str">
        <f>"603813"</f>
        <v>603813</v>
      </c>
      <c r="C3330" t="s">
        <v>7007</v>
      </c>
      <c r="D3330" t="s">
        <v>1388</v>
      </c>
      <c r="F3330">
        <v>171211693</v>
      </c>
      <c r="G3330">
        <v>86713735</v>
      </c>
      <c r="H3330">
        <v>63157816</v>
      </c>
      <c r="I3330">
        <v>-92256798</v>
      </c>
      <c r="J3330">
        <v>76383200</v>
      </c>
      <c r="K3330">
        <v>52583131</v>
      </c>
      <c r="L3330">
        <v>46054554</v>
      </c>
      <c r="M3330">
        <v>57390484</v>
      </c>
      <c r="P3330">
        <v>59</v>
      </c>
      <c r="Q3330" t="s">
        <v>7008</v>
      </c>
    </row>
    <row r="3331" spans="1:17" x14ac:dyDescent="0.3">
      <c r="A3331" t="s">
        <v>17</v>
      </c>
      <c r="B3331" t="str">
        <f>"688669"</f>
        <v>688669</v>
      </c>
      <c r="C3331" t="s">
        <v>7009</v>
      </c>
      <c r="D3331" t="s">
        <v>792</v>
      </c>
      <c r="F3331">
        <v>42437021</v>
      </c>
      <c r="G3331">
        <v>66301944</v>
      </c>
      <c r="H3331">
        <v>63087144</v>
      </c>
      <c r="I3331">
        <v>-18847518</v>
      </c>
      <c r="J3331">
        <v>36952063</v>
      </c>
      <c r="P3331">
        <v>36</v>
      </c>
      <c r="Q3331" t="s">
        <v>7010</v>
      </c>
    </row>
    <row r="3332" spans="1:17" x14ac:dyDescent="0.3">
      <c r="A3332" t="s">
        <v>17</v>
      </c>
      <c r="B3332" t="str">
        <f>"600965"</f>
        <v>600965</v>
      </c>
      <c r="C3332" t="s">
        <v>7011</v>
      </c>
      <c r="D3332" t="s">
        <v>2329</v>
      </c>
      <c r="F3332">
        <v>51801517</v>
      </c>
      <c r="G3332">
        <v>217272754</v>
      </c>
      <c r="H3332">
        <v>63035239</v>
      </c>
      <c r="I3332">
        <v>215393049</v>
      </c>
      <c r="J3332">
        <v>228761875</v>
      </c>
      <c r="K3332">
        <v>212010334</v>
      </c>
      <c r="L3332">
        <v>258105639</v>
      </c>
      <c r="M3332">
        <v>190121233</v>
      </c>
      <c r="N3332">
        <v>65458513</v>
      </c>
      <c r="O3332">
        <v>27676469</v>
      </c>
      <c r="P3332">
        <v>113</v>
      </c>
      <c r="Q3332" t="s">
        <v>7012</v>
      </c>
    </row>
    <row r="3333" spans="1:17" x14ac:dyDescent="0.3">
      <c r="A3333" t="s">
        <v>59</v>
      </c>
      <c r="B3333" t="str">
        <f>"300683"</f>
        <v>300683</v>
      </c>
      <c r="C3333" t="s">
        <v>7013</v>
      </c>
      <c r="D3333" t="s">
        <v>1062</v>
      </c>
      <c r="F3333">
        <v>12088247</v>
      </c>
      <c r="G3333">
        <v>-19703010</v>
      </c>
      <c r="H3333">
        <v>63027543</v>
      </c>
      <c r="I3333">
        <v>73423479</v>
      </c>
      <c r="J3333">
        <v>83076512</v>
      </c>
      <c r="K3333">
        <v>143859871</v>
      </c>
      <c r="L3333">
        <v>159887189</v>
      </c>
      <c r="M3333">
        <v>135404687</v>
      </c>
      <c r="P3333">
        <v>123</v>
      </c>
      <c r="Q3333" t="s">
        <v>7014</v>
      </c>
    </row>
    <row r="3334" spans="1:17" x14ac:dyDescent="0.3">
      <c r="A3334" t="s">
        <v>59</v>
      </c>
      <c r="B3334" t="str">
        <f>"002885"</f>
        <v>002885</v>
      </c>
      <c r="C3334" t="s">
        <v>7015</v>
      </c>
      <c r="D3334" t="s">
        <v>349</v>
      </c>
      <c r="F3334">
        <v>-131261617</v>
      </c>
      <c r="G3334">
        <v>101045399</v>
      </c>
      <c r="H3334">
        <v>62964528</v>
      </c>
      <c r="I3334">
        <v>-1163063</v>
      </c>
      <c r="J3334">
        <v>39100697</v>
      </c>
      <c r="K3334">
        <v>52201087</v>
      </c>
      <c r="L3334">
        <v>20407633</v>
      </c>
      <c r="M3334">
        <v>25431192</v>
      </c>
      <c r="P3334">
        <v>199</v>
      </c>
      <c r="Q3334" t="s">
        <v>7016</v>
      </c>
    </row>
    <row r="3335" spans="1:17" x14ac:dyDescent="0.3">
      <c r="A3335" t="s">
        <v>59</v>
      </c>
      <c r="B3335" t="str">
        <f>"300786"</f>
        <v>300786</v>
      </c>
      <c r="C3335" t="s">
        <v>7017</v>
      </c>
      <c r="D3335" t="s">
        <v>1337</v>
      </c>
      <c r="F3335">
        <v>-19113551</v>
      </c>
      <c r="G3335">
        <v>69781644</v>
      </c>
      <c r="H3335">
        <v>62963318</v>
      </c>
      <c r="I3335">
        <v>14990931</v>
      </c>
      <c r="J3335">
        <v>40289846</v>
      </c>
      <c r="K3335">
        <v>-5137397</v>
      </c>
      <c r="P3335">
        <v>95</v>
      </c>
      <c r="Q3335" t="s">
        <v>7018</v>
      </c>
    </row>
    <row r="3336" spans="1:17" x14ac:dyDescent="0.3">
      <c r="A3336" t="s">
        <v>17</v>
      </c>
      <c r="B3336" t="str">
        <f>"600628"</f>
        <v>600628</v>
      </c>
      <c r="C3336" t="s">
        <v>7019</v>
      </c>
      <c r="D3336" t="s">
        <v>1361</v>
      </c>
      <c r="F3336">
        <v>259747488</v>
      </c>
      <c r="G3336">
        <v>288677715</v>
      </c>
      <c r="H3336">
        <v>62818852</v>
      </c>
      <c r="I3336">
        <v>330156041</v>
      </c>
      <c r="J3336">
        <v>417901596</v>
      </c>
      <c r="K3336">
        <v>457609914</v>
      </c>
      <c r="L3336">
        <v>500013337</v>
      </c>
      <c r="M3336">
        <v>466936448</v>
      </c>
      <c r="N3336">
        <v>414773748</v>
      </c>
      <c r="O3336">
        <v>445450042</v>
      </c>
      <c r="P3336">
        <v>112</v>
      </c>
      <c r="Q3336" t="s">
        <v>7020</v>
      </c>
    </row>
    <row r="3337" spans="1:17" x14ac:dyDescent="0.3">
      <c r="A3337" t="s">
        <v>59</v>
      </c>
      <c r="B3337" t="str">
        <f>"300513"</f>
        <v>300513</v>
      </c>
      <c r="C3337" t="s">
        <v>7021</v>
      </c>
      <c r="D3337" t="s">
        <v>2057</v>
      </c>
      <c r="F3337">
        <v>69975672</v>
      </c>
      <c r="G3337">
        <v>113577355</v>
      </c>
      <c r="H3337">
        <v>62768940</v>
      </c>
      <c r="I3337">
        <v>100567065</v>
      </c>
      <c r="J3337">
        <v>-55316156</v>
      </c>
      <c r="K3337">
        <v>-30827510</v>
      </c>
      <c r="L3337">
        <v>30833039</v>
      </c>
      <c r="M3337">
        <v>-4477087</v>
      </c>
      <c r="N3337">
        <v>-4749930</v>
      </c>
      <c r="P3337">
        <v>160</v>
      </c>
      <c r="Q3337" t="s">
        <v>7022</v>
      </c>
    </row>
    <row r="3338" spans="1:17" x14ac:dyDescent="0.3">
      <c r="A3338" t="s">
        <v>59</v>
      </c>
      <c r="B3338" t="str">
        <f>"300907"</f>
        <v>300907</v>
      </c>
      <c r="C3338" t="s">
        <v>7023</v>
      </c>
      <c r="D3338" t="s">
        <v>1556</v>
      </c>
      <c r="F3338">
        <v>-50482463</v>
      </c>
      <c r="G3338">
        <v>68289869</v>
      </c>
      <c r="H3338">
        <v>62763962</v>
      </c>
      <c r="I3338">
        <v>21779151</v>
      </c>
      <c r="J3338">
        <v>64367495</v>
      </c>
      <c r="K3338">
        <v>62657200</v>
      </c>
      <c r="P3338">
        <v>36</v>
      </c>
      <c r="Q3338" t="s">
        <v>7024</v>
      </c>
    </row>
    <row r="3339" spans="1:17" x14ac:dyDescent="0.3">
      <c r="A3339" t="s">
        <v>59</v>
      </c>
      <c r="B3339" t="str">
        <f>"300749"</f>
        <v>300749</v>
      </c>
      <c r="C3339" t="s">
        <v>7025</v>
      </c>
      <c r="D3339" t="s">
        <v>963</v>
      </c>
      <c r="F3339">
        <v>-17472918</v>
      </c>
      <c r="G3339">
        <v>106740455</v>
      </c>
      <c r="H3339">
        <v>62752065</v>
      </c>
      <c r="I3339">
        <v>28988218</v>
      </c>
      <c r="J3339">
        <v>110085095</v>
      </c>
      <c r="K3339">
        <v>119638115</v>
      </c>
      <c r="L3339">
        <v>107032073</v>
      </c>
      <c r="P3339">
        <v>97</v>
      </c>
      <c r="Q3339" t="s">
        <v>7026</v>
      </c>
    </row>
    <row r="3340" spans="1:17" x14ac:dyDescent="0.3">
      <c r="A3340" t="s">
        <v>59</v>
      </c>
      <c r="B3340" t="str">
        <f>"300237"</f>
        <v>300237</v>
      </c>
      <c r="C3340" t="s">
        <v>7027</v>
      </c>
      <c r="D3340" t="s">
        <v>1489</v>
      </c>
      <c r="F3340">
        <v>35179045</v>
      </c>
      <c r="G3340">
        <v>-227378350</v>
      </c>
      <c r="H3340">
        <v>62751926</v>
      </c>
      <c r="I3340">
        <v>-122506733</v>
      </c>
      <c r="J3340">
        <v>-178077302</v>
      </c>
      <c r="K3340">
        <v>-378063113</v>
      </c>
      <c r="L3340">
        <v>-226705652</v>
      </c>
      <c r="M3340">
        <v>40322983</v>
      </c>
      <c r="N3340">
        <v>64555499</v>
      </c>
      <c r="O3340">
        <v>-785013</v>
      </c>
      <c r="P3340">
        <v>315</v>
      </c>
      <c r="Q3340" t="s">
        <v>7028</v>
      </c>
    </row>
    <row r="3341" spans="1:17" x14ac:dyDescent="0.3">
      <c r="A3341" t="s">
        <v>59</v>
      </c>
      <c r="B3341" t="str">
        <f>"300510"</f>
        <v>300510</v>
      </c>
      <c r="C3341" t="s">
        <v>7029</v>
      </c>
      <c r="D3341" t="s">
        <v>494</v>
      </c>
      <c r="F3341">
        <v>-95176706</v>
      </c>
      <c r="G3341">
        <v>39555652</v>
      </c>
      <c r="H3341">
        <v>62711276</v>
      </c>
      <c r="I3341">
        <v>121406160</v>
      </c>
      <c r="J3341">
        <v>33360828</v>
      </c>
      <c r="K3341">
        <v>24171429</v>
      </c>
      <c r="L3341">
        <v>53457578</v>
      </c>
      <c r="M3341">
        <v>14774889</v>
      </c>
      <c r="N3341">
        <v>47190601</v>
      </c>
      <c r="P3341">
        <v>115</v>
      </c>
      <c r="Q3341" t="s">
        <v>7030</v>
      </c>
    </row>
    <row r="3342" spans="1:17" x14ac:dyDescent="0.3">
      <c r="A3342" t="s">
        <v>59</v>
      </c>
      <c r="B3342" t="str">
        <f>"301023"</f>
        <v>301023</v>
      </c>
      <c r="C3342" t="s">
        <v>7031</v>
      </c>
      <c r="D3342" t="s">
        <v>1556</v>
      </c>
      <c r="F3342">
        <v>72144427</v>
      </c>
      <c r="G3342">
        <v>76159715</v>
      </c>
      <c r="H3342">
        <v>62420718</v>
      </c>
      <c r="I3342">
        <v>37719867</v>
      </c>
      <c r="J3342">
        <v>50659192</v>
      </c>
      <c r="P3342">
        <v>22</v>
      </c>
      <c r="Q3342" t="s">
        <v>7032</v>
      </c>
    </row>
    <row r="3343" spans="1:17" x14ac:dyDescent="0.3">
      <c r="A3343" t="s">
        <v>59</v>
      </c>
      <c r="B3343" t="str">
        <f>"300283"</f>
        <v>300283</v>
      </c>
      <c r="C3343" t="s">
        <v>7033</v>
      </c>
      <c r="D3343" t="s">
        <v>458</v>
      </c>
      <c r="F3343">
        <v>170605034</v>
      </c>
      <c r="G3343">
        <v>-66936488</v>
      </c>
      <c r="H3343">
        <v>62310611</v>
      </c>
      <c r="I3343">
        <v>228069330</v>
      </c>
      <c r="J3343">
        <v>-11518495</v>
      </c>
      <c r="K3343">
        <v>-150982979</v>
      </c>
      <c r="L3343">
        <v>51822884</v>
      </c>
      <c r="M3343">
        <v>44169439</v>
      </c>
      <c r="N3343">
        <v>31399185</v>
      </c>
      <c r="O3343">
        <v>-33779308</v>
      </c>
      <c r="P3343">
        <v>58</v>
      </c>
      <c r="Q3343" t="s">
        <v>7034</v>
      </c>
    </row>
    <row r="3344" spans="1:17" x14ac:dyDescent="0.3">
      <c r="A3344" t="s">
        <v>17</v>
      </c>
      <c r="B3344" t="str">
        <f>"688288"</f>
        <v>688288</v>
      </c>
      <c r="C3344" t="s">
        <v>7035</v>
      </c>
      <c r="D3344" t="s">
        <v>707</v>
      </c>
      <c r="F3344">
        <v>19611772</v>
      </c>
      <c r="G3344">
        <v>39354939</v>
      </c>
      <c r="H3344">
        <v>62203124</v>
      </c>
      <c r="I3344">
        <v>36205110</v>
      </c>
      <c r="J3344">
        <v>17426738</v>
      </c>
      <c r="K3344">
        <v>16800145</v>
      </c>
      <c r="P3344">
        <v>110</v>
      </c>
      <c r="Q3344" t="s">
        <v>7036</v>
      </c>
    </row>
    <row r="3345" spans="1:17" x14ac:dyDescent="0.3">
      <c r="A3345" t="s">
        <v>59</v>
      </c>
      <c r="B3345" t="str">
        <f>"002629"</f>
        <v>002629</v>
      </c>
      <c r="C3345" t="s">
        <v>7037</v>
      </c>
      <c r="D3345" t="s">
        <v>363</v>
      </c>
      <c r="F3345">
        <v>-41799202</v>
      </c>
      <c r="G3345">
        <v>-20488520</v>
      </c>
      <c r="H3345">
        <v>62199956</v>
      </c>
      <c r="I3345">
        <v>1262925</v>
      </c>
      <c r="J3345">
        <v>-197558269</v>
      </c>
      <c r="K3345">
        <v>93379857</v>
      </c>
      <c r="L3345">
        <v>-12962149</v>
      </c>
      <c r="M3345">
        <v>80527857</v>
      </c>
      <c r="N3345">
        <v>-51448152</v>
      </c>
      <c r="O3345">
        <v>-174139722</v>
      </c>
      <c r="P3345">
        <v>60</v>
      </c>
      <c r="Q3345" t="s">
        <v>7038</v>
      </c>
    </row>
    <row r="3346" spans="1:17" x14ac:dyDescent="0.3">
      <c r="A3346" t="s">
        <v>17</v>
      </c>
      <c r="B3346" t="str">
        <f>"688067"</f>
        <v>688067</v>
      </c>
      <c r="C3346" t="s">
        <v>7039</v>
      </c>
      <c r="D3346" t="s">
        <v>1953</v>
      </c>
      <c r="F3346">
        <v>47185682</v>
      </c>
      <c r="G3346">
        <v>46932841</v>
      </c>
      <c r="H3346">
        <v>62096481</v>
      </c>
      <c r="I3346">
        <v>40361531</v>
      </c>
      <c r="J3346">
        <v>24763695</v>
      </c>
      <c r="P3346">
        <v>35</v>
      </c>
      <c r="Q3346" t="s">
        <v>7040</v>
      </c>
    </row>
    <row r="3347" spans="1:17" x14ac:dyDescent="0.3">
      <c r="A3347" t="s">
        <v>17</v>
      </c>
      <c r="B3347" t="str">
        <f>"600331"</f>
        <v>600331</v>
      </c>
      <c r="C3347" t="s">
        <v>7041</v>
      </c>
      <c r="D3347" t="s">
        <v>856</v>
      </c>
      <c r="F3347">
        <v>132435210</v>
      </c>
      <c r="G3347">
        <v>-23857240</v>
      </c>
      <c r="H3347">
        <v>62024107</v>
      </c>
      <c r="I3347">
        <v>29298377</v>
      </c>
      <c r="J3347">
        <v>-273311501</v>
      </c>
      <c r="K3347">
        <v>1124070818</v>
      </c>
      <c r="L3347">
        <v>1015457421</v>
      </c>
      <c r="M3347">
        <v>-632510160</v>
      </c>
      <c r="N3347">
        <v>231081797</v>
      </c>
      <c r="O3347">
        <v>1414292688</v>
      </c>
      <c r="P3347">
        <v>117</v>
      </c>
      <c r="Q3347" t="s">
        <v>7042</v>
      </c>
    </row>
    <row r="3348" spans="1:17" x14ac:dyDescent="0.3">
      <c r="A3348" t="s">
        <v>59</v>
      </c>
      <c r="B3348" t="str">
        <f>"300142"</f>
        <v>300142</v>
      </c>
      <c r="C3348" t="s">
        <v>7043</v>
      </c>
      <c r="D3348" t="s">
        <v>1413</v>
      </c>
      <c r="F3348">
        <v>705276750</v>
      </c>
      <c r="G3348">
        <v>114192983</v>
      </c>
      <c r="H3348">
        <v>62016820</v>
      </c>
      <c r="I3348">
        <v>-65228374</v>
      </c>
      <c r="J3348">
        <v>-57044285</v>
      </c>
      <c r="K3348">
        <v>-89937061</v>
      </c>
      <c r="L3348">
        <v>-69412676</v>
      </c>
      <c r="M3348">
        <v>-65933088</v>
      </c>
      <c r="N3348">
        <v>-121732127</v>
      </c>
      <c r="O3348">
        <v>78380602</v>
      </c>
      <c r="P3348">
        <v>1230</v>
      </c>
      <c r="Q3348" t="s">
        <v>7044</v>
      </c>
    </row>
    <row r="3349" spans="1:17" x14ac:dyDescent="0.3">
      <c r="A3349" t="s">
        <v>59</v>
      </c>
      <c r="B3349" t="str">
        <f>"002908"</f>
        <v>002908</v>
      </c>
      <c r="C3349" t="s">
        <v>7045</v>
      </c>
      <c r="D3349" t="s">
        <v>1650</v>
      </c>
      <c r="F3349">
        <v>-12945469</v>
      </c>
      <c r="G3349">
        <v>32458882</v>
      </c>
      <c r="H3349">
        <v>61758361</v>
      </c>
      <c r="I3349">
        <v>41189821</v>
      </c>
      <c r="J3349">
        <v>52928151</v>
      </c>
      <c r="K3349">
        <v>-29763337</v>
      </c>
      <c r="L3349">
        <v>92761760</v>
      </c>
      <c r="M3349">
        <v>93280892</v>
      </c>
      <c r="P3349">
        <v>126</v>
      </c>
      <c r="Q3349" t="s">
        <v>7046</v>
      </c>
    </row>
    <row r="3350" spans="1:17" x14ac:dyDescent="0.3">
      <c r="A3350" t="s">
        <v>59</v>
      </c>
      <c r="B3350" t="str">
        <f>"002921"</f>
        <v>002921</v>
      </c>
      <c r="C3350" t="s">
        <v>7047</v>
      </c>
      <c r="D3350" t="s">
        <v>1226</v>
      </c>
      <c r="F3350">
        <v>811324</v>
      </c>
      <c r="G3350">
        <v>-21024846</v>
      </c>
      <c r="H3350">
        <v>61725366</v>
      </c>
      <c r="I3350">
        <v>19848859</v>
      </c>
      <c r="J3350">
        <v>19114018</v>
      </c>
      <c r="K3350">
        <v>81164169</v>
      </c>
      <c r="L3350">
        <v>56444377</v>
      </c>
      <c r="M3350">
        <v>37942967</v>
      </c>
      <c r="P3350">
        <v>95</v>
      </c>
      <c r="Q3350" t="s">
        <v>7048</v>
      </c>
    </row>
    <row r="3351" spans="1:17" x14ac:dyDescent="0.3">
      <c r="A3351" t="s">
        <v>17</v>
      </c>
      <c r="B3351" t="str">
        <f>"688085"</f>
        <v>688085</v>
      </c>
      <c r="C3351" t="s">
        <v>7049</v>
      </c>
      <c r="D3351" t="s">
        <v>1036</v>
      </c>
      <c r="F3351">
        <v>144921298</v>
      </c>
      <c r="G3351">
        <v>77520905</v>
      </c>
      <c r="H3351">
        <v>61721489</v>
      </c>
      <c r="I3351">
        <v>19787766</v>
      </c>
      <c r="J3351">
        <v>21537488</v>
      </c>
      <c r="K3351">
        <v>19387609</v>
      </c>
      <c r="P3351">
        <v>197</v>
      </c>
      <c r="Q3351" t="s">
        <v>7050</v>
      </c>
    </row>
    <row r="3352" spans="1:17" x14ac:dyDescent="0.3">
      <c r="A3352" t="s">
        <v>59</v>
      </c>
      <c r="B3352" t="str">
        <f>"300980"</f>
        <v>300980</v>
      </c>
      <c r="C3352" t="s">
        <v>7051</v>
      </c>
      <c r="D3352" t="s">
        <v>2104</v>
      </c>
      <c r="F3352">
        <v>22056582</v>
      </c>
      <c r="G3352">
        <v>73570297</v>
      </c>
      <c r="H3352">
        <v>61708549</v>
      </c>
      <c r="I3352">
        <v>22831388</v>
      </c>
      <c r="J3352">
        <v>21635103</v>
      </c>
      <c r="P3352">
        <v>77</v>
      </c>
      <c r="Q3352" t="s">
        <v>7052</v>
      </c>
    </row>
    <row r="3353" spans="1:17" x14ac:dyDescent="0.3">
      <c r="A3353" t="s">
        <v>59</v>
      </c>
      <c r="B3353" t="str">
        <f>"002598"</f>
        <v>002598</v>
      </c>
      <c r="C3353" t="s">
        <v>7053</v>
      </c>
      <c r="D3353" t="s">
        <v>1838</v>
      </c>
      <c r="F3353">
        <v>-27257308</v>
      </c>
      <c r="G3353">
        <v>60446446</v>
      </c>
      <c r="H3353">
        <v>61685980</v>
      </c>
      <c r="I3353">
        <v>34504728</v>
      </c>
      <c r="J3353">
        <v>37943672</v>
      </c>
      <c r="K3353">
        <v>31522920</v>
      </c>
      <c r="L3353">
        <v>8096039</v>
      </c>
      <c r="M3353">
        <v>58466021</v>
      </c>
      <c r="N3353">
        <v>95465985</v>
      </c>
      <c r="O3353">
        <v>116740855</v>
      </c>
      <c r="P3353">
        <v>88</v>
      </c>
      <c r="Q3353" t="s">
        <v>7054</v>
      </c>
    </row>
    <row r="3354" spans="1:17" x14ac:dyDescent="0.3">
      <c r="A3354" t="s">
        <v>17</v>
      </c>
      <c r="B3354" t="str">
        <f>"603629"</f>
        <v>603629</v>
      </c>
      <c r="C3354" t="s">
        <v>7055</v>
      </c>
      <c r="D3354" t="s">
        <v>349</v>
      </c>
      <c r="F3354">
        <v>76103283</v>
      </c>
      <c r="G3354">
        <v>-43577678</v>
      </c>
      <c r="H3354">
        <v>61670561</v>
      </c>
      <c r="I3354">
        <v>-68949667</v>
      </c>
      <c r="J3354">
        <v>170379846</v>
      </c>
      <c r="K3354">
        <v>30627868</v>
      </c>
      <c r="L3354">
        <v>8338148</v>
      </c>
      <c r="P3354">
        <v>51</v>
      </c>
      <c r="Q3354" t="s">
        <v>7056</v>
      </c>
    </row>
    <row r="3355" spans="1:17" x14ac:dyDescent="0.3">
      <c r="A3355" t="s">
        <v>59</v>
      </c>
      <c r="B3355" t="str">
        <f>"301056"</f>
        <v>301056</v>
      </c>
      <c r="C3355" t="s">
        <v>7057</v>
      </c>
      <c r="D3355" t="s">
        <v>3004</v>
      </c>
      <c r="F3355">
        <v>61355004</v>
      </c>
      <c r="G3355">
        <v>113504279</v>
      </c>
      <c r="H3355">
        <v>61643600</v>
      </c>
      <c r="I3355">
        <v>7322078</v>
      </c>
      <c r="J3355">
        <v>77709602</v>
      </c>
      <c r="P3355">
        <v>16</v>
      </c>
      <c r="Q3355" t="s">
        <v>7058</v>
      </c>
    </row>
    <row r="3356" spans="1:17" x14ac:dyDescent="0.3">
      <c r="A3356" t="s">
        <v>17</v>
      </c>
      <c r="B3356" t="str">
        <f>"688722"</f>
        <v>688722</v>
      </c>
      <c r="C3356" t="s">
        <v>7059</v>
      </c>
      <c r="D3356" t="s">
        <v>1753</v>
      </c>
      <c r="F3356">
        <v>65482068</v>
      </c>
      <c r="G3356">
        <v>83798098</v>
      </c>
      <c r="H3356">
        <v>61537817</v>
      </c>
      <c r="I3356">
        <v>46426645</v>
      </c>
      <c r="J3356">
        <v>19185589</v>
      </c>
      <c r="P3356">
        <v>13</v>
      </c>
      <c r="Q3356" t="s">
        <v>7060</v>
      </c>
    </row>
    <row r="3357" spans="1:17" x14ac:dyDescent="0.3">
      <c r="A3357" t="s">
        <v>59</v>
      </c>
      <c r="B3357" t="str">
        <f>"300886"</f>
        <v>300886</v>
      </c>
      <c r="C3357" t="s">
        <v>7061</v>
      </c>
      <c r="D3357" t="s">
        <v>2271</v>
      </c>
      <c r="F3357">
        <v>27689981</v>
      </c>
      <c r="G3357">
        <v>11158117</v>
      </c>
      <c r="H3357">
        <v>61365210</v>
      </c>
      <c r="I3357">
        <v>60186034</v>
      </c>
      <c r="J3357">
        <v>32377773</v>
      </c>
      <c r="K3357">
        <v>39957722</v>
      </c>
      <c r="P3357">
        <v>49</v>
      </c>
      <c r="Q3357" t="s">
        <v>7062</v>
      </c>
    </row>
    <row r="3358" spans="1:17" x14ac:dyDescent="0.3">
      <c r="A3358" t="s">
        <v>17</v>
      </c>
      <c r="B3358" t="str">
        <f>"688166"</f>
        <v>688166</v>
      </c>
      <c r="C3358" t="s">
        <v>7063</v>
      </c>
      <c r="D3358" t="s">
        <v>592</v>
      </c>
      <c r="F3358">
        <v>176075347</v>
      </c>
      <c r="G3358">
        <v>155431582</v>
      </c>
      <c r="H3358">
        <v>61333888</v>
      </c>
      <c r="I3358">
        <v>63988193</v>
      </c>
      <c r="J3358">
        <v>35767136</v>
      </c>
      <c r="K3358">
        <v>29733032</v>
      </c>
      <c r="P3358">
        <v>190</v>
      </c>
      <c r="Q3358" t="s">
        <v>7064</v>
      </c>
    </row>
    <row r="3359" spans="1:17" x14ac:dyDescent="0.3">
      <c r="A3359" t="s">
        <v>17</v>
      </c>
      <c r="B3359" t="str">
        <f>"900942"</f>
        <v>900942</v>
      </c>
      <c r="C3359" t="s">
        <v>7065</v>
      </c>
      <c r="G3359">
        <v>-158385.24840000001</v>
      </c>
      <c r="H3359">
        <v>61192719.047600001</v>
      </c>
      <c r="I3359">
        <v>66538016.338</v>
      </c>
      <c r="J3359">
        <v>93908867.788800001</v>
      </c>
      <c r="K3359">
        <v>70124161.104000002</v>
      </c>
      <c r="L3359">
        <v>97821409.224000007</v>
      </c>
      <c r="M3359">
        <v>65943799.167999998</v>
      </c>
      <c r="N3359">
        <v>39767267.131200001</v>
      </c>
      <c r="O3359">
        <v>57993004.044</v>
      </c>
      <c r="P3359">
        <v>55</v>
      </c>
      <c r="Q3359" t="s">
        <v>7066</v>
      </c>
    </row>
    <row r="3360" spans="1:17" x14ac:dyDescent="0.3">
      <c r="A3360" t="s">
        <v>59</v>
      </c>
      <c r="B3360" t="str">
        <f>"002445"</f>
        <v>002445</v>
      </c>
      <c r="C3360" t="s">
        <v>7067</v>
      </c>
      <c r="D3360" t="s">
        <v>689</v>
      </c>
      <c r="F3360">
        <v>-79786439</v>
      </c>
      <c r="G3360">
        <v>-6560903</v>
      </c>
      <c r="H3360">
        <v>61174342</v>
      </c>
      <c r="I3360">
        <v>149890550</v>
      </c>
      <c r="J3360">
        <v>170914529</v>
      </c>
      <c r="K3360">
        <v>113941149</v>
      </c>
      <c r="L3360">
        <v>195371863</v>
      </c>
      <c r="M3360">
        <v>-304866467</v>
      </c>
      <c r="N3360">
        <v>146855882</v>
      </c>
      <c r="O3360">
        <v>-54778403</v>
      </c>
      <c r="P3360">
        <v>110</v>
      </c>
      <c r="Q3360" t="s">
        <v>7068</v>
      </c>
    </row>
    <row r="3361" spans="1:17" x14ac:dyDescent="0.3">
      <c r="A3361" t="s">
        <v>59</v>
      </c>
      <c r="B3361" t="str">
        <f>"301041"</f>
        <v>301041</v>
      </c>
      <c r="C3361" t="s">
        <v>7069</v>
      </c>
      <c r="D3361" t="s">
        <v>539</v>
      </c>
      <c r="F3361">
        <v>49047188</v>
      </c>
      <c r="G3361">
        <v>84996706</v>
      </c>
      <c r="H3361">
        <v>61142515</v>
      </c>
      <c r="I3361">
        <v>39450103</v>
      </c>
      <c r="J3361">
        <v>78603294</v>
      </c>
      <c r="P3361">
        <v>31</v>
      </c>
      <c r="Q3361" t="s">
        <v>7070</v>
      </c>
    </row>
    <row r="3362" spans="1:17" x14ac:dyDescent="0.3">
      <c r="A3362" t="s">
        <v>17</v>
      </c>
      <c r="B3362" t="str">
        <f>"688026"</f>
        <v>688026</v>
      </c>
      <c r="C3362" t="s">
        <v>7071</v>
      </c>
      <c r="D3362" t="s">
        <v>2104</v>
      </c>
      <c r="F3362">
        <v>221383766</v>
      </c>
      <c r="G3362">
        <v>187566736</v>
      </c>
      <c r="H3362">
        <v>61018800</v>
      </c>
      <c r="I3362">
        <v>45122668</v>
      </c>
      <c r="J3362">
        <v>46670833</v>
      </c>
      <c r="K3362">
        <v>33434201</v>
      </c>
      <c r="P3362">
        <v>211</v>
      </c>
      <c r="Q3362" t="s">
        <v>7072</v>
      </c>
    </row>
    <row r="3363" spans="1:17" x14ac:dyDescent="0.3">
      <c r="A3363" t="s">
        <v>17</v>
      </c>
      <c r="B3363" t="str">
        <f>"603888"</f>
        <v>603888</v>
      </c>
      <c r="C3363" t="s">
        <v>7073</v>
      </c>
      <c r="D3363" t="s">
        <v>2530</v>
      </c>
      <c r="F3363">
        <v>266849405</v>
      </c>
      <c r="G3363">
        <v>380864058</v>
      </c>
      <c r="H3363">
        <v>60990263</v>
      </c>
      <c r="I3363">
        <v>226240862</v>
      </c>
      <c r="J3363">
        <v>213138551</v>
      </c>
      <c r="K3363">
        <v>306479309</v>
      </c>
      <c r="L3363">
        <v>274762421</v>
      </c>
      <c r="M3363">
        <v>113656706</v>
      </c>
      <c r="N3363">
        <v>128283701</v>
      </c>
      <c r="P3363">
        <v>227</v>
      </c>
      <c r="Q3363" t="s">
        <v>7074</v>
      </c>
    </row>
    <row r="3364" spans="1:17" x14ac:dyDescent="0.3">
      <c r="A3364" t="s">
        <v>17</v>
      </c>
      <c r="B3364" t="str">
        <f>"688338"</f>
        <v>688338</v>
      </c>
      <c r="C3364" t="s">
        <v>7075</v>
      </c>
      <c r="D3364" t="s">
        <v>1953</v>
      </c>
      <c r="F3364">
        <v>107423198</v>
      </c>
      <c r="G3364">
        <v>72266743</v>
      </c>
      <c r="H3364">
        <v>60943291</v>
      </c>
      <c r="I3364">
        <v>58153107</v>
      </c>
      <c r="J3364">
        <v>32679325</v>
      </c>
      <c r="K3364">
        <v>35296842</v>
      </c>
      <c r="P3364">
        <v>56</v>
      </c>
      <c r="Q3364" t="s">
        <v>7076</v>
      </c>
    </row>
    <row r="3365" spans="1:17" x14ac:dyDescent="0.3">
      <c r="A3365" t="s">
        <v>59</v>
      </c>
      <c r="B3365" t="str">
        <f>"002351"</f>
        <v>002351</v>
      </c>
      <c r="C3365" t="s">
        <v>7077</v>
      </c>
      <c r="D3365" t="s">
        <v>563</v>
      </c>
      <c r="F3365">
        <v>280615249</v>
      </c>
      <c r="G3365">
        <v>287817780</v>
      </c>
      <c r="H3365">
        <v>60805290</v>
      </c>
      <c r="I3365">
        <v>54596729</v>
      </c>
      <c r="J3365">
        <v>-31873686</v>
      </c>
      <c r="K3365">
        <v>-62830738</v>
      </c>
      <c r="L3365">
        <v>42133479</v>
      </c>
      <c r="M3365">
        <v>59545867</v>
      </c>
      <c r="N3365">
        <v>583995951</v>
      </c>
      <c r="O3365">
        <v>280058359</v>
      </c>
      <c r="P3365">
        <v>339</v>
      </c>
      <c r="Q3365" t="s">
        <v>7078</v>
      </c>
    </row>
    <row r="3366" spans="1:17" x14ac:dyDescent="0.3">
      <c r="A3366" t="s">
        <v>59</v>
      </c>
      <c r="B3366" t="str">
        <f>"002312"</f>
        <v>002312</v>
      </c>
      <c r="C3366" t="s">
        <v>7079</v>
      </c>
      <c r="D3366" t="s">
        <v>533</v>
      </c>
      <c r="F3366">
        <v>206334040</v>
      </c>
      <c r="G3366">
        <v>630421883</v>
      </c>
      <c r="H3366">
        <v>60796620</v>
      </c>
      <c r="I3366">
        <v>-44326707</v>
      </c>
      <c r="J3366">
        <v>-70977561</v>
      </c>
      <c r="K3366">
        <v>-318865071</v>
      </c>
      <c r="L3366">
        <v>-135718741</v>
      </c>
      <c r="M3366">
        <v>-118950733</v>
      </c>
      <c r="N3366">
        <v>-26927862</v>
      </c>
      <c r="O3366">
        <v>-20382153</v>
      </c>
      <c r="P3366">
        <v>249</v>
      </c>
      <c r="Q3366" t="s">
        <v>7080</v>
      </c>
    </row>
    <row r="3367" spans="1:17" x14ac:dyDescent="0.3">
      <c r="A3367" t="s">
        <v>59</v>
      </c>
      <c r="B3367" t="str">
        <f>"301049"</f>
        <v>301049</v>
      </c>
      <c r="C3367" t="s">
        <v>7081</v>
      </c>
      <c r="D3367" t="s">
        <v>894</v>
      </c>
      <c r="F3367">
        <v>143040801</v>
      </c>
      <c r="G3367">
        <v>115509472</v>
      </c>
      <c r="H3367">
        <v>60741403</v>
      </c>
      <c r="I3367">
        <v>78492274</v>
      </c>
      <c r="J3367">
        <v>37070858</v>
      </c>
      <c r="P3367">
        <v>26</v>
      </c>
      <c r="Q3367" t="s">
        <v>7082</v>
      </c>
    </row>
    <row r="3368" spans="1:17" x14ac:dyDescent="0.3">
      <c r="A3368" t="s">
        <v>59</v>
      </c>
      <c r="B3368" t="str">
        <f>"000810"</f>
        <v>000810</v>
      </c>
      <c r="C3368" t="s">
        <v>7083</v>
      </c>
      <c r="D3368" t="s">
        <v>3070</v>
      </c>
      <c r="F3368">
        <v>189963545</v>
      </c>
      <c r="G3368">
        <v>2446407147</v>
      </c>
      <c r="H3368">
        <v>60738527</v>
      </c>
      <c r="I3368">
        <v>-77562911</v>
      </c>
      <c r="J3368">
        <v>-587038738</v>
      </c>
      <c r="K3368">
        <v>441805803</v>
      </c>
      <c r="L3368">
        <v>443040223</v>
      </c>
      <c r="M3368">
        <v>213957789</v>
      </c>
      <c r="N3368">
        <v>114860320</v>
      </c>
      <c r="O3368">
        <v>129474780</v>
      </c>
      <c r="P3368">
        <v>384</v>
      </c>
      <c r="Q3368" t="s">
        <v>7084</v>
      </c>
    </row>
    <row r="3369" spans="1:17" x14ac:dyDescent="0.3">
      <c r="A3369" t="s">
        <v>17</v>
      </c>
      <c r="B3369" t="str">
        <f>"688113"</f>
        <v>688113</v>
      </c>
      <c r="C3369" t="s">
        <v>7085</v>
      </c>
      <c r="D3369" t="s">
        <v>1351</v>
      </c>
      <c r="F3369">
        <v>52986972</v>
      </c>
      <c r="G3369">
        <v>67681733</v>
      </c>
      <c r="H3369">
        <v>60131644</v>
      </c>
      <c r="I3369">
        <v>38575253</v>
      </c>
      <c r="J3369">
        <v>29870524</v>
      </c>
      <c r="P3369">
        <v>40</v>
      </c>
      <c r="Q3369" t="s">
        <v>7086</v>
      </c>
    </row>
    <row r="3370" spans="1:17" x14ac:dyDescent="0.3">
      <c r="A3370" t="s">
        <v>59</v>
      </c>
      <c r="B3370" t="str">
        <f>"300825"</f>
        <v>300825</v>
      </c>
      <c r="C3370" t="s">
        <v>7087</v>
      </c>
      <c r="D3370" t="s">
        <v>2334</v>
      </c>
      <c r="F3370">
        <v>182052014</v>
      </c>
      <c r="G3370">
        <v>60846676</v>
      </c>
      <c r="H3370">
        <v>60125328</v>
      </c>
      <c r="I3370">
        <v>81264284</v>
      </c>
      <c r="J3370">
        <v>43181754</v>
      </c>
      <c r="P3370">
        <v>92</v>
      </c>
      <c r="Q3370" t="s">
        <v>7088</v>
      </c>
    </row>
    <row r="3371" spans="1:17" x14ac:dyDescent="0.3">
      <c r="A3371" t="s">
        <v>59</v>
      </c>
      <c r="B3371" t="str">
        <f>"300563"</f>
        <v>300563</v>
      </c>
      <c r="C3371" t="s">
        <v>7089</v>
      </c>
      <c r="D3371" t="s">
        <v>754</v>
      </c>
      <c r="F3371">
        <v>87937232</v>
      </c>
      <c r="G3371">
        <v>51996019</v>
      </c>
      <c r="H3371">
        <v>60102302</v>
      </c>
      <c r="I3371">
        <v>41095345</v>
      </c>
      <c r="J3371">
        <v>3393959</v>
      </c>
      <c r="K3371">
        <v>32099064</v>
      </c>
      <c r="L3371">
        <v>51027495</v>
      </c>
      <c r="M3371">
        <v>39342797</v>
      </c>
      <c r="N3371">
        <v>24955915</v>
      </c>
      <c r="P3371">
        <v>144</v>
      </c>
      <c r="Q3371" t="s">
        <v>7090</v>
      </c>
    </row>
    <row r="3372" spans="1:17" x14ac:dyDescent="0.3">
      <c r="A3372" t="s">
        <v>17</v>
      </c>
      <c r="B3372" t="str">
        <f>"688295"</f>
        <v>688295</v>
      </c>
      <c r="C3372" t="s">
        <v>7091</v>
      </c>
      <c r="F3372">
        <v>300806584</v>
      </c>
      <c r="G3372">
        <v>233321946</v>
      </c>
      <c r="H3372">
        <v>59991562</v>
      </c>
      <c r="I3372">
        <v>-28462127</v>
      </c>
      <c r="P3372">
        <v>15</v>
      </c>
      <c r="Q3372" t="s">
        <v>7092</v>
      </c>
    </row>
    <row r="3373" spans="1:17" x14ac:dyDescent="0.3">
      <c r="A3373" t="s">
        <v>59</v>
      </c>
      <c r="B3373" t="str">
        <f>"300958"</f>
        <v>300958</v>
      </c>
      <c r="C3373" t="s">
        <v>7093</v>
      </c>
      <c r="D3373" t="s">
        <v>2700</v>
      </c>
      <c r="F3373">
        <v>52097698</v>
      </c>
      <c r="G3373">
        <v>75014196</v>
      </c>
      <c r="H3373">
        <v>59883512</v>
      </c>
      <c r="I3373">
        <v>95466892</v>
      </c>
      <c r="J3373">
        <v>11194281</v>
      </c>
      <c r="P3373">
        <v>28</v>
      </c>
      <c r="Q3373" t="s">
        <v>7094</v>
      </c>
    </row>
    <row r="3374" spans="1:17" x14ac:dyDescent="0.3">
      <c r="A3374" t="s">
        <v>17</v>
      </c>
      <c r="B3374" t="str">
        <f>"603663"</f>
        <v>603663</v>
      </c>
      <c r="C3374" t="s">
        <v>7095</v>
      </c>
      <c r="D3374" t="s">
        <v>1241</v>
      </c>
      <c r="F3374">
        <v>187240266</v>
      </c>
      <c r="G3374">
        <v>148245803</v>
      </c>
      <c r="H3374">
        <v>59754009</v>
      </c>
      <c r="I3374">
        <v>35026394</v>
      </c>
      <c r="J3374">
        <v>4304241</v>
      </c>
      <c r="K3374">
        <v>23639821</v>
      </c>
      <c r="L3374">
        <v>52879006</v>
      </c>
      <c r="M3374">
        <v>41312006</v>
      </c>
      <c r="N3374">
        <v>25386933</v>
      </c>
      <c r="P3374">
        <v>143</v>
      </c>
      <c r="Q3374" t="s">
        <v>7096</v>
      </c>
    </row>
    <row r="3375" spans="1:17" x14ac:dyDescent="0.3">
      <c r="A3375" t="s">
        <v>17</v>
      </c>
      <c r="B3375" t="str">
        <f>"688398"</f>
        <v>688398</v>
      </c>
      <c r="C3375" t="s">
        <v>7097</v>
      </c>
      <c r="D3375" t="s">
        <v>1252</v>
      </c>
      <c r="F3375">
        <v>83713900</v>
      </c>
      <c r="G3375">
        <v>69438483</v>
      </c>
      <c r="H3375">
        <v>59740515</v>
      </c>
      <c r="I3375">
        <v>48009735</v>
      </c>
      <c r="J3375">
        <v>7872169</v>
      </c>
      <c r="K3375">
        <v>13243634</v>
      </c>
      <c r="P3375">
        <v>81</v>
      </c>
      <c r="Q3375" t="s">
        <v>7098</v>
      </c>
    </row>
    <row r="3376" spans="1:17" x14ac:dyDescent="0.3">
      <c r="A3376" t="s">
        <v>59</v>
      </c>
      <c r="B3376" t="str">
        <f>"300631"</f>
        <v>300631</v>
      </c>
      <c r="C3376" t="s">
        <v>7099</v>
      </c>
      <c r="D3376" t="s">
        <v>1337</v>
      </c>
      <c r="F3376">
        <v>26452979</v>
      </c>
      <c r="G3376">
        <v>7044645</v>
      </c>
      <c r="H3376">
        <v>59707863</v>
      </c>
      <c r="I3376">
        <v>100929510</v>
      </c>
      <c r="J3376">
        <v>-76369589</v>
      </c>
      <c r="K3376">
        <v>15597079</v>
      </c>
      <c r="L3376">
        <v>44035039</v>
      </c>
      <c r="M3376">
        <v>-13519753</v>
      </c>
      <c r="N3376">
        <v>54593242</v>
      </c>
      <c r="P3376">
        <v>135</v>
      </c>
      <c r="Q3376" t="s">
        <v>7100</v>
      </c>
    </row>
    <row r="3377" spans="1:17" x14ac:dyDescent="0.3">
      <c r="A3377" t="s">
        <v>17</v>
      </c>
      <c r="B3377" t="str">
        <f>"688200"</f>
        <v>688200</v>
      </c>
      <c r="C3377" t="s">
        <v>7101</v>
      </c>
      <c r="D3377" t="s">
        <v>5407</v>
      </c>
      <c r="F3377">
        <v>354442445</v>
      </c>
      <c r="G3377">
        <v>138674523</v>
      </c>
      <c r="H3377">
        <v>59650880</v>
      </c>
      <c r="I3377">
        <v>101779194</v>
      </c>
      <c r="J3377">
        <v>10634701</v>
      </c>
      <c r="K3377">
        <v>36281894</v>
      </c>
      <c r="P3377">
        <v>291</v>
      </c>
      <c r="Q3377" t="s">
        <v>7102</v>
      </c>
    </row>
    <row r="3378" spans="1:17" x14ac:dyDescent="0.3">
      <c r="A3378" t="s">
        <v>59</v>
      </c>
      <c r="B3378" t="str">
        <f>"002722"</f>
        <v>002722</v>
      </c>
      <c r="C3378" t="s">
        <v>7103</v>
      </c>
      <c r="D3378" t="s">
        <v>3101</v>
      </c>
      <c r="F3378">
        <v>158424759</v>
      </c>
      <c r="G3378">
        <v>281440243</v>
      </c>
      <c r="H3378">
        <v>59499132</v>
      </c>
      <c r="I3378">
        <v>105793597</v>
      </c>
      <c r="J3378">
        <v>24103587</v>
      </c>
      <c r="K3378">
        <v>-57519412</v>
      </c>
      <c r="L3378">
        <v>67623729</v>
      </c>
      <c r="M3378">
        <v>53790488</v>
      </c>
      <c r="N3378">
        <v>46998661</v>
      </c>
      <c r="O3378">
        <v>42388327</v>
      </c>
      <c r="P3378">
        <v>102</v>
      </c>
      <c r="Q3378" t="s">
        <v>7104</v>
      </c>
    </row>
    <row r="3379" spans="1:17" x14ac:dyDescent="0.3">
      <c r="A3379" t="s">
        <v>17</v>
      </c>
      <c r="B3379" t="str">
        <f>"603168"</f>
        <v>603168</v>
      </c>
      <c r="C3379" t="s">
        <v>7105</v>
      </c>
      <c r="D3379" t="s">
        <v>592</v>
      </c>
      <c r="F3379">
        <v>100782134</v>
      </c>
      <c r="G3379">
        <v>44090367</v>
      </c>
      <c r="H3379">
        <v>59469247</v>
      </c>
      <c r="I3379">
        <v>100373496</v>
      </c>
      <c r="J3379">
        <v>45572205</v>
      </c>
      <c r="K3379">
        <v>294331016</v>
      </c>
      <c r="L3379">
        <v>114273315</v>
      </c>
      <c r="M3379">
        <v>147991884</v>
      </c>
      <c r="N3379">
        <v>117860928</v>
      </c>
      <c r="O3379">
        <v>67268343</v>
      </c>
      <c r="P3379">
        <v>528</v>
      </c>
      <c r="Q3379" t="s">
        <v>7106</v>
      </c>
    </row>
    <row r="3380" spans="1:17" x14ac:dyDescent="0.3">
      <c r="A3380" t="s">
        <v>59</v>
      </c>
      <c r="B3380" t="str">
        <f>"003027"</f>
        <v>003027</v>
      </c>
      <c r="C3380" t="s">
        <v>7107</v>
      </c>
      <c r="D3380" t="s">
        <v>634</v>
      </c>
      <c r="F3380">
        <v>78690498</v>
      </c>
      <c r="G3380">
        <v>93472615</v>
      </c>
      <c r="H3380">
        <v>59341268</v>
      </c>
      <c r="I3380">
        <v>50143712</v>
      </c>
      <c r="J3380">
        <v>-39175063</v>
      </c>
      <c r="K3380">
        <v>-11594592</v>
      </c>
      <c r="P3380">
        <v>58</v>
      </c>
      <c r="Q3380" t="s">
        <v>7108</v>
      </c>
    </row>
    <row r="3381" spans="1:17" x14ac:dyDescent="0.3">
      <c r="A3381" t="s">
        <v>59</v>
      </c>
      <c r="B3381" t="str">
        <f>"300995"</f>
        <v>300995</v>
      </c>
      <c r="C3381" t="s">
        <v>7109</v>
      </c>
      <c r="D3381" t="s">
        <v>792</v>
      </c>
      <c r="F3381">
        <v>31269027</v>
      </c>
      <c r="G3381">
        <v>70352847</v>
      </c>
      <c r="H3381">
        <v>59314533</v>
      </c>
      <c r="I3381">
        <v>24722706</v>
      </c>
      <c r="J3381">
        <v>12055264</v>
      </c>
      <c r="P3381">
        <v>26</v>
      </c>
      <c r="Q3381" t="s">
        <v>7110</v>
      </c>
    </row>
    <row r="3382" spans="1:17" x14ac:dyDescent="0.3">
      <c r="A3382" t="s">
        <v>59</v>
      </c>
      <c r="B3382" t="str">
        <f>"300637"</f>
        <v>300637</v>
      </c>
      <c r="C3382" t="s">
        <v>7111</v>
      </c>
      <c r="D3382" t="s">
        <v>2111</v>
      </c>
      <c r="F3382">
        <v>43854516</v>
      </c>
      <c r="G3382">
        <v>64739759</v>
      </c>
      <c r="H3382">
        <v>59293951</v>
      </c>
      <c r="I3382">
        <v>162907787</v>
      </c>
      <c r="J3382">
        <v>82749314</v>
      </c>
      <c r="K3382">
        <v>96126972</v>
      </c>
      <c r="L3382">
        <v>72629538</v>
      </c>
      <c r="M3382">
        <v>58849864</v>
      </c>
      <c r="P3382">
        <v>117</v>
      </c>
      <c r="Q3382" t="s">
        <v>7112</v>
      </c>
    </row>
    <row r="3383" spans="1:17" x14ac:dyDescent="0.3">
      <c r="A3383" t="s">
        <v>17</v>
      </c>
      <c r="B3383" t="str">
        <f>"603718"</f>
        <v>603718</v>
      </c>
      <c r="C3383" t="s">
        <v>7113</v>
      </c>
      <c r="D3383" t="s">
        <v>3061</v>
      </c>
      <c r="F3383">
        <v>43632976</v>
      </c>
      <c r="G3383">
        <v>167682490</v>
      </c>
      <c r="H3383">
        <v>59251288</v>
      </c>
      <c r="I3383">
        <v>18917482</v>
      </c>
      <c r="J3383">
        <v>34920783</v>
      </c>
      <c r="K3383">
        <v>108388167</v>
      </c>
      <c r="L3383">
        <v>201687364</v>
      </c>
      <c r="M3383">
        <v>110218482</v>
      </c>
      <c r="N3383">
        <v>147626206</v>
      </c>
      <c r="O3383">
        <v>122475831</v>
      </c>
      <c r="P3383">
        <v>166</v>
      </c>
      <c r="Q3383" t="s">
        <v>7114</v>
      </c>
    </row>
    <row r="3384" spans="1:17" x14ac:dyDescent="0.3">
      <c r="A3384" t="s">
        <v>59</v>
      </c>
      <c r="B3384" t="str">
        <f>"001208"</f>
        <v>001208</v>
      </c>
      <c r="C3384" t="s">
        <v>7115</v>
      </c>
      <c r="D3384" t="s">
        <v>1065</v>
      </c>
      <c r="F3384">
        <v>-297700294</v>
      </c>
      <c r="G3384">
        <v>111508689</v>
      </c>
      <c r="H3384">
        <v>59239673</v>
      </c>
      <c r="I3384">
        <v>55781997</v>
      </c>
      <c r="J3384">
        <v>26033787</v>
      </c>
      <c r="P3384">
        <v>66</v>
      </c>
      <c r="Q3384" t="s">
        <v>7116</v>
      </c>
    </row>
    <row r="3385" spans="1:17" x14ac:dyDescent="0.3">
      <c r="A3385" t="s">
        <v>59</v>
      </c>
      <c r="B3385" t="str">
        <f>"300795"</f>
        <v>300795</v>
      </c>
      <c r="C3385" t="s">
        <v>7117</v>
      </c>
      <c r="D3385" t="s">
        <v>4420</v>
      </c>
      <c r="F3385">
        <v>-14292460</v>
      </c>
      <c r="G3385">
        <v>-12387015</v>
      </c>
      <c r="H3385">
        <v>59224048</v>
      </c>
      <c r="I3385">
        <v>57369216</v>
      </c>
      <c r="J3385">
        <v>65281493</v>
      </c>
      <c r="K3385">
        <v>50773003</v>
      </c>
      <c r="P3385">
        <v>109</v>
      </c>
      <c r="Q3385" t="s">
        <v>7118</v>
      </c>
    </row>
    <row r="3386" spans="1:17" x14ac:dyDescent="0.3">
      <c r="A3386" t="s">
        <v>59</v>
      </c>
      <c r="B3386" t="str">
        <f>"002826"</f>
        <v>002826</v>
      </c>
      <c r="C3386" t="s">
        <v>7119</v>
      </c>
      <c r="D3386" t="s">
        <v>592</v>
      </c>
      <c r="F3386">
        <v>109522210</v>
      </c>
      <c r="G3386">
        <v>101735690</v>
      </c>
      <c r="H3386">
        <v>59202426</v>
      </c>
      <c r="I3386">
        <v>13313865</v>
      </c>
      <c r="J3386">
        <v>77288007</v>
      </c>
      <c r="K3386">
        <v>57179401</v>
      </c>
      <c r="L3386">
        <v>-29691228</v>
      </c>
      <c r="M3386">
        <v>2184178</v>
      </c>
      <c r="N3386">
        <v>52240397</v>
      </c>
      <c r="P3386">
        <v>127</v>
      </c>
      <c r="Q3386" t="s">
        <v>7120</v>
      </c>
    </row>
    <row r="3387" spans="1:17" x14ac:dyDescent="0.3">
      <c r="A3387" t="s">
        <v>17</v>
      </c>
      <c r="B3387" t="str">
        <f>"600854"</f>
        <v>600854</v>
      </c>
      <c r="C3387" t="s">
        <v>7121</v>
      </c>
      <c r="D3387" t="s">
        <v>90</v>
      </c>
      <c r="F3387">
        <v>295727197</v>
      </c>
      <c r="G3387">
        <v>33216378</v>
      </c>
      <c r="H3387">
        <v>59014067</v>
      </c>
      <c r="I3387">
        <v>-121129841</v>
      </c>
      <c r="J3387">
        <v>353223767</v>
      </c>
      <c r="K3387">
        <v>-36907158</v>
      </c>
      <c r="L3387">
        <v>-134932070</v>
      </c>
      <c r="M3387">
        <v>41450465</v>
      </c>
      <c r="N3387">
        <v>85141411</v>
      </c>
      <c r="O3387">
        <v>-40556014</v>
      </c>
      <c r="P3387">
        <v>146</v>
      </c>
      <c r="Q3387" t="s">
        <v>7122</v>
      </c>
    </row>
    <row r="3388" spans="1:17" x14ac:dyDescent="0.3">
      <c r="A3388" t="s">
        <v>59</v>
      </c>
      <c r="B3388" t="str">
        <f>"002634"</f>
        <v>002634</v>
      </c>
      <c r="C3388" t="s">
        <v>7123</v>
      </c>
      <c r="D3388" t="s">
        <v>3416</v>
      </c>
      <c r="F3388">
        <v>69679749</v>
      </c>
      <c r="G3388">
        <v>122137486</v>
      </c>
      <c r="H3388">
        <v>58997270</v>
      </c>
      <c r="I3388">
        <v>23856786</v>
      </c>
      <c r="J3388">
        <v>114111261</v>
      </c>
      <c r="K3388">
        <v>140061946</v>
      </c>
      <c r="L3388">
        <v>93594550</v>
      </c>
      <c r="M3388">
        <v>92837016</v>
      </c>
      <c r="N3388">
        <v>57146965</v>
      </c>
      <c r="O3388">
        <v>45806336</v>
      </c>
      <c r="P3388">
        <v>88</v>
      </c>
      <c r="Q3388" t="s">
        <v>7124</v>
      </c>
    </row>
    <row r="3389" spans="1:17" x14ac:dyDescent="0.3">
      <c r="A3389" t="s">
        <v>59</v>
      </c>
      <c r="B3389" t="str">
        <f>"301133"</f>
        <v>301133</v>
      </c>
      <c r="C3389" t="s">
        <v>7125</v>
      </c>
      <c r="D3389" t="s">
        <v>289</v>
      </c>
      <c r="F3389">
        <v>-25920319</v>
      </c>
      <c r="G3389">
        <v>41725519</v>
      </c>
      <c r="H3389">
        <v>58958820</v>
      </c>
      <c r="I3389">
        <v>56058100</v>
      </c>
      <c r="J3389">
        <v>92522001</v>
      </c>
      <c r="P3389">
        <v>15</v>
      </c>
      <c r="Q3389" t="s">
        <v>7126</v>
      </c>
    </row>
    <row r="3390" spans="1:17" x14ac:dyDescent="0.3">
      <c r="A3390" t="s">
        <v>59</v>
      </c>
      <c r="B3390" t="str">
        <f>"300670"</f>
        <v>300670</v>
      </c>
      <c r="C3390" t="s">
        <v>7127</v>
      </c>
      <c r="D3390" t="s">
        <v>458</v>
      </c>
      <c r="F3390">
        <v>99395681</v>
      </c>
      <c r="G3390">
        <v>170550341</v>
      </c>
      <c r="H3390">
        <v>58637597</v>
      </c>
      <c r="I3390">
        <v>-21727473</v>
      </c>
      <c r="J3390">
        <v>8028435</v>
      </c>
      <c r="K3390">
        <v>38743200</v>
      </c>
      <c r="L3390">
        <v>34985125</v>
      </c>
      <c r="M3390">
        <v>37984257</v>
      </c>
      <c r="P3390">
        <v>67</v>
      </c>
      <c r="Q3390" t="s">
        <v>7128</v>
      </c>
    </row>
    <row r="3391" spans="1:17" x14ac:dyDescent="0.3">
      <c r="A3391" t="s">
        <v>59</v>
      </c>
      <c r="B3391" t="str">
        <f>"000518"</f>
        <v>000518</v>
      </c>
      <c r="C3391" t="s">
        <v>7129</v>
      </c>
      <c r="D3391" t="s">
        <v>1062</v>
      </c>
      <c r="F3391">
        <v>155654</v>
      </c>
      <c r="G3391">
        <v>100233421</v>
      </c>
      <c r="H3391">
        <v>58632436</v>
      </c>
      <c r="I3391">
        <v>22566811</v>
      </c>
      <c r="J3391">
        <v>-10785814</v>
      </c>
      <c r="K3391">
        <v>11579774</v>
      </c>
      <c r="L3391">
        <v>-136113147</v>
      </c>
      <c r="M3391">
        <v>20089635</v>
      </c>
      <c r="N3391">
        <v>-19015165</v>
      </c>
      <c r="O3391">
        <v>54563538</v>
      </c>
      <c r="P3391">
        <v>171</v>
      </c>
      <c r="Q3391" t="s">
        <v>7130</v>
      </c>
    </row>
    <row r="3392" spans="1:17" x14ac:dyDescent="0.3">
      <c r="A3392" t="s">
        <v>59</v>
      </c>
      <c r="B3392" t="str">
        <f>"002758"</f>
        <v>002758</v>
      </c>
      <c r="C3392" t="s">
        <v>7131</v>
      </c>
      <c r="D3392" t="s">
        <v>396</v>
      </c>
      <c r="F3392">
        <v>1378603840</v>
      </c>
      <c r="G3392">
        <v>1631372822</v>
      </c>
      <c r="H3392">
        <v>58622373</v>
      </c>
      <c r="I3392">
        <v>37637831</v>
      </c>
      <c r="J3392">
        <v>23866640</v>
      </c>
      <c r="K3392">
        <v>4549980</v>
      </c>
      <c r="L3392">
        <v>19571489</v>
      </c>
      <c r="M3392">
        <v>78198550</v>
      </c>
      <c r="N3392">
        <v>64599112</v>
      </c>
      <c r="O3392">
        <v>56093791</v>
      </c>
      <c r="P3392">
        <v>180</v>
      </c>
      <c r="Q3392" t="s">
        <v>7132</v>
      </c>
    </row>
    <row r="3393" spans="1:17" x14ac:dyDescent="0.3">
      <c r="A3393" t="s">
        <v>17</v>
      </c>
      <c r="B3393" t="str">
        <f>"603079"</f>
        <v>603079</v>
      </c>
      <c r="C3393" t="s">
        <v>7133</v>
      </c>
      <c r="D3393" t="s">
        <v>984</v>
      </c>
      <c r="F3393">
        <v>74460440</v>
      </c>
      <c r="G3393">
        <v>333201875</v>
      </c>
      <c r="H3393">
        <v>58553624</v>
      </c>
      <c r="I3393">
        <v>88685913</v>
      </c>
      <c r="J3393">
        <v>95334031</v>
      </c>
      <c r="K3393">
        <v>73001504</v>
      </c>
      <c r="L3393">
        <v>148071839</v>
      </c>
      <c r="M3393">
        <v>34401628</v>
      </c>
      <c r="P3393">
        <v>239</v>
      </c>
      <c r="Q3393" t="s">
        <v>7134</v>
      </c>
    </row>
    <row r="3394" spans="1:17" x14ac:dyDescent="0.3">
      <c r="A3394" t="s">
        <v>59</v>
      </c>
      <c r="B3394" t="str">
        <f>"300111"</f>
        <v>300111</v>
      </c>
      <c r="C3394" t="s">
        <v>7135</v>
      </c>
      <c r="D3394" t="s">
        <v>430</v>
      </c>
      <c r="F3394">
        <v>99269612</v>
      </c>
      <c r="G3394">
        <v>53314057</v>
      </c>
      <c r="H3394">
        <v>58504587</v>
      </c>
      <c r="I3394">
        <v>64580523</v>
      </c>
      <c r="J3394">
        <v>205463889</v>
      </c>
      <c r="K3394">
        <v>365144513</v>
      </c>
      <c r="L3394">
        <v>226218500</v>
      </c>
      <c r="M3394">
        <v>113603589</v>
      </c>
      <c r="N3394">
        <v>69817941</v>
      </c>
      <c r="O3394">
        <v>404718211</v>
      </c>
      <c r="P3394">
        <v>124</v>
      </c>
      <c r="Q3394" t="s">
        <v>7136</v>
      </c>
    </row>
    <row r="3395" spans="1:17" x14ac:dyDescent="0.3">
      <c r="A3395" t="s">
        <v>59</v>
      </c>
      <c r="B3395" t="str">
        <f>"301032"</f>
        <v>301032</v>
      </c>
      <c r="C3395" t="s">
        <v>7137</v>
      </c>
      <c r="D3395" t="s">
        <v>1838</v>
      </c>
      <c r="F3395">
        <v>-300929345</v>
      </c>
      <c r="G3395">
        <v>424737059</v>
      </c>
      <c r="H3395">
        <v>58470151</v>
      </c>
      <c r="I3395">
        <v>140911056</v>
      </c>
      <c r="J3395">
        <v>181567842</v>
      </c>
      <c r="P3395">
        <v>19</v>
      </c>
      <c r="Q3395" t="s">
        <v>7138</v>
      </c>
    </row>
    <row r="3396" spans="1:17" x14ac:dyDescent="0.3">
      <c r="A3396" t="s">
        <v>17</v>
      </c>
      <c r="B3396" t="str">
        <f>"688683"</f>
        <v>688683</v>
      </c>
      <c r="C3396" t="s">
        <v>7139</v>
      </c>
      <c r="D3396" t="s">
        <v>349</v>
      </c>
      <c r="F3396">
        <v>80124354</v>
      </c>
      <c r="G3396">
        <v>51347289</v>
      </c>
      <c r="H3396">
        <v>58456114</v>
      </c>
      <c r="I3396">
        <v>60148259</v>
      </c>
      <c r="J3396">
        <v>5557153</v>
      </c>
      <c r="P3396">
        <v>18</v>
      </c>
      <c r="Q3396" t="s">
        <v>7140</v>
      </c>
    </row>
    <row r="3397" spans="1:17" x14ac:dyDescent="0.3">
      <c r="A3397" t="s">
        <v>17</v>
      </c>
      <c r="B3397" t="str">
        <f>"688202"</f>
        <v>688202</v>
      </c>
      <c r="C3397" t="s">
        <v>7141</v>
      </c>
      <c r="D3397" t="s">
        <v>751</v>
      </c>
      <c r="F3397">
        <v>452936579</v>
      </c>
      <c r="G3397">
        <v>207770893</v>
      </c>
      <c r="H3397">
        <v>58299145</v>
      </c>
      <c r="I3397">
        <v>71105968</v>
      </c>
      <c r="J3397">
        <v>74697164</v>
      </c>
      <c r="K3397">
        <v>34132664</v>
      </c>
      <c r="P3397">
        <v>382</v>
      </c>
      <c r="Q3397" t="s">
        <v>7142</v>
      </c>
    </row>
    <row r="3398" spans="1:17" x14ac:dyDescent="0.3">
      <c r="A3398" t="s">
        <v>17</v>
      </c>
      <c r="B3398" t="str">
        <f>"900956"</f>
        <v>900956</v>
      </c>
      <c r="C3398" t="s">
        <v>7143</v>
      </c>
      <c r="H3398">
        <v>58210408.686800003</v>
      </c>
      <c r="I3398">
        <v>31379617.174600001</v>
      </c>
      <c r="J3398">
        <v>25617843.6096</v>
      </c>
      <c r="K3398">
        <v>-12572424</v>
      </c>
      <c r="L3398">
        <v>77269508.440699995</v>
      </c>
      <c r="M3398">
        <v>33116031.774700001</v>
      </c>
      <c r="N3398">
        <v>8711564.5671999995</v>
      </c>
      <c r="O3398">
        <v>51854513.226000004</v>
      </c>
      <c r="P3398">
        <v>10</v>
      </c>
      <c r="Q3398" t="s">
        <v>7144</v>
      </c>
    </row>
    <row r="3399" spans="1:17" x14ac:dyDescent="0.3">
      <c r="A3399" t="s">
        <v>59</v>
      </c>
      <c r="B3399" t="str">
        <f>"300667"</f>
        <v>300667</v>
      </c>
      <c r="C3399" t="s">
        <v>7145</v>
      </c>
      <c r="D3399" t="s">
        <v>2382</v>
      </c>
      <c r="F3399">
        <v>99917946</v>
      </c>
      <c r="G3399">
        <v>73094722</v>
      </c>
      <c r="H3399">
        <v>58183557</v>
      </c>
      <c r="I3399">
        <v>9195234</v>
      </c>
      <c r="J3399">
        <v>9869281</v>
      </c>
      <c r="K3399">
        <v>24858443</v>
      </c>
      <c r="L3399">
        <v>2216467</v>
      </c>
      <c r="M3399">
        <v>5875255</v>
      </c>
      <c r="P3399">
        <v>144</v>
      </c>
      <c r="Q3399" t="s">
        <v>7146</v>
      </c>
    </row>
    <row r="3400" spans="1:17" x14ac:dyDescent="0.3">
      <c r="A3400" t="s">
        <v>59</v>
      </c>
      <c r="B3400" t="str">
        <f>"002229"</f>
        <v>002229</v>
      </c>
      <c r="C3400" t="s">
        <v>7147</v>
      </c>
      <c r="D3400" t="s">
        <v>2995</v>
      </c>
      <c r="F3400">
        <v>8393506</v>
      </c>
      <c r="G3400">
        <v>94916752</v>
      </c>
      <c r="H3400">
        <v>58047796</v>
      </c>
      <c r="I3400">
        <v>160805761</v>
      </c>
      <c r="J3400">
        <v>67784570</v>
      </c>
      <c r="K3400">
        <v>126853299</v>
      </c>
      <c r="L3400">
        <v>100652059</v>
      </c>
      <c r="M3400">
        <v>20837819</v>
      </c>
      <c r="N3400">
        <v>120212685</v>
      </c>
      <c r="O3400">
        <v>45346881</v>
      </c>
      <c r="P3400">
        <v>118</v>
      </c>
      <c r="Q3400" t="s">
        <v>7148</v>
      </c>
    </row>
    <row r="3401" spans="1:17" x14ac:dyDescent="0.3">
      <c r="A3401" t="s">
        <v>59</v>
      </c>
      <c r="B3401" t="str">
        <f>"300707"</f>
        <v>300707</v>
      </c>
      <c r="C3401" t="s">
        <v>7149</v>
      </c>
      <c r="D3401" t="s">
        <v>1226</v>
      </c>
      <c r="F3401">
        <v>-982475</v>
      </c>
      <c r="G3401">
        <v>35076137</v>
      </c>
      <c r="H3401">
        <v>57972363</v>
      </c>
      <c r="I3401">
        <v>20288008</v>
      </c>
      <c r="J3401">
        <v>85318529</v>
      </c>
      <c r="K3401">
        <v>56974969</v>
      </c>
      <c r="L3401">
        <v>23118489</v>
      </c>
      <c r="M3401">
        <v>39728331</v>
      </c>
      <c r="P3401">
        <v>140</v>
      </c>
      <c r="Q3401" t="s">
        <v>7150</v>
      </c>
    </row>
    <row r="3402" spans="1:17" x14ac:dyDescent="0.3">
      <c r="A3402" t="s">
        <v>59</v>
      </c>
      <c r="B3402" t="str">
        <f>"300690"</f>
        <v>300690</v>
      </c>
      <c r="C3402" t="s">
        <v>7151</v>
      </c>
      <c r="D3402" t="s">
        <v>1525</v>
      </c>
      <c r="F3402">
        <v>76505414</v>
      </c>
      <c r="G3402">
        <v>298461908</v>
      </c>
      <c r="H3402">
        <v>57967754</v>
      </c>
      <c r="I3402">
        <v>89288851</v>
      </c>
      <c r="J3402">
        <v>49735525</v>
      </c>
      <c r="K3402">
        <v>104127183</v>
      </c>
      <c r="L3402">
        <v>57314189</v>
      </c>
      <c r="M3402">
        <v>69467027</v>
      </c>
      <c r="P3402">
        <v>214</v>
      </c>
      <c r="Q3402" t="s">
        <v>7152</v>
      </c>
    </row>
    <row r="3403" spans="1:17" x14ac:dyDescent="0.3">
      <c r="A3403" t="s">
        <v>59</v>
      </c>
      <c r="B3403" t="str">
        <f>"300480"</f>
        <v>300480</v>
      </c>
      <c r="C3403" t="s">
        <v>7153</v>
      </c>
      <c r="D3403" t="s">
        <v>741</v>
      </c>
      <c r="F3403">
        <v>59810214</v>
      </c>
      <c r="G3403">
        <v>49890576</v>
      </c>
      <c r="H3403">
        <v>57842331</v>
      </c>
      <c r="I3403">
        <v>7769028</v>
      </c>
      <c r="J3403">
        <v>3378488</v>
      </c>
      <c r="K3403">
        <v>19539596</v>
      </c>
      <c r="L3403">
        <v>28739758</v>
      </c>
      <c r="M3403">
        <v>47893427</v>
      </c>
      <c r="N3403">
        <v>42368097</v>
      </c>
      <c r="O3403">
        <v>7180725</v>
      </c>
      <c r="P3403">
        <v>84</v>
      </c>
      <c r="Q3403" t="s">
        <v>7154</v>
      </c>
    </row>
    <row r="3404" spans="1:17" x14ac:dyDescent="0.3">
      <c r="A3404" t="s">
        <v>17</v>
      </c>
      <c r="B3404" t="str">
        <f>"688314"</f>
        <v>688314</v>
      </c>
      <c r="C3404" t="s">
        <v>7155</v>
      </c>
      <c r="D3404" t="s">
        <v>1036</v>
      </c>
      <c r="F3404">
        <v>103289545</v>
      </c>
      <c r="G3404">
        <v>57828342</v>
      </c>
      <c r="H3404">
        <v>57782096</v>
      </c>
      <c r="I3404">
        <v>22835258</v>
      </c>
      <c r="J3404">
        <v>11263243</v>
      </c>
      <c r="P3404">
        <v>53</v>
      </c>
      <c r="Q3404" t="s">
        <v>7156</v>
      </c>
    </row>
    <row r="3405" spans="1:17" x14ac:dyDescent="0.3">
      <c r="A3405" t="s">
        <v>59</v>
      </c>
      <c r="B3405" t="str">
        <f>"002606"</f>
        <v>002606</v>
      </c>
      <c r="C3405" t="s">
        <v>7157</v>
      </c>
      <c r="D3405" t="s">
        <v>1065</v>
      </c>
      <c r="F3405">
        <v>-36409238</v>
      </c>
      <c r="G3405">
        <v>59159296</v>
      </c>
      <c r="H3405">
        <v>57730350</v>
      </c>
      <c r="I3405">
        <v>121665581</v>
      </c>
      <c r="J3405">
        <v>84013192</v>
      </c>
      <c r="K3405">
        <v>59868800</v>
      </c>
      <c r="L3405">
        <v>120492838</v>
      </c>
      <c r="M3405">
        <v>27135037</v>
      </c>
      <c r="N3405">
        <v>47117649</v>
      </c>
      <c r="O3405">
        <v>-1354268</v>
      </c>
      <c r="P3405">
        <v>160</v>
      </c>
      <c r="Q3405" t="s">
        <v>7158</v>
      </c>
    </row>
    <row r="3406" spans="1:17" x14ac:dyDescent="0.3">
      <c r="A3406" t="s">
        <v>59</v>
      </c>
      <c r="B3406" t="str">
        <f>"301122"</f>
        <v>301122</v>
      </c>
      <c r="C3406" t="s">
        <v>7159</v>
      </c>
      <c r="F3406">
        <v>160053824</v>
      </c>
      <c r="G3406">
        <v>170023815</v>
      </c>
      <c r="H3406">
        <v>57710122</v>
      </c>
      <c r="I3406">
        <v>21334302</v>
      </c>
      <c r="J3406">
        <v>407946</v>
      </c>
      <c r="P3406">
        <v>14</v>
      </c>
      <c r="Q3406" t="s">
        <v>7160</v>
      </c>
    </row>
    <row r="3407" spans="1:17" x14ac:dyDescent="0.3">
      <c r="A3407" t="s">
        <v>59</v>
      </c>
      <c r="B3407" t="str">
        <f>"002741"</f>
        <v>002741</v>
      </c>
      <c r="C3407" t="s">
        <v>7161</v>
      </c>
      <c r="D3407" t="s">
        <v>2111</v>
      </c>
      <c r="F3407">
        <v>44246346</v>
      </c>
      <c r="G3407">
        <v>124896456</v>
      </c>
      <c r="H3407">
        <v>57686425</v>
      </c>
      <c r="I3407">
        <v>-49751649</v>
      </c>
      <c r="J3407">
        <v>71362593</v>
      </c>
      <c r="K3407">
        <v>43050784</v>
      </c>
      <c r="L3407">
        <v>-67639919</v>
      </c>
      <c r="M3407">
        <v>47687143</v>
      </c>
      <c r="N3407">
        <v>39461347</v>
      </c>
      <c r="O3407">
        <v>55978497</v>
      </c>
      <c r="P3407">
        <v>187</v>
      </c>
      <c r="Q3407" t="s">
        <v>7162</v>
      </c>
    </row>
    <row r="3408" spans="1:17" x14ac:dyDescent="0.3">
      <c r="A3408" t="s">
        <v>59</v>
      </c>
      <c r="B3408" t="str">
        <f>"300583"</f>
        <v>300583</v>
      </c>
      <c r="C3408" t="s">
        <v>7163</v>
      </c>
      <c r="D3408" t="s">
        <v>984</v>
      </c>
      <c r="F3408">
        <v>227349329</v>
      </c>
      <c r="G3408">
        <v>254600649</v>
      </c>
      <c r="H3408">
        <v>57616517</v>
      </c>
      <c r="I3408">
        <v>-334413378</v>
      </c>
      <c r="J3408">
        <v>10896249</v>
      </c>
      <c r="K3408">
        <v>80146755</v>
      </c>
      <c r="L3408">
        <v>87103732</v>
      </c>
      <c r="M3408">
        <v>174489331</v>
      </c>
      <c r="N3408">
        <v>24949239</v>
      </c>
      <c r="P3408">
        <v>76</v>
      </c>
      <c r="Q3408" t="s">
        <v>7164</v>
      </c>
    </row>
    <row r="3409" spans="1:17" x14ac:dyDescent="0.3">
      <c r="A3409" t="s">
        <v>59</v>
      </c>
      <c r="B3409" t="str">
        <f>"300240"</f>
        <v>300240</v>
      </c>
      <c r="C3409" t="s">
        <v>7165</v>
      </c>
      <c r="D3409" t="s">
        <v>838</v>
      </c>
      <c r="F3409">
        <v>139141232</v>
      </c>
      <c r="G3409">
        <v>264121406</v>
      </c>
      <c r="H3409">
        <v>57503532</v>
      </c>
      <c r="I3409">
        <v>73203416</v>
      </c>
      <c r="J3409">
        <v>-63236118</v>
      </c>
      <c r="K3409">
        <v>124372794</v>
      </c>
      <c r="L3409">
        <v>192229300</v>
      </c>
      <c r="M3409">
        <v>28838128</v>
      </c>
      <c r="N3409">
        <v>130623521</v>
      </c>
      <c r="O3409">
        <v>212279208</v>
      </c>
      <c r="P3409">
        <v>67</v>
      </c>
      <c r="Q3409" t="s">
        <v>7166</v>
      </c>
    </row>
    <row r="3410" spans="1:17" x14ac:dyDescent="0.3">
      <c r="A3410" t="s">
        <v>17</v>
      </c>
      <c r="B3410" t="str">
        <f>"688510"</f>
        <v>688510</v>
      </c>
      <c r="C3410" t="s">
        <v>7167</v>
      </c>
      <c r="D3410" t="s">
        <v>448</v>
      </c>
      <c r="F3410">
        <v>65571019</v>
      </c>
      <c r="G3410">
        <v>52604695</v>
      </c>
      <c r="H3410">
        <v>57494853</v>
      </c>
      <c r="I3410">
        <v>38378796</v>
      </c>
      <c r="J3410">
        <v>-2223977</v>
      </c>
      <c r="K3410">
        <v>-29757679</v>
      </c>
      <c r="P3410">
        <v>66</v>
      </c>
      <c r="Q3410" t="s">
        <v>7168</v>
      </c>
    </row>
    <row r="3411" spans="1:17" x14ac:dyDescent="0.3">
      <c r="A3411" t="s">
        <v>59</v>
      </c>
      <c r="B3411" t="str">
        <f>"300917"</f>
        <v>300917</v>
      </c>
      <c r="C3411" t="s">
        <v>7169</v>
      </c>
      <c r="D3411" t="s">
        <v>3284</v>
      </c>
      <c r="F3411">
        <v>175224154</v>
      </c>
      <c r="G3411">
        <v>103629341</v>
      </c>
      <c r="H3411">
        <v>57428638</v>
      </c>
      <c r="I3411">
        <v>50196625</v>
      </c>
      <c r="J3411">
        <v>63843593</v>
      </c>
      <c r="K3411">
        <v>23582085</v>
      </c>
      <c r="P3411">
        <v>80</v>
      </c>
      <c r="Q3411" t="s">
        <v>7170</v>
      </c>
    </row>
    <row r="3412" spans="1:17" x14ac:dyDescent="0.3">
      <c r="A3412" t="s">
        <v>59</v>
      </c>
      <c r="B3412" t="str">
        <f>"300779"</f>
        <v>300779</v>
      </c>
      <c r="C3412" t="s">
        <v>7171</v>
      </c>
      <c r="D3412" t="s">
        <v>894</v>
      </c>
      <c r="F3412">
        <v>-125298811</v>
      </c>
      <c r="G3412">
        <v>39113881</v>
      </c>
      <c r="H3412">
        <v>57408301</v>
      </c>
      <c r="I3412">
        <v>50656801</v>
      </c>
      <c r="J3412">
        <v>60013138</v>
      </c>
      <c r="K3412">
        <v>20424468</v>
      </c>
      <c r="P3412">
        <v>62</v>
      </c>
      <c r="Q3412" t="s">
        <v>7172</v>
      </c>
    </row>
    <row r="3413" spans="1:17" x14ac:dyDescent="0.3">
      <c r="A3413" t="s">
        <v>59</v>
      </c>
      <c r="B3413" t="str">
        <f>"301087"</f>
        <v>301087</v>
      </c>
      <c r="C3413" t="s">
        <v>7173</v>
      </c>
      <c r="D3413" t="s">
        <v>1953</v>
      </c>
      <c r="F3413">
        <v>239990591</v>
      </c>
      <c r="G3413">
        <v>495768010</v>
      </c>
      <c r="H3413">
        <v>57397820</v>
      </c>
      <c r="I3413">
        <v>6179064</v>
      </c>
      <c r="J3413">
        <v>-17572775</v>
      </c>
      <c r="P3413">
        <v>33</v>
      </c>
      <c r="Q3413" t="s">
        <v>7174</v>
      </c>
    </row>
    <row r="3414" spans="1:17" x14ac:dyDescent="0.3">
      <c r="A3414" t="s">
        <v>59</v>
      </c>
      <c r="B3414" t="str">
        <f>"002903"</f>
        <v>002903</v>
      </c>
      <c r="C3414" t="s">
        <v>7175</v>
      </c>
      <c r="D3414" t="s">
        <v>2705</v>
      </c>
      <c r="F3414">
        <v>56581316</v>
      </c>
      <c r="G3414">
        <v>93567883</v>
      </c>
      <c r="H3414">
        <v>57266912</v>
      </c>
      <c r="I3414">
        <v>-75156582</v>
      </c>
      <c r="J3414">
        <v>93240520</v>
      </c>
      <c r="K3414">
        <v>74496174</v>
      </c>
      <c r="L3414">
        <v>542851</v>
      </c>
      <c r="M3414">
        <v>39118302</v>
      </c>
      <c r="P3414">
        <v>143</v>
      </c>
      <c r="Q3414" t="s">
        <v>7176</v>
      </c>
    </row>
    <row r="3415" spans="1:17" x14ac:dyDescent="0.3">
      <c r="A3415" t="s">
        <v>17</v>
      </c>
      <c r="B3415" t="str">
        <f>"603097"</f>
        <v>603097</v>
      </c>
      <c r="C3415" t="s">
        <v>7177</v>
      </c>
      <c r="F3415">
        <v>14133156</v>
      </c>
      <c r="G3415">
        <v>47350637</v>
      </c>
      <c r="H3415">
        <v>57220043</v>
      </c>
      <c r="I3415">
        <v>7459633</v>
      </c>
      <c r="Q3415" t="s">
        <v>7178</v>
      </c>
    </row>
    <row r="3416" spans="1:17" x14ac:dyDescent="0.3">
      <c r="A3416" t="s">
        <v>59</v>
      </c>
      <c r="B3416" t="str">
        <f>"300713"</f>
        <v>300713</v>
      </c>
      <c r="C3416" t="s">
        <v>7179</v>
      </c>
      <c r="D3416" t="s">
        <v>1746</v>
      </c>
      <c r="F3416">
        <v>36995931</v>
      </c>
      <c r="G3416">
        <v>39995220</v>
      </c>
      <c r="H3416">
        <v>57123776</v>
      </c>
      <c r="I3416">
        <v>-4653901</v>
      </c>
      <c r="J3416">
        <v>716018</v>
      </c>
      <c r="K3416">
        <v>11037616</v>
      </c>
      <c r="L3416">
        <v>27485838</v>
      </c>
      <c r="M3416">
        <v>22490147</v>
      </c>
      <c r="P3416">
        <v>81</v>
      </c>
      <c r="Q3416" t="s">
        <v>7180</v>
      </c>
    </row>
    <row r="3417" spans="1:17" x14ac:dyDescent="0.3">
      <c r="A3417" t="s">
        <v>59</v>
      </c>
      <c r="B3417" t="str">
        <f>"301163"</f>
        <v>301163</v>
      </c>
      <c r="C3417" t="s">
        <v>7181</v>
      </c>
      <c r="F3417">
        <v>42470325</v>
      </c>
      <c r="G3417">
        <v>59969622</v>
      </c>
      <c r="H3417">
        <v>57114615</v>
      </c>
      <c r="I3417">
        <v>57594538</v>
      </c>
      <c r="J3417">
        <v>55160891</v>
      </c>
      <c r="P3417">
        <v>3</v>
      </c>
      <c r="Q3417" t="s">
        <v>7182</v>
      </c>
    </row>
    <row r="3418" spans="1:17" x14ac:dyDescent="0.3">
      <c r="A3418" t="s">
        <v>17</v>
      </c>
      <c r="B3418" t="str">
        <f>"688131"</f>
        <v>688131</v>
      </c>
      <c r="C3418" t="s">
        <v>7183</v>
      </c>
      <c r="D3418" t="s">
        <v>984</v>
      </c>
      <c r="F3418">
        <v>57834553</v>
      </c>
      <c r="G3418">
        <v>116789320</v>
      </c>
      <c r="H3418">
        <v>57071168</v>
      </c>
      <c r="I3418">
        <v>28427639</v>
      </c>
      <c r="J3418">
        <v>10629066</v>
      </c>
      <c r="P3418">
        <v>88</v>
      </c>
      <c r="Q3418" t="s">
        <v>7184</v>
      </c>
    </row>
    <row r="3419" spans="1:17" x14ac:dyDescent="0.3">
      <c r="A3419" t="s">
        <v>17</v>
      </c>
      <c r="B3419" t="str">
        <f>"688621"</f>
        <v>688621</v>
      </c>
      <c r="C3419" t="s">
        <v>7185</v>
      </c>
      <c r="D3419" t="s">
        <v>751</v>
      </c>
      <c r="F3419">
        <v>88250399</v>
      </c>
      <c r="G3419">
        <v>62994828</v>
      </c>
      <c r="H3419">
        <v>56972601</v>
      </c>
      <c r="I3419">
        <v>44108666</v>
      </c>
      <c r="J3419">
        <v>8011592</v>
      </c>
      <c r="P3419">
        <v>63</v>
      </c>
      <c r="Q3419" t="s">
        <v>7186</v>
      </c>
    </row>
    <row r="3420" spans="1:17" x14ac:dyDescent="0.3">
      <c r="A3420" t="s">
        <v>59</v>
      </c>
      <c r="B3420" t="str">
        <f>"301000"</f>
        <v>301000</v>
      </c>
      <c r="C3420" t="s">
        <v>7187</v>
      </c>
      <c r="D3420" t="s">
        <v>1226</v>
      </c>
      <c r="F3420">
        <v>104690196</v>
      </c>
      <c r="G3420">
        <v>54671555</v>
      </c>
      <c r="H3420">
        <v>56496400</v>
      </c>
      <c r="I3420">
        <v>37327854</v>
      </c>
      <c r="J3420">
        <v>43800285</v>
      </c>
      <c r="P3420">
        <v>25</v>
      </c>
      <c r="Q3420" t="s">
        <v>7188</v>
      </c>
    </row>
    <row r="3421" spans="1:17" x14ac:dyDescent="0.3">
      <c r="A3421" t="s">
        <v>17</v>
      </c>
      <c r="B3421" t="str">
        <f>"688608"</f>
        <v>688608</v>
      </c>
      <c r="C3421" t="s">
        <v>7189</v>
      </c>
      <c r="D3421" t="s">
        <v>817</v>
      </c>
      <c r="F3421">
        <v>-43774005</v>
      </c>
      <c r="G3421">
        <v>280188578</v>
      </c>
      <c r="H3421">
        <v>56373929</v>
      </c>
      <c r="I3421">
        <v>-15411369</v>
      </c>
      <c r="J3421">
        <v>-38750830</v>
      </c>
      <c r="P3421">
        <v>123</v>
      </c>
      <c r="Q3421" t="s">
        <v>7190</v>
      </c>
    </row>
    <row r="3422" spans="1:17" x14ac:dyDescent="0.3">
      <c r="A3422" t="s">
        <v>59</v>
      </c>
      <c r="B3422" t="str">
        <f>"300835"</f>
        <v>300835</v>
      </c>
      <c r="C3422" t="s">
        <v>7191</v>
      </c>
      <c r="D3422" t="s">
        <v>2132</v>
      </c>
      <c r="F3422">
        <v>74447867</v>
      </c>
      <c r="G3422">
        <v>56778508</v>
      </c>
      <c r="H3422">
        <v>56359005</v>
      </c>
      <c r="I3422">
        <v>102636632</v>
      </c>
      <c r="J3422">
        <v>72587882</v>
      </c>
      <c r="P3422">
        <v>67</v>
      </c>
      <c r="Q3422" t="s">
        <v>7192</v>
      </c>
    </row>
    <row r="3423" spans="1:17" x14ac:dyDescent="0.3">
      <c r="A3423" t="s">
        <v>59</v>
      </c>
      <c r="B3423" t="str">
        <f>"301279"</f>
        <v>301279</v>
      </c>
      <c r="C3423" t="s">
        <v>7193</v>
      </c>
      <c r="F3423">
        <v>53823186</v>
      </c>
      <c r="G3423">
        <v>106214303</v>
      </c>
      <c r="H3423">
        <v>56256433</v>
      </c>
      <c r="I3423">
        <v>40100829</v>
      </c>
      <c r="J3423">
        <v>43528229</v>
      </c>
      <c r="P3423">
        <v>5</v>
      </c>
      <c r="Q3423" t="s">
        <v>7194</v>
      </c>
    </row>
    <row r="3424" spans="1:17" x14ac:dyDescent="0.3">
      <c r="A3424" t="s">
        <v>17</v>
      </c>
      <c r="B3424" t="str">
        <f>"688488"</f>
        <v>688488</v>
      </c>
      <c r="C3424" t="s">
        <v>7195</v>
      </c>
      <c r="D3424" t="s">
        <v>1062</v>
      </c>
      <c r="F3424">
        <v>-12371065</v>
      </c>
      <c r="G3424">
        <v>56168655</v>
      </c>
      <c r="H3424">
        <v>56195151</v>
      </c>
      <c r="I3424">
        <v>-33499955</v>
      </c>
      <c r="J3424">
        <v>-67178983</v>
      </c>
      <c r="K3424">
        <v>31288217</v>
      </c>
      <c r="P3424">
        <v>44</v>
      </c>
      <c r="Q3424" t="s">
        <v>7196</v>
      </c>
    </row>
    <row r="3425" spans="1:17" x14ac:dyDescent="0.3">
      <c r="A3425" t="s">
        <v>17</v>
      </c>
      <c r="B3425" t="str">
        <f>"688179"</f>
        <v>688179</v>
      </c>
      <c r="C3425" t="s">
        <v>7197</v>
      </c>
      <c r="D3425" t="s">
        <v>1252</v>
      </c>
      <c r="F3425">
        <v>15000074</v>
      </c>
      <c r="G3425">
        <v>81391819</v>
      </c>
      <c r="H3425">
        <v>56190249</v>
      </c>
      <c r="I3425">
        <v>39235143</v>
      </c>
      <c r="J3425">
        <v>32660807</v>
      </c>
      <c r="K3425">
        <v>31534022</v>
      </c>
      <c r="P3425">
        <v>156</v>
      </c>
      <c r="Q3425" t="s">
        <v>7198</v>
      </c>
    </row>
    <row r="3426" spans="1:17" x14ac:dyDescent="0.3">
      <c r="A3426" t="s">
        <v>59</v>
      </c>
      <c r="B3426" t="str">
        <f>"300040"</f>
        <v>300040</v>
      </c>
      <c r="C3426" t="s">
        <v>7199</v>
      </c>
      <c r="D3426" t="s">
        <v>494</v>
      </c>
      <c r="F3426">
        <v>253442524</v>
      </c>
      <c r="G3426">
        <v>-76385768</v>
      </c>
      <c r="H3426">
        <v>56166686</v>
      </c>
      <c r="I3426">
        <v>618070979</v>
      </c>
      <c r="J3426">
        <v>-228031992</v>
      </c>
      <c r="K3426">
        <v>114563926</v>
      </c>
      <c r="L3426">
        <v>-128413419</v>
      </c>
      <c r="M3426">
        <v>92561021</v>
      </c>
      <c r="N3426">
        <v>-20174311</v>
      </c>
      <c r="O3426">
        <v>58907625</v>
      </c>
      <c r="P3426">
        <v>214</v>
      </c>
      <c r="Q3426" t="s">
        <v>7200</v>
      </c>
    </row>
    <row r="3427" spans="1:17" x14ac:dyDescent="0.3">
      <c r="A3427" t="s">
        <v>59</v>
      </c>
      <c r="B3427" t="str">
        <f>"300095"</f>
        <v>300095</v>
      </c>
      <c r="C3427" t="s">
        <v>7201</v>
      </c>
      <c r="D3427" t="s">
        <v>637</v>
      </c>
      <c r="F3427">
        <v>20617609</v>
      </c>
      <c r="G3427">
        <v>309986165</v>
      </c>
      <c r="H3427">
        <v>56148063</v>
      </c>
      <c r="I3427">
        <v>-37032258</v>
      </c>
      <c r="J3427">
        <v>-12261502</v>
      </c>
      <c r="K3427">
        <v>26835211</v>
      </c>
      <c r="L3427">
        <v>106365393</v>
      </c>
      <c r="M3427">
        <v>61460888</v>
      </c>
      <c r="N3427">
        <v>-33315403</v>
      </c>
      <c r="O3427">
        <v>20465532</v>
      </c>
      <c r="P3427">
        <v>128</v>
      </c>
      <c r="Q3427" t="s">
        <v>7202</v>
      </c>
    </row>
    <row r="3428" spans="1:17" x14ac:dyDescent="0.3">
      <c r="A3428" t="s">
        <v>59</v>
      </c>
      <c r="B3428" t="str">
        <f>"002965"</f>
        <v>002965</v>
      </c>
      <c r="C3428" t="s">
        <v>7203</v>
      </c>
      <c r="D3428" t="s">
        <v>637</v>
      </c>
      <c r="F3428">
        <v>-14392253</v>
      </c>
      <c r="G3428">
        <v>119669915</v>
      </c>
      <c r="H3428">
        <v>56085681</v>
      </c>
      <c r="I3428">
        <v>79450527</v>
      </c>
      <c r="J3428">
        <v>115377618</v>
      </c>
      <c r="K3428">
        <v>155780723</v>
      </c>
      <c r="P3428">
        <v>400</v>
      </c>
      <c r="Q3428" t="s">
        <v>7204</v>
      </c>
    </row>
    <row r="3429" spans="1:17" x14ac:dyDescent="0.3">
      <c r="A3429" t="s">
        <v>59</v>
      </c>
      <c r="B3429" t="str">
        <f>"002346"</f>
        <v>002346</v>
      </c>
      <c r="C3429" t="s">
        <v>7205</v>
      </c>
      <c r="D3429" t="s">
        <v>560</v>
      </c>
      <c r="F3429">
        <v>95213785</v>
      </c>
      <c r="G3429">
        <v>10300720</v>
      </c>
      <c r="H3429">
        <v>56076012</v>
      </c>
      <c r="I3429">
        <v>151012224</v>
      </c>
      <c r="J3429">
        <v>5940815</v>
      </c>
      <c r="K3429">
        <v>-228986991</v>
      </c>
      <c r="L3429">
        <v>15752357</v>
      </c>
      <c r="M3429">
        <v>173451226</v>
      </c>
      <c r="N3429">
        <v>80946687</v>
      </c>
      <c r="O3429">
        <v>16135219</v>
      </c>
      <c r="P3429">
        <v>105</v>
      </c>
      <c r="Q3429" t="s">
        <v>7206</v>
      </c>
    </row>
    <row r="3430" spans="1:17" x14ac:dyDescent="0.3">
      <c r="A3430" t="s">
        <v>59</v>
      </c>
      <c r="B3430" t="str">
        <f>"000859"</f>
        <v>000859</v>
      </c>
      <c r="C3430" t="s">
        <v>7207</v>
      </c>
      <c r="D3430" t="s">
        <v>1674</v>
      </c>
      <c r="F3430">
        <v>311793388</v>
      </c>
      <c r="G3430">
        <v>117234848</v>
      </c>
      <c r="H3430">
        <v>56030788</v>
      </c>
      <c r="I3430">
        <v>58415629</v>
      </c>
      <c r="J3430">
        <v>-16247717</v>
      </c>
      <c r="K3430">
        <v>26762846</v>
      </c>
      <c r="L3430">
        <v>49753912</v>
      </c>
      <c r="M3430">
        <v>4633819</v>
      </c>
      <c r="N3430">
        <v>13607843</v>
      </c>
      <c r="O3430">
        <v>11849631</v>
      </c>
      <c r="P3430">
        <v>118</v>
      </c>
      <c r="Q3430" t="s">
        <v>7208</v>
      </c>
    </row>
    <row r="3431" spans="1:17" x14ac:dyDescent="0.3">
      <c r="A3431" t="s">
        <v>17</v>
      </c>
      <c r="B3431" t="str">
        <f>"688060"</f>
        <v>688060</v>
      </c>
      <c r="C3431" t="s">
        <v>7209</v>
      </c>
      <c r="D3431" t="s">
        <v>707</v>
      </c>
      <c r="F3431">
        <v>-82639043</v>
      </c>
      <c r="G3431">
        <v>6823741</v>
      </c>
      <c r="H3431">
        <v>56007526</v>
      </c>
      <c r="I3431">
        <v>28307223</v>
      </c>
      <c r="J3431">
        <v>5407775</v>
      </c>
      <c r="K3431">
        <v>9399619</v>
      </c>
      <c r="P3431">
        <v>75</v>
      </c>
      <c r="Q3431" t="s">
        <v>7210</v>
      </c>
    </row>
    <row r="3432" spans="1:17" x14ac:dyDescent="0.3">
      <c r="A3432" t="s">
        <v>59</v>
      </c>
      <c r="B3432" t="str">
        <f>"301067"</f>
        <v>301067</v>
      </c>
      <c r="C3432" t="s">
        <v>7211</v>
      </c>
      <c r="D3432" t="s">
        <v>349</v>
      </c>
      <c r="F3432">
        <v>52164814</v>
      </c>
      <c r="G3432">
        <v>78147033</v>
      </c>
      <c r="H3432">
        <v>55873727</v>
      </c>
      <c r="I3432">
        <v>2022296</v>
      </c>
      <c r="J3432">
        <v>13261972</v>
      </c>
      <c r="P3432">
        <v>18</v>
      </c>
      <c r="Q3432" t="s">
        <v>7212</v>
      </c>
    </row>
    <row r="3433" spans="1:17" x14ac:dyDescent="0.3">
      <c r="A3433" t="s">
        <v>59</v>
      </c>
      <c r="B3433" t="str">
        <f>"300069"</f>
        <v>300069</v>
      </c>
      <c r="C3433" t="s">
        <v>7213</v>
      </c>
      <c r="D3433" t="s">
        <v>1065</v>
      </c>
      <c r="F3433">
        <v>6304275</v>
      </c>
      <c r="G3433">
        <v>4336852</v>
      </c>
      <c r="H3433">
        <v>55856752</v>
      </c>
      <c r="I3433">
        <v>29625163</v>
      </c>
      <c r="J3433">
        <v>72909479</v>
      </c>
      <c r="K3433">
        <v>3821545</v>
      </c>
      <c r="L3433">
        <v>2391402</v>
      </c>
      <c r="M3433">
        <v>-35095804</v>
      </c>
      <c r="N3433">
        <v>88080464</v>
      </c>
      <c r="O3433">
        <v>-37156931</v>
      </c>
      <c r="P3433">
        <v>57</v>
      </c>
      <c r="Q3433" t="s">
        <v>7214</v>
      </c>
    </row>
    <row r="3434" spans="1:17" x14ac:dyDescent="0.3">
      <c r="A3434" t="s">
        <v>59</v>
      </c>
      <c r="B3434" t="str">
        <f>"300345"</f>
        <v>300345</v>
      </c>
      <c r="C3434" t="s">
        <v>7215</v>
      </c>
      <c r="D3434" t="s">
        <v>1636</v>
      </c>
      <c r="F3434">
        <v>21433018</v>
      </c>
      <c r="G3434">
        <v>27218746</v>
      </c>
      <c r="H3434">
        <v>55828594</v>
      </c>
      <c r="I3434">
        <v>28909069</v>
      </c>
      <c r="J3434">
        <v>15789838</v>
      </c>
      <c r="K3434">
        <v>-91055895</v>
      </c>
      <c r="L3434">
        <v>-19399898</v>
      </c>
      <c r="M3434">
        <v>90555536</v>
      </c>
      <c r="N3434">
        <v>-1534535</v>
      </c>
      <c r="O3434">
        <v>-59734252</v>
      </c>
      <c r="P3434">
        <v>53</v>
      </c>
      <c r="Q3434" t="s">
        <v>7216</v>
      </c>
    </row>
    <row r="3435" spans="1:17" x14ac:dyDescent="0.3">
      <c r="A3435" t="s">
        <v>59</v>
      </c>
      <c r="B3435" t="str">
        <f>"300689"</f>
        <v>300689</v>
      </c>
      <c r="C3435" t="s">
        <v>7217</v>
      </c>
      <c r="D3435" t="s">
        <v>1650</v>
      </c>
      <c r="F3435">
        <v>36456877</v>
      </c>
      <c r="G3435">
        <v>72767455</v>
      </c>
      <c r="H3435">
        <v>55825885</v>
      </c>
      <c r="I3435">
        <v>42486142</v>
      </c>
      <c r="J3435">
        <v>50539895</v>
      </c>
      <c r="K3435">
        <v>65346813</v>
      </c>
      <c r="L3435">
        <v>44767336</v>
      </c>
      <c r="M3435">
        <v>42671546</v>
      </c>
      <c r="P3435">
        <v>76</v>
      </c>
      <c r="Q3435" t="s">
        <v>7218</v>
      </c>
    </row>
    <row r="3436" spans="1:17" x14ac:dyDescent="0.3">
      <c r="A3436" t="s">
        <v>17</v>
      </c>
      <c r="B3436" t="str">
        <f>"688779"</f>
        <v>688779</v>
      </c>
      <c r="C3436" t="s">
        <v>7219</v>
      </c>
      <c r="D3436" t="s">
        <v>1444</v>
      </c>
      <c r="F3436">
        <v>-632171998</v>
      </c>
      <c r="G3436">
        <v>44622169</v>
      </c>
      <c r="H3436">
        <v>55746425</v>
      </c>
      <c r="I3436">
        <v>144662927</v>
      </c>
      <c r="J3436">
        <v>6629420</v>
      </c>
      <c r="P3436">
        <v>53</v>
      </c>
      <c r="Q3436" t="s">
        <v>7220</v>
      </c>
    </row>
    <row r="3437" spans="1:17" x14ac:dyDescent="0.3">
      <c r="A3437" t="s">
        <v>59</v>
      </c>
      <c r="B3437" t="str">
        <f>"300782"</f>
        <v>300782</v>
      </c>
      <c r="C3437" t="s">
        <v>7221</v>
      </c>
      <c r="D3437" t="s">
        <v>759</v>
      </c>
      <c r="F3437">
        <v>1149764468</v>
      </c>
      <c r="G3437">
        <v>1005430234</v>
      </c>
      <c r="H3437">
        <v>55619759</v>
      </c>
      <c r="I3437">
        <v>134282652</v>
      </c>
      <c r="J3437">
        <v>128568527</v>
      </c>
      <c r="K3437">
        <v>94510710</v>
      </c>
      <c r="P3437">
        <v>1609</v>
      </c>
      <c r="Q3437" t="s">
        <v>7222</v>
      </c>
    </row>
    <row r="3438" spans="1:17" x14ac:dyDescent="0.3">
      <c r="A3438" t="s">
        <v>59</v>
      </c>
      <c r="B3438" t="str">
        <f>"002227"</f>
        <v>002227</v>
      </c>
      <c r="C3438" t="s">
        <v>7223</v>
      </c>
      <c r="D3438" t="s">
        <v>1851</v>
      </c>
      <c r="F3438">
        <v>-17526717</v>
      </c>
      <c r="G3438">
        <v>30700023</v>
      </c>
      <c r="H3438">
        <v>55460002</v>
      </c>
      <c r="I3438">
        <v>7133973</v>
      </c>
      <c r="J3438">
        <v>27345467</v>
      </c>
      <c r="K3438">
        <v>-41205545</v>
      </c>
      <c r="L3438">
        <v>28141549</v>
      </c>
      <c r="M3438">
        <v>-11820487</v>
      </c>
      <c r="N3438">
        <v>36637466</v>
      </c>
      <c r="O3438">
        <v>-31617156</v>
      </c>
      <c r="P3438">
        <v>162</v>
      </c>
      <c r="Q3438" t="s">
        <v>7224</v>
      </c>
    </row>
    <row r="3439" spans="1:17" x14ac:dyDescent="0.3">
      <c r="A3439" t="s">
        <v>59</v>
      </c>
      <c r="B3439" t="str">
        <f>"002848"</f>
        <v>002848</v>
      </c>
      <c r="C3439" t="s">
        <v>7225</v>
      </c>
      <c r="D3439" t="s">
        <v>3070</v>
      </c>
      <c r="F3439">
        <v>-46986046</v>
      </c>
      <c r="G3439">
        <v>-44506363</v>
      </c>
      <c r="H3439">
        <v>55358063</v>
      </c>
      <c r="I3439">
        <v>-55034641</v>
      </c>
      <c r="J3439">
        <v>-65080143</v>
      </c>
      <c r="K3439">
        <v>-27843310</v>
      </c>
      <c r="L3439">
        <v>111574903</v>
      </c>
      <c r="M3439">
        <v>59349889</v>
      </c>
      <c r="N3439">
        <v>37597541</v>
      </c>
      <c r="P3439">
        <v>189</v>
      </c>
      <c r="Q3439" t="s">
        <v>7226</v>
      </c>
    </row>
    <row r="3440" spans="1:17" x14ac:dyDescent="0.3">
      <c r="A3440" t="s">
        <v>17</v>
      </c>
      <c r="B3440" t="str">
        <f>"603976"</f>
        <v>603976</v>
      </c>
      <c r="C3440" t="s">
        <v>7227</v>
      </c>
      <c r="D3440" t="s">
        <v>1036</v>
      </c>
      <c r="F3440">
        <v>104966819</v>
      </c>
      <c r="G3440">
        <v>121794841</v>
      </c>
      <c r="H3440">
        <v>55273078</v>
      </c>
      <c r="I3440">
        <v>64296750</v>
      </c>
      <c r="J3440">
        <v>52499861</v>
      </c>
      <c r="K3440">
        <v>25717775</v>
      </c>
      <c r="L3440">
        <v>14204221</v>
      </c>
      <c r="M3440">
        <v>76862590</v>
      </c>
      <c r="P3440">
        <v>216</v>
      </c>
      <c r="Q3440" t="s">
        <v>7228</v>
      </c>
    </row>
    <row r="3441" spans="1:17" x14ac:dyDescent="0.3">
      <c r="A3441" t="s">
        <v>59</v>
      </c>
      <c r="B3441" t="str">
        <f>"002121"</f>
        <v>002121</v>
      </c>
      <c r="C3441" t="s">
        <v>7229</v>
      </c>
      <c r="D3441" t="s">
        <v>1828</v>
      </c>
      <c r="F3441">
        <v>246352454</v>
      </c>
      <c r="G3441">
        <v>508112620</v>
      </c>
      <c r="H3441">
        <v>55137462</v>
      </c>
      <c r="I3441">
        <v>399107913</v>
      </c>
      <c r="J3441">
        <v>202056302</v>
      </c>
      <c r="K3441">
        <v>-65635847</v>
      </c>
      <c r="L3441">
        <v>-298014900</v>
      </c>
      <c r="M3441">
        <v>182021782</v>
      </c>
      <c r="N3441">
        <v>69430986</v>
      </c>
      <c r="O3441">
        <v>322079608</v>
      </c>
      <c r="P3441">
        <v>234</v>
      </c>
      <c r="Q3441" t="s">
        <v>7230</v>
      </c>
    </row>
    <row r="3442" spans="1:17" x14ac:dyDescent="0.3">
      <c r="A3442" t="s">
        <v>59</v>
      </c>
      <c r="B3442" t="str">
        <f>"002952"</f>
        <v>002952</v>
      </c>
      <c r="C3442" t="s">
        <v>7231</v>
      </c>
      <c r="D3442" t="s">
        <v>139</v>
      </c>
      <c r="F3442">
        <v>-134887052</v>
      </c>
      <c r="G3442">
        <v>62209413</v>
      </c>
      <c r="H3442">
        <v>55119025</v>
      </c>
      <c r="I3442">
        <v>103149288</v>
      </c>
      <c r="J3442">
        <v>78947237</v>
      </c>
      <c r="K3442">
        <v>77686771</v>
      </c>
      <c r="P3442">
        <v>79</v>
      </c>
      <c r="Q3442" t="s">
        <v>7232</v>
      </c>
    </row>
    <row r="3443" spans="1:17" x14ac:dyDescent="0.3">
      <c r="A3443" t="s">
        <v>59</v>
      </c>
      <c r="B3443" t="str">
        <f>"300910"</f>
        <v>300910</v>
      </c>
      <c r="C3443" t="s">
        <v>7233</v>
      </c>
      <c r="D3443" t="s">
        <v>1252</v>
      </c>
      <c r="F3443">
        <v>58120552</v>
      </c>
      <c r="G3443">
        <v>216637443</v>
      </c>
      <c r="H3443">
        <v>55092297</v>
      </c>
      <c r="I3443">
        <v>16458490</v>
      </c>
      <c r="J3443">
        <v>9139112</v>
      </c>
      <c r="K3443">
        <v>39183200</v>
      </c>
      <c r="P3443">
        <v>116</v>
      </c>
      <c r="Q3443" t="s">
        <v>7234</v>
      </c>
    </row>
    <row r="3444" spans="1:17" x14ac:dyDescent="0.3">
      <c r="A3444" t="s">
        <v>17</v>
      </c>
      <c r="B3444" t="str">
        <f>"603036"</f>
        <v>603036</v>
      </c>
      <c r="C3444" t="s">
        <v>7235</v>
      </c>
      <c r="D3444" t="s">
        <v>741</v>
      </c>
      <c r="F3444">
        <v>48301076</v>
      </c>
      <c r="G3444">
        <v>53256867</v>
      </c>
      <c r="H3444">
        <v>54949005</v>
      </c>
      <c r="I3444">
        <v>22259892</v>
      </c>
      <c r="J3444">
        <v>40637643</v>
      </c>
      <c r="K3444">
        <v>31241059</v>
      </c>
      <c r="L3444">
        <v>77847060</v>
      </c>
      <c r="M3444">
        <v>39869755</v>
      </c>
      <c r="N3444">
        <v>104484448</v>
      </c>
      <c r="P3444">
        <v>61</v>
      </c>
      <c r="Q3444" t="s">
        <v>7236</v>
      </c>
    </row>
    <row r="3445" spans="1:17" x14ac:dyDescent="0.3">
      <c r="A3445" t="s">
        <v>17</v>
      </c>
      <c r="B3445" t="str">
        <f>"603106"</f>
        <v>603106</v>
      </c>
      <c r="C3445" t="s">
        <v>7237</v>
      </c>
      <c r="D3445" t="s">
        <v>707</v>
      </c>
      <c r="F3445">
        <v>14570575</v>
      </c>
      <c r="G3445">
        <v>-38017315</v>
      </c>
      <c r="H3445">
        <v>54940732</v>
      </c>
      <c r="I3445">
        <v>202606357</v>
      </c>
      <c r="J3445">
        <v>214661149</v>
      </c>
      <c r="K3445">
        <v>95381282</v>
      </c>
      <c r="L3445">
        <v>664847</v>
      </c>
      <c r="M3445">
        <v>160059772</v>
      </c>
      <c r="P3445">
        <v>2938</v>
      </c>
      <c r="Q3445" t="s">
        <v>7238</v>
      </c>
    </row>
    <row r="3446" spans="1:17" x14ac:dyDescent="0.3">
      <c r="A3446" t="s">
        <v>17</v>
      </c>
      <c r="B3446" t="str">
        <f>"603477"</f>
        <v>603477</v>
      </c>
      <c r="C3446" t="s">
        <v>7239</v>
      </c>
      <c r="D3446" t="s">
        <v>2635</v>
      </c>
      <c r="F3446">
        <v>155208483</v>
      </c>
      <c r="G3446">
        <v>373234074</v>
      </c>
      <c r="H3446">
        <v>54936780</v>
      </c>
      <c r="I3446">
        <v>3467038</v>
      </c>
      <c r="J3446">
        <v>78587471</v>
      </c>
      <c r="K3446">
        <v>-18859244</v>
      </c>
      <c r="L3446">
        <v>66234639</v>
      </c>
      <c r="M3446">
        <v>-186516352</v>
      </c>
      <c r="P3446">
        <v>134</v>
      </c>
      <c r="Q3446" t="s">
        <v>7240</v>
      </c>
    </row>
    <row r="3447" spans="1:17" x14ac:dyDescent="0.3">
      <c r="A3447" t="s">
        <v>17</v>
      </c>
      <c r="B3447" t="str">
        <f>"688617"</f>
        <v>688617</v>
      </c>
      <c r="C3447" t="s">
        <v>7241</v>
      </c>
      <c r="D3447" t="s">
        <v>1036</v>
      </c>
      <c r="F3447">
        <v>181389309</v>
      </c>
      <c r="G3447">
        <v>148240116</v>
      </c>
      <c r="H3447">
        <v>54898167</v>
      </c>
      <c r="I3447">
        <v>18631330</v>
      </c>
      <c r="J3447">
        <v>12913260</v>
      </c>
      <c r="P3447">
        <v>137</v>
      </c>
      <c r="Q3447" t="s">
        <v>7242</v>
      </c>
    </row>
    <row r="3448" spans="1:17" x14ac:dyDescent="0.3">
      <c r="A3448" t="s">
        <v>17</v>
      </c>
      <c r="B3448" t="str">
        <f>"603051"</f>
        <v>603051</v>
      </c>
      <c r="C3448" t="s">
        <v>7243</v>
      </c>
      <c r="F3448">
        <v>11844627</v>
      </c>
      <c r="G3448">
        <v>17725453</v>
      </c>
      <c r="H3448">
        <v>54817514</v>
      </c>
      <c r="I3448">
        <v>26729340</v>
      </c>
      <c r="P3448">
        <v>3</v>
      </c>
      <c r="Q3448" t="s">
        <v>7244</v>
      </c>
    </row>
    <row r="3449" spans="1:17" x14ac:dyDescent="0.3">
      <c r="A3449" t="s">
        <v>17</v>
      </c>
      <c r="B3449" t="str">
        <f>"600306"</f>
        <v>600306</v>
      </c>
      <c r="C3449" t="s">
        <v>7245</v>
      </c>
      <c r="D3449" t="s">
        <v>1361</v>
      </c>
      <c r="F3449">
        <v>29023838</v>
      </c>
      <c r="G3449">
        <v>-41715730</v>
      </c>
      <c r="H3449">
        <v>54756445</v>
      </c>
      <c r="I3449">
        <v>48560258</v>
      </c>
      <c r="J3449">
        <v>56419582</v>
      </c>
      <c r="K3449">
        <v>-11883083</v>
      </c>
      <c r="L3449">
        <v>15965462</v>
      </c>
      <c r="M3449">
        <v>-14979068</v>
      </c>
      <c r="N3449">
        <v>-191928640</v>
      </c>
      <c r="O3449">
        <v>23012315</v>
      </c>
      <c r="P3449">
        <v>71</v>
      </c>
      <c r="Q3449" t="s">
        <v>7246</v>
      </c>
    </row>
    <row r="3450" spans="1:17" x14ac:dyDescent="0.3">
      <c r="A3450" t="s">
        <v>59</v>
      </c>
      <c r="B3450" t="str">
        <f>"301091"</f>
        <v>301091</v>
      </c>
      <c r="C3450" t="s">
        <v>7247</v>
      </c>
      <c r="D3450" t="s">
        <v>2254</v>
      </c>
      <c r="F3450">
        <v>-89325230</v>
      </c>
      <c r="G3450">
        <v>147495158</v>
      </c>
      <c r="H3450">
        <v>54716178</v>
      </c>
      <c r="I3450">
        <v>182295228</v>
      </c>
      <c r="J3450">
        <v>128068542</v>
      </c>
      <c r="P3450">
        <v>25</v>
      </c>
      <c r="Q3450" t="s">
        <v>7248</v>
      </c>
    </row>
    <row r="3451" spans="1:17" x14ac:dyDescent="0.3">
      <c r="A3451" t="s">
        <v>17</v>
      </c>
      <c r="B3451" t="str">
        <f>"603023"</f>
        <v>603023</v>
      </c>
      <c r="C3451" t="s">
        <v>7249</v>
      </c>
      <c r="D3451" t="s">
        <v>575</v>
      </c>
      <c r="F3451">
        <v>42469939</v>
      </c>
      <c r="G3451">
        <v>48018390</v>
      </c>
      <c r="H3451">
        <v>54632147</v>
      </c>
      <c r="I3451">
        <v>80935297</v>
      </c>
      <c r="J3451">
        <v>19380750</v>
      </c>
      <c r="K3451">
        <v>80387222</v>
      </c>
      <c r="L3451">
        <v>46049537</v>
      </c>
      <c r="M3451">
        <v>76824041</v>
      </c>
      <c r="N3451">
        <v>51241649</v>
      </c>
      <c r="O3451">
        <v>41246136</v>
      </c>
      <c r="P3451">
        <v>150</v>
      </c>
      <c r="Q3451" t="s">
        <v>7250</v>
      </c>
    </row>
    <row r="3452" spans="1:17" x14ac:dyDescent="0.3">
      <c r="A3452" t="s">
        <v>59</v>
      </c>
      <c r="B3452" t="str">
        <f>"300640"</f>
        <v>300640</v>
      </c>
      <c r="C3452" t="s">
        <v>7251</v>
      </c>
      <c r="D3452" t="s">
        <v>923</v>
      </c>
      <c r="F3452">
        <v>-45273175</v>
      </c>
      <c r="G3452">
        <v>38994115</v>
      </c>
      <c r="H3452">
        <v>54594925</v>
      </c>
      <c r="I3452">
        <v>27402086</v>
      </c>
      <c r="J3452">
        <v>2420298</v>
      </c>
      <c r="K3452">
        <v>47687748</v>
      </c>
      <c r="L3452">
        <v>41786551</v>
      </c>
      <c r="M3452">
        <v>19724460</v>
      </c>
      <c r="P3452">
        <v>79</v>
      </c>
      <c r="Q3452" t="s">
        <v>7252</v>
      </c>
    </row>
    <row r="3453" spans="1:17" x14ac:dyDescent="0.3">
      <c r="A3453" t="s">
        <v>17</v>
      </c>
      <c r="B3453" t="str">
        <f>"600367"</f>
        <v>600367</v>
      </c>
      <c r="C3453" t="s">
        <v>7253</v>
      </c>
      <c r="D3453" t="s">
        <v>1241</v>
      </c>
      <c r="F3453">
        <v>257762040</v>
      </c>
      <c r="G3453">
        <v>29639642</v>
      </c>
      <c r="H3453">
        <v>54521396</v>
      </c>
      <c r="I3453">
        <v>90817303</v>
      </c>
      <c r="J3453">
        <v>131119292</v>
      </c>
      <c r="K3453">
        <v>118444083</v>
      </c>
      <c r="L3453">
        <v>114675350</v>
      </c>
      <c r="M3453">
        <v>-45463845</v>
      </c>
      <c r="N3453">
        <v>-460598</v>
      </c>
      <c r="O3453">
        <v>42814245</v>
      </c>
      <c r="P3453">
        <v>115</v>
      </c>
      <c r="Q3453" t="s">
        <v>7254</v>
      </c>
    </row>
    <row r="3454" spans="1:17" x14ac:dyDescent="0.3">
      <c r="A3454" t="s">
        <v>59</v>
      </c>
      <c r="B3454" t="str">
        <f>"002692"</f>
        <v>002692</v>
      </c>
      <c r="C3454" t="s">
        <v>7255</v>
      </c>
      <c r="D3454" t="s">
        <v>1065</v>
      </c>
      <c r="F3454">
        <v>186202287</v>
      </c>
      <c r="G3454">
        <v>-30934855</v>
      </c>
      <c r="H3454">
        <v>54414504</v>
      </c>
      <c r="I3454">
        <v>-52472682</v>
      </c>
      <c r="J3454">
        <v>-127205752</v>
      </c>
      <c r="K3454">
        <v>141515849</v>
      </c>
      <c r="L3454">
        <v>157296647</v>
      </c>
      <c r="M3454">
        <v>-126312028</v>
      </c>
      <c r="N3454">
        <v>-6450192</v>
      </c>
      <c r="O3454">
        <v>-57731948</v>
      </c>
      <c r="P3454">
        <v>53</v>
      </c>
      <c r="Q3454" t="s">
        <v>7256</v>
      </c>
    </row>
    <row r="3455" spans="1:17" x14ac:dyDescent="0.3">
      <c r="A3455" t="s">
        <v>17</v>
      </c>
      <c r="B3455" t="str">
        <f>"600235"</f>
        <v>600235</v>
      </c>
      <c r="C3455" t="s">
        <v>7257</v>
      </c>
      <c r="D3455" t="s">
        <v>2856</v>
      </c>
      <c r="F3455">
        <v>96243486</v>
      </c>
      <c r="G3455">
        <v>132323926</v>
      </c>
      <c r="H3455">
        <v>54386817</v>
      </c>
      <c r="I3455">
        <v>78674351</v>
      </c>
      <c r="J3455">
        <v>72553546</v>
      </c>
      <c r="K3455">
        <v>236205929</v>
      </c>
      <c r="L3455">
        <v>-19981475</v>
      </c>
      <c r="M3455">
        <v>123089611</v>
      </c>
      <c r="N3455">
        <v>14624303</v>
      </c>
      <c r="O3455">
        <v>225127189</v>
      </c>
      <c r="P3455">
        <v>71</v>
      </c>
      <c r="Q3455" t="s">
        <v>7258</v>
      </c>
    </row>
    <row r="3456" spans="1:17" x14ac:dyDescent="0.3">
      <c r="A3456" t="s">
        <v>59</v>
      </c>
      <c r="B3456" t="str">
        <f>"300198"</f>
        <v>300198</v>
      </c>
      <c r="C3456" t="s">
        <v>7259</v>
      </c>
      <c r="D3456" t="s">
        <v>1858</v>
      </c>
      <c r="F3456">
        <v>-145662310</v>
      </c>
      <c r="G3456">
        <v>47114927</v>
      </c>
      <c r="H3456">
        <v>54308929</v>
      </c>
      <c r="I3456">
        <v>415080006</v>
      </c>
      <c r="J3456">
        <v>-108189864</v>
      </c>
      <c r="K3456">
        <v>32791265</v>
      </c>
      <c r="L3456">
        <v>-37810999</v>
      </c>
      <c r="M3456">
        <v>48634854</v>
      </c>
      <c r="N3456">
        <v>-14083839</v>
      </c>
      <c r="O3456">
        <v>34738160</v>
      </c>
      <c r="P3456">
        <v>82</v>
      </c>
      <c r="Q3456" t="s">
        <v>7260</v>
      </c>
    </row>
    <row r="3457" spans="1:17" x14ac:dyDescent="0.3">
      <c r="A3457" t="s">
        <v>17</v>
      </c>
      <c r="B3457" t="str">
        <f>"688329"</f>
        <v>688329</v>
      </c>
      <c r="C3457" t="s">
        <v>7261</v>
      </c>
      <c r="D3457" t="s">
        <v>4218</v>
      </c>
      <c r="F3457">
        <v>39751602</v>
      </c>
      <c r="G3457">
        <v>117241313</v>
      </c>
      <c r="H3457">
        <v>54298894</v>
      </c>
      <c r="I3457">
        <v>42783734</v>
      </c>
      <c r="J3457">
        <v>21816965</v>
      </c>
      <c r="P3457">
        <v>43</v>
      </c>
      <c r="Q3457" t="s">
        <v>7262</v>
      </c>
    </row>
    <row r="3458" spans="1:17" x14ac:dyDescent="0.3">
      <c r="A3458" t="s">
        <v>17</v>
      </c>
      <c r="B3458" t="str">
        <f>"688298"</f>
        <v>688298</v>
      </c>
      <c r="C3458" t="s">
        <v>7263</v>
      </c>
      <c r="D3458" t="s">
        <v>1953</v>
      </c>
      <c r="F3458">
        <v>5203853646</v>
      </c>
      <c r="G3458">
        <v>1790306683</v>
      </c>
      <c r="H3458">
        <v>54212074</v>
      </c>
      <c r="I3458">
        <v>44326060</v>
      </c>
      <c r="J3458">
        <v>33544728</v>
      </c>
      <c r="K3458">
        <v>11808625</v>
      </c>
      <c r="P3458">
        <v>477</v>
      </c>
      <c r="Q3458" t="s">
        <v>7264</v>
      </c>
    </row>
    <row r="3459" spans="1:17" x14ac:dyDescent="0.3">
      <c r="A3459" t="s">
        <v>59</v>
      </c>
      <c r="B3459" t="str">
        <f>"000593"</f>
        <v>000593</v>
      </c>
      <c r="C3459" t="s">
        <v>7265</v>
      </c>
      <c r="D3459" t="s">
        <v>883</v>
      </c>
      <c r="F3459">
        <v>210937562</v>
      </c>
      <c r="G3459">
        <v>109745288</v>
      </c>
      <c r="H3459">
        <v>54193039</v>
      </c>
      <c r="I3459">
        <v>14039895</v>
      </c>
      <c r="J3459">
        <v>81689970</v>
      </c>
      <c r="K3459">
        <v>-89479998</v>
      </c>
      <c r="L3459">
        <v>54515296</v>
      </c>
      <c r="M3459">
        <v>23065716</v>
      </c>
      <c r="N3459">
        <v>20378915</v>
      </c>
      <c r="O3459">
        <v>12802322</v>
      </c>
      <c r="P3459">
        <v>80</v>
      </c>
      <c r="Q3459" t="s">
        <v>7266</v>
      </c>
    </row>
    <row r="3460" spans="1:17" x14ac:dyDescent="0.3">
      <c r="A3460" t="s">
        <v>59</v>
      </c>
      <c r="B3460" t="str">
        <f>"300331"</f>
        <v>300331</v>
      </c>
      <c r="C3460" t="s">
        <v>7267</v>
      </c>
      <c r="D3460" t="s">
        <v>139</v>
      </c>
      <c r="F3460">
        <v>10914217</v>
      </c>
      <c r="G3460">
        <v>48942108</v>
      </c>
      <c r="H3460">
        <v>53973227</v>
      </c>
      <c r="I3460">
        <v>-20139760</v>
      </c>
      <c r="J3460">
        <v>51212013</v>
      </c>
      <c r="K3460">
        <v>-8422132</v>
      </c>
      <c r="L3460">
        <v>22655523</v>
      </c>
      <c r="M3460">
        <v>5198920</v>
      </c>
      <c r="N3460">
        <v>20029143</v>
      </c>
      <c r="O3460">
        <v>-1117970</v>
      </c>
      <c r="P3460">
        <v>164</v>
      </c>
      <c r="Q3460" t="s">
        <v>7268</v>
      </c>
    </row>
    <row r="3461" spans="1:17" x14ac:dyDescent="0.3">
      <c r="A3461" t="s">
        <v>59</v>
      </c>
      <c r="B3461" t="str">
        <f>"002981"</f>
        <v>002981</v>
      </c>
      <c r="C3461" t="s">
        <v>7269</v>
      </c>
      <c r="D3461" t="s">
        <v>349</v>
      </c>
      <c r="F3461">
        <v>124150070</v>
      </c>
      <c r="G3461">
        <v>40634009</v>
      </c>
      <c r="H3461">
        <v>53916318</v>
      </c>
      <c r="I3461">
        <v>84381725</v>
      </c>
      <c r="J3461">
        <v>40270213</v>
      </c>
      <c r="K3461">
        <v>23144081</v>
      </c>
      <c r="P3461">
        <v>73</v>
      </c>
      <c r="Q3461" t="s">
        <v>7270</v>
      </c>
    </row>
    <row r="3462" spans="1:17" x14ac:dyDescent="0.3">
      <c r="A3462" t="s">
        <v>59</v>
      </c>
      <c r="B3462" t="str">
        <f>"300555"</f>
        <v>300555</v>
      </c>
      <c r="C3462" t="s">
        <v>7271</v>
      </c>
      <c r="D3462" t="s">
        <v>1650</v>
      </c>
      <c r="F3462">
        <v>-45830576</v>
      </c>
      <c r="G3462">
        <v>88042407</v>
      </c>
      <c r="H3462">
        <v>53840185</v>
      </c>
      <c r="I3462">
        <v>-8321305</v>
      </c>
      <c r="J3462">
        <v>-58182692</v>
      </c>
      <c r="K3462">
        <v>-21550032</v>
      </c>
      <c r="L3462">
        <v>19687240</v>
      </c>
      <c r="M3462">
        <v>12060566</v>
      </c>
      <c r="N3462">
        <v>12486955</v>
      </c>
      <c r="P3462">
        <v>72</v>
      </c>
      <c r="Q3462" t="s">
        <v>7272</v>
      </c>
    </row>
    <row r="3463" spans="1:17" x14ac:dyDescent="0.3">
      <c r="A3463" t="s">
        <v>17</v>
      </c>
      <c r="B3463" t="str">
        <f>"688098"</f>
        <v>688098</v>
      </c>
      <c r="C3463" t="s">
        <v>7273</v>
      </c>
      <c r="D3463" t="s">
        <v>3061</v>
      </c>
      <c r="F3463">
        <v>90119984</v>
      </c>
      <c r="G3463">
        <v>111730338</v>
      </c>
      <c r="H3463">
        <v>53812892</v>
      </c>
      <c r="I3463">
        <v>121129682</v>
      </c>
      <c r="J3463">
        <v>74605138</v>
      </c>
      <c r="K3463">
        <v>47995288</v>
      </c>
      <c r="P3463">
        <v>73</v>
      </c>
      <c r="Q3463" t="s">
        <v>7274</v>
      </c>
    </row>
    <row r="3464" spans="1:17" x14ac:dyDescent="0.3">
      <c r="A3464" t="s">
        <v>59</v>
      </c>
      <c r="B3464" t="str">
        <f>"300927"</f>
        <v>300927</v>
      </c>
      <c r="C3464" t="s">
        <v>7275</v>
      </c>
      <c r="D3464" t="s">
        <v>1507</v>
      </c>
      <c r="F3464">
        <v>38491712</v>
      </c>
      <c r="G3464">
        <v>52504545</v>
      </c>
      <c r="H3464">
        <v>53692240</v>
      </c>
      <c r="I3464">
        <v>61155293</v>
      </c>
      <c r="J3464">
        <v>92412294</v>
      </c>
      <c r="K3464">
        <v>34187484</v>
      </c>
      <c r="P3464">
        <v>44</v>
      </c>
      <c r="Q3464" t="s">
        <v>7276</v>
      </c>
    </row>
    <row r="3465" spans="1:17" x14ac:dyDescent="0.3">
      <c r="A3465" t="s">
        <v>59</v>
      </c>
      <c r="B3465" t="str">
        <f>"300945"</f>
        <v>300945</v>
      </c>
      <c r="C3465" t="s">
        <v>7277</v>
      </c>
      <c r="D3465" t="s">
        <v>2025</v>
      </c>
      <c r="F3465">
        <v>-30179055</v>
      </c>
      <c r="G3465">
        <v>84799026</v>
      </c>
      <c r="H3465">
        <v>53673974</v>
      </c>
      <c r="I3465">
        <v>76630144</v>
      </c>
      <c r="J3465">
        <v>24976789</v>
      </c>
      <c r="K3465">
        <v>32963261</v>
      </c>
      <c r="P3465">
        <v>36</v>
      </c>
      <c r="Q3465" t="s">
        <v>7278</v>
      </c>
    </row>
    <row r="3466" spans="1:17" x14ac:dyDescent="0.3">
      <c r="A3466" t="s">
        <v>17</v>
      </c>
      <c r="B3466" t="str">
        <f>"688258"</f>
        <v>688258</v>
      </c>
      <c r="C3466" t="s">
        <v>7279</v>
      </c>
      <c r="D3466" t="s">
        <v>1189</v>
      </c>
      <c r="F3466">
        <v>52434625</v>
      </c>
      <c r="G3466">
        <v>92912408</v>
      </c>
      <c r="H3466">
        <v>53632420</v>
      </c>
      <c r="I3466">
        <v>25978627</v>
      </c>
      <c r="J3466">
        <v>37985161</v>
      </c>
      <c r="K3466">
        <v>27035749</v>
      </c>
      <c r="P3466">
        <v>2718</v>
      </c>
      <c r="Q3466" t="s">
        <v>7280</v>
      </c>
    </row>
    <row r="3467" spans="1:17" x14ac:dyDescent="0.3">
      <c r="A3467" t="s">
        <v>59</v>
      </c>
      <c r="B3467" t="str">
        <f>"300902"</f>
        <v>300902</v>
      </c>
      <c r="C3467" t="s">
        <v>7281</v>
      </c>
      <c r="D3467" t="s">
        <v>1351</v>
      </c>
      <c r="F3467">
        <v>50515261</v>
      </c>
      <c r="G3467">
        <v>912730</v>
      </c>
      <c r="H3467">
        <v>53612761</v>
      </c>
      <c r="I3467">
        <v>39522286</v>
      </c>
      <c r="J3467">
        <v>52012339</v>
      </c>
      <c r="K3467">
        <v>52980571</v>
      </c>
      <c r="P3467">
        <v>40</v>
      </c>
      <c r="Q3467" t="s">
        <v>7282</v>
      </c>
    </row>
    <row r="3468" spans="1:17" x14ac:dyDescent="0.3">
      <c r="A3468" t="s">
        <v>59</v>
      </c>
      <c r="B3468" t="str">
        <f>"301106"</f>
        <v>301106</v>
      </c>
      <c r="C3468" t="s">
        <v>7283</v>
      </c>
      <c r="F3468">
        <v>52158986</v>
      </c>
      <c r="G3468">
        <v>53595268</v>
      </c>
      <c r="H3468">
        <v>53582865</v>
      </c>
      <c r="I3468">
        <v>64918723</v>
      </c>
      <c r="J3468">
        <v>59530799</v>
      </c>
      <c r="P3468">
        <v>8</v>
      </c>
      <c r="Q3468" t="s">
        <v>7284</v>
      </c>
    </row>
    <row r="3469" spans="1:17" x14ac:dyDescent="0.3">
      <c r="A3469" t="s">
        <v>17</v>
      </c>
      <c r="B3469" t="str">
        <f>"603333"</f>
        <v>603333</v>
      </c>
      <c r="C3469" t="s">
        <v>7285</v>
      </c>
      <c r="D3469" t="s">
        <v>1065</v>
      </c>
      <c r="F3469">
        <v>-231136602</v>
      </c>
      <c r="G3469">
        <v>327683138</v>
      </c>
      <c r="H3469">
        <v>53449734</v>
      </c>
      <c r="I3469">
        <v>-216255537</v>
      </c>
      <c r="J3469">
        <v>-84452753</v>
      </c>
      <c r="K3469">
        <v>-29395858</v>
      </c>
      <c r="L3469">
        <v>102925327</v>
      </c>
      <c r="M3469">
        <v>153635303</v>
      </c>
      <c r="N3469">
        <v>-150240257</v>
      </c>
      <c r="O3469">
        <v>94521656</v>
      </c>
      <c r="P3469">
        <v>134</v>
      </c>
      <c r="Q3469" t="s">
        <v>7286</v>
      </c>
    </row>
    <row r="3470" spans="1:17" x14ac:dyDescent="0.3">
      <c r="A3470" t="s">
        <v>17</v>
      </c>
      <c r="B3470" t="str">
        <f>"600379"</f>
        <v>600379</v>
      </c>
      <c r="C3470" t="s">
        <v>7287</v>
      </c>
      <c r="D3470" t="s">
        <v>560</v>
      </c>
      <c r="F3470">
        <v>187292279</v>
      </c>
      <c r="G3470">
        <v>114362057</v>
      </c>
      <c r="H3470">
        <v>53387201</v>
      </c>
      <c r="I3470">
        <v>55470102</v>
      </c>
      <c r="J3470">
        <v>35363738</v>
      </c>
      <c r="K3470">
        <v>-39807906</v>
      </c>
      <c r="L3470">
        <v>132884594</v>
      </c>
      <c r="M3470">
        <v>32065583</v>
      </c>
      <c r="N3470">
        <v>37429348</v>
      </c>
      <c r="O3470">
        <v>18621542</v>
      </c>
      <c r="P3470">
        <v>83</v>
      </c>
      <c r="Q3470" t="s">
        <v>7288</v>
      </c>
    </row>
    <row r="3471" spans="1:17" x14ac:dyDescent="0.3">
      <c r="A3471" t="s">
        <v>59</v>
      </c>
      <c r="B3471" t="str">
        <f>"002808"</f>
        <v>002808</v>
      </c>
      <c r="C3471" t="s">
        <v>7289</v>
      </c>
      <c r="D3471" t="s">
        <v>692</v>
      </c>
      <c r="F3471">
        <v>18578419</v>
      </c>
      <c r="G3471">
        <v>32805529</v>
      </c>
      <c r="H3471">
        <v>53380736</v>
      </c>
      <c r="I3471">
        <v>-35016239</v>
      </c>
      <c r="J3471">
        <v>2730869</v>
      </c>
      <c r="K3471">
        <v>46775638</v>
      </c>
      <c r="L3471">
        <v>16839361</v>
      </c>
      <c r="M3471">
        <v>40486211</v>
      </c>
      <c r="N3471">
        <v>39184949</v>
      </c>
      <c r="P3471">
        <v>73</v>
      </c>
      <c r="Q3471" t="s">
        <v>7290</v>
      </c>
    </row>
    <row r="3472" spans="1:17" x14ac:dyDescent="0.3">
      <c r="A3472" t="s">
        <v>17</v>
      </c>
      <c r="B3472" t="str">
        <f>"688528"</f>
        <v>688528</v>
      </c>
      <c r="C3472" t="s">
        <v>7291</v>
      </c>
      <c r="D3472" t="s">
        <v>2382</v>
      </c>
      <c r="F3472">
        <v>-27020473</v>
      </c>
      <c r="G3472">
        <v>-2524678</v>
      </c>
      <c r="H3472">
        <v>53298094</v>
      </c>
      <c r="I3472">
        <v>34167513</v>
      </c>
      <c r="J3472">
        <v>34704995</v>
      </c>
      <c r="K3472">
        <v>39377800</v>
      </c>
      <c r="P3472">
        <v>42</v>
      </c>
      <c r="Q3472" t="s">
        <v>7292</v>
      </c>
    </row>
    <row r="3473" spans="1:17" x14ac:dyDescent="0.3">
      <c r="A3473" t="s">
        <v>17</v>
      </c>
      <c r="B3473" t="str">
        <f>"603286"</f>
        <v>603286</v>
      </c>
      <c r="C3473" t="s">
        <v>7293</v>
      </c>
      <c r="D3473" t="s">
        <v>156</v>
      </c>
      <c r="F3473">
        <v>-9032624</v>
      </c>
      <c r="G3473">
        <v>77842527</v>
      </c>
      <c r="H3473">
        <v>53146565</v>
      </c>
      <c r="I3473">
        <v>35886423</v>
      </c>
      <c r="J3473">
        <v>33799473</v>
      </c>
      <c r="K3473">
        <v>20209818</v>
      </c>
      <c r="L3473">
        <v>39615056</v>
      </c>
      <c r="M3473">
        <v>71668229</v>
      </c>
      <c r="P3473">
        <v>66</v>
      </c>
      <c r="Q3473" t="s">
        <v>7294</v>
      </c>
    </row>
    <row r="3474" spans="1:17" x14ac:dyDescent="0.3">
      <c r="A3474" t="s">
        <v>17</v>
      </c>
      <c r="B3474" t="str">
        <f>"603758"</f>
        <v>603758</v>
      </c>
      <c r="C3474" t="s">
        <v>7295</v>
      </c>
      <c r="D3474" t="s">
        <v>156</v>
      </c>
      <c r="F3474">
        <v>212525736</v>
      </c>
      <c r="G3474">
        <v>216939837</v>
      </c>
      <c r="H3474">
        <v>53121586</v>
      </c>
      <c r="I3474">
        <v>224188523</v>
      </c>
      <c r="J3474">
        <v>478508356</v>
      </c>
      <c r="K3474">
        <v>334136524</v>
      </c>
      <c r="L3474">
        <v>221802963</v>
      </c>
      <c r="M3474">
        <v>163256394</v>
      </c>
      <c r="P3474">
        <v>133</v>
      </c>
      <c r="Q3474" t="s">
        <v>7296</v>
      </c>
    </row>
    <row r="3475" spans="1:17" x14ac:dyDescent="0.3">
      <c r="A3475" t="s">
        <v>17</v>
      </c>
      <c r="B3475" t="str">
        <f>"688171"</f>
        <v>688171</v>
      </c>
      <c r="C3475" t="s">
        <v>7297</v>
      </c>
      <c r="F3475">
        <v>21070551</v>
      </c>
      <c r="G3475">
        <v>29429876</v>
      </c>
      <c r="H3475">
        <v>52916577</v>
      </c>
      <c r="I3475">
        <v>5928309</v>
      </c>
      <c r="J3475">
        <v>10285753</v>
      </c>
      <c r="P3475">
        <v>12</v>
      </c>
      <c r="Q3475" t="s">
        <v>7298</v>
      </c>
    </row>
    <row r="3476" spans="1:17" x14ac:dyDescent="0.3">
      <c r="A3476" t="s">
        <v>17</v>
      </c>
      <c r="B3476" t="str">
        <f>"688337"</f>
        <v>688337</v>
      </c>
      <c r="C3476" t="s">
        <v>7299</v>
      </c>
      <c r="F3476">
        <v>61927095</v>
      </c>
      <c r="G3476">
        <v>28205634</v>
      </c>
      <c r="H3476">
        <v>52861134</v>
      </c>
      <c r="I3476">
        <v>21656957</v>
      </c>
      <c r="P3476">
        <v>3</v>
      </c>
      <c r="Q3476" t="s">
        <v>7300</v>
      </c>
    </row>
    <row r="3477" spans="1:17" x14ac:dyDescent="0.3">
      <c r="A3477" t="s">
        <v>59</v>
      </c>
      <c r="B3477" t="str">
        <f>"002613"</f>
        <v>002613</v>
      </c>
      <c r="C3477" t="s">
        <v>7301</v>
      </c>
      <c r="D3477" t="s">
        <v>901</v>
      </c>
      <c r="F3477">
        <v>26426860</v>
      </c>
      <c r="G3477">
        <v>28301216</v>
      </c>
      <c r="H3477">
        <v>52789458</v>
      </c>
      <c r="I3477">
        <v>32383308</v>
      </c>
      <c r="J3477">
        <v>-4759701</v>
      </c>
      <c r="K3477">
        <v>74325425</v>
      </c>
      <c r="L3477">
        <v>43508458</v>
      </c>
      <c r="M3477">
        <v>-37621892</v>
      </c>
      <c r="N3477">
        <v>28993896</v>
      </c>
      <c r="O3477">
        <v>100942787</v>
      </c>
      <c r="P3477">
        <v>90</v>
      </c>
      <c r="Q3477" t="s">
        <v>7302</v>
      </c>
    </row>
    <row r="3478" spans="1:17" x14ac:dyDescent="0.3">
      <c r="A3478" t="s">
        <v>59</v>
      </c>
      <c r="B3478" t="str">
        <f>"301005"</f>
        <v>301005</v>
      </c>
      <c r="C3478" t="s">
        <v>7303</v>
      </c>
      <c r="D3478" t="s">
        <v>1226</v>
      </c>
      <c r="F3478">
        <v>72339476</v>
      </c>
      <c r="G3478">
        <v>71065637</v>
      </c>
      <c r="H3478">
        <v>52759773</v>
      </c>
      <c r="I3478">
        <v>27537409</v>
      </c>
      <c r="J3478">
        <v>31037694</v>
      </c>
      <c r="P3478">
        <v>23</v>
      </c>
      <c r="Q3478" t="s">
        <v>7304</v>
      </c>
    </row>
    <row r="3479" spans="1:17" x14ac:dyDescent="0.3">
      <c r="A3479" t="s">
        <v>17</v>
      </c>
      <c r="B3479" t="str">
        <f>"600456"</f>
        <v>600456</v>
      </c>
      <c r="C3479" t="s">
        <v>7305</v>
      </c>
      <c r="D3479" t="s">
        <v>987</v>
      </c>
      <c r="F3479">
        <v>205891405</v>
      </c>
      <c r="G3479">
        <v>404034734</v>
      </c>
      <c r="H3479">
        <v>52659990</v>
      </c>
      <c r="I3479">
        <v>375831418</v>
      </c>
      <c r="J3479">
        <v>215810896</v>
      </c>
      <c r="K3479">
        <v>-127334215</v>
      </c>
      <c r="L3479">
        <v>31199228</v>
      </c>
      <c r="M3479">
        <v>260826811</v>
      </c>
      <c r="N3479">
        <v>-122781129</v>
      </c>
      <c r="O3479">
        <v>-163627987</v>
      </c>
      <c r="P3479">
        <v>330</v>
      </c>
      <c r="Q3479" t="s">
        <v>7306</v>
      </c>
    </row>
    <row r="3480" spans="1:17" x14ac:dyDescent="0.3">
      <c r="A3480" t="s">
        <v>59</v>
      </c>
      <c r="B3480" t="str">
        <f>"300895"</f>
        <v>300895</v>
      </c>
      <c r="C3480" t="s">
        <v>7307</v>
      </c>
      <c r="D3480" t="s">
        <v>1189</v>
      </c>
      <c r="F3480">
        <v>-54230495</v>
      </c>
      <c r="G3480">
        <v>74836562</v>
      </c>
      <c r="H3480">
        <v>52575878</v>
      </c>
      <c r="I3480">
        <v>26896697</v>
      </c>
      <c r="J3480">
        <v>31006307</v>
      </c>
      <c r="K3480">
        <v>44567999</v>
      </c>
      <c r="P3480">
        <v>48</v>
      </c>
      <c r="Q3480" t="s">
        <v>7308</v>
      </c>
    </row>
    <row r="3481" spans="1:17" x14ac:dyDescent="0.3">
      <c r="A3481" t="s">
        <v>59</v>
      </c>
      <c r="B3481" t="str">
        <f>"300561"</f>
        <v>300561</v>
      </c>
      <c r="C3481" t="s">
        <v>7309</v>
      </c>
      <c r="D3481" t="s">
        <v>1528</v>
      </c>
      <c r="F3481">
        <v>-21311513</v>
      </c>
      <c r="G3481">
        <v>48893909</v>
      </c>
      <c r="H3481">
        <v>52417304</v>
      </c>
      <c r="I3481">
        <v>-49078931</v>
      </c>
      <c r="J3481">
        <v>9026681</v>
      </c>
      <c r="K3481">
        <v>63445974</v>
      </c>
      <c r="L3481">
        <v>43637606</v>
      </c>
      <c r="M3481">
        <v>91600662</v>
      </c>
      <c r="N3481">
        <v>51482490</v>
      </c>
      <c r="P3481">
        <v>114</v>
      </c>
      <c r="Q3481" t="s">
        <v>7310</v>
      </c>
    </row>
    <row r="3482" spans="1:17" x14ac:dyDescent="0.3">
      <c r="A3482" t="s">
        <v>17</v>
      </c>
      <c r="B3482" t="str">
        <f>"688077"</f>
        <v>688077</v>
      </c>
      <c r="C3482" t="s">
        <v>7311</v>
      </c>
      <c r="D3482" t="s">
        <v>2132</v>
      </c>
      <c r="F3482">
        <v>-129376426</v>
      </c>
      <c r="G3482">
        <v>34493002</v>
      </c>
      <c r="H3482">
        <v>52405317</v>
      </c>
      <c r="I3482">
        <v>47059225</v>
      </c>
      <c r="J3482">
        <v>20461223</v>
      </c>
      <c r="K3482">
        <v>96437556</v>
      </c>
      <c r="P3482">
        <v>78</v>
      </c>
      <c r="Q3482" t="s">
        <v>7312</v>
      </c>
    </row>
    <row r="3483" spans="1:17" x14ac:dyDescent="0.3">
      <c r="A3483" t="s">
        <v>59</v>
      </c>
      <c r="B3483" t="str">
        <f>"300499"</f>
        <v>300499</v>
      </c>
      <c r="C3483" t="s">
        <v>7313</v>
      </c>
      <c r="D3483" t="s">
        <v>1351</v>
      </c>
      <c r="F3483">
        <v>12060176</v>
      </c>
      <c r="G3483">
        <v>-71549316</v>
      </c>
      <c r="H3483">
        <v>52399896</v>
      </c>
      <c r="I3483">
        <v>53057828</v>
      </c>
      <c r="J3483">
        <v>-30435278</v>
      </c>
      <c r="K3483">
        <v>-1345490</v>
      </c>
      <c r="L3483">
        <v>41631839</v>
      </c>
      <c r="M3483">
        <v>71093997</v>
      </c>
      <c r="N3483">
        <v>30076580</v>
      </c>
      <c r="O3483">
        <v>51099290</v>
      </c>
      <c r="P3483">
        <v>135</v>
      </c>
      <c r="Q3483" t="s">
        <v>7314</v>
      </c>
    </row>
    <row r="3484" spans="1:17" x14ac:dyDescent="0.3">
      <c r="A3484" t="s">
        <v>59</v>
      </c>
      <c r="B3484" t="str">
        <f>"300051"</f>
        <v>300051</v>
      </c>
      <c r="C3484" t="s">
        <v>7315</v>
      </c>
      <c r="D3484" t="s">
        <v>689</v>
      </c>
      <c r="F3484">
        <v>13844902</v>
      </c>
      <c r="G3484">
        <v>19408982</v>
      </c>
      <c r="H3484">
        <v>52377893</v>
      </c>
      <c r="I3484">
        <v>38331951</v>
      </c>
      <c r="J3484">
        <v>62302209</v>
      </c>
      <c r="K3484">
        <v>85624549</v>
      </c>
      <c r="L3484">
        <v>-9564819</v>
      </c>
      <c r="M3484">
        <v>24069119</v>
      </c>
      <c r="N3484">
        <v>47095870</v>
      </c>
      <c r="O3484">
        <v>-23444709</v>
      </c>
      <c r="P3484">
        <v>104</v>
      </c>
      <c r="Q3484" t="s">
        <v>7316</v>
      </c>
    </row>
    <row r="3485" spans="1:17" x14ac:dyDescent="0.3">
      <c r="A3485" t="s">
        <v>59</v>
      </c>
      <c r="B3485" t="str">
        <f>"002766"</f>
        <v>002766</v>
      </c>
      <c r="C3485" t="s">
        <v>7317</v>
      </c>
      <c r="D3485" t="s">
        <v>575</v>
      </c>
      <c r="F3485">
        <v>-33329869</v>
      </c>
      <c r="G3485">
        <v>-72096434</v>
      </c>
      <c r="H3485">
        <v>52289466</v>
      </c>
      <c r="I3485">
        <v>-1020974311</v>
      </c>
      <c r="J3485">
        <v>-319919662</v>
      </c>
      <c r="K3485">
        <v>-51451741</v>
      </c>
      <c r="L3485">
        <v>117143719</v>
      </c>
      <c r="M3485">
        <v>61227491</v>
      </c>
      <c r="N3485">
        <v>98299205</v>
      </c>
      <c r="O3485">
        <v>76559775</v>
      </c>
      <c r="P3485">
        <v>85</v>
      </c>
      <c r="Q3485" t="s">
        <v>7318</v>
      </c>
    </row>
    <row r="3486" spans="1:17" x14ac:dyDescent="0.3">
      <c r="A3486" t="s">
        <v>17</v>
      </c>
      <c r="B3486" t="str">
        <f>"603703"</f>
        <v>603703</v>
      </c>
      <c r="C3486" t="s">
        <v>7319</v>
      </c>
      <c r="D3486" t="s">
        <v>772</v>
      </c>
      <c r="F3486">
        <v>76144977</v>
      </c>
      <c r="G3486">
        <v>55056866</v>
      </c>
      <c r="H3486">
        <v>52245440</v>
      </c>
      <c r="I3486">
        <v>62761130</v>
      </c>
      <c r="J3486">
        <v>129960923</v>
      </c>
      <c r="K3486">
        <v>33699983</v>
      </c>
      <c r="L3486">
        <v>-32041649</v>
      </c>
      <c r="M3486">
        <v>66342601</v>
      </c>
      <c r="N3486">
        <v>48655833</v>
      </c>
      <c r="O3486">
        <v>4848843</v>
      </c>
      <c r="P3486">
        <v>78</v>
      </c>
      <c r="Q3486" t="s">
        <v>7320</v>
      </c>
    </row>
    <row r="3487" spans="1:17" x14ac:dyDescent="0.3">
      <c r="A3487" t="s">
        <v>59</v>
      </c>
      <c r="B3487" t="str">
        <f>"000520"</f>
        <v>000520</v>
      </c>
      <c r="C3487" t="s">
        <v>7321</v>
      </c>
      <c r="D3487" t="s">
        <v>178</v>
      </c>
      <c r="F3487">
        <v>90629434</v>
      </c>
      <c r="G3487">
        <v>27716884</v>
      </c>
      <c r="H3487">
        <v>52220803</v>
      </c>
      <c r="I3487">
        <v>186643841</v>
      </c>
      <c r="J3487">
        <v>54602136</v>
      </c>
      <c r="K3487">
        <v>-9518803</v>
      </c>
      <c r="L3487">
        <v>21485229</v>
      </c>
      <c r="M3487">
        <v>-215590914</v>
      </c>
      <c r="N3487">
        <v>200163659</v>
      </c>
      <c r="O3487">
        <v>37369470</v>
      </c>
      <c r="P3487">
        <v>110</v>
      </c>
      <c r="Q3487" t="s">
        <v>7322</v>
      </c>
    </row>
    <row r="3488" spans="1:17" x14ac:dyDescent="0.3">
      <c r="A3488" t="s">
        <v>17</v>
      </c>
      <c r="B3488" t="str">
        <f>"603227"</f>
        <v>603227</v>
      </c>
      <c r="C3488" t="s">
        <v>7323</v>
      </c>
      <c r="D3488" t="s">
        <v>1986</v>
      </c>
      <c r="F3488">
        <v>161369466</v>
      </c>
      <c r="G3488">
        <v>146446803</v>
      </c>
      <c r="H3488">
        <v>52169897</v>
      </c>
      <c r="I3488">
        <v>1386193</v>
      </c>
      <c r="J3488">
        <v>-70641753</v>
      </c>
      <c r="K3488">
        <v>32225916</v>
      </c>
      <c r="L3488">
        <v>69250335</v>
      </c>
      <c r="M3488">
        <v>107322372</v>
      </c>
      <c r="N3488">
        <v>164225532</v>
      </c>
      <c r="O3488">
        <v>202413591</v>
      </c>
      <c r="P3488">
        <v>80</v>
      </c>
      <c r="Q3488" t="s">
        <v>7324</v>
      </c>
    </row>
    <row r="3489" spans="1:17" x14ac:dyDescent="0.3">
      <c r="A3489" t="s">
        <v>59</v>
      </c>
      <c r="B3489" t="str">
        <f>"002817"</f>
        <v>002817</v>
      </c>
      <c r="C3489" t="s">
        <v>7325</v>
      </c>
      <c r="D3489" t="s">
        <v>1036</v>
      </c>
      <c r="F3489">
        <v>86089407</v>
      </c>
      <c r="G3489">
        <v>62711558</v>
      </c>
      <c r="H3489">
        <v>52028244</v>
      </c>
      <c r="I3489">
        <v>27523880</v>
      </c>
      <c r="J3489">
        <v>44423825</v>
      </c>
      <c r="K3489">
        <v>32526938</v>
      </c>
      <c r="L3489">
        <v>40324017</v>
      </c>
      <c r="M3489">
        <v>52066506</v>
      </c>
      <c r="N3489">
        <v>23126725</v>
      </c>
      <c r="P3489">
        <v>126</v>
      </c>
      <c r="Q3489" t="s">
        <v>7326</v>
      </c>
    </row>
    <row r="3490" spans="1:17" x14ac:dyDescent="0.3">
      <c r="A3490" t="s">
        <v>59</v>
      </c>
      <c r="B3490" t="str">
        <f>"300826"</f>
        <v>300826</v>
      </c>
      <c r="C3490" t="s">
        <v>7327</v>
      </c>
      <c r="D3490" t="s">
        <v>2254</v>
      </c>
      <c r="F3490">
        <v>125420050</v>
      </c>
      <c r="G3490">
        <v>77907918</v>
      </c>
      <c r="H3490">
        <v>51914226</v>
      </c>
      <c r="I3490">
        <v>62060624</v>
      </c>
      <c r="J3490">
        <v>86779217</v>
      </c>
      <c r="P3490">
        <v>61</v>
      </c>
      <c r="Q3490" t="s">
        <v>7328</v>
      </c>
    </row>
    <row r="3491" spans="1:17" x14ac:dyDescent="0.3">
      <c r="A3491" t="s">
        <v>59</v>
      </c>
      <c r="B3491" t="str">
        <f>"301229"</f>
        <v>301229</v>
      </c>
      <c r="C3491" t="s">
        <v>7329</v>
      </c>
      <c r="F3491">
        <v>17823622</v>
      </c>
      <c r="G3491">
        <v>66963765</v>
      </c>
      <c r="H3491">
        <v>51844363</v>
      </c>
      <c r="I3491">
        <v>45709486</v>
      </c>
      <c r="J3491">
        <v>34271343</v>
      </c>
      <c r="P3491">
        <v>6</v>
      </c>
      <c r="Q3491" t="s">
        <v>7330</v>
      </c>
    </row>
    <row r="3492" spans="1:17" x14ac:dyDescent="0.3">
      <c r="A3492" t="s">
        <v>17</v>
      </c>
      <c r="B3492" t="str">
        <f>"603315"</f>
        <v>603315</v>
      </c>
      <c r="C3492" t="s">
        <v>7331</v>
      </c>
      <c r="D3492" t="s">
        <v>637</v>
      </c>
      <c r="F3492">
        <v>-95072495</v>
      </c>
      <c r="G3492">
        <v>52988874</v>
      </c>
      <c r="H3492">
        <v>51724557</v>
      </c>
      <c r="I3492">
        <v>-54468133</v>
      </c>
      <c r="J3492">
        <v>8790515</v>
      </c>
      <c r="K3492">
        <v>29229052</v>
      </c>
      <c r="L3492">
        <v>71590686</v>
      </c>
      <c r="M3492">
        <v>59925103</v>
      </c>
      <c r="N3492">
        <v>118691052</v>
      </c>
      <c r="O3492">
        <v>62461668</v>
      </c>
      <c r="P3492">
        <v>57</v>
      </c>
      <c r="Q3492" t="s">
        <v>7332</v>
      </c>
    </row>
    <row r="3493" spans="1:17" x14ac:dyDescent="0.3">
      <c r="A3493" t="s">
        <v>59</v>
      </c>
      <c r="B3493" t="str">
        <f>"300202"</f>
        <v>300202</v>
      </c>
      <c r="C3493" t="s">
        <v>7333</v>
      </c>
      <c r="D3493" t="s">
        <v>707</v>
      </c>
      <c r="F3493">
        <v>-40553489</v>
      </c>
      <c r="G3493">
        <v>221283719</v>
      </c>
      <c r="H3493">
        <v>51622364</v>
      </c>
      <c r="I3493">
        <v>87696526</v>
      </c>
      <c r="J3493">
        <v>203217431</v>
      </c>
      <c r="K3493">
        <v>87985865</v>
      </c>
      <c r="L3493">
        <v>177747489</v>
      </c>
      <c r="M3493">
        <v>304046970</v>
      </c>
      <c r="N3493">
        <v>81589637</v>
      </c>
      <c r="O3493">
        <v>67865283</v>
      </c>
      <c r="P3493">
        <v>2978</v>
      </c>
      <c r="Q3493" t="s">
        <v>7334</v>
      </c>
    </row>
    <row r="3494" spans="1:17" x14ac:dyDescent="0.3">
      <c r="A3494" t="s">
        <v>17</v>
      </c>
      <c r="B3494" t="str">
        <f>"603357"</f>
        <v>603357</v>
      </c>
      <c r="C3494" t="s">
        <v>7335</v>
      </c>
      <c r="D3494" t="s">
        <v>2254</v>
      </c>
      <c r="F3494">
        <v>170130848</v>
      </c>
      <c r="G3494">
        <v>404698847</v>
      </c>
      <c r="H3494">
        <v>51589579</v>
      </c>
      <c r="I3494">
        <v>257103447</v>
      </c>
      <c r="J3494">
        <v>116616576</v>
      </c>
      <c r="K3494">
        <v>185256370</v>
      </c>
      <c r="L3494">
        <v>115649992</v>
      </c>
      <c r="M3494">
        <v>74378858</v>
      </c>
      <c r="P3494">
        <v>361</v>
      </c>
      <c r="Q3494" t="s">
        <v>7336</v>
      </c>
    </row>
    <row r="3495" spans="1:17" x14ac:dyDescent="0.3">
      <c r="A3495" t="s">
        <v>17</v>
      </c>
      <c r="B3495" t="str">
        <f>"688056"</f>
        <v>688056</v>
      </c>
      <c r="C3495" t="s">
        <v>7337</v>
      </c>
      <c r="D3495" t="s">
        <v>2382</v>
      </c>
      <c r="F3495">
        <v>49079696</v>
      </c>
      <c r="G3495">
        <v>83538326</v>
      </c>
      <c r="H3495">
        <v>51554762</v>
      </c>
      <c r="I3495">
        <v>43916869</v>
      </c>
      <c r="J3495">
        <v>54767722</v>
      </c>
      <c r="K3495">
        <v>47111722</v>
      </c>
      <c r="P3495">
        <v>50</v>
      </c>
      <c r="Q3495" t="s">
        <v>7338</v>
      </c>
    </row>
    <row r="3496" spans="1:17" x14ac:dyDescent="0.3">
      <c r="A3496" t="s">
        <v>59</v>
      </c>
      <c r="B3496" t="str">
        <f>"300928"</f>
        <v>300928</v>
      </c>
      <c r="C3496" t="s">
        <v>7339</v>
      </c>
      <c r="D3496" t="s">
        <v>575</v>
      </c>
      <c r="F3496">
        <v>-47239420</v>
      </c>
      <c r="G3496">
        <v>9985959</v>
      </c>
      <c r="H3496">
        <v>51491329</v>
      </c>
      <c r="I3496">
        <v>51077702</v>
      </c>
      <c r="J3496">
        <v>-61648443</v>
      </c>
      <c r="K3496">
        <v>4618852</v>
      </c>
      <c r="P3496">
        <v>27</v>
      </c>
      <c r="Q3496" t="s">
        <v>7340</v>
      </c>
    </row>
    <row r="3497" spans="1:17" x14ac:dyDescent="0.3">
      <c r="A3497" t="s">
        <v>59</v>
      </c>
      <c r="B3497" t="str">
        <f>"300669"</f>
        <v>300669</v>
      </c>
      <c r="C3497" t="s">
        <v>7341</v>
      </c>
      <c r="D3497" t="s">
        <v>3004</v>
      </c>
      <c r="F3497">
        <v>46698803</v>
      </c>
      <c r="G3497">
        <v>80172555</v>
      </c>
      <c r="H3497">
        <v>51491165</v>
      </c>
      <c r="I3497">
        <v>22051626</v>
      </c>
      <c r="J3497">
        <v>49484873</v>
      </c>
      <c r="K3497">
        <v>48521982</v>
      </c>
      <c r="L3497">
        <v>34638791</v>
      </c>
      <c r="M3497">
        <v>24646136</v>
      </c>
      <c r="P3497">
        <v>102</v>
      </c>
      <c r="Q3497" t="s">
        <v>7342</v>
      </c>
    </row>
    <row r="3498" spans="1:17" x14ac:dyDescent="0.3">
      <c r="A3498" t="s">
        <v>59</v>
      </c>
      <c r="B3498" t="str">
        <f>"300656"</f>
        <v>300656</v>
      </c>
      <c r="C3498" t="s">
        <v>7343</v>
      </c>
      <c r="D3498" t="s">
        <v>595</v>
      </c>
      <c r="F3498">
        <v>47732424</v>
      </c>
      <c r="G3498">
        <v>19604589</v>
      </c>
      <c r="H3498">
        <v>51349853</v>
      </c>
      <c r="I3498">
        <v>-12287880</v>
      </c>
      <c r="J3498">
        <v>6029093</v>
      </c>
      <c r="K3498">
        <v>40308673</v>
      </c>
      <c r="L3498">
        <v>41152074</v>
      </c>
      <c r="M3498">
        <v>38389369</v>
      </c>
      <c r="P3498">
        <v>80</v>
      </c>
      <c r="Q3498" t="s">
        <v>7344</v>
      </c>
    </row>
    <row r="3499" spans="1:17" x14ac:dyDescent="0.3">
      <c r="A3499" t="s">
        <v>17</v>
      </c>
      <c r="B3499" t="str">
        <f>"688260"</f>
        <v>688260</v>
      </c>
      <c r="C3499" t="s">
        <v>7345</v>
      </c>
      <c r="D3499" t="s">
        <v>349</v>
      </c>
      <c r="F3499">
        <v>55960948</v>
      </c>
      <c r="G3499">
        <v>107060389</v>
      </c>
      <c r="H3499">
        <v>51318047</v>
      </c>
      <c r="I3499">
        <v>94835833</v>
      </c>
      <c r="J3499">
        <v>21977518</v>
      </c>
      <c r="P3499">
        <v>24</v>
      </c>
      <c r="Q3499" t="s">
        <v>7346</v>
      </c>
    </row>
    <row r="3500" spans="1:17" x14ac:dyDescent="0.3">
      <c r="A3500" t="s">
        <v>59</v>
      </c>
      <c r="B3500" t="str">
        <f>"002968"</f>
        <v>002968</v>
      </c>
      <c r="C3500" t="s">
        <v>7347</v>
      </c>
      <c r="D3500" t="s">
        <v>3284</v>
      </c>
      <c r="F3500">
        <v>71889509</v>
      </c>
      <c r="G3500">
        <v>173325797</v>
      </c>
      <c r="H3500">
        <v>51234110</v>
      </c>
      <c r="I3500">
        <v>113519116</v>
      </c>
      <c r="J3500">
        <v>80403686</v>
      </c>
      <c r="K3500">
        <v>66093890</v>
      </c>
      <c r="P3500">
        <v>234</v>
      </c>
      <c r="Q3500" t="s">
        <v>7348</v>
      </c>
    </row>
    <row r="3501" spans="1:17" x14ac:dyDescent="0.3">
      <c r="A3501" t="s">
        <v>17</v>
      </c>
      <c r="B3501" t="str">
        <f>"688229"</f>
        <v>688229</v>
      </c>
      <c r="C3501" t="s">
        <v>7349</v>
      </c>
      <c r="D3501" t="s">
        <v>1189</v>
      </c>
      <c r="F3501">
        <v>-74813825</v>
      </c>
      <c r="G3501">
        <v>27152056</v>
      </c>
      <c r="H3501">
        <v>51212409</v>
      </c>
      <c r="I3501">
        <v>45016340</v>
      </c>
      <c r="J3501">
        <v>45003300</v>
      </c>
      <c r="K3501">
        <v>12849034</v>
      </c>
      <c r="P3501">
        <v>63</v>
      </c>
      <c r="Q3501" t="s">
        <v>7350</v>
      </c>
    </row>
    <row r="3502" spans="1:17" x14ac:dyDescent="0.3">
      <c r="A3502" t="s">
        <v>59</v>
      </c>
      <c r="B3502" t="str">
        <f>"002857"</f>
        <v>002857</v>
      </c>
      <c r="C3502" t="s">
        <v>7351</v>
      </c>
      <c r="D3502" t="s">
        <v>1828</v>
      </c>
      <c r="F3502">
        <v>23366460</v>
      </c>
      <c r="G3502">
        <v>69141125</v>
      </c>
      <c r="H3502">
        <v>51182155</v>
      </c>
      <c r="I3502">
        <v>30930554</v>
      </c>
      <c r="J3502">
        <v>4017145</v>
      </c>
      <c r="K3502">
        <v>15824315</v>
      </c>
      <c r="L3502">
        <v>1418877</v>
      </c>
      <c r="M3502">
        <v>54227787</v>
      </c>
      <c r="N3502">
        <v>-35084497</v>
      </c>
      <c r="P3502">
        <v>45</v>
      </c>
      <c r="Q3502" t="s">
        <v>7352</v>
      </c>
    </row>
    <row r="3503" spans="1:17" x14ac:dyDescent="0.3">
      <c r="A3503" t="s">
        <v>17</v>
      </c>
      <c r="B3503" t="str">
        <f>"688685"</f>
        <v>688685</v>
      </c>
      <c r="C3503" t="s">
        <v>7353</v>
      </c>
      <c r="D3503" t="s">
        <v>448</v>
      </c>
      <c r="F3503">
        <v>118304255</v>
      </c>
      <c r="G3503">
        <v>60689101</v>
      </c>
      <c r="H3503">
        <v>51099936</v>
      </c>
      <c r="I3503">
        <v>3926096</v>
      </c>
      <c r="J3503">
        <v>10881156</v>
      </c>
      <c r="P3503">
        <v>21</v>
      </c>
      <c r="Q3503" t="s">
        <v>7354</v>
      </c>
    </row>
    <row r="3504" spans="1:17" x14ac:dyDescent="0.3">
      <c r="A3504" t="s">
        <v>59</v>
      </c>
      <c r="B3504" t="str">
        <f>"300141"</f>
        <v>300141</v>
      </c>
      <c r="C3504" t="s">
        <v>7355</v>
      </c>
      <c r="D3504" t="s">
        <v>458</v>
      </c>
      <c r="F3504">
        <v>71156488</v>
      </c>
      <c r="G3504">
        <v>17707096</v>
      </c>
      <c r="H3504">
        <v>51043052</v>
      </c>
      <c r="I3504">
        <v>-193294880</v>
      </c>
      <c r="J3504">
        <v>-54016201</v>
      </c>
      <c r="K3504">
        <v>-20013653</v>
      </c>
      <c r="L3504">
        <v>-28599480</v>
      </c>
      <c r="M3504">
        <v>13547889</v>
      </c>
      <c r="N3504">
        <v>-424387</v>
      </c>
      <c r="O3504">
        <v>-54546366</v>
      </c>
      <c r="P3504">
        <v>91</v>
      </c>
      <c r="Q3504" t="s">
        <v>7356</v>
      </c>
    </row>
    <row r="3505" spans="1:17" x14ac:dyDescent="0.3">
      <c r="A3505" t="s">
        <v>17</v>
      </c>
      <c r="B3505" t="str">
        <f>"688356"</f>
        <v>688356</v>
      </c>
      <c r="C3505" t="s">
        <v>7357</v>
      </c>
      <c r="D3505" t="s">
        <v>984</v>
      </c>
      <c r="F3505">
        <v>118234668</v>
      </c>
      <c r="G3505">
        <v>78220726</v>
      </c>
      <c r="H3505">
        <v>51003777</v>
      </c>
      <c r="I3505">
        <v>33676682</v>
      </c>
      <c r="J3505">
        <v>21349611</v>
      </c>
      <c r="K3505">
        <v>14946773</v>
      </c>
      <c r="P3505">
        <v>152</v>
      </c>
      <c r="Q3505" t="s">
        <v>7358</v>
      </c>
    </row>
    <row r="3506" spans="1:17" x14ac:dyDescent="0.3">
      <c r="A3506" t="s">
        <v>59</v>
      </c>
      <c r="B3506" t="str">
        <f>"300613"</f>
        <v>300613</v>
      </c>
      <c r="C3506" t="s">
        <v>7359</v>
      </c>
      <c r="D3506" t="s">
        <v>817</v>
      </c>
      <c r="F3506">
        <v>-18097518</v>
      </c>
      <c r="G3506">
        <v>190991349</v>
      </c>
      <c r="H3506">
        <v>50935486</v>
      </c>
      <c r="I3506">
        <v>102900639</v>
      </c>
      <c r="J3506">
        <v>70852434</v>
      </c>
      <c r="K3506">
        <v>84737396</v>
      </c>
      <c r="L3506">
        <v>41901962</v>
      </c>
      <c r="M3506">
        <v>31658370</v>
      </c>
      <c r="P3506">
        <v>355</v>
      </c>
      <c r="Q3506" t="s">
        <v>7360</v>
      </c>
    </row>
    <row r="3507" spans="1:17" x14ac:dyDescent="0.3">
      <c r="A3507" t="s">
        <v>59</v>
      </c>
      <c r="B3507" t="str">
        <f>"002207"</f>
        <v>002207</v>
      </c>
      <c r="C3507" t="s">
        <v>7361</v>
      </c>
      <c r="D3507" t="s">
        <v>363</v>
      </c>
      <c r="F3507">
        <v>-21401575</v>
      </c>
      <c r="G3507">
        <v>5539201</v>
      </c>
      <c r="H3507">
        <v>50807627</v>
      </c>
      <c r="I3507">
        <v>-21285636</v>
      </c>
      <c r="J3507">
        <v>-46569674</v>
      </c>
      <c r="K3507">
        <v>29327420</v>
      </c>
      <c r="L3507">
        <v>162389728</v>
      </c>
      <c r="M3507">
        <v>-102921617</v>
      </c>
      <c r="N3507">
        <v>122295808</v>
      </c>
      <c r="O3507">
        <v>57904356</v>
      </c>
      <c r="P3507">
        <v>73</v>
      </c>
      <c r="Q3507" t="s">
        <v>7362</v>
      </c>
    </row>
    <row r="3508" spans="1:17" x14ac:dyDescent="0.3">
      <c r="A3508" t="s">
        <v>59</v>
      </c>
      <c r="B3508" t="str">
        <f>"200160"</f>
        <v>200160</v>
      </c>
      <c r="C3508" t="s">
        <v>7363</v>
      </c>
      <c r="H3508">
        <v>50641173.563500002</v>
      </c>
      <c r="I3508">
        <v>39353446.786499999</v>
      </c>
      <c r="J3508">
        <v>-101478799.11480001</v>
      </c>
      <c r="K3508">
        <v>60815432.586199999</v>
      </c>
      <c r="L3508">
        <v>23649653.455499999</v>
      </c>
      <c r="M3508">
        <v>-167966137.06959999</v>
      </c>
      <c r="N3508">
        <v>-262175621.9603</v>
      </c>
      <c r="O3508">
        <v>-5459634.9451000001</v>
      </c>
      <c r="P3508">
        <v>3</v>
      </c>
      <c r="Q3508" t="s">
        <v>7364</v>
      </c>
    </row>
    <row r="3509" spans="1:17" x14ac:dyDescent="0.3">
      <c r="A3509" t="s">
        <v>59</v>
      </c>
      <c r="B3509" t="str">
        <f>"002476"</f>
        <v>002476</v>
      </c>
      <c r="C3509" t="s">
        <v>7365</v>
      </c>
      <c r="D3509" t="s">
        <v>445</v>
      </c>
      <c r="F3509">
        <v>-34809679</v>
      </c>
      <c r="G3509">
        <v>32516430</v>
      </c>
      <c r="H3509">
        <v>50563550</v>
      </c>
      <c r="I3509">
        <v>52747622</v>
      </c>
      <c r="J3509">
        <v>87943474</v>
      </c>
      <c r="K3509">
        <v>145106402</v>
      </c>
      <c r="L3509">
        <v>122179911</v>
      </c>
      <c r="M3509">
        <v>-106427237</v>
      </c>
      <c r="N3509">
        <v>71921615</v>
      </c>
      <c r="O3509">
        <v>169829431</v>
      </c>
      <c r="P3509">
        <v>85</v>
      </c>
      <c r="Q3509" t="s">
        <v>7366</v>
      </c>
    </row>
    <row r="3510" spans="1:17" x14ac:dyDescent="0.3">
      <c r="A3510" t="s">
        <v>17</v>
      </c>
      <c r="B3510" t="str">
        <f>"688050"</f>
        <v>688050</v>
      </c>
      <c r="C3510" t="s">
        <v>7367</v>
      </c>
      <c r="D3510" t="s">
        <v>1036</v>
      </c>
      <c r="F3510">
        <v>219296420</v>
      </c>
      <c r="G3510">
        <v>123354372</v>
      </c>
      <c r="H3510">
        <v>50493600</v>
      </c>
      <c r="I3510">
        <v>31820012</v>
      </c>
      <c r="J3510">
        <v>4150314</v>
      </c>
      <c r="K3510">
        <v>-3367384</v>
      </c>
      <c r="P3510">
        <v>411</v>
      </c>
      <c r="Q3510" t="s">
        <v>7368</v>
      </c>
    </row>
    <row r="3511" spans="1:17" x14ac:dyDescent="0.3">
      <c r="A3511" t="s">
        <v>59</v>
      </c>
      <c r="B3511" t="str">
        <f>"300798"</f>
        <v>300798</v>
      </c>
      <c r="C3511" t="s">
        <v>7369</v>
      </c>
      <c r="D3511" t="s">
        <v>372</v>
      </c>
      <c r="F3511">
        <v>46595756</v>
      </c>
      <c r="G3511">
        <v>44936396</v>
      </c>
      <c r="H3511">
        <v>50445397</v>
      </c>
      <c r="I3511">
        <v>31981927</v>
      </c>
      <c r="J3511">
        <v>31951027</v>
      </c>
      <c r="K3511">
        <v>685825</v>
      </c>
      <c r="P3511">
        <v>55</v>
      </c>
      <c r="Q3511" t="s">
        <v>7370</v>
      </c>
    </row>
    <row r="3512" spans="1:17" x14ac:dyDescent="0.3">
      <c r="A3512" t="s">
        <v>59</v>
      </c>
      <c r="B3512" t="str">
        <f>"300475"</f>
        <v>300475</v>
      </c>
      <c r="C3512" t="s">
        <v>7371</v>
      </c>
      <c r="D3512" t="s">
        <v>1087</v>
      </c>
      <c r="F3512">
        <v>-110428261</v>
      </c>
      <c r="G3512">
        <v>32172303</v>
      </c>
      <c r="H3512">
        <v>50423864</v>
      </c>
      <c r="I3512">
        <v>8258630</v>
      </c>
      <c r="J3512">
        <v>91177636</v>
      </c>
      <c r="K3512">
        <v>89355186</v>
      </c>
      <c r="L3512">
        <v>162716701</v>
      </c>
      <c r="M3512">
        <v>141457230</v>
      </c>
      <c r="N3512">
        <v>-2654789</v>
      </c>
      <c r="O3512">
        <v>220150145</v>
      </c>
      <c r="P3512">
        <v>92</v>
      </c>
      <c r="Q3512" t="s">
        <v>7372</v>
      </c>
    </row>
    <row r="3513" spans="1:17" x14ac:dyDescent="0.3">
      <c r="A3513" t="s">
        <v>59</v>
      </c>
      <c r="B3513" t="str">
        <f>"300250"</f>
        <v>300250</v>
      </c>
      <c r="C3513" t="s">
        <v>7373</v>
      </c>
      <c r="D3513" t="s">
        <v>1189</v>
      </c>
      <c r="F3513">
        <v>3955228</v>
      </c>
      <c r="G3513">
        <v>72814548</v>
      </c>
      <c r="H3513">
        <v>50412903</v>
      </c>
      <c r="I3513">
        <v>39277966</v>
      </c>
      <c r="J3513">
        <v>140515460</v>
      </c>
      <c r="K3513">
        <v>137240301</v>
      </c>
      <c r="L3513">
        <v>83480599</v>
      </c>
      <c r="M3513">
        <v>30049837</v>
      </c>
      <c r="N3513">
        <v>16514627</v>
      </c>
      <c r="O3513">
        <v>-23282219</v>
      </c>
      <c r="P3513">
        <v>159</v>
      </c>
      <c r="Q3513" t="s">
        <v>7374</v>
      </c>
    </row>
    <row r="3514" spans="1:17" x14ac:dyDescent="0.3">
      <c r="A3514" t="s">
        <v>59</v>
      </c>
      <c r="B3514" t="str">
        <f>"300522"</f>
        <v>300522</v>
      </c>
      <c r="C3514" t="s">
        <v>7375</v>
      </c>
      <c r="D3514" t="s">
        <v>4667</v>
      </c>
      <c r="F3514">
        <v>159855434</v>
      </c>
      <c r="G3514">
        <v>86510778</v>
      </c>
      <c r="H3514">
        <v>50308786</v>
      </c>
      <c r="I3514">
        <v>53123249</v>
      </c>
      <c r="J3514">
        <v>40930999</v>
      </c>
      <c r="K3514">
        <v>46204129</v>
      </c>
      <c r="L3514">
        <v>58797004</v>
      </c>
      <c r="M3514">
        <v>25602735</v>
      </c>
      <c r="N3514">
        <v>20203689</v>
      </c>
      <c r="P3514">
        <v>99</v>
      </c>
      <c r="Q3514" t="s">
        <v>7376</v>
      </c>
    </row>
    <row r="3515" spans="1:17" x14ac:dyDescent="0.3">
      <c r="A3515" t="s">
        <v>17</v>
      </c>
      <c r="B3515" t="str">
        <f>"600774"</f>
        <v>600774</v>
      </c>
      <c r="C3515" t="s">
        <v>7377</v>
      </c>
      <c r="D3515" t="s">
        <v>829</v>
      </c>
      <c r="F3515">
        <v>332997567</v>
      </c>
      <c r="G3515">
        <v>52378354</v>
      </c>
      <c r="H3515">
        <v>50242285</v>
      </c>
      <c r="I3515">
        <v>110082106</v>
      </c>
      <c r="J3515">
        <v>120239394</v>
      </c>
      <c r="K3515">
        <v>106052222</v>
      </c>
      <c r="L3515">
        <v>74097483</v>
      </c>
      <c r="M3515">
        <v>80435261</v>
      </c>
      <c r="N3515">
        <v>86615375</v>
      </c>
      <c r="O3515">
        <v>96299446</v>
      </c>
      <c r="P3515">
        <v>84</v>
      </c>
      <c r="Q3515" t="s">
        <v>7378</v>
      </c>
    </row>
    <row r="3516" spans="1:17" x14ac:dyDescent="0.3">
      <c r="A3516" t="s">
        <v>59</v>
      </c>
      <c r="B3516" t="str">
        <f>"300869"</f>
        <v>300869</v>
      </c>
      <c r="C3516" t="s">
        <v>7379</v>
      </c>
      <c r="D3516" t="s">
        <v>485</v>
      </c>
      <c r="F3516">
        <v>4647412</v>
      </c>
      <c r="G3516">
        <v>597733572</v>
      </c>
      <c r="H3516">
        <v>50218275</v>
      </c>
      <c r="I3516">
        <v>29806063</v>
      </c>
      <c r="J3516">
        <v>117613959</v>
      </c>
      <c r="K3516">
        <v>130642169</v>
      </c>
      <c r="L3516">
        <v>35229294</v>
      </c>
      <c r="P3516">
        <v>174</v>
      </c>
      <c r="Q3516" t="s">
        <v>7380</v>
      </c>
    </row>
    <row r="3517" spans="1:17" x14ac:dyDescent="0.3">
      <c r="A3517" t="s">
        <v>59</v>
      </c>
      <c r="B3517" t="str">
        <f>"300716"</f>
        <v>300716</v>
      </c>
      <c r="C3517" t="s">
        <v>7381</v>
      </c>
      <c r="D3517" t="s">
        <v>792</v>
      </c>
      <c r="F3517">
        <v>111518872</v>
      </c>
      <c r="G3517">
        <v>-61760268</v>
      </c>
      <c r="H3517">
        <v>50173891</v>
      </c>
      <c r="I3517">
        <v>25416385</v>
      </c>
      <c r="J3517">
        <v>34983130</v>
      </c>
      <c r="K3517">
        <v>94497064</v>
      </c>
      <c r="L3517">
        <v>3280202</v>
      </c>
      <c r="M3517">
        <v>-36437496</v>
      </c>
      <c r="P3517">
        <v>59</v>
      </c>
      <c r="Q3517" t="s">
        <v>7382</v>
      </c>
    </row>
    <row r="3518" spans="1:17" x14ac:dyDescent="0.3">
      <c r="A3518" t="s">
        <v>59</v>
      </c>
      <c r="B3518" t="str">
        <f>"300342"</f>
        <v>300342</v>
      </c>
      <c r="C3518" t="s">
        <v>7383</v>
      </c>
      <c r="D3518" t="s">
        <v>1087</v>
      </c>
      <c r="F3518">
        <v>38530010</v>
      </c>
      <c r="G3518">
        <v>175941652</v>
      </c>
      <c r="H3518">
        <v>50151827</v>
      </c>
      <c r="I3518">
        <v>189708088</v>
      </c>
      <c r="J3518">
        <v>76701839</v>
      </c>
      <c r="K3518">
        <v>119887261</v>
      </c>
      <c r="L3518">
        <v>91847951</v>
      </c>
      <c r="M3518">
        <v>103194150</v>
      </c>
      <c r="N3518">
        <v>33452963</v>
      </c>
      <c r="O3518">
        <v>81467755</v>
      </c>
      <c r="P3518">
        <v>181</v>
      </c>
      <c r="Q3518" t="s">
        <v>7384</v>
      </c>
    </row>
    <row r="3519" spans="1:17" x14ac:dyDescent="0.3">
      <c r="A3519" t="s">
        <v>59</v>
      </c>
      <c r="B3519" t="str">
        <f>"002955"</f>
        <v>002955</v>
      </c>
      <c r="C3519" t="s">
        <v>7385</v>
      </c>
      <c r="D3519" t="s">
        <v>139</v>
      </c>
      <c r="F3519">
        <v>220424080</v>
      </c>
      <c r="G3519">
        <v>145634352</v>
      </c>
      <c r="H3519">
        <v>50053608</v>
      </c>
      <c r="I3519">
        <v>416082180</v>
      </c>
      <c r="J3519">
        <v>9681494</v>
      </c>
      <c r="K3519">
        <v>263849357</v>
      </c>
      <c r="P3519">
        <v>167</v>
      </c>
      <c r="Q3519" t="s">
        <v>7386</v>
      </c>
    </row>
    <row r="3520" spans="1:17" x14ac:dyDescent="0.3">
      <c r="A3520" t="s">
        <v>17</v>
      </c>
      <c r="B3520" t="str">
        <f>"600446"</f>
        <v>600446</v>
      </c>
      <c r="C3520" t="s">
        <v>7387</v>
      </c>
      <c r="D3520" t="s">
        <v>1189</v>
      </c>
      <c r="F3520">
        <v>-164025659</v>
      </c>
      <c r="G3520">
        <v>230858427</v>
      </c>
      <c r="H3520">
        <v>49952123</v>
      </c>
      <c r="I3520">
        <v>319351852</v>
      </c>
      <c r="J3520">
        <v>107373058</v>
      </c>
      <c r="K3520">
        <v>20918235</v>
      </c>
      <c r="L3520">
        <v>179371397</v>
      </c>
      <c r="M3520">
        <v>100925576</v>
      </c>
      <c r="N3520">
        <v>88758297</v>
      </c>
      <c r="O3520">
        <v>41052597</v>
      </c>
      <c r="P3520">
        <v>334</v>
      </c>
      <c r="Q3520" t="s">
        <v>7388</v>
      </c>
    </row>
    <row r="3521" spans="1:17" x14ac:dyDescent="0.3">
      <c r="A3521" t="s">
        <v>59</v>
      </c>
      <c r="B3521" t="str">
        <f>"300588"</f>
        <v>300588</v>
      </c>
      <c r="C3521" t="s">
        <v>7389</v>
      </c>
      <c r="D3521" t="s">
        <v>344</v>
      </c>
      <c r="F3521">
        <v>54330853</v>
      </c>
      <c r="G3521">
        <v>-46109160</v>
      </c>
      <c r="H3521">
        <v>49926825</v>
      </c>
      <c r="I3521">
        <v>-48548460</v>
      </c>
      <c r="J3521">
        <v>-79371753</v>
      </c>
      <c r="K3521">
        <v>31417284</v>
      </c>
      <c r="L3521">
        <v>22942478</v>
      </c>
      <c r="M3521">
        <v>-1970107</v>
      </c>
      <c r="N3521">
        <v>4115061</v>
      </c>
      <c r="P3521">
        <v>144</v>
      </c>
      <c r="Q3521" t="s">
        <v>7390</v>
      </c>
    </row>
    <row r="3522" spans="1:17" x14ac:dyDescent="0.3">
      <c r="A3522" t="s">
        <v>59</v>
      </c>
      <c r="B3522" t="str">
        <f>"300245"</f>
        <v>300245</v>
      </c>
      <c r="C3522" t="s">
        <v>7391</v>
      </c>
      <c r="D3522" t="s">
        <v>1189</v>
      </c>
      <c r="F3522">
        <v>61090770</v>
      </c>
      <c r="G3522">
        <v>12368802</v>
      </c>
      <c r="H3522">
        <v>49752625</v>
      </c>
      <c r="I3522">
        <v>40603299</v>
      </c>
      <c r="J3522">
        <v>46011345</v>
      </c>
      <c r="K3522">
        <v>55513809</v>
      </c>
      <c r="L3522">
        <v>33971726</v>
      </c>
      <c r="M3522">
        <v>53950375</v>
      </c>
      <c r="N3522">
        <v>44687282</v>
      </c>
      <c r="O3522">
        <v>52660295</v>
      </c>
      <c r="P3522">
        <v>128</v>
      </c>
      <c r="Q3522" t="s">
        <v>7392</v>
      </c>
    </row>
    <row r="3523" spans="1:17" x14ac:dyDescent="0.3">
      <c r="A3523" t="s">
        <v>17</v>
      </c>
      <c r="B3523" t="str">
        <f>"688508"</f>
        <v>688508</v>
      </c>
      <c r="C3523" t="s">
        <v>7393</v>
      </c>
      <c r="D3523" t="s">
        <v>759</v>
      </c>
      <c r="F3523">
        <v>256617726</v>
      </c>
      <c r="G3523">
        <v>36588865</v>
      </c>
      <c r="H3523">
        <v>49748326</v>
      </c>
      <c r="I3523">
        <v>35892398</v>
      </c>
      <c r="J3523">
        <v>38607655</v>
      </c>
      <c r="K3523">
        <v>10862983</v>
      </c>
      <c r="P3523">
        <v>165</v>
      </c>
      <c r="Q3523" t="s">
        <v>7394</v>
      </c>
    </row>
    <row r="3524" spans="1:17" x14ac:dyDescent="0.3">
      <c r="A3524" t="s">
        <v>59</v>
      </c>
      <c r="B3524" t="str">
        <f>"002577"</f>
        <v>002577</v>
      </c>
      <c r="C3524" t="s">
        <v>7395</v>
      </c>
      <c r="D3524" t="s">
        <v>707</v>
      </c>
      <c r="F3524">
        <v>52832829</v>
      </c>
      <c r="G3524">
        <v>-4757307</v>
      </c>
      <c r="H3524">
        <v>49493317</v>
      </c>
      <c r="I3524">
        <v>-22006836</v>
      </c>
      <c r="J3524">
        <v>-94257</v>
      </c>
      <c r="K3524">
        <v>-21020168</v>
      </c>
      <c r="L3524">
        <v>-24889287</v>
      </c>
      <c r="M3524">
        <v>50560085</v>
      </c>
      <c r="N3524">
        <v>21010712</v>
      </c>
      <c r="O3524">
        <v>62878471</v>
      </c>
      <c r="P3524">
        <v>83</v>
      </c>
      <c r="Q3524" t="s">
        <v>7396</v>
      </c>
    </row>
    <row r="3525" spans="1:17" x14ac:dyDescent="0.3">
      <c r="A3525" t="s">
        <v>59</v>
      </c>
      <c r="B3525" t="str">
        <f>"300720"</f>
        <v>300720</v>
      </c>
      <c r="C3525" t="s">
        <v>7397</v>
      </c>
      <c r="D3525" t="s">
        <v>2382</v>
      </c>
      <c r="F3525">
        <v>72331788</v>
      </c>
      <c r="G3525">
        <v>75351244</v>
      </c>
      <c r="H3525">
        <v>49474592</v>
      </c>
      <c r="I3525">
        <v>20537948</v>
      </c>
      <c r="J3525">
        <v>44020820</v>
      </c>
      <c r="K3525">
        <v>35129473</v>
      </c>
      <c r="L3525">
        <v>36495979</v>
      </c>
      <c r="M3525">
        <v>43424380</v>
      </c>
      <c r="P3525">
        <v>70</v>
      </c>
      <c r="Q3525" t="s">
        <v>7398</v>
      </c>
    </row>
    <row r="3526" spans="1:17" x14ac:dyDescent="0.3">
      <c r="A3526" t="s">
        <v>17</v>
      </c>
      <c r="B3526" t="str">
        <f>"688577"</f>
        <v>688577</v>
      </c>
      <c r="C3526" t="s">
        <v>7399</v>
      </c>
      <c r="D3526" t="s">
        <v>2705</v>
      </c>
      <c r="F3526">
        <v>52397944</v>
      </c>
      <c r="G3526">
        <v>91010897</v>
      </c>
      <c r="H3526">
        <v>49447272</v>
      </c>
      <c r="I3526">
        <v>33294658</v>
      </c>
      <c r="J3526">
        <v>2986719</v>
      </c>
      <c r="K3526">
        <v>26755967</v>
      </c>
      <c r="P3526">
        <v>56</v>
      </c>
      <c r="Q3526" t="s">
        <v>7400</v>
      </c>
    </row>
    <row r="3527" spans="1:17" x14ac:dyDescent="0.3">
      <c r="A3527" t="s">
        <v>17</v>
      </c>
      <c r="B3527" t="str">
        <f>"688551"</f>
        <v>688551</v>
      </c>
      <c r="C3527" t="s">
        <v>7401</v>
      </c>
      <c r="D3527" t="s">
        <v>1746</v>
      </c>
      <c r="F3527">
        <v>11979437</v>
      </c>
      <c r="G3527">
        <v>45643028</v>
      </c>
      <c r="H3527">
        <v>49425203</v>
      </c>
      <c r="I3527">
        <v>17209338</v>
      </c>
      <c r="J3527">
        <v>13545992</v>
      </c>
      <c r="P3527">
        <v>39</v>
      </c>
      <c r="Q3527" t="s">
        <v>7402</v>
      </c>
    </row>
    <row r="3528" spans="1:17" x14ac:dyDescent="0.3">
      <c r="A3528" t="s">
        <v>17</v>
      </c>
      <c r="B3528" t="str">
        <f>"603958"</f>
        <v>603958</v>
      </c>
      <c r="C3528" t="s">
        <v>7403</v>
      </c>
      <c r="D3528" t="s">
        <v>3416</v>
      </c>
      <c r="F3528">
        <v>13274836</v>
      </c>
      <c r="G3528">
        <v>-10857143</v>
      </c>
      <c r="H3528">
        <v>49381181</v>
      </c>
      <c r="I3528">
        <v>53933641</v>
      </c>
      <c r="J3528">
        <v>84729549</v>
      </c>
      <c r="K3528">
        <v>-3903126</v>
      </c>
      <c r="L3528">
        <v>40950555</v>
      </c>
      <c r="M3528">
        <v>252989088</v>
      </c>
      <c r="N3528">
        <v>116943194</v>
      </c>
      <c r="P3528">
        <v>67</v>
      </c>
      <c r="Q3528" t="s">
        <v>7404</v>
      </c>
    </row>
    <row r="3529" spans="1:17" x14ac:dyDescent="0.3">
      <c r="A3529" t="s">
        <v>59</v>
      </c>
      <c r="B3529" t="str">
        <f>"002718"</f>
        <v>002718</v>
      </c>
      <c r="C3529" t="s">
        <v>7405</v>
      </c>
      <c r="D3529" t="s">
        <v>1041</v>
      </c>
      <c r="F3529">
        <v>-102871361</v>
      </c>
      <c r="G3529">
        <v>95229377</v>
      </c>
      <c r="H3529">
        <v>49378109</v>
      </c>
      <c r="I3529">
        <v>-79477867</v>
      </c>
      <c r="J3529">
        <v>208407028</v>
      </c>
      <c r="K3529">
        <v>132800371</v>
      </c>
      <c r="L3529">
        <v>131075996</v>
      </c>
      <c r="M3529">
        <v>117833712</v>
      </c>
      <c r="N3529">
        <v>104078355</v>
      </c>
      <c r="O3529">
        <v>70991287</v>
      </c>
      <c r="P3529">
        <v>170</v>
      </c>
      <c r="Q3529" t="s">
        <v>7406</v>
      </c>
    </row>
    <row r="3530" spans="1:17" x14ac:dyDescent="0.3">
      <c r="A3530" t="s">
        <v>59</v>
      </c>
      <c r="B3530" t="str">
        <f>"002927"</f>
        <v>002927</v>
      </c>
      <c r="C3530" t="s">
        <v>7407</v>
      </c>
      <c r="D3530" t="s">
        <v>458</v>
      </c>
      <c r="F3530">
        <v>52321545</v>
      </c>
      <c r="G3530">
        <v>27112397</v>
      </c>
      <c r="H3530">
        <v>49336397</v>
      </c>
      <c r="I3530">
        <v>6267491</v>
      </c>
      <c r="J3530">
        <v>9134714</v>
      </c>
      <c r="K3530">
        <v>35656143</v>
      </c>
      <c r="L3530">
        <v>8989215</v>
      </c>
      <c r="M3530">
        <v>13788638</v>
      </c>
      <c r="P3530">
        <v>117</v>
      </c>
      <c r="Q3530" t="s">
        <v>7408</v>
      </c>
    </row>
    <row r="3531" spans="1:17" x14ac:dyDescent="0.3">
      <c r="A3531" t="s">
        <v>59</v>
      </c>
      <c r="B3531" t="str">
        <f>"300030"</f>
        <v>300030</v>
      </c>
      <c r="C3531" t="s">
        <v>7409</v>
      </c>
      <c r="D3531" t="s">
        <v>485</v>
      </c>
      <c r="F3531">
        <v>171738972</v>
      </c>
      <c r="G3531">
        <v>141274053</v>
      </c>
      <c r="H3531">
        <v>49162409</v>
      </c>
      <c r="I3531">
        <v>56036177</v>
      </c>
      <c r="J3531">
        <v>142192981</v>
      </c>
      <c r="K3531">
        <v>23185033</v>
      </c>
      <c r="L3531">
        <v>-8019496</v>
      </c>
      <c r="M3531">
        <v>-108198451</v>
      </c>
      <c r="N3531">
        <v>44381254</v>
      </c>
      <c r="O3531">
        <v>36062205</v>
      </c>
      <c r="P3531">
        <v>182</v>
      </c>
      <c r="Q3531" t="s">
        <v>7410</v>
      </c>
    </row>
    <row r="3532" spans="1:17" x14ac:dyDescent="0.3">
      <c r="A3532" t="s">
        <v>17</v>
      </c>
      <c r="B3532" t="str">
        <f>"688160"</f>
        <v>688160</v>
      </c>
      <c r="C3532" t="s">
        <v>7411</v>
      </c>
      <c r="D3532" t="s">
        <v>1426</v>
      </c>
      <c r="F3532">
        <v>-21150236</v>
      </c>
      <c r="G3532">
        <v>51141867</v>
      </c>
      <c r="H3532">
        <v>48983636</v>
      </c>
      <c r="I3532">
        <v>32301251</v>
      </c>
      <c r="J3532">
        <v>27437054</v>
      </c>
      <c r="K3532">
        <v>40127479</v>
      </c>
      <c r="P3532">
        <v>44</v>
      </c>
      <c r="Q3532" t="s">
        <v>7412</v>
      </c>
    </row>
    <row r="3533" spans="1:17" x14ac:dyDescent="0.3">
      <c r="A3533" t="s">
        <v>17</v>
      </c>
      <c r="B3533" t="str">
        <f>"688228"</f>
        <v>688228</v>
      </c>
      <c r="C3533" t="s">
        <v>7413</v>
      </c>
      <c r="D3533" t="s">
        <v>1189</v>
      </c>
      <c r="F3533">
        <v>-11200932</v>
      </c>
      <c r="G3533">
        <v>49177889</v>
      </c>
      <c r="H3533">
        <v>48892673</v>
      </c>
      <c r="I3533">
        <v>55299300</v>
      </c>
      <c r="J3533">
        <v>43912453</v>
      </c>
      <c r="K3533">
        <v>28078513</v>
      </c>
      <c r="P3533">
        <v>93</v>
      </c>
      <c r="Q3533" t="s">
        <v>7414</v>
      </c>
    </row>
    <row r="3534" spans="1:17" x14ac:dyDescent="0.3">
      <c r="A3534" t="s">
        <v>59</v>
      </c>
      <c r="B3534" t="str">
        <f>"002909"</f>
        <v>002909</v>
      </c>
      <c r="C3534" t="s">
        <v>7415</v>
      </c>
      <c r="D3534" t="s">
        <v>1900</v>
      </c>
      <c r="F3534">
        <v>-3030182</v>
      </c>
      <c r="G3534">
        <v>193576327</v>
      </c>
      <c r="H3534">
        <v>48853515</v>
      </c>
      <c r="I3534">
        <v>108396500</v>
      </c>
      <c r="J3534">
        <v>73802677</v>
      </c>
      <c r="K3534">
        <v>55660774</v>
      </c>
      <c r="L3534">
        <v>71448894</v>
      </c>
      <c r="M3534">
        <v>35023328</v>
      </c>
      <c r="P3534">
        <v>87</v>
      </c>
      <c r="Q3534" t="s">
        <v>7416</v>
      </c>
    </row>
    <row r="3535" spans="1:17" x14ac:dyDescent="0.3">
      <c r="A3535" t="s">
        <v>59</v>
      </c>
      <c r="B3535" t="str">
        <f>"301111"</f>
        <v>301111</v>
      </c>
      <c r="C3535" t="s">
        <v>7417</v>
      </c>
      <c r="D3535" t="s">
        <v>592</v>
      </c>
      <c r="F3535">
        <v>71626612</v>
      </c>
      <c r="G3535">
        <v>90904197</v>
      </c>
      <c r="H3535">
        <v>48702947</v>
      </c>
      <c r="I3535">
        <v>41397070</v>
      </c>
      <c r="J3535">
        <v>7043424</v>
      </c>
      <c r="P3535">
        <v>28</v>
      </c>
      <c r="Q3535" t="s">
        <v>7418</v>
      </c>
    </row>
    <row r="3536" spans="1:17" x14ac:dyDescent="0.3">
      <c r="A3536" t="s">
        <v>17</v>
      </c>
      <c r="B3536" t="str">
        <f>"600973"</f>
        <v>600973</v>
      </c>
      <c r="C3536" t="s">
        <v>7419</v>
      </c>
      <c r="D3536" t="s">
        <v>1065</v>
      </c>
      <c r="F3536">
        <v>437635519</v>
      </c>
      <c r="G3536">
        <v>-128067924</v>
      </c>
      <c r="H3536">
        <v>48663174</v>
      </c>
      <c r="I3536">
        <v>-831229313</v>
      </c>
      <c r="J3536">
        <v>-1571162967</v>
      </c>
      <c r="K3536">
        <v>1604887191</v>
      </c>
      <c r="L3536">
        <v>-25471530</v>
      </c>
      <c r="M3536">
        <v>75526040</v>
      </c>
      <c r="N3536">
        <v>-1176273748</v>
      </c>
      <c r="O3536">
        <v>317326424</v>
      </c>
      <c r="P3536">
        <v>116</v>
      </c>
      <c r="Q3536" t="s">
        <v>7420</v>
      </c>
    </row>
    <row r="3537" spans="1:17" x14ac:dyDescent="0.3">
      <c r="A3537" t="s">
        <v>59</v>
      </c>
      <c r="B3537" t="str">
        <f>"300758"</f>
        <v>300758</v>
      </c>
      <c r="C3537" t="s">
        <v>7421</v>
      </c>
      <c r="D3537" t="s">
        <v>4667</v>
      </c>
      <c r="F3537">
        <v>161080545</v>
      </c>
      <c r="G3537">
        <v>93411947</v>
      </c>
      <c r="H3537">
        <v>48634268</v>
      </c>
      <c r="I3537">
        <v>68321969</v>
      </c>
      <c r="J3537">
        <v>72239036</v>
      </c>
      <c r="K3537">
        <v>73166220</v>
      </c>
      <c r="L3537">
        <v>32186745</v>
      </c>
      <c r="P3537">
        <v>104</v>
      </c>
      <c r="Q3537" t="s">
        <v>7422</v>
      </c>
    </row>
    <row r="3538" spans="1:17" x14ac:dyDescent="0.3">
      <c r="A3538" t="s">
        <v>17</v>
      </c>
      <c r="B3538" t="str">
        <f>"688109"</f>
        <v>688109</v>
      </c>
      <c r="C3538" t="s">
        <v>7423</v>
      </c>
      <c r="D3538" t="s">
        <v>1528</v>
      </c>
      <c r="F3538">
        <v>-24792937</v>
      </c>
      <c r="G3538">
        <v>62102028</v>
      </c>
      <c r="H3538">
        <v>48567050</v>
      </c>
      <c r="I3538">
        <v>51315615</v>
      </c>
      <c r="J3538">
        <v>24183688</v>
      </c>
      <c r="P3538">
        <v>72</v>
      </c>
      <c r="Q3538" t="s">
        <v>7424</v>
      </c>
    </row>
    <row r="3539" spans="1:17" x14ac:dyDescent="0.3">
      <c r="A3539" t="s">
        <v>17</v>
      </c>
      <c r="B3539" t="str">
        <f>"603838"</f>
        <v>603838</v>
      </c>
      <c r="C3539" t="s">
        <v>7425</v>
      </c>
      <c r="D3539" t="s">
        <v>923</v>
      </c>
      <c r="F3539">
        <v>70022533</v>
      </c>
      <c r="G3539">
        <v>56959425</v>
      </c>
      <c r="H3539">
        <v>48474562</v>
      </c>
      <c r="I3539">
        <v>96299688</v>
      </c>
      <c r="J3539">
        <v>54893486</v>
      </c>
      <c r="K3539">
        <v>86479299</v>
      </c>
      <c r="L3539">
        <v>8131518</v>
      </c>
      <c r="M3539">
        <v>89195085</v>
      </c>
      <c r="N3539">
        <v>57323237</v>
      </c>
      <c r="O3539">
        <v>58112698</v>
      </c>
      <c r="P3539">
        <v>49</v>
      </c>
      <c r="Q3539" t="s">
        <v>7426</v>
      </c>
    </row>
    <row r="3540" spans="1:17" x14ac:dyDescent="0.3">
      <c r="A3540" t="s">
        <v>59</v>
      </c>
      <c r="B3540" t="str">
        <f>"002581"</f>
        <v>002581</v>
      </c>
      <c r="C3540" t="s">
        <v>7427</v>
      </c>
      <c r="D3540" t="s">
        <v>1062</v>
      </c>
      <c r="F3540">
        <v>-46015294</v>
      </c>
      <c r="G3540">
        <v>18510200</v>
      </c>
      <c r="H3540">
        <v>48414582</v>
      </c>
      <c r="I3540">
        <v>74456075</v>
      </c>
      <c r="J3540">
        <v>271106655</v>
      </c>
      <c r="K3540">
        <v>169315098</v>
      </c>
      <c r="L3540">
        <v>137728784</v>
      </c>
      <c r="M3540">
        <v>80108149</v>
      </c>
      <c r="N3540">
        <v>83132883</v>
      </c>
      <c r="O3540">
        <v>63035344</v>
      </c>
      <c r="P3540">
        <v>228</v>
      </c>
      <c r="Q3540" t="s">
        <v>7428</v>
      </c>
    </row>
    <row r="3541" spans="1:17" x14ac:dyDescent="0.3">
      <c r="A3541" t="s">
        <v>59</v>
      </c>
      <c r="B3541" t="str">
        <f>"300466"</f>
        <v>300466</v>
      </c>
      <c r="C3541" t="s">
        <v>7429</v>
      </c>
      <c r="D3541" t="s">
        <v>1828</v>
      </c>
      <c r="F3541">
        <v>-17981516</v>
      </c>
      <c r="G3541">
        <v>153717</v>
      </c>
      <c r="H3541">
        <v>48400045</v>
      </c>
      <c r="I3541">
        <v>-32511920</v>
      </c>
      <c r="J3541">
        <v>15414704</v>
      </c>
      <c r="K3541">
        <v>-28079647</v>
      </c>
      <c r="L3541">
        <v>-5376728</v>
      </c>
      <c r="M3541">
        <v>7351993</v>
      </c>
      <c r="N3541">
        <v>29580781</v>
      </c>
      <c r="O3541">
        <v>-7364926</v>
      </c>
      <c r="P3541">
        <v>121</v>
      </c>
      <c r="Q3541" t="s">
        <v>7430</v>
      </c>
    </row>
    <row r="3542" spans="1:17" x14ac:dyDescent="0.3">
      <c r="A3542" t="s">
        <v>59</v>
      </c>
      <c r="B3542" t="str">
        <f>"301158"</f>
        <v>301158</v>
      </c>
      <c r="C3542" t="s">
        <v>7431</v>
      </c>
      <c r="D3542" t="s">
        <v>741</v>
      </c>
      <c r="F3542">
        <v>38195604</v>
      </c>
      <c r="G3542">
        <v>27675793</v>
      </c>
      <c r="H3542">
        <v>48399285</v>
      </c>
      <c r="I3542">
        <v>32140510</v>
      </c>
      <c r="J3542">
        <v>31705666</v>
      </c>
      <c r="P3542">
        <v>12</v>
      </c>
      <c r="Q3542" t="s">
        <v>7432</v>
      </c>
    </row>
    <row r="3543" spans="1:17" x14ac:dyDescent="0.3">
      <c r="A3543" t="s">
        <v>59</v>
      </c>
      <c r="B3543" t="str">
        <f>"301053"</f>
        <v>301053</v>
      </c>
      <c r="C3543" t="s">
        <v>7433</v>
      </c>
      <c r="D3543" t="s">
        <v>3970</v>
      </c>
      <c r="F3543">
        <v>1522893</v>
      </c>
      <c r="G3543">
        <v>154006406</v>
      </c>
      <c r="H3543">
        <v>48346724</v>
      </c>
      <c r="I3543">
        <v>53123106</v>
      </c>
      <c r="J3543">
        <v>45999120</v>
      </c>
      <c r="P3543">
        <v>24</v>
      </c>
      <c r="Q3543" t="s">
        <v>7434</v>
      </c>
    </row>
    <row r="3544" spans="1:17" x14ac:dyDescent="0.3">
      <c r="A3544" t="s">
        <v>17</v>
      </c>
      <c r="B3544" t="str">
        <f>"603032"</f>
        <v>603032</v>
      </c>
      <c r="C3544" t="s">
        <v>7435</v>
      </c>
      <c r="D3544" t="s">
        <v>2487</v>
      </c>
      <c r="F3544">
        <v>60203013</v>
      </c>
      <c r="G3544">
        <v>-10704282</v>
      </c>
      <c r="H3544">
        <v>48300452</v>
      </c>
      <c r="I3544">
        <v>-11840581</v>
      </c>
      <c r="J3544">
        <v>18472729</v>
      </c>
      <c r="K3544">
        <v>79214880</v>
      </c>
      <c r="L3544">
        <v>55887366</v>
      </c>
      <c r="M3544">
        <v>88143290</v>
      </c>
      <c r="N3544">
        <v>71762663</v>
      </c>
      <c r="P3544">
        <v>73</v>
      </c>
      <c r="Q3544" t="s">
        <v>7436</v>
      </c>
    </row>
    <row r="3545" spans="1:17" x14ac:dyDescent="0.3">
      <c r="A3545" t="s">
        <v>17</v>
      </c>
      <c r="B3545" t="str">
        <f>"600127"</f>
        <v>600127</v>
      </c>
      <c r="C3545" t="s">
        <v>7437</v>
      </c>
      <c r="D3545" t="s">
        <v>229</v>
      </c>
      <c r="F3545">
        <v>84702379</v>
      </c>
      <c r="G3545">
        <v>-112532804</v>
      </c>
      <c r="H3545">
        <v>48290449</v>
      </c>
      <c r="I3545">
        <v>-1258496</v>
      </c>
      <c r="J3545">
        <v>-5067792</v>
      </c>
      <c r="K3545">
        <v>-143347013</v>
      </c>
      <c r="L3545">
        <v>-57348338</v>
      </c>
      <c r="M3545">
        <v>-24541241</v>
      </c>
      <c r="N3545">
        <v>121332518</v>
      </c>
      <c r="O3545">
        <v>-24124814</v>
      </c>
      <c r="P3545">
        <v>231</v>
      </c>
      <c r="Q3545" t="s">
        <v>7438</v>
      </c>
    </row>
    <row r="3546" spans="1:17" x14ac:dyDescent="0.3">
      <c r="A3546" t="s">
        <v>59</v>
      </c>
      <c r="B3546" t="str">
        <f>"300811"</f>
        <v>300811</v>
      </c>
      <c r="C3546" t="s">
        <v>7439</v>
      </c>
      <c r="D3546" t="s">
        <v>2132</v>
      </c>
      <c r="F3546">
        <v>-34468780</v>
      </c>
      <c r="G3546">
        <v>34967104</v>
      </c>
      <c r="H3546">
        <v>48275304</v>
      </c>
      <c r="I3546">
        <v>28338053</v>
      </c>
      <c r="J3546">
        <v>5212443</v>
      </c>
      <c r="K3546">
        <v>11736617</v>
      </c>
      <c r="P3546">
        <v>163</v>
      </c>
      <c r="Q3546" t="s">
        <v>7440</v>
      </c>
    </row>
    <row r="3547" spans="1:17" x14ac:dyDescent="0.3">
      <c r="A3547" t="s">
        <v>59</v>
      </c>
      <c r="B3547" t="str">
        <f>"300803"</f>
        <v>300803</v>
      </c>
      <c r="C3547" t="s">
        <v>7441</v>
      </c>
      <c r="D3547" t="s">
        <v>1528</v>
      </c>
      <c r="F3547">
        <v>373048933</v>
      </c>
      <c r="G3547">
        <v>230581891</v>
      </c>
      <c r="H3547">
        <v>48207284</v>
      </c>
      <c r="I3547">
        <v>169214921</v>
      </c>
      <c r="J3547">
        <v>170544198</v>
      </c>
      <c r="K3547">
        <v>178554053</v>
      </c>
      <c r="P3547">
        <v>194</v>
      </c>
      <c r="Q3547" t="s">
        <v>7442</v>
      </c>
    </row>
    <row r="3548" spans="1:17" x14ac:dyDescent="0.3">
      <c r="A3548" t="s">
        <v>59</v>
      </c>
      <c r="B3548" t="str">
        <f>"002650"</f>
        <v>002650</v>
      </c>
      <c r="C3548" t="s">
        <v>7443</v>
      </c>
      <c r="D3548" t="s">
        <v>375</v>
      </c>
      <c r="F3548">
        <v>268996884</v>
      </c>
      <c r="G3548">
        <v>278168838</v>
      </c>
      <c r="H3548">
        <v>47878550</v>
      </c>
      <c r="I3548">
        <v>181968464</v>
      </c>
      <c r="J3548">
        <v>2837970</v>
      </c>
      <c r="K3548">
        <v>363061900</v>
      </c>
      <c r="L3548">
        <v>182494212</v>
      </c>
      <c r="M3548">
        <v>263556451</v>
      </c>
      <c r="N3548">
        <v>130162612</v>
      </c>
      <c r="O3548">
        <v>147953823</v>
      </c>
      <c r="P3548">
        <v>207</v>
      </c>
      <c r="Q3548" t="s">
        <v>7444</v>
      </c>
    </row>
    <row r="3549" spans="1:17" x14ac:dyDescent="0.3">
      <c r="A3549" t="s">
        <v>59</v>
      </c>
      <c r="B3549" t="str">
        <f>"000498"</f>
        <v>000498</v>
      </c>
      <c r="C3549" t="s">
        <v>7445</v>
      </c>
      <c r="D3549" t="s">
        <v>85</v>
      </c>
      <c r="F3549">
        <v>-2356482710</v>
      </c>
      <c r="G3549">
        <v>974485539</v>
      </c>
      <c r="H3549">
        <v>47829336</v>
      </c>
      <c r="I3549">
        <v>830102984</v>
      </c>
      <c r="J3549">
        <v>232437215</v>
      </c>
      <c r="K3549">
        <v>814250328</v>
      </c>
      <c r="L3549">
        <v>832625775</v>
      </c>
      <c r="M3549">
        <v>314865388</v>
      </c>
      <c r="N3549">
        <v>736391599</v>
      </c>
      <c r="O3549">
        <v>-765438662</v>
      </c>
      <c r="P3549">
        <v>276</v>
      </c>
      <c r="Q3549" t="s">
        <v>7446</v>
      </c>
    </row>
    <row r="3550" spans="1:17" x14ac:dyDescent="0.3">
      <c r="A3550" t="s">
        <v>59</v>
      </c>
      <c r="B3550" t="str">
        <f>"002644"</f>
        <v>002644</v>
      </c>
      <c r="C3550" t="s">
        <v>7447</v>
      </c>
      <c r="D3550" t="s">
        <v>455</v>
      </c>
      <c r="F3550">
        <v>11854642</v>
      </c>
      <c r="G3550">
        <v>62888163</v>
      </c>
      <c r="H3550">
        <v>47822985</v>
      </c>
      <c r="I3550">
        <v>36663112</v>
      </c>
      <c r="J3550">
        <v>66423062</v>
      </c>
      <c r="K3550">
        <v>56901045</v>
      </c>
      <c r="L3550">
        <v>64114416</v>
      </c>
      <c r="M3550">
        <v>93746665</v>
      </c>
      <c r="N3550">
        <v>-10474439</v>
      </c>
      <c r="O3550">
        <v>-11016693</v>
      </c>
      <c r="P3550">
        <v>163</v>
      </c>
      <c r="Q3550" t="s">
        <v>7448</v>
      </c>
    </row>
    <row r="3551" spans="1:17" x14ac:dyDescent="0.3">
      <c r="A3551" t="s">
        <v>17</v>
      </c>
      <c r="B3551" t="str">
        <f>"603011"</f>
        <v>603011</v>
      </c>
      <c r="C3551" t="s">
        <v>7449</v>
      </c>
      <c r="D3551" t="s">
        <v>1351</v>
      </c>
      <c r="F3551">
        <v>-18536640</v>
      </c>
      <c r="G3551">
        <v>34816816</v>
      </c>
      <c r="H3551">
        <v>47732737</v>
      </c>
      <c r="I3551">
        <v>-31128542</v>
      </c>
      <c r="J3551">
        <v>-35676705</v>
      </c>
      <c r="K3551">
        <v>80183675</v>
      </c>
      <c r="L3551">
        <v>-23849908</v>
      </c>
      <c r="M3551">
        <v>45334991</v>
      </c>
      <c r="N3551">
        <v>-41920593</v>
      </c>
      <c r="O3551">
        <v>-11236661</v>
      </c>
      <c r="P3551">
        <v>82</v>
      </c>
      <c r="Q3551" t="s">
        <v>7450</v>
      </c>
    </row>
    <row r="3552" spans="1:17" x14ac:dyDescent="0.3">
      <c r="A3552" t="s">
        <v>17</v>
      </c>
      <c r="B3552" t="str">
        <f>"688665"</f>
        <v>688665</v>
      </c>
      <c r="C3552" t="s">
        <v>7451</v>
      </c>
      <c r="D3552" t="s">
        <v>2382</v>
      </c>
      <c r="F3552">
        <v>134129676</v>
      </c>
      <c r="G3552">
        <v>73991777</v>
      </c>
      <c r="H3552">
        <v>47485213</v>
      </c>
      <c r="I3552">
        <v>9507065</v>
      </c>
      <c r="J3552">
        <v>5194548</v>
      </c>
      <c r="P3552">
        <v>63</v>
      </c>
      <c r="Q3552" t="s">
        <v>7452</v>
      </c>
    </row>
    <row r="3553" spans="1:17" x14ac:dyDescent="0.3">
      <c r="A3553" t="s">
        <v>17</v>
      </c>
      <c r="B3553" t="str">
        <f>"688345"</f>
        <v>688345</v>
      </c>
      <c r="C3553" t="s">
        <v>7453</v>
      </c>
      <c r="D3553" t="s">
        <v>232</v>
      </c>
      <c r="F3553">
        <v>29264656</v>
      </c>
      <c r="G3553">
        <v>112359512</v>
      </c>
      <c r="H3553">
        <v>47430364</v>
      </c>
      <c r="I3553">
        <v>-14461184</v>
      </c>
      <c r="J3553">
        <v>11972462</v>
      </c>
      <c r="P3553">
        <v>39</v>
      </c>
      <c r="Q3553" t="s">
        <v>7454</v>
      </c>
    </row>
    <row r="3554" spans="1:17" x14ac:dyDescent="0.3">
      <c r="A3554" t="s">
        <v>17</v>
      </c>
      <c r="B3554" t="str">
        <f>"688212"</f>
        <v>688212</v>
      </c>
      <c r="C3554" t="s">
        <v>7455</v>
      </c>
      <c r="D3554" t="s">
        <v>485</v>
      </c>
      <c r="F3554">
        <v>66152976</v>
      </c>
      <c r="G3554">
        <v>71521277</v>
      </c>
      <c r="H3554">
        <v>47393125</v>
      </c>
      <c r="I3554">
        <v>-18028677</v>
      </c>
      <c r="J3554">
        <v>-25944375</v>
      </c>
      <c r="P3554">
        <v>31</v>
      </c>
      <c r="Q3554" t="s">
        <v>7456</v>
      </c>
    </row>
    <row r="3555" spans="1:17" x14ac:dyDescent="0.3">
      <c r="A3555" t="s">
        <v>17</v>
      </c>
      <c r="B3555" t="str">
        <f>"688282"</f>
        <v>688282</v>
      </c>
      <c r="C3555" t="s">
        <v>7457</v>
      </c>
      <c r="F3555">
        <v>-1413710</v>
      </c>
      <c r="G3555">
        <v>77275012</v>
      </c>
      <c r="H3555">
        <v>47328241</v>
      </c>
      <c r="I3555">
        <v>52881314</v>
      </c>
      <c r="J3555">
        <v>5367598</v>
      </c>
      <c r="P3555">
        <v>3</v>
      </c>
      <c r="Q3555" t="s">
        <v>7458</v>
      </c>
    </row>
    <row r="3556" spans="1:17" x14ac:dyDescent="0.3">
      <c r="A3556" t="s">
        <v>17</v>
      </c>
      <c r="B3556" t="str">
        <f>"600215"</f>
        <v>600215</v>
      </c>
      <c r="C3556" t="s">
        <v>7459</v>
      </c>
      <c r="D3556" t="s">
        <v>61</v>
      </c>
      <c r="F3556">
        <v>-187599370</v>
      </c>
      <c r="G3556">
        <v>56633196</v>
      </c>
      <c r="H3556">
        <v>47034028</v>
      </c>
      <c r="I3556">
        <v>141249882</v>
      </c>
      <c r="J3556">
        <v>210197077</v>
      </c>
      <c r="K3556">
        <v>70959499</v>
      </c>
      <c r="L3556">
        <v>-58882596</v>
      </c>
      <c r="M3556">
        <v>452845547</v>
      </c>
      <c r="N3556">
        <v>-103657457</v>
      </c>
      <c r="O3556">
        <v>-576962461</v>
      </c>
      <c r="P3556">
        <v>77</v>
      </c>
      <c r="Q3556" t="s">
        <v>7460</v>
      </c>
    </row>
    <row r="3557" spans="1:17" x14ac:dyDescent="0.3">
      <c r="A3557" t="s">
        <v>17</v>
      </c>
      <c r="B3557" t="str">
        <f>"600706"</f>
        <v>600706</v>
      </c>
      <c r="C3557" t="s">
        <v>7461</v>
      </c>
      <c r="D3557" t="s">
        <v>1281</v>
      </c>
      <c r="F3557">
        <v>189950645</v>
      </c>
      <c r="G3557">
        <v>36844097</v>
      </c>
      <c r="H3557">
        <v>47006105</v>
      </c>
      <c r="I3557">
        <v>147569911</v>
      </c>
      <c r="J3557">
        <v>130574299</v>
      </c>
      <c r="K3557">
        <v>173674375</v>
      </c>
      <c r="L3557">
        <v>125826091</v>
      </c>
      <c r="M3557">
        <v>-14460349</v>
      </c>
      <c r="N3557">
        <v>22086897</v>
      </c>
      <c r="O3557">
        <v>91079905</v>
      </c>
      <c r="P3557">
        <v>122</v>
      </c>
      <c r="Q3557" t="s">
        <v>7462</v>
      </c>
    </row>
    <row r="3558" spans="1:17" x14ac:dyDescent="0.3">
      <c r="A3558" t="s">
        <v>59</v>
      </c>
      <c r="B3558" t="str">
        <f>"300922"</f>
        <v>300922</v>
      </c>
      <c r="C3558" t="s">
        <v>7463</v>
      </c>
      <c r="D3558" t="s">
        <v>606</v>
      </c>
      <c r="F3558">
        <v>93510861</v>
      </c>
      <c r="G3558">
        <v>29210556</v>
      </c>
      <c r="H3558">
        <v>46974411</v>
      </c>
      <c r="I3558">
        <v>60898337</v>
      </c>
      <c r="J3558">
        <v>45685238</v>
      </c>
      <c r="K3558">
        <v>-587984</v>
      </c>
      <c r="P3558">
        <v>83</v>
      </c>
      <c r="Q3558" t="s">
        <v>7464</v>
      </c>
    </row>
    <row r="3559" spans="1:17" x14ac:dyDescent="0.3">
      <c r="A3559" t="s">
        <v>17</v>
      </c>
      <c r="B3559" t="str">
        <f>"603223"</f>
        <v>603223</v>
      </c>
      <c r="C3559" t="s">
        <v>7465</v>
      </c>
      <c r="D3559" t="s">
        <v>1388</v>
      </c>
      <c r="F3559">
        <v>199363455</v>
      </c>
      <c r="G3559">
        <v>306277063</v>
      </c>
      <c r="H3559">
        <v>46911510</v>
      </c>
      <c r="I3559">
        <v>-12428552</v>
      </c>
      <c r="J3559">
        <v>218854718</v>
      </c>
      <c r="K3559">
        <v>95064076</v>
      </c>
      <c r="L3559">
        <v>149319211</v>
      </c>
      <c r="M3559">
        <v>104517270</v>
      </c>
      <c r="N3559">
        <v>77019815</v>
      </c>
      <c r="O3559">
        <v>107355188</v>
      </c>
      <c r="P3559">
        <v>98</v>
      </c>
      <c r="Q3559" t="s">
        <v>7466</v>
      </c>
    </row>
    <row r="3560" spans="1:17" x14ac:dyDescent="0.3">
      <c r="A3560" t="s">
        <v>59</v>
      </c>
      <c r="B3560" t="str">
        <f>"300547"</f>
        <v>300547</v>
      </c>
      <c r="C3560" t="s">
        <v>7467</v>
      </c>
      <c r="D3560" t="s">
        <v>156</v>
      </c>
      <c r="F3560">
        <v>167509949</v>
      </c>
      <c r="G3560">
        <v>115665477</v>
      </c>
      <c r="H3560">
        <v>46753295</v>
      </c>
      <c r="I3560">
        <v>119157408</v>
      </c>
      <c r="J3560">
        <v>-12258551</v>
      </c>
      <c r="K3560">
        <v>54846004</v>
      </c>
      <c r="L3560">
        <v>66743361</v>
      </c>
      <c r="M3560">
        <v>64188639</v>
      </c>
      <c r="N3560">
        <v>44025264</v>
      </c>
      <c r="P3560">
        <v>181</v>
      </c>
      <c r="Q3560" t="s">
        <v>7468</v>
      </c>
    </row>
    <row r="3561" spans="1:17" x14ac:dyDescent="0.3">
      <c r="A3561" t="s">
        <v>59</v>
      </c>
      <c r="B3561" t="str">
        <f>"300507"</f>
        <v>300507</v>
      </c>
      <c r="C3561" t="s">
        <v>7469</v>
      </c>
      <c r="D3561" t="s">
        <v>156</v>
      </c>
      <c r="F3561">
        <v>115202191</v>
      </c>
      <c r="G3561">
        <v>101945985</v>
      </c>
      <c r="H3561">
        <v>46607413</v>
      </c>
      <c r="I3561">
        <v>10584799</v>
      </c>
      <c r="J3561">
        <v>92327587</v>
      </c>
      <c r="K3561">
        <v>50380483</v>
      </c>
      <c r="L3561">
        <v>74652868</v>
      </c>
      <c r="M3561">
        <v>52002834</v>
      </c>
      <c r="N3561">
        <v>39893880</v>
      </c>
      <c r="P3561">
        <v>137</v>
      </c>
      <c r="Q3561" t="s">
        <v>7470</v>
      </c>
    </row>
    <row r="3562" spans="1:17" x14ac:dyDescent="0.3">
      <c r="A3562" t="s">
        <v>59</v>
      </c>
      <c r="B3562" t="str">
        <f>"000819"</f>
        <v>000819</v>
      </c>
      <c r="C3562" t="s">
        <v>7471</v>
      </c>
      <c r="D3562" t="s">
        <v>445</v>
      </c>
      <c r="F3562">
        <v>53905685</v>
      </c>
      <c r="G3562">
        <v>90776919</v>
      </c>
      <c r="H3562">
        <v>46486606</v>
      </c>
      <c r="I3562">
        <v>94772458</v>
      </c>
      <c r="J3562">
        <v>18701828</v>
      </c>
      <c r="K3562">
        <v>80133694</v>
      </c>
      <c r="L3562">
        <v>66607200</v>
      </c>
      <c r="M3562">
        <v>59215686</v>
      </c>
      <c r="N3562">
        <v>101808519</v>
      </c>
      <c r="O3562">
        <v>79970276</v>
      </c>
      <c r="P3562">
        <v>81</v>
      </c>
      <c r="Q3562" t="s">
        <v>7472</v>
      </c>
    </row>
    <row r="3563" spans="1:17" x14ac:dyDescent="0.3">
      <c r="A3563" t="s">
        <v>17</v>
      </c>
      <c r="B3563" t="str">
        <f>"603200"</f>
        <v>603200</v>
      </c>
      <c r="C3563" t="s">
        <v>7473</v>
      </c>
      <c r="D3563" t="s">
        <v>669</v>
      </c>
      <c r="F3563">
        <v>22316087</v>
      </c>
      <c r="G3563">
        <v>-12033596</v>
      </c>
      <c r="H3563">
        <v>46351365</v>
      </c>
      <c r="I3563">
        <v>-15780529</v>
      </c>
      <c r="J3563">
        <v>56727950</v>
      </c>
      <c r="K3563">
        <v>83021312</v>
      </c>
      <c r="L3563">
        <v>13933138</v>
      </c>
      <c r="M3563">
        <v>-8666386</v>
      </c>
      <c r="P3563">
        <v>101</v>
      </c>
      <c r="Q3563" t="s">
        <v>7474</v>
      </c>
    </row>
    <row r="3564" spans="1:17" x14ac:dyDescent="0.3">
      <c r="A3564" t="s">
        <v>59</v>
      </c>
      <c r="B3564" t="str">
        <f>"300506"</f>
        <v>300506</v>
      </c>
      <c r="C3564" t="s">
        <v>7475</v>
      </c>
      <c r="D3564" t="s">
        <v>1150</v>
      </c>
      <c r="F3564">
        <v>-25088426</v>
      </c>
      <c r="G3564">
        <v>-172695976</v>
      </c>
      <c r="H3564">
        <v>46347262</v>
      </c>
      <c r="I3564">
        <v>-200999224</v>
      </c>
      <c r="J3564">
        <v>-236301119</v>
      </c>
      <c r="K3564">
        <v>-116588969</v>
      </c>
      <c r="L3564">
        <v>-16541941</v>
      </c>
      <c r="M3564">
        <v>-41302111</v>
      </c>
      <c r="N3564">
        <v>-27396328</v>
      </c>
      <c r="O3564">
        <v>-48360232</v>
      </c>
      <c r="P3564">
        <v>294</v>
      </c>
      <c r="Q3564" t="s">
        <v>7476</v>
      </c>
    </row>
    <row r="3565" spans="1:17" x14ac:dyDescent="0.3">
      <c r="A3565" t="s">
        <v>17</v>
      </c>
      <c r="B3565" t="str">
        <f>"603878"</f>
        <v>603878</v>
      </c>
      <c r="C3565" t="s">
        <v>7477</v>
      </c>
      <c r="D3565" t="s">
        <v>712</v>
      </c>
      <c r="F3565">
        <v>490203163</v>
      </c>
      <c r="G3565">
        <v>343887732</v>
      </c>
      <c r="H3565">
        <v>46223863</v>
      </c>
      <c r="I3565">
        <v>55054589</v>
      </c>
      <c r="J3565">
        <v>1470510</v>
      </c>
      <c r="K3565">
        <v>273204238</v>
      </c>
      <c r="L3565">
        <v>335246269</v>
      </c>
      <c r="M3565">
        <v>104497469</v>
      </c>
      <c r="N3565">
        <v>150971035</v>
      </c>
      <c r="P3565">
        <v>142</v>
      </c>
      <c r="Q3565" t="s">
        <v>7478</v>
      </c>
    </row>
    <row r="3566" spans="1:17" x14ac:dyDescent="0.3">
      <c r="A3566" t="s">
        <v>17</v>
      </c>
      <c r="B3566" t="str">
        <f>"688076"</f>
        <v>688076</v>
      </c>
      <c r="C3566" t="s">
        <v>7479</v>
      </c>
      <c r="D3566" t="s">
        <v>751</v>
      </c>
      <c r="F3566">
        <v>180746200</v>
      </c>
      <c r="G3566">
        <v>141381335</v>
      </c>
      <c r="H3566">
        <v>46135934</v>
      </c>
      <c r="I3566">
        <v>96057443</v>
      </c>
      <c r="J3566">
        <v>11110070</v>
      </c>
      <c r="P3566">
        <v>53</v>
      </c>
      <c r="Q3566" t="s">
        <v>7480</v>
      </c>
    </row>
    <row r="3567" spans="1:17" x14ac:dyDescent="0.3">
      <c r="A3567" t="s">
        <v>59</v>
      </c>
      <c r="B3567" t="str">
        <f>"300946"</f>
        <v>300946</v>
      </c>
      <c r="C3567" t="s">
        <v>7481</v>
      </c>
      <c r="D3567" t="s">
        <v>637</v>
      </c>
      <c r="F3567">
        <v>67745210</v>
      </c>
      <c r="G3567">
        <v>84817800</v>
      </c>
      <c r="H3567">
        <v>46112113</v>
      </c>
      <c r="I3567">
        <v>30611498</v>
      </c>
      <c r="J3567">
        <v>44543485</v>
      </c>
      <c r="P3567">
        <v>75</v>
      </c>
      <c r="Q3567" t="s">
        <v>7482</v>
      </c>
    </row>
    <row r="3568" spans="1:17" x14ac:dyDescent="0.3">
      <c r="A3568" t="s">
        <v>17</v>
      </c>
      <c r="B3568" t="str">
        <f>"688092"</f>
        <v>688092</v>
      </c>
      <c r="C3568" t="s">
        <v>7483</v>
      </c>
      <c r="D3568" t="s">
        <v>1351</v>
      </c>
      <c r="F3568">
        <v>21966973</v>
      </c>
      <c r="G3568">
        <v>59634132</v>
      </c>
      <c r="H3568">
        <v>46077576</v>
      </c>
      <c r="I3568">
        <v>44008525</v>
      </c>
      <c r="J3568">
        <v>18332483</v>
      </c>
      <c r="P3568">
        <v>29</v>
      </c>
      <c r="Q3568" t="s">
        <v>7484</v>
      </c>
    </row>
    <row r="3569" spans="1:17" x14ac:dyDescent="0.3">
      <c r="A3569" t="s">
        <v>59</v>
      </c>
      <c r="B3569" t="str">
        <f>"300195"</f>
        <v>300195</v>
      </c>
      <c r="C3569" t="s">
        <v>7485</v>
      </c>
      <c r="D3569" t="s">
        <v>3768</v>
      </c>
      <c r="F3569">
        <v>148002201</v>
      </c>
      <c r="G3569">
        <v>160985690</v>
      </c>
      <c r="H3569">
        <v>46071495</v>
      </c>
      <c r="I3569">
        <v>24425703</v>
      </c>
      <c r="J3569">
        <v>11474460</v>
      </c>
      <c r="K3569">
        <v>272128943</v>
      </c>
      <c r="L3569">
        <v>9759035</v>
      </c>
      <c r="M3569">
        <v>-102784772</v>
      </c>
      <c r="N3569">
        <v>42861648</v>
      </c>
      <c r="O3569">
        <v>71197397</v>
      </c>
      <c r="P3569">
        <v>90</v>
      </c>
      <c r="Q3569" t="s">
        <v>7486</v>
      </c>
    </row>
    <row r="3570" spans="1:17" x14ac:dyDescent="0.3">
      <c r="A3570" t="s">
        <v>17</v>
      </c>
      <c r="B3570" t="str">
        <f>"600592"</f>
        <v>600592</v>
      </c>
      <c r="C3570" t="s">
        <v>7487</v>
      </c>
      <c r="D3570" t="s">
        <v>637</v>
      </c>
      <c r="F3570">
        <v>156155054</v>
      </c>
      <c r="G3570">
        <v>98582153</v>
      </c>
      <c r="H3570">
        <v>46002007</v>
      </c>
      <c r="I3570">
        <v>85623805</v>
      </c>
      <c r="J3570">
        <v>-72060762</v>
      </c>
      <c r="K3570">
        <v>-28602990</v>
      </c>
      <c r="L3570">
        <v>39511603</v>
      </c>
      <c r="M3570">
        <v>102103205</v>
      </c>
      <c r="N3570">
        <v>36782711</v>
      </c>
      <c r="O3570">
        <v>-24607777</v>
      </c>
      <c r="P3570">
        <v>75</v>
      </c>
      <c r="Q3570" t="s">
        <v>7488</v>
      </c>
    </row>
    <row r="3571" spans="1:17" x14ac:dyDescent="0.3">
      <c r="A3571" t="s">
        <v>59</v>
      </c>
      <c r="B3571" t="str">
        <f>"002922"</f>
        <v>002922</v>
      </c>
      <c r="C3571" t="s">
        <v>7489</v>
      </c>
      <c r="D3571" t="s">
        <v>595</v>
      </c>
      <c r="F3571">
        <v>-67826362</v>
      </c>
      <c r="G3571">
        <v>24440839</v>
      </c>
      <c r="H3571">
        <v>45857422</v>
      </c>
      <c r="I3571">
        <v>64783887</v>
      </c>
      <c r="J3571">
        <v>63151450</v>
      </c>
      <c r="K3571">
        <v>75698304</v>
      </c>
      <c r="L3571">
        <v>84733481</v>
      </c>
      <c r="M3571">
        <v>80929167</v>
      </c>
      <c r="P3571">
        <v>170</v>
      </c>
      <c r="Q3571" t="s">
        <v>7490</v>
      </c>
    </row>
    <row r="3572" spans="1:17" x14ac:dyDescent="0.3">
      <c r="A3572" t="s">
        <v>17</v>
      </c>
      <c r="B3572" t="str">
        <f>"603330"</f>
        <v>603330</v>
      </c>
      <c r="C3572" t="s">
        <v>7491</v>
      </c>
      <c r="D3572" t="s">
        <v>2104</v>
      </c>
      <c r="F3572">
        <v>-36222264</v>
      </c>
      <c r="G3572">
        <v>48983946</v>
      </c>
      <c r="H3572">
        <v>45796041</v>
      </c>
      <c r="I3572">
        <v>42086771</v>
      </c>
      <c r="J3572">
        <v>-4293670</v>
      </c>
      <c r="K3572">
        <v>48104147</v>
      </c>
      <c r="L3572">
        <v>48374383</v>
      </c>
      <c r="M3572">
        <v>19286015</v>
      </c>
      <c r="N3572">
        <v>22212669</v>
      </c>
      <c r="P3572">
        <v>136</v>
      </c>
      <c r="Q3572" t="s">
        <v>7492</v>
      </c>
    </row>
    <row r="3573" spans="1:17" x14ac:dyDescent="0.3">
      <c r="A3573" t="s">
        <v>59</v>
      </c>
      <c r="B3573" t="str">
        <f>"301288"</f>
        <v>301288</v>
      </c>
      <c r="C3573" t="s">
        <v>7493</v>
      </c>
      <c r="F3573">
        <v>21601333</v>
      </c>
      <c r="G3573">
        <v>41853209</v>
      </c>
      <c r="H3573">
        <v>45691188</v>
      </c>
      <c r="I3573">
        <v>23703289</v>
      </c>
      <c r="P3573">
        <v>4</v>
      </c>
      <c r="Q3573" t="s">
        <v>7494</v>
      </c>
    </row>
    <row r="3574" spans="1:17" x14ac:dyDescent="0.3">
      <c r="A3574" t="s">
        <v>17</v>
      </c>
      <c r="B3574" t="str">
        <f>"603991"</f>
        <v>603991</v>
      </c>
      <c r="C3574" t="s">
        <v>7495</v>
      </c>
      <c r="D3574" t="s">
        <v>2104</v>
      </c>
      <c r="F3574">
        <v>110300897</v>
      </c>
      <c r="G3574">
        <v>66992900</v>
      </c>
      <c r="H3574">
        <v>45662733</v>
      </c>
      <c r="I3574">
        <v>-74765211</v>
      </c>
      <c r="J3574">
        <v>473905</v>
      </c>
      <c r="K3574">
        <v>19126228</v>
      </c>
      <c r="L3574">
        <v>-9936280</v>
      </c>
      <c r="M3574">
        <v>24486017</v>
      </c>
      <c r="P3574">
        <v>96</v>
      </c>
      <c r="Q3574" t="s">
        <v>7496</v>
      </c>
    </row>
    <row r="3575" spans="1:17" x14ac:dyDescent="0.3">
      <c r="A3575" t="s">
        <v>59</v>
      </c>
      <c r="B3575" t="str">
        <f>"002407"</f>
        <v>002407</v>
      </c>
      <c r="C3575" t="s">
        <v>7497</v>
      </c>
      <c r="D3575" t="s">
        <v>1095</v>
      </c>
      <c r="F3575">
        <v>1975048652</v>
      </c>
      <c r="G3575">
        <v>-36709150</v>
      </c>
      <c r="H3575">
        <v>45616884</v>
      </c>
      <c r="I3575">
        <v>428276136</v>
      </c>
      <c r="J3575">
        <v>27954784</v>
      </c>
      <c r="K3575">
        <v>61074526</v>
      </c>
      <c r="L3575">
        <v>77694194</v>
      </c>
      <c r="M3575">
        <v>7444665</v>
      </c>
      <c r="N3575">
        <v>8017853</v>
      </c>
      <c r="O3575">
        <v>203773277</v>
      </c>
      <c r="P3575">
        <v>566</v>
      </c>
      <c r="Q3575" t="s">
        <v>7498</v>
      </c>
    </row>
    <row r="3576" spans="1:17" x14ac:dyDescent="0.3">
      <c r="A3576" t="s">
        <v>17</v>
      </c>
      <c r="B3576" t="str">
        <f>"688230"</f>
        <v>688230</v>
      </c>
      <c r="C3576" t="s">
        <v>7499</v>
      </c>
      <c r="D3576" t="s">
        <v>3230</v>
      </c>
      <c r="F3576">
        <v>91553497</v>
      </c>
      <c r="G3576">
        <v>57776404</v>
      </c>
      <c r="H3576">
        <v>45548022</v>
      </c>
      <c r="I3576">
        <v>4077599</v>
      </c>
      <c r="P3576">
        <v>24</v>
      </c>
      <c r="Q3576" t="s">
        <v>7500</v>
      </c>
    </row>
    <row r="3577" spans="1:17" x14ac:dyDescent="0.3">
      <c r="A3577" t="s">
        <v>59</v>
      </c>
      <c r="B3577" t="str">
        <f>"301257"</f>
        <v>301257</v>
      </c>
      <c r="C3577" t="s">
        <v>7501</v>
      </c>
      <c r="F3577">
        <v>41516112</v>
      </c>
      <c r="G3577">
        <v>22446611</v>
      </c>
      <c r="H3577">
        <v>45534144</v>
      </c>
      <c r="I3577">
        <v>23478780</v>
      </c>
      <c r="J3577">
        <v>29225023</v>
      </c>
      <c r="Q3577" t="s">
        <v>7502</v>
      </c>
    </row>
    <row r="3578" spans="1:17" x14ac:dyDescent="0.3">
      <c r="A3578" t="s">
        <v>17</v>
      </c>
      <c r="B3578" t="str">
        <f>"603386"</f>
        <v>603386</v>
      </c>
      <c r="C3578" t="s">
        <v>7503</v>
      </c>
      <c r="D3578" t="s">
        <v>539</v>
      </c>
      <c r="F3578">
        <v>220297185</v>
      </c>
      <c r="G3578">
        <v>153181685</v>
      </c>
      <c r="H3578">
        <v>45498978</v>
      </c>
      <c r="I3578">
        <v>60814050</v>
      </c>
      <c r="J3578">
        <v>6202093</v>
      </c>
      <c r="K3578">
        <v>72650559</v>
      </c>
      <c r="L3578">
        <v>45255959</v>
      </c>
      <c r="M3578">
        <v>85531586</v>
      </c>
      <c r="P3578">
        <v>180</v>
      </c>
      <c r="Q3578" t="s">
        <v>7504</v>
      </c>
    </row>
    <row r="3579" spans="1:17" x14ac:dyDescent="0.3">
      <c r="A3579" t="s">
        <v>17</v>
      </c>
      <c r="B3579" t="str">
        <f>"603499"</f>
        <v>603499</v>
      </c>
      <c r="C3579" t="s">
        <v>7505</v>
      </c>
      <c r="D3579" t="s">
        <v>1416</v>
      </c>
      <c r="F3579">
        <v>42146543</v>
      </c>
      <c r="G3579">
        <v>13029016</v>
      </c>
      <c r="H3579">
        <v>45377516</v>
      </c>
      <c r="I3579">
        <v>69446790</v>
      </c>
      <c r="J3579">
        <v>61504157</v>
      </c>
      <c r="K3579">
        <v>95632094</v>
      </c>
      <c r="L3579">
        <v>64574596</v>
      </c>
      <c r="M3579">
        <v>60277716</v>
      </c>
      <c r="P3579">
        <v>83</v>
      </c>
      <c r="Q3579" t="s">
        <v>7506</v>
      </c>
    </row>
    <row r="3580" spans="1:17" x14ac:dyDescent="0.3">
      <c r="A3580" t="s">
        <v>59</v>
      </c>
      <c r="B3580" t="str">
        <f>"002141"</f>
        <v>002141</v>
      </c>
      <c r="C3580" t="s">
        <v>7507</v>
      </c>
      <c r="D3580" t="s">
        <v>595</v>
      </c>
      <c r="F3580">
        <v>10483843</v>
      </c>
      <c r="G3580">
        <v>-113072206</v>
      </c>
      <c r="H3580">
        <v>45316182</v>
      </c>
      <c r="I3580">
        <v>-411971</v>
      </c>
      <c r="J3580">
        <v>41421401</v>
      </c>
      <c r="K3580">
        <v>-15086244</v>
      </c>
      <c r="L3580">
        <v>74943094</v>
      </c>
      <c r="M3580">
        <v>93904700</v>
      </c>
      <c r="N3580">
        <v>21920332</v>
      </c>
      <c r="O3580">
        <v>39340081</v>
      </c>
      <c r="P3580">
        <v>74</v>
      </c>
      <c r="Q3580" t="s">
        <v>7508</v>
      </c>
    </row>
    <row r="3581" spans="1:17" x14ac:dyDescent="0.3">
      <c r="A3581" t="s">
        <v>59</v>
      </c>
      <c r="B3581" t="str">
        <f>"000803"</f>
        <v>000803</v>
      </c>
      <c r="C3581" t="s">
        <v>7509</v>
      </c>
      <c r="D3581" t="s">
        <v>682</v>
      </c>
      <c r="F3581">
        <v>-118765880</v>
      </c>
      <c r="G3581">
        <v>-99595178</v>
      </c>
      <c r="H3581">
        <v>45311288</v>
      </c>
      <c r="I3581">
        <v>97918084</v>
      </c>
      <c r="J3581">
        <v>-42613587</v>
      </c>
      <c r="K3581">
        <v>-10278738</v>
      </c>
      <c r="L3581">
        <v>-30807290</v>
      </c>
      <c r="M3581">
        <v>-44124676</v>
      </c>
      <c r="N3581">
        <v>-92697801</v>
      </c>
      <c r="O3581">
        <v>-11167886</v>
      </c>
      <c r="P3581">
        <v>79</v>
      </c>
      <c r="Q3581" t="s">
        <v>7510</v>
      </c>
    </row>
    <row r="3582" spans="1:17" x14ac:dyDescent="0.3">
      <c r="A3582" t="s">
        <v>59</v>
      </c>
      <c r="B3582" t="str">
        <f>"301119"</f>
        <v>301119</v>
      </c>
      <c r="C3582" t="s">
        <v>7511</v>
      </c>
      <c r="D3582" t="s">
        <v>156</v>
      </c>
      <c r="F3582">
        <v>42620127</v>
      </c>
      <c r="G3582">
        <v>50141794</v>
      </c>
      <c r="H3582">
        <v>45198548</v>
      </c>
      <c r="I3582">
        <v>41614213</v>
      </c>
      <c r="J3582">
        <v>64603679</v>
      </c>
      <c r="P3582">
        <v>12</v>
      </c>
      <c r="Q3582" t="s">
        <v>7512</v>
      </c>
    </row>
    <row r="3583" spans="1:17" x14ac:dyDescent="0.3">
      <c r="A3583" t="s">
        <v>59</v>
      </c>
      <c r="B3583" t="str">
        <f>"300796"</f>
        <v>300796</v>
      </c>
      <c r="C3583" t="s">
        <v>7513</v>
      </c>
      <c r="D3583" t="s">
        <v>1356</v>
      </c>
      <c r="F3583">
        <v>95647030</v>
      </c>
      <c r="G3583">
        <v>88069790</v>
      </c>
      <c r="H3583">
        <v>45176798</v>
      </c>
      <c r="I3583">
        <v>56739542</v>
      </c>
      <c r="J3583">
        <v>-32826718</v>
      </c>
      <c r="K3583">
        <v>31009628</v>
      </c>
      <c r="P3583">
        <v>45</v>
      </c>
      <c r="Q3583" t="s">
        <v>7514</v>
      </c>
    </row>
    <row r="3584" spans="1:17" x14ac:dyDescent="0.3">
      <c r="A3584" t="s">
        <v>59</v>
      </c>
      <c r="B3584" t="str">
        <f>"301001"</f>
        <v>301001</v>
      </c>
      <c r="C3584" t="s">
        <v>7515</v>
      </c>
      <c r="D3584" t="s">
        <v>1502</v>
      </c>
      <c r="F3584">
        <v>-11605229</v>
      </c>
      <c r="G3584">
        <v>75266877</v>
      </c>
      <c r="H3584">
        <v>45163495</v>
      </c>
      <c r="I3584">
        <v>20410097</v>
      </c>
      <c r="J3584">
        <v>22088284</v>
      </c>
      <c r="P3584">
        <v>23</v>
      </c>
      <c r="Q3584" t="s">
        <v>7516</v>
      </c>
    </row>
    <row r="3585" spans="1:17" x14ac:dyDescent="0.3">
      <c r="A3585" t="s">
        <v>59</v>
      </c>
      <c r="B3585" t="str">
        <f>"002388"</f>
        <v>002388</v>
      </c>
      <c r="C3585" t="s">
        <v>7517</v>
      </c>
      <c r="D3585" t="s">
        <v>595</v>
      </c>
      <c r="F3585">
        <v>-132390783</v>
      </c>
      <c r="G3585">
        <v>235480328</v>
      </c>
      <c r="H3585">
        <v>45079155</v>
      </c>
      <c r="I3585">
        <v>-224185394</v>
      </c>
      <c r="J3585">
        <v>126715044</v>
      </c>
      <c r="K3585">
        <v>-293769688</v>
      </c>
      <c r="L3585">
        <v>15279137</v>
      </c>
      <c r="M3585">
        <v>-5768947</v>
      </c>
      <c r="N3585">
        <v>-14571371</v>
      </c>
      <c r="O3585">
        <v>97691893</v>
      </c>
      <c r="P3585">
        <v>148</v>
      </c>
      <c r="Q3585" t="s">
        <v>7518</v>
      </c>
    </row>
    <row r="3586" spans="1:17" x14ac:dyDescent="0.3">
      <c r="A3586" t="s">
        <v>59</v>
      </c>
      <c r="B3586" t="str">
        <f>"300086"</f>
        <v>300086</v>
      </c>
      <c r="C3586" t="s">
        <v>7519</v>
      </c>
      <c r="D3586" t="s">
        <v>592</v>
      </c>
      <c r="F3586">
        <v>11329337</v>
      </c>
      <c r="G3586">
        <v>-16742830</v>
      </c>
      <c r="H3586">
        <v>45059858</v>
      </c>
      <c r="I3586">
        <v>157658192</v>
      </c>
      <c r="J3586">
        <v>18172222</v>
      </c>
      <c r="K3586">
        <v>90883871</v>
      </c>
      <c r="L3586">
        <v>78297415</v>
      </c>
      <c r="M3586">
        <v>73930323</v>
      </c>
      <c r="N3586">
        <v>78928799</v>
      </c>
      <c r="O3586">
        <v>109459627</v>
      </c>
      <c r="P3586">
        <v>106</v>
      </c>
      <c r="Q3586" t="s">
        <v>7520</v>
      </c>
    </row>
    <row r="3587" spans="1:17" x14ac:dyDescent="0.3">
      <c r="A3587" t="s">
        <v>59</v>
      </c>
      <c r="B3587" t="str">
        <f>"300540"</f>
        <v>300540</v>
      </c>
      <c r="C3587" t="s">
        <v>7521</v>
      </c>
      <c r="D3587" t="s">
        <v>1351</v>
      </c>
      <c r="F3587">
        <v>-50727952</v>
      </c>
      <c r="G3587">
        <v>-78669482</v>
      </c>
      <c r="H3587">
        <v>44895446</v>
      </c>
      <c r="I3587">
        <v>-68956592</v>
      </c>
      <c r="J3587">
        <v>-21970448</v>
      </c>
      <c r="K3587">
        <v>-59087844</v>
      </c>
      <c r="L3587">
        <v>-45855969</v>
      </c>
      <c r="M3587">
        <v>-54137609</v>
      </c>
      <c r="N3587">
        <v>56346733</v>
      </c>
      <c r="P3587">
        <v>65</v>
      </c>
      <c r="Q3587" t="s">
        <v>7522</v>
      </c>
    </row>
    <row r="3588" spans="1:17" x14ac:dyDescent="0.3">
      <c r="A3588" t="s">
        <v>59</v>
      </c>
      <c r="B3588" t="str">
        <f>"300960"</f>
        <v>300960</v>
      </c>
      <c r="C3588" t="s">
        <v>7523</v>
      </c>
      <c r="D3588" t="s">
        <v>165</v>
      </c>
      <c r="F3588">
        <v>-48519251</v>
      </c>
      <c r="G3588">
        <v>76910665</v>
      </c>
      <c r="H3588">
        <v>44783466</v>
      </c>
      <c r="I3588">
        <v>54743067</v>
      </c>
      <c r="J3588">
        <v>49978921</v>
      </c>
      <c r="K3588">
        <v>29209851</v>
      </c>
      <c r="P3588">
        <v>26</v>
      </c>
      <c r="Q3588" t="s">
        <v>7524</v>
      </c>
    </row>
    <row r="3589" spans="1:17" x14ac:dyDescent="0.3">
      <c r="A3589" t="s">
        <v>59</v>
      </c>
      <c r="B3589" t="str">
        <f>"300963"</f>
        <v>300963</v>
      </c>
      <c r="C3589" t="s">
        <v>7525</v>
      </c>
      <c r="D3589" t="s">
        <v>2129</v>
      </c>
      <c r="F3589">
        <v>-83974714</v>
      </c>
      <c r="G3589">
        <v>50152039</v>
      </c>
      <c r="H3589">
        <v>44763769</v>
      </c>
      <c r="I3589">
        <v>17417691</v>
      </c>
      <c r="J3589">
        <v>11197954</v>
      </c>
      <c r="K3589">
        <v>-5797832</v>
      </c>
      <c r="P3589">
        <v>35</v>
      </c>
      <c r="Q3589" t="s">
        <v>7526</v>
      </c>
    </row>
    <row r="3590" spans="1:17" x14ac:dyDescent="0.3">
      <c r="A3590" t="s">
        <v>17</v>
      </c>
      <c r="B3590" t="str">
        <f>"603685"</f>
        <v>603685</v>
      </c>
      <c r="C3590" t="s">
        <v>7527</v>
      </c>
      <c r="D3590" t="s">
        <v>772</v>
      </c>
      <c r="F3590">
        <v>-11778855</v>
      </c>
      <c r="G3590">
        <v>-22334379</v>
      </c>
      <c r="H3590">
        <v>44742296</v>
      </c>
      <c r="I3590">
        <v>151377511</v>
      </c>
      <c r="J3590">
        <v>6572151</v>
      </c>
      <c r="K3590">
        <v>27955881</v>
      </c>
      <c r="L3590">
        <v>51769304</v>
      </c>
      <c r="M3590">
        <v>28080605</v>
      </c>
      <c r="P3590">
        <v>102</v>
      </c>
      <c r="Q3590" t="s">
        <v>7528</v>
      </c>
    </row>
    <row r="3591" spans="1:17" x14ac:dyDescent="0.3">
      <c r="A3591" t="s">
        <v>59</v>
      </c>
      <c r="B3591" t="str">
        <f>"300865"</f>
        <v>300865</v>
      </c>
      <c r="C3591" t="s">
        <v>7529</v>
      </c>
      <c r="D3591" t="s">
        <v>741</v>
      </c>
      <c r="F3591">
        <v>-81866729</v>
      </c>
      <c r="G3591">
        <v>-24982434</v>
      </c>
      <c r="H3591">
        <v>44540314</v>
      </c>
      <c r="I3591">
        <v>85271975</v>
      </c>
      <c r="J3591">
        <v>66878529</v>
      </c>
      <c r="K3591">
        <v>43406906</v>
      </c>
      <c r="P3591">
        <v>43</v>
      </c>
      <c r="Q3591" t="s">
        <v>7530</v>
      </c>
    </row>
    <row r="3592" spans="1:17" x14ac:dyDescent="0.3">
      <c r="A3592" t="s">
        <v>59</v>
      </c>
      <c r="B3592" t="str">
        <f>"300691"</f>
        <v>300691</v>
      </c>
      <c r="C3592" t="s">
        <v>7531</v>
      </c>
      <c r="D3592" t="s">
        <v>344</v>
      </c>
      <c r="F3592">
        <v>-21320224</v>
      </c>
      <c r="G3592">
        <v>115932625</v>
      </c>
      <c r="H3592">
        <v>44361027</v>
      </c>
      <c r="I3592">
        <v>84259997</v>
      </c>
      <c r="J3592">
        <v>14877887</v>
      </c>
      <c r="K3592">
        <v>39010508</v>
      </c>
      <c r="L3592">
        <v>18567771</v>
      </c>
      <c r="M3592">
        <v>12160490</v>
      </c>
      <c r="P3592">
        <v>186</v>
      </c>
      <c r="Q3592" t="s">
        <v>7532</v>
      </c>
    </row>
    <row r="3593" spans="1:17" x14ac:dyDescent="0.3">
      <c r="A3593" t="s">
        <v>59</v>
      </c>
      <c r="B3593" t="str">
        <f>"300711"</f>
        <v>300711</v>
      </c>
      <c r="C3593" t="s">
        <v>7533</v>
      </c>
      <c r="D3593" t="s">
        <v>1138</v>
      </c>
      <c r="F3593">
        <v>36919125</v>
      </c>
      <c r="G3593">
        <v>70456163</v>
      </c>
      <c r="H3593">
        <v>44354282</v>
      </c>
      <c r="I3593">
        <v>6086226</v>
      </c>
      <c r="J3593">
        <v>-44788153</v>
      </c>
      <c r="K3593">
        <v>46868473</v>
      </c>
      <c r="L3593">
        <v>33972614</v>
      </c>
      <c r="M3593">
        <v>53050818</v>
      </c>
      <c r="P3593">
        <v>130</v>
      </c>
      <c r="Q3593" t="s">
        <v>7534</v>
      </c>
    </row>
    <row r="3594" spans="1:17" x14ac:dyDescent="0.3">
      <c r="A3594" t="s">
        <v>59</v>
      </c>
      <c r="B3594" t="str">
        <f>"300556"</f>
        <v>300556</v>
      </c>
      <c r="C3594" t="s">
        <v>7535</v>
      </c>
      <c r="D3594" t="s">
        <v>1528</v>
      </c>
      <c r="F3594">
        <v>123137586</v>
      </c>
      <c r="G3594">
        <v>102874275</v>
      </c>
      <c r="H3594">
        <v>44347390</v>
      </c>
      <c r="I3594">
        <v>14586406</v>
      </c>
      <c r="J3594">
        <v>29648871</v>
      </c>
      <c r="K3594">
        <v>-8329132</v>
      </c>
      <c r="L3594">
        <v>12107700</v>
      </c>
      <c r="M3594">
        <v>6058000</v>
      </c>
      <c r="N3594">
        <v>28327900</v>
      </c>
      <c r="P3594">
        <v>112</v>
      </c>
      <c r="Q3594" t="s">
        <v>7536</v>
      </c>
    </row>
    <row r="3595" spans="1:17" x14ac:dyDescent="0.3">
      <c r="A3595" t="s">
        <v>59</v>
      </c>
      <c r="B3595" t="str">
        <f>"300204"</f>
        <v>300204</v>
      </c>
      <c r="C3595" t="s">
        <v>7537</v>
      </c>
      <c r="D3595" t="s">
        <v>1062</v>
      </c>
      <c r="F3595">
        <v>-162071001</v>
      </c>
      <c r="G3595">
        <v>-114597698</v>
      </c>
      <c r="H3595">
        <v>44341908</v>
      </c>
      <c r="I3595">
        <v>165081973</v>
      </c>
      <c r="J3595">
        <v>273638020</v>
      </c>
      <c r="K3595">
        <v>212550873</v>
      </c>
      <c r="L3595">
        <v>231006883</v>
      </c>
      <c r="M3595">
        <v>206852594</v>
      </c>
      <c r="N3595">
        <v>111363648</v>
      </c>
      <c r="O3595">
        <v>90185515</v>
      </c>
      <c r="P3595">
        <v>202</v>
      </c>
      <c r="Q3595" t="s">
        <v>7538</v>
      </c>
    </row>
    <row r="3596" spans="1:17" x14ac:dyDescent="0.3">
      <c r="A3596" t="s">
        <v>17</v>
      </c>
      <c r="B3596" t="str">
        <f>"688383"</f>
        <v>688383</v>
      </c>
      <c r="C3596" t="s">
        <v>7539</v>
      </c>
      <c r="D3596" t="s">
        <v>1351</v>
      </c>
      <c r="F3596">
        <v>-96067500</v>
      </c>
      <c r="G3596">
        <v>121498511</v>
      </c>
      <c r="H3596">
        <v>44331396</v>
      </c>
      <c r="I3596">
        <v>7396995</v>
      </c>
      <c r="J3596">
        <v>-8180313</v>
      </c>
      <c r="P3596">
        <v>49</v>
      </c>
      <c r="Q3596" t="s">
        <v>7540</v>
      </c>
    </row>
    <row r="3597" spans="1:17" x14ac:dyDescent="0.3">
      <c r="A3597" t="s">
        <v>17</v>
      </c>
      <c r="B3597" t="str">
        <f>"600234"</f>
        <v>600234</v>
      </c>
      <c r="C3597" t="s">
        <v>7541</v>
      </c>
      <c r="D3597" t="s">
        <v>672</v>
      </c>
      <c r="F3597">
        <v>-128835942</v>
      </c>
      <c r="G3597">
        <v>28197110</v>
      </c>
      <c r="H3597">
        <v>44328416</v>
      </c>
      <c r="I3597">
        <v>-141271098</v>
      </c>
      <c r="J3597">
        <v>-100188481</v>
      </c>
      <c r="K3597">
        <v>21636657</v>
      </c>
      <c r="L3597">
        <v>-396034</v>
      </c>
      <c r="M3597">
        <v>-24266183</v>
      </c>
      <c r="N3597">
        <v>2763649</v>
      </c>
      <c r="O3597">
        <v>1731123</v>
      </c>
      <c r="P3597">
        <v>59</v>
      </c>
      <c r="Q3597" t="s">
        <v>7542</v>
      </c>
    </row>
    <row r="3598" spans="1:17" x14ac:dyDescent="0.3">
      <c r="A3598" t="s">
        <v>17</v>
      </c>
      <c r="B3598" t="str">
        <f>"603078"</f>
        <v>603078</v>
      </c>
      <c r="C3598" t="s">
        <v>7543</v>
      </c>
      <c r="D3598" t="s">
        <v>2111</v>
      </c>
      <c r="F3598">
        <v>-49311874</v>
      </c>
      <c r="G3598">
        <v>-11108147</v>
      </c>
      <c r="H3598">
        <v>44235073</v>
      </c>
      <c r="I3598">
        <v>72878927</v>
      </c>
      <c r="J3598">
        <v>36341425</v>
      </c>
      <c r="K3598">
        <v>81640048</v>
      </c>
      <c r="L3598">
        <v>86531052</v>
      </c>
      <c r="M3598">
        <v>61890918</v>
      </c>
      <c r="P3598">
        <v>226</v>
      </c>
      <c r="Q3598" t="s">
        <v>7544</v>
      </c>
    </row>
    <row r="3599" spans="1:17" x14ac:dyDescent="0.3">
      <c r="A3599" t="s">
        <v>59</v>
      </c>
      <c r="B3599" t="str">
        <f>"301083"</f>
        <v>301083</v>
      </c>
      <c r="C3599" t="s">
        <v>7545</v>
      </c>
      <c r="D3599" t="s">
        <v>1351</v>
      </c>
      <c r="F3599">
        <v>60409611</v>
      </c>
      <c r="G3599">
        <v>69039475</v>
      </c>
      <c r="H3599">
        <v>44211294</v>
      </c>
      <c r="I3599">
        <v>24350429</v>
      </c>
      <c r="J3599">
        <v>36427098</v>
      </c>
      <c r="P3599">
        <v>16</v>
      </c>
      <c r="Q3599" t="s">
        <v>7546</v>
      </c>
    </row>
    <row r="3600" spans="1:17" x14ac:dyDescent="0.3">
      <c r="A3600" t="s">
        <v>59</v>
      </c>
      <c r="B3600" t="str">
        <f>"002167"</f>
        <v>002167</v>
      </c>
      <c r="C3600" t="s">
        <v>7547</v>
      </c>
      <c r="D3600" t="s">
        <v>987</v>
      </c>
      <c r="F3600">
        <v>196088166</v>
      </c>
      <c r="G3600">
        <v>29590237</v>
      </c>
      <c r="H3600">
        <v>44103311</v>
      </c>
      <c r="I3600">
        <v>370306649</v>
      </c>
      <c r="J3600">
        <v>236857950</v>
      </c>
      <c r="K3600">
        <v>83690641</v>
      </c>
      <c r="L3600">
        <v>27358905</v>
      </c>
      <c r="M3600">
        <v>19679763</v>
      </c>
      <c r="N3600">
        <v>-110843520</v>
      </c>
      <c r="O3600">
        <v>167047706</v>
      </c>
      <c r="P3600">
        <v>111</v>
      </c>
      <c r="Q3600" t="s">
        <v>7548</v>
      </c>
    </row>
    <row r="3601" spans="1:17" x14ac:dyDescent="0.3">
      <c r="A3601" t="s">
        <v>17</v>
      </c>
      <c r="B3601" t="str">
        <f>"688585"</f>
        <v>688585</v>
      </c>
      <c r="C3601" t="s">
        <v>7549</v>
      </c>
      <c r="D3601" t="s">
        <v>2385</v>
      </c>
      <c r="F3601">
        <v>-60548369</v>
      </c>
      <c r="G3601">
        <v>-59366383</v>
      </c>
      <c r="H3601">
        <v>44087663</v>
      </c>
      <c r="I3601">
        <v>-146044994</v>
      </c>
      <c r="J3601">
        <v>204666247</v>
      </c>
      <c r="K3601">
        <v>297542553</v>
      </c>
      <c r="P3601">
        <v>26</v>
      </c>
      <c r="Q3601" t="s">
        <v>7550</v>
      </c>
    </row>
    <row r="3602" spans="1:17" x14ac:dyDescent="0.3">
      <c r="A3602" t="s">
        <v>59</v>
      </c>
      <c r="B3602" t="str">
        <f>"300687"</f>
        <v>300687</v>
      </c>
      <c r="C3602" t="s">
        <v>7551</v>
      </c>
      <c r="D3602" t="s">
        <v>1189</v>
      </c>
      <c r="F3602">
        <v>252963255</v>
      </c>
      <c r="G3602">
        <v>121356249</v>
      </c>
      <c r="H3602">
        <v>44058936</v>
      </c>
      <c r="I3602">
        <v>61504153</v>
      </c>
      <c r="J3602">
        <v>32089129</v>
      </c>
      <c r="K3602">
        <v>46866231</v>
      </c>
      <c r="L3602">
        <v>5579886</v>
      </c>
      <c r="M3602">
        <v>-19294643</v>
      </c>
      <c r="P3602">
        <v>266</v>
      </c>
      <c r="Q3602" t="s">
        <v>7552</v>
      </c>
    </row>
    <row r="3603" spans="1:17" x14ac:dyDescent="0.3">
      <c r="A3603" t="s">
        <v>17</v>
      </c>
      <c r="B3603" t="str">
        <f>"688333"</f>
        <v>688333</v>
      </c>
      <c r="C3603" t="s">
        <v>7553</v>
      </c>
      <c r="D3603" t="s">
        <v>2705</v>
      </c>
      <c r="F3603">
        <v>27499321</v>
      </c>
      <c r="G3603">
        <v>91074014</v>
      </c>
      <c r="H3603">
        <v>43943943</v>
      </c>
      <c r="I3603">
        <v>-31887545</v>
      </c>
      <c r="J3603">
        <v>26397370</v>
      </c>
      <c r="K3603">
        <v>-10885644</v>
      </c>
      <c r="P3603">
        <v>117</v>
      </c>
      <c r="Q3603" t="s">
        <v>7554</v>
      </c>
    </row>
    <row r="3604" spans="1:17" x14ac:dyDescent="0.3">
      <c r="A3604" t="s">
        <v>17</v>
      </c>
      <c r="B3604" t="str">
        <f>"688661"</f>
        <v>688661</v>
      </c>
      <c r="C3604" t="s">
        <v>7555</v>
      </c>
      <c r="D3604" t="s">
        <v>349</v>
      </c>
      <c r="F3604">
        <v>103648804</v>
      </c>
      <c r="G3604">
        <v>50648978</v>
      </c>
      <c r="H3604">
        <v>43853795</v>
      </c>
      <c r="I3604">
        <v>19880723</v>
      </c>
      <c r="J3604">
        <v>19412856</v>
      </c>
      <c r="P3604">
        <v>64</v>
      </c>
      <c r="Q3604" t="s">
        <v>7556</v>
      </c>
    </row>
    <row r="3605" spans="1:17" x14ac:dyDescent="0.3">
      <c r="A3605" t="s">
        <v>17</v>
      </c>
      <c r="B3605" t="str">
        <f>"600193"</f>
        <v>600193</v>
      </c>
      <c r="C3605" t="s">
        <v>7557</v>
      </c>
      <c r="D3605" t="s">
        <v>1150</v>
      </c>
      <c r="F3605">
        <v>-9955883</v>
      </c>
      <c r="G3605">
        <v>-45282479</v>
      </c>
      <c r="H3605">
        <v>43742714</v>
      </c>
      <c r="I3605">
        <v>-18029045</v>
      </c>
      <c r="J3605">
        <v>-12279178</v>
      </c>
      <c r="K3605">
        <v>5533828</v>
      </c>
      <c r="L3605">
        <v>-28208760</v>
      </c>
      <c r="M3605">
        <v>-540518</v>
      </c>
      <c r="N3605">
        <v>-6991905</v>
      </c>
      <c r="O3605">
        <v>10509967</v>
      </c>
      <c r="P3605">
        <v>57</v>
      </c>
      <c r="Q3605" t="s">
        <v>7558</v>
      </c>
    </row>
    <row r="3606" spans="1:17" x14ac:dyDescent="0.3">
      <c r="A3606" t="s">
        <v>17</v>
      </c>
      <c r="B3606" t="str">
        <f>"688386"</f>
        <v>688386</v>
      </c>
      <c r="C3606" t="s">
        <v>7559</v>
      </c>
      <c r="D3606" t="s">
        <v>1674</v>
      </c>
      <c r="F3606">
        <v>81470932</v>
      </c>
      <c r="G3606">
        <v>40311729</v>
      </c>
      <c r="H3606">
        <v>43707605</v>
      </c>
      <c r="I3606">
        <v>30744071</v>
      </c>
      <c r="J3606">
        <v>20563298</v>
      </c>
      <c r="P3606">
        <v>43</v>
      </c>
      <c r="Q3606" t="s">
        <v>7560</v>
      </c>
    </row>
    <row r="3607" spans="1:17" x14ac:dyDescent="0.3">
      <c r="A3607" t="s">
        <v>17</v>
      </c>
      <c r="B3607" t="str">
        <f>"600222"</f>
        <v>600222</v>
      </c>
      <c r="C3607" t="s">
        <v>7561</v>
      </c>
      <c r="D3607" t="s">
        <v>455</v>
      </c>
      <c r="F3607">
        <v>99655159</v>
      </c>
      <c r="G3607">
        <v>73427546</v>
      </c>
      <c r="H3607">
        <v>43700589</v>
      </c>
      <c r="I3607">
        <v>119469147</v>
      </c>
      <c r="J3607">
        <v>23169371</v>
      </c>
      <c r="K3607">
        <v>70602083</v>
      </c>
      <c r="L3607">
        <v>49269486</v>
      </c>
      <c r="M3607">
        <v>89541779</v>
      </c>
      <c r="N3607">
        <v>-6648234</v>
      </c>
      <c r="O3607">
        <v>87445903</v>
      </c>
      <c r="P3607">
        <v>132</v>
      </c>
      <c r="Q3607" t="s">
        <v>7562</v>
      </c>
    </row>
    <row r="3608" spans="1:17" x14ac:dyDescent="0.3">
      <c r="A3608" t="s">
        <v>17</v>
      </c>
      <c r="B3608" t="str">
        <f>"900901"</f>
        <v>900901</v>
      </c>
      <c r="C3608" t="s">
        <v>7563</v>
      </c>
      <c r="G3608">
        <v>71150013.856800005</v>
      </c>
      <c r="H3608">
        <v>43629277.18</v>
      </c>
      <c r="I3608">
        <v>28077310.404199999</v>
      </c>
      <c r="J3608">
        <v>-6500560.2816000003</v>
      </c>
      <c r="K3608">
        <v>12542772.528000001</v>
      </c>
      <c r="L3608">
        <v>-4550350.7280000001</v>
      </c>
      <c r="M3608">
        <v>-10923296.300799999</v>
      </c>
      <c r="N3608">
        <v>-3833771.2895999998</v>
      </c>
      <c r="O3608">
        <v>-12606371.545499999</v>
      </c>
      <c r="P3608">
        <v>7</v>
      </c>
      <c r="Q3608" t="s">
        <v>7564</v>
      </c>
    </row>
    <row r="3609" spans="1:17" x14ac:dyDescent="0.3">
      <c r="A3609" t="s">
        <v>59</v>
      </c>
      <c r="B3609" t="str">
        <f>"300380"</f>
        <v>300380</v>
      </c>
      <c r="C3609" t="s">
        <v>7565</v>
      </c>
      <c r="D3609" t="s">
        <v>1528</v>
      </c>
      <c r="F3609">
        <v>-97173731</v>
      </c>
      <c r="G3609">
        <v>74615007</v>
      </c>
      <c r="H3609">
        <v>43409937</v>
      </c>
      <c r="I3609">
        <v>37932504</v>
      </c>
      <c r="J3609">
        <v>13439720</v>
      </c>
      <c r="K3609">
        <v>-9608463</v>
      </c>
      <c r="L3609">
        <v>26631420</v>
      </c>
      <c r="M3609">
        <v>38246554</v>
      </c>
      <c r="N3609">
        <v>28624048</v>
      </c>
      <c r="O3609">
        <v>22250825</v>
      </c>
      <c r="P3609">
        <v>85</v>
      </c>
      <c r="Q3609" t="s">
        <v>7566</v>
      </c>
    </row>
    <row r="3610" spans="1:17" x14ac:dyDescent="0.3">
      <c r="A3610" t="s">
        <v>17</v>
      </c>
      <c r="B3610" t="str">
        <f>"605298"</f>
        <v>605298</v>
      </c>
      <c r="C3610" t="s">
        <v>7567</v>
      </c>
      <c r="D3610" t="s">
        <v>165</v>
      </c>
      <c r="F3610">
        <v>101007982</v>
      </c>
      <c r="G3610">
        <v>54694685</v>
      </c>
      <c r="H3610">
        <v>43339482</v>
      </c>
      <c r="I3610">
        <v>146266885</v>
      </c>
      <c r="J3610">
        <v>28395378</v>
      </c>
      <c r="P3610">
        <v>46</v>
      </c>
      <c r="Q3610" t="s">
        <v>7568</v>
      </c>
    </row>
    <row r="3611" spans="1:17" x14ac:dyDescent="0.3">
      <c r="A3611" t="s">
        <v>17</v>
      </c>
      <c r="B3611" t="str">
        <f>"600107"</f>
        <v>600107</v>
      </c>
      <c r="C3611" t="s">
        <v>7569</v>
      </c>
      <c r="D3611" t="s">
        <v>646</v>
      </c>
      <c r="F3611">
        <v>-110040449</v>
      </c>
      <c r="G3611">
        <v>75255495</v>
      </c>
      <c r="H3611">
        <v>43170302</v>
      </c>
      <c r="I3611">
        <v>47063623</v>
      </c>
      <c r="J3611">
        <v>-87545002</v>
      </c>
      <c r="K3611">
        <v>115103806</v>
      </c>
      <c r="L3611">
        <v>717619</v>
      </c>
      <c r="M3611">
        <v>603489168</v>
      </c>
      <c r="N3611">
        <v>14588135</v>
      </c>
      <c r="O3611">
        <v>136907761</v>
      </c>
      <c r="P3611">
        <v>73</v>
      </c>
      <c r="Q3611" t="s">
        <v>7570</v>
      </c>
    </row>
    <row r="3612" spans="1:17" x14ac:dyDescent="0.3">
      <c r="A3612" t="s">
        <v>17</v>
      </c>
      <c r="B3612" t="str">
        <f>"603042"</f>
        <v>603042</v>
      </c>
      <c r="C3612" t="s">
        <v>7571</v>
      </c>
      <c r="D3612" t="s">
        <v>754</v>
      </c>
      <c r="F3612">
        <v>-58234158</v>
      </c>
      <c r="G3612">
        <v>70099215</v>
      </c>
      <c r="H3612">
        <v>43080733</v>
      </c>
      <c r="I3612">
        <v>-53324953</v>
      </c>
      <c r="J3612">
        <v>-175421890</v>
      </c>
      <c r="K3612">
        <v>115422658</v>
      </c>
      <c r="L3612">
        <v>70542177</v>
      </c>
      <c r="M3612">
        <v>54719639</v>
      </c>
      <c r="P3612">
        <v>122</v>
      </c>
      <c r="Q3612" t="s">
        <v>7572</v>
      </c>
    </row>
    <row r="3613" spans="1:17" x14ac:dyDescent="0.3">
      <c r="A3613" t="s">
        <v>59</v>
      </c>
      <c r="B3613" t="str">
        <f>"002674"</f>
        <v>002674</v>
      </c>
      <c r="C3613" t="s">
        <v>7573</v>
      </c>
      <c r="D3613" t="s">
        <v>2635</v>
      </c>
      <c r="F3613">
        <v>134810041</v>
      </c>
      <c r="G3613">
        <v>179252492</v>
      </c>
      <c r="H3613">
        <v>43065584</v>
      </c>
      <c r="I3613">
        <v>385110750</v>
      </c>
      <c r="J3613">
        <v>35733655</v>
      </c>
      <c r="K3613">
        <v>420499636</v>
      </c>
      <c r="L3613">
        <v>-81018774</v>
      </c>
      <c r="M3613">
        <v>162204224</v>
      </c>
      <c r="N3613">
        <v>-103634910</v>
      </c>
      <c r="O3613">
        <v>8731321</v>
      </c>
      <c r="P3613">
        <v>102</v>
      </c>
      <c r="Q3613" t="s">
        <v>7574</v>
      </c>
    </row>
    <row r="3614" spans="1:17" x14ac:dyDescent="0.3">
      <c r="A3614" t="s">
        <v>59</v>
      </c>
      <c r="B3614" t="str">
        <f>"003004"</f>
        <v>003004</v>
      </c>
      <c r="C3614" t="s">
        <v>7575</v>
      </c>
      <c r="D3614" t="s">
        <v>344</v>
      </c>
      <c r="F3614">
        <v>3816822</v>
      </c>
      <c r="G3614">
        <v>113987375</v>
      </c>
      <c r="H3614">
        <v>43006260</v>
      </c>
      <c r="I3614">
        <v>51630123</v>
      </c>
      <c r="J3614">
        <v>-14760297</v>
      </c>
      <c r="K3614">
        <v>3299349</v>
      </c>
      <c r="P3614">
        <v>37</v>
      </c>
      <c r="Q3614" t="s">
        <v>7576</v>
      </c>
    </row>
    <row r="3615" spans="1:17" x14ac:dyDescent="0.3">
      <c r="A3615" t="s">
        <v>59</v>
      </c>
      <c r="B3615" t="str">
        <f>"301015"</f>
        <v>301015</v>
      </c>
      <c r="C3615" t="s">
        <v>7577</v>
      </c>
      <c r="D3615" t="s">
        <v>396</v>
      </c>
      <c r="F3615">
        <v>183556969</v>
      </c>
      <c r="G3615">
        <v>-116834538</v>
      </c>
      <c r="H3615">
        <v>42990941</v>
      </c>
      <c r="I3615">
        <v>52705563</v>
      </c>
      <c r="J3615">
        <v>160101836</v>
      </c>
      <c r="P3615">
        <v>45</v>
      </c>
      <c r="Q3615" t="s">
        <v>7578</v>
      </c>
    </row>
    <row r="3616" spans="1:17" x14ac:dyDescent="0.3">
      <c r="A3616" t="s">
        <v>17</v>
      </c>
      <c r="B3616" t="str">
        <f>"603088"</f>
        <v>603088</v>
      </c>
      <c r="C3616" t="s">
        <v>7579</v>
      </c>
      <c r="D3616" t="s">
        <v>2705</v>
      </c>
      <c r="F3616">
        <v>166273312</v>
      </c>
      <c r="G3616">
        <v>116546173</v>
      </c>
      <c r="H3616">
        <v>42932333</v>
      </c>
      <c r="I3616">
        <v>88626264</v>
      </c>
      <c r="J3616">
        <v>56231563</v>
      </c>
      <c r="K3616">
        <v>77330627</v>
      </c>
      <c r="L3616">
        <v>-10277970</v>
      </c>
      <c r="M3616">
        <v>28078601</v>
      </c>
      <c r="N3616">
        <v>46020966</v>
      </c>
      <c r="O3616">
        <v>45988370</v>
      </c>
      <c r="P3616">
        <v>106</v>
      </c>
      <c r="Q3616" t="s">
        <v>7580</v>
      </c>
    </row>
    <row r="3617" spans="1:17" x14ac:dyDescent="0.3">
      <c r="A3617" t="s">
        <v>59</v>
      </c>
      <c r="B3617" t="str">
        <f>"300990"</f>
        <v>300990</v>
      </c>
      <c r="C3617" t="s">
        <v>7581</v>
      </c>
      <c r="D3617" t="s">
        <v>3158</v>
      </c>
      <c r="F3617">
        <v>56674989</v>
      </c>
      <c r="G3617">
        <v>107486744</v>
      </c>
      <c r="H3617">
        <v>42905247</v>
      </c>
      <c r="I3617">
        <v>80753040</v>
      </c>
      <c r="J3617">
        <v>14074553</v>
      </c>
      <c r="P3617">
        <v>42</v>
      </c>
      <c r="Q3617" t="s">
        <v>7582</v>
      </c>
    </row>
    <row r="3618" spans="1:17" x14ac:dyDescent="0.3">
      <c r="A3618" t="s">
        <v>59</v>
      </c>
      <c r="B3618" t="str">
        <f>"300173"</f>
        <v>300173</v>
      </c>
      <c r="C3618" t="s">
        <v>7583</v>
      </c>
      <c r="D3618" t="s">
        <v>1426</v>
      </c>
      <c r="F3618">
        <v>-212005220</v>
      </c>
      <c r="G3618">
        <v>-21485947</v>
      </c>
      <c r="H3618">
        <v>42895471</v>
      </c>
      <c r="I3618">
        <v>-101710244</v>
      </c>
      <c r="J3618">
        <v>-41284492</v>
      </c>
      <c r="K3618">
        <v>-23135713</v>
      </c>
      <c r="L3618">
        <v>-27797032</v>
      </c>
      <c r="M3618">
        <v>-15422581</v>
      </c>
      <c r="N3618">
        <v>36540</v>
      </c>
      <c r="O3618">
        <v>-34032598</v>
      </c>
      <c r="P3618">
        <v>61</v>
      </c>
      <c r="Q3618" t="s">
        <v>7584</v>
      </c>
    </row>
    <row r="3619" spans="1:17" x14ac:dyDescent="0.3">
      <c r="A3619" t="s">
        <v>59</v>
      </c>
      <c r="B3619" t="str">
        <f>"300126"</f>
        <v>300126</v>
      </c>
      <c r="C3619" t="s">
        <v>7585</v>
      </c>
      <c r="D3619" t="s">
        <v>1838</v>
      </c>
      <c r="F3619">
        <v>-8769195</v>
      </c>
      <c r="G3619">
        <v>6429151</v>
      </c>
      <c r="H3619">
        <v>42895173</v>
      </c>
      <c r="I3619">
        <v>59816307</v>
      </c>
      <c r="J3619">
        <v>57695874</v>
      </c>
      <c r="K3619">
        <v>77522247</v>
      </c>
      <c r="L3619">
        <v>-29903963</v>
      </c>
      <c r="M3619">
        <v>32645185</v>
      </c>
      <c r="N3619">
        <v>18798165</v>
      </c>
      <c r="O3619">
        <v>48112730</v>
      </c>
      <c r="P3619">
        <v>50</v>
      </c>
      <c r="Q3619" t="s">
        <v>7586</v>
      </c>
    </row>
    <row r="3620" spans="1:17" x14ac:dyDescent="0.3">
      <c r="A3620" t="s">
        <v>17</v>
      </c>
      <c r="B3620" t="str">
        <f>"603829"</f>
        <v>603829</v>
      </c>
      <c r="C3620" t="s">
        <v>7587</v>
      </c>
      <c r="D3620" t="s">
        <v>458</v>
      </c>
      <c r="F3620">
        <v>18205013</v>
      </c>
      <c r="G3620">
        <v>-92184145</v>
      </c>
      <c r="H3620">
        <v>42863522</v>
      </c>
      <c r="I3620">
        <v>23271084</v>
      </c>
      <c r="J3620">
        <v>56693252</v>
      </c>
      <c r="K3620">
        <v>25046979</v>
      </c>
      <c r="L3620">
        <v>32903469</v>
      </c>
      <c r="M3620">
        <v>31731718</v>
      </c>
      <c r="P3620">
        <v>50</v>
      </c>
      <c r="Q3620" t="s">
        <v>7588</v>
      </c>
    </row>
    <row r="3621" spans="1:17" x14ac:dyDescent="0.3">
      <c r="A3621" t="s">
        <v>59</v>
      </c>
      <c r="B3621" t="str">
        <f>"300748"</f>
        <v>300748</v>
      </c>
      <c r="C3621" t="s">
        <v>7589</v>
      </c>
      <c r="D3621" t="s">
        <v>2132</v>
      </c>
      <c r="F3621">
        <v>101791731</v>
      </c>
      <c r="G3621">
        <v>155867158</v>
      </c>
      <c r="H3621">
        <v>42838402</v>
      </c>
      <c r="I3621">
        <v>58093008</v>
      </c>
      <c r="J3621">
        <v>100233657</v>
      </c>
      <c r="K3621">
        <v>-109087799</v>
      </c>
      <c r="L3621">
        <v>117751081</v>
      </c>
      <c r="P3621">
        <v>341</v>
      </c>
      <c r="Q3621" t="s">
        <v>7590</v>
      </c>
    </row>
    <row r="3622" spans="1:17" x14ac:dyDescent="0.3">
      <c r="A3622" t="s">
        <v>59</v>
      </c>
      <c r="B3622" t="str">
        <f>"300987"</f>
        <v>300987</v>
      </c>
      <c r="C3622" t="s">
        <v>7591</v>
      </c>
      <c r="D3622" t="s">
        <v>2530</v>
      </c>
      <c r="F3622">
        <v>18054197</v>
      </c>
      <c r="G3622">
        <v>59513696</v>
      </c>
      <c r="H3622">
        <v>42753190</v>
      </c>
      <c r="I3622">
        <v>23516149</v>
      </c>
      <c r="J3622">
        <v>56480688</v>
      </c>
      <c r="K3622">
        <v>31455818</v>
      </c>
      <c r="P3622">
        <v>24</v>
      </c>
      <c r="Q3622" t="s">
        <v>7592</v>
      </c>
    </row>
    <row r="3623" spans="1:17" x14ac:dyDescent="0.3">
      <c r="A3623" t="s">
        <v>17</v>
      </c>
      <c r="B3623" t="str">
        <f>"688069"</f>
        <v>688069</v>
      </c>
      <c r="C3623" t="s">
        <v>7593</v>
      </c>
      <c r="D3623" t="s">
        <v>669</v>
      </c>
      <c r="F3623">
        <v>-92320411</v>
      </c>
      <c r="G3623">
        <v>-91044210</v>
      </c>
      <c r="H3623">
        <v>42735938</v>
      </c>
      <c r="I3623">
        <v>23507828</v>
      </c>
      <c r="J3623">
        <v>25872699</v>
      </c>
      <c r="K3623">
        <v>1602889</v>
      </c>
      <c r="P3623">
        <v>79</v>
      </c>
      <c r="Q3623" t="s">
        <v>7594</v>
      </c>
    </row>
    <row r="3624" spans="1:17" x14ac:dyDescent="0.3">
      <c r="A3624" t="s">
        <v>17</v>
      </c>
      <c r="B3624" t="str">
        <f>"600501"</f>
        <v>600501</v>
      </c>
      <c r="C3624" t="s">
        <v>7595</v>
      </c>
      <c r="D3624" t="s">
        <v>1351</v>
      </c>
      <c r="F3624">
        <v>295740034</v>
      </c>
      <c r="G3624">
        <v>503625782</v>
      </c>
      <c r="H3624">
        <v>42731252</v>
      </c>
      <c r="I3624">
        <v>51309828</v>
      </c>
      <c r="J3624">
        <v>419285930</v>
      </c>
      <c r="K3624">
        <v>88962651</v>
      </c>
      <c r="L3624">
        <v>213814864</v>
      </c>
      <c r="M3624">
        <v>118688781</v>
      </c>
      <c r="N3624">
        <v>89144715</v>
      </c>
      <c r="O3624">
        <v>62052419</v>
      </c>
      <c r="P3624">
        <v>117</v>
      </c>
      <c r="Q3624" t="s">
        <v>7596</v>
      </c>
    </row>
    <row r="3625" spans="1:17" x14ac:dyDescent="0.3">
      <c r="A3625" t="s">
        <v>17</v>
      </c>
      <c r="B3625" t="str">
        <f>"688286"</f>
        <v>688286</v>
      </c>
      <c r="C3625" t="s">
        <v>7597</v>
      </c>
      <c r="D3625" t="s">
        <v>759</v>
      </c>
      <c r="F3625">
        <v>14857837</v>
      </c>
      <c r="G3625">
        <v>18405916</v>
      </c>
      <c r="H3625">
        <v>42557182</v>
      </c>
      <c r="I3625">
        <v>47307463</v>
      </c>
      <c r="J3625">
        <v>20010353</v>
      </c>
      <c r="K3625">
        <v>-6374098</v>
      </c>
      <c r="P3625">
        <v>91</v>
      </c>
      <c r="Q3625" t="s">
        <v>7598</v>
      </c>
    </row>
    <row r="3626" spans="1:17" x14ac:dyDescent="0.3">
      <c r="A3626" t="s">
        <v>17</v>
      </c>
      <c r="B3626" t="str">
        <f>"603722"</f>
        <v>603722</v>
      </c>
      <c r="C3626" t="s">
        <v>7599</v>
      </c>
      <c r="D3626" t="s">
        <v>2104</v>
      </c>
      <c r="F3626">
        <v>150058925</v>
      </c>
      <c r="G3626">
        <v>49764782</v>
      </c>
      <c r="H3626">
        <v>42491442</v>
      </c>
      <c r="I3626">
        <v>39895201</v>
      </c>
      <c r="J3626">
        <v>58493836</v>
      </c>
      <c r="K3626">
        <v>41645489</v>
      </c>
      <c r="L3626">
        <v>70635138</v>
      </c>
      <c r="M3626">
        <v>18343674</v>
      </c>
      <c r="P3626">
        <v>83</v>
      </c>
      <c r="Q3626" t="s">
        <v>7600</v>
      </c>
    </row>
    <row r="3627" spans="1:17" x14ac:dyDescent="0.3">
      <c r="A3627" t="s">
        <v>17</v>
      </c>
      <c r="B3627" t="str">
        <f>"600371"</f>
        <v>600371</v>
      </c>
      <c r="C3627" t="s">
        <v>7601</v>
      </c>
      <c r="D3627" t="s">
        <v>4417</v>
      </c>
      <c r="F3627">
        <v>91583249</v>
      </c>
      <c r="G3627">
        <v>-15190511</v>
      </c>
      <c r="H3627">
        <v>42475389</v>
      </c>
      <c r="I3627">
        <v>39215453</v>
      </c>
      <c r="J3627">
        <v>37655787</v>
      </c>
      <c r="K3627">
        <v>141002441</v>
      </c>
      <c r="L3627">
        <v>111079996</v>
      </c>
      <c r="M3627">
        <v>275862425</v>
      </c>
      <c r="N3627">
        <v>51431023</v>
      </c>
      <c r="O3627">
        <v>1365432</v>
      </c>
      <c r="P3627">
        <v>174</v>
      </c>
      <c r="Q3627" t="s">
        <v>7602</v>
      </c>
    </row>
    <row r="3628" spans="1:17" x14ac:dyDescent="0.3">
      <c r="A3628" t="s">
        <v>59</v>
      </c>
      <c r="B3628" t="str">
        <f>"300965"</f>
        <v>300965</v>
      </c>
      <c r="C3628" t="s">
        <v>7603</v>
      </c>
      <c r="D3628" t="s">
        <v>448</v>
      </c>
      <c r="F3628">
        <v>103093421</v>
      </c>
      <c r="G3628">
        <v>117173018</v>
      </c>
      <c r="H3628">
        <v>42464685</v>
      </c>
      <c r="I3628">
        <v>-6451464</v>
      </c>
      <c r="J3628">
        <v>59610500</v>
      </c>
      <c r="K3628">
        <v>88532700</v>
      </c>
      <c r="P3628">
        <v>31</v>
      </c>
      <c r="Q3628" t="s">
        <v>7604</v>
      </c>
    </row>
    <row r="3629" spans="1:17" x14ac:dyDescent="0.3">
      <c r="A3629" t="s">
        <v>59</v>
      </c>
      <c r="B3629" t="str">
        <f>"003025"</f>
        <v>003025</v>
      </c>
      <c r="C3629" t="s">
        <v>7605</v>
      </c>
      <c r="D3629" t="s">
        <v>2705</v>
      </c>
      <c r="F3629">
        <v>131368043</v>
      </c>
      <c r="G3629">
        <v>122689857</v>
      </c>
      <c r="H3629">
        <v>42429002</v>
      </c>
      <c r="I3629">
        <v>65306939</v>
      </c>
      <c r="J3629">
        <v>61752480</v>
      </c>
      <c r="K3629">
        <v>51209305</v>
      </c>
      <c r="P3629">
        <v>118</v>
      </c>
      <c r="Q3629" t="s">
        <v>7606</v>
      </c>
    </row>
    <row r="3630" spans="1:17" x14ac:dyDescent="0.3">
      <c r="A3630" t="s">
        <v>59</v>
      </c>
      <c r="B3630" t="str">
        <f>"300937"</f>
        <v>300937</v>
      </c>
      <c r="C3630" t="s">
        <v>7607</v>
      </c>
      <c r="D3630" t="s">
        <v>396</v>
      </c>
      <c r="F3630">
        <v>-154378944</v>
      </c>
      <c r="G3630">
        <v>69319600</v>
      </c>
      <c r="H3630">
        <v>42333762</v>
      </c>
      <c r="I3630">
        <v>7167071</v>
      </c>
      <c r="J3630">
        <v>23042185</v>
      </c>
      <c r="P3630">
        <v>35</v>
      </c>
      <c r="Q3630" t="s">
        <v>7608</v>
      </c>
    </row>
    <row r="3631" spans="1:17" x14ac:dyDescent="0.3">
      <c r="A3631" t="s">
        <v>17</v>
      </c>
      <c r="B3631" t="str">
        <f>"603656"</f>
        <v>603656</v>
      </c>
      <c r="C3631" t="s">
        <v>7609</v>
      </c>
      <c r="D3631" t="s">
        <v>1351</v>
      </c>
      <c r="F3631">
        <v>-10606642</v>
      </c>
      <c r="G3631">
        <v>25110813</v>
      </c>
      <c r="H3631">
        <v>42306867</v>
      </c>
      <c r="I3631">
        <v>48576143</v>
      </c>
      <c r="J3631">
        <v>87416696</v>
      </c>
      <c r="K3631">
        <v>82258730</v>
      </c>
      <c r="L3631">
        <v>73666624</v>
      </c>
      <c r="M3631">
        <v>56569805</v>
      </c>
      <c r="N3631">
        <v>53581182</v>
      </c>
      <c r="P3631">
        <v>80</v>
      </c>
      <c r="Q3631" t="s">
        <v>7610</v>
      </c>
    </row>
    <row r="3632" spans="1:17" x14ac:dyDescent="0.3">
      <c r="A3632" t="s">
        <v>59</v>
      </c>
      <c r="B3632" t="str">
        <f>"002729"</f>
        <v>002729</v>
      </c>
      <c r="C3632" t="s">
        <v>7611</v>
      </c>
      <c r="D3632" t="s">
        <v>595</v>
      </c>
      <c r="F3632">
        <v>19854045</v>
      </c>
      <c r="G3632">
        <v>30135715</v>
      </c>
      <c r="H3632">
        <v>42151698</v>
      </c>
      <c r="I3632">
        <v>21974320</v>
      </c>
      <c r="J3632">
        <v>21362100</v>
      </c>
      <c r="K3632">
        <v>35731055</v>
      </c>
      <c r="L3632">
        <v>32533978</v>
      </c>
      <c r="M3632">
        <v>45128791</v>
      </c>
      <c r="N3632">
        <v>39281311</v>
      </c>
      <c r="O3632">
        <v>44733944</v>
      </c>
      <c r="P3632">
        <v>71</v>
      </c>
      <c r="Q3632" t="s">
        <v>7612</v>
      </c>
    </row>
    <row r="3633" spans="1:17" x14ac:dyDescent="0.3">
      <c r="A3633" t="s">
        <v>59</v>
      </c>
      <c r="B3633" t="str">
        <f>"300490"</f>
        <v>300490</v>
      </c>
      <c r="C3633" t="s">
        <v>7613</v>
      </c>
      <c r="D3633" t="s">
        <v>494</v>
      </c>
      <c r="F3633">
        <v>-184325578</v>
      </c>
      <c r="G3633">
        <v>140470474</v>
      </c>
      <c r="H3633">
        <v>42117773</v>
      </c>
      <c r="I3633">
        <v>-112638378</v>
      </c>
      <c r="J3633">
        <v>-11729510</v>
      </c>
      <c r="K3633">
        <v>-40761101</v>
      </c>
      <c r="L3633">
        <v>34955143</v>
      </c>
      <c r="M3633">
        <v>86850499</v>
      </c>
      <c r="N3633">
        <v>44543384</v>
      </c>
      <c r="O3633">
        <v>43053493</v>
      </c>
      <c r="P3633">
        <v>161</v>
      </c>
      <c r="Q3633" t="s">
        <v>7614</v>
      </c>
    </row>
    <row r="3634" spans="1:17" x14ac:dyDescent="0.3">
      <c r="A3634" t="s">
        <v>59</v>
      </c>
      <c r="B3634" t="str">
        <f>"301021"</f>
        <v>301021</v>
      </c>
      <c r="C3634" t="s">
        <v>7615</v>
      </c>
      <c r="D3634" t="s">
        <v>975</v>
      </c>
      <c r="F3634">
        <v>25347886</v>
      </c>
      <c r="G3634">
        <v>67392116</v>
      </c>
      <c r="H3634">
        <v>42004849</v>
      </c>
      <c r="I3634">
        <v>28994358</v>
      </c>
      <c r="J3634">
        <v>-31319488</v>
      </c>
      <c r="K3634">
        <v>-18548787</v>
      </c>
      <c r="P3634">
        <v>35</v>
      </c>
      <c r="Q3634" t="s">
        <v>7616</v>
      </c>
    </row>
    <row r="3635" spans="1:17" x14ac:dyDescent="0.3">
      <c r="A3635" t="s">
        <v>59</v>
      </c>
      <c r="B3635" t="str">
        <f>"300850"</f>
        <v>300850</v>
      </c>
      <c r="C3635" t="s">
        <v>7617</v>
      </c>
      <c r="D3635" t="s">
        <v>1525</v>
      </c>
      <c r="F3635">
        <v>-342353640</v>
      </c>
      <c r="G3635">
        <v>410289750</v>
      </c>
      <c r="H3635">
        <v>41941533</v>
      </c>
      <c r="I3635">
        <v>23524676</v>
      </c>
      <c r="J3635">
        <v>32717658</v>
      </c>
      <c r="K3635">
        <v>-4977790</v>
      </c>
      <c r="P3635">
        <v>264</v>
      </c>
      <c r="Q3635" t="s">
        <v>7618</v>
      </c>
    </row>
    <row r="3636" spans="1:17" x14ac:dyDescent="0.3">
      <c r="A3636" t="s">
        <v>59</v>
      </c>
      <c r="B3636" t="str">
        <f>"301081"</f>
        <v>301081</v>
      </c>
      <c r="C3636" t="s">
        <v>7619</v>
      </c>
      <c r="D3636" t="s">
        <v>1337</v>
      </c>
      <c r="F3636">
        <v>70905092</v>
      </c>
      <c r="G3636">
        <v>52777796</v>
      </c>
      <c r="H3636">
        <v>41855244</v>
      </c>
      <c r="I3636">
        <v>23817280</v>
      </c>
      <c r="J3636">
        <v>25321292</v>
      </c>
      <c r="K3636">
        <v>-7197656</v>
      </c>
      <c r="P3636">
        <v>21</v>
      </c>
      <c r="Q3636" t="s">
        <v>7620</v>
      </c>
    </row>
    <row r="3637" spans="1:17" x14ac:dyDescent="0.3">
      <c r="A3637" t="s">
        <v>59</v>
      </c>
      <c r="B3637" t="str">
        <f>"300679"</f>
        <v>300679</v>
      </c>
      <c r="C3637" t="s">
        <v>7621</v>
      </c>
      <c r="D3637" t="s">
        <v>349</v>
      </c>
      <c r="F3637">
        <v>518698473</v>
      </c>
      <c r="G3637">
        <v>440561912</v>
      </c>
      <c r="H3637">
        <v>41841098</v>
      </c>
      <c r="I3637">
        <v>335026928</v>
      </c>
      <c r="J3637">
        <v>538572958</v>
      </c>
      <c r="K3637">
        <v>279734752</v>
      </c>
      <c r="L3637">
        <v>172955935</v>
      </c>
      <c r="M3637">
        <v>162621264</v>
      </c>
      <c r="P3637">
        <v>334</v>
      </c>
      <c r="Q3637" t="s">
        <v>7622</v>
      </c>
    </row>
    <row r="3638" spans="1:17" x14ac:dyDescent="0.3">
      <c r="A3638" t="s">
        <v>59</v>
      </c>
      <c r="B3638" t="str">
        <f>"301047"</f>
        <v>301047</v>
      </c>
      <c r="C3638" t="s">
        <v>7623</v>
      </c>
      <c r="D3638" t="s">
        <v>751</v>
      </c>
      <c r="F3638">
        <v>642617805</v>
      </c>
      <c r="G3638">
        <v>1092937539</v>
      </c>
      <c r="H3638">
        <v>41792199</v>
      </c>
      <c r="I3638">
        <v>36785884</v>
      </c>
      <c r="J3638">
        <v>23109047</v>
      </c>
      <c r="P3638">
        <v>71</v>
      </c>
      <c r="Q3638" t="s">
        <v>7624</v>
      </c>
    </row>
    <row r="3639" spans="1:17" x14ac:dyDescent="0.3">
      <c r="A3639" t="s">
        <v>59</v>
      </c>
      <c r="B3639" t="str">
        <f>"300619"</f>
        <v>300619</v>
      </c>
      <c r="C3639" t="s">
        <v>7625</v>
      </c>
      <c r="D3639" t="s">
        <v>2601</v>
      </c>
      <c r="F3639">
        <v>62563080</v>
      </c>
      <c r="G3639">
        <v>99502969</v>
      </c>
      <c r="H3639">
        <v>41765364</v>
      </c>
      <c r="I3639">
        <v>38020819</v>
      </c>
      <c r="J3639">
        <v>-13009319</v>
      </c>
      <c r="K3639">
        <v>9082198</v>
      </c>
      <c r="L3639">
        <v>-4299764</v>
      </c>
      <c r="M3639">
        <v>25041308</v>
      </c>
      <c r="P3639">
        <v>94</v>
      </c>
      <c r="Q3639" t="s">
        <v>7626</v>
      </c>
    </row>
    <row r="3640" spans="1:17" x14ac:dyDescent="0.3">
      <c r="A3640" t="s">
        <v>59</v>
      </c>
      <c r="B3640" t="str">
        <f>"002137"</f>
        <v>002137</v>
      </c>
      <c r="C3640" t="s">
        <v>7627</v>
      </c>
      <c r="D3640" t="s">
        <v>1889</v>
      </c>
      <c r="F3640">
        <v>46597959</v>
      </c>
      <c r="G3640">
        <v>110946073</v>
      </c>
      <c r="H3640">
        <v>41763756</v>
      </c>
      <c r="I3640">
        <v>1990048</v>
      </c>
      <c r="J3640">
        <v>105311586</v>
      </c>
      <c r="K3640">
        <v>34836526</v>
      </c>
      <c r="L3640">
        <v>53946601</v>
      </c>
      <c r="M3640">
        <v>4297043</v>
      </c>
      <c r="N3640">
        <v>-25136121</v>
      </c>
      <c r="O3640">
        <v>127631374</v>
      </c>
      <c r="P3640">
        <v>148</v>
      </c>
      <c r="Q3640" t="s">
        <v>7628</v>
      </c>
    </row>
    <row r="3641" spans="1:17" x14ac:dyDescent="0.3">
      <c r="A3641" t="s">
        <v>59</v>
      </c>
      <c r="B3641" t="str">
        <f>"002660"</f>
        <v>002660</v>
      </c>
      <c r="C3641" t="s">
        <v>7629</v>
      </c>
      <c r="D3641" t="s">
        <v>349</v>
      </c>
      <c r="F3641">
        <v>10443344</v>
      </c>
      <c r="G3641">
        <v>47709872</v>
      </c>
      <c r="H3641">
        <v>41757051</v>
      </c>
      <c r="I3641">
        <v>77843794</v>
      </c>
      <c r="J3641">
        <v>196239174</v>
      </c>
      <c r="K3641">
        <v>2181306</v>
      </c>
      <c r="L3641">
        <v>37898409</v>
      </c>
      <c r="M3641">
        <v>-22910786</v>
      </c>
      <c r="N3641">
        <v>5877546</v>
      </c>
      <c r="O3641">
        <v>4675781</v>
      </c>
      <c r="P3641">
        <v>122</v>
      </c>
      <c r="Q3641" t="s">
        <v>7630</v>
      </c>
    </row>
    <row r="3642" spans="1:17" x14ac:dyDescent="0.3">
      <c r="A3642" t="s">
        <v>59</v>
      </c>
      <c r="B3642" t="str">
        <f>"301052"</f>
        <v>301052</v>
      </c>
      <c r="C3642" t="s">
        <v>7631</v>
      </c>
      <c r="D3642" t="s">
        <v>914</v>
      </c>
      <c r="F3642">
        <v>87792177</v>
      </c>
      <c r="G3642">
        <v>27655844</v>
      </c>
      <c r="H3642">
        <v>41750673</v>
      </c>
      <c r="I3642">
        <v>-60763545</v>
      </c>
      <c r="J3642">
        <v>-12366952</v>
      </c>
      <c r="P3642">
        <v>16</v>
      </c>
      <c r="Q3642" t="s">
        <v>7632</v>
      </c>
    </row>
    <row r="3643" spans="1:17" x14ac:dyDescent="0.3">
      <c r="A3643" t="s">
        <v>17</v>
      </c>
      <c r="B3643" t="str">
        <f>"603688"</f>
        <v>603688</v>
      </c>
      <c r="C3643" t="s">
        <v>7633</v>
      </c>
      <c r="D3643" t="s">
        <v>1408</v>
      </c>
      <c r="F3643">
        <v>44120123</v>
      </c>
      <c r="G3643">
        <v>32739494</v>
      </c>
      <c r="H3643">
        <v>41749396</v>
      </c>
      <c r="I3643">
        <v>119977289</v>
      </c>
      <c r="J3643">
        <v>71590262</v>
      </c>
      <c r="K3643">
        <v>63605305</v>
      </c>
      <c r="L3643">
        <v>49189142</v>
      </c>
      <c r="M3643">
        <v>48549630</v>
      </c>
      <c r="N3643">
        <v>61769967</v>
      </c>
      <c r="O3643">
        <v>66319617</v>
      </c>
      <c r="P3643">
        <v>219</v>
      </c>
      <c r="Q3643" t="s">
        <v>7634</v>
      </c>
    </row>
    <row r="3644" spans="1:17" x14ac:dyDescent="0.3">
      <c r="A3644" t="s">
        <v>17</v>
      </c>
      <c r="B3644" t="str">
        <f>"688357"</f>
        <v>688357</v>
      </c>
      <c r="C3644" t="s">
        <v>7635</v>
      </c>
      <c r="D3644" t="s">
        <v>1408</v>
      </c>
      <c r="F3644">
        <v>387777068</v>
      </c>
      <c r="G3644">
        <v>127341756</v>
      </c>
      <c r="H3644">
        <v>41604752</v>
      </c>
      <c r="I3644">
        <v>74690919</v>
      </c>
      <c r="J3644">
        <v>54448409</v>
      </c>
      <c r="K3644">
        <v>-19965849</v>
      </c>
      <c r="P3644">
        <v>157</v>
      </c>
      <c r="Q3644" t="s">
        <v>7636</v>
      </c>
    </row>
    <row r="3645" spans="1:17" x14ac:dyDescent="0.3">
      <c r="A3645" t="s">
        <v>59</v>
      </c>
      <c r="B3645" t="str">
        <f>"002824"</f>
        <v>002824</v>
      </c>
      <c r="C3645" t="s">
        <v>7637</v>
      </c>
      <c r="D3645" t="s">
        <v>238</v>
      </c>
      <c r="F3645">
        <v>124564810</v>
      </c>
      <c r="G3645">
        <v>37325842</v>
      </c>
      <c r="H3645">
        <v>41565511</v>
      </c>
      <c r="I3645">
        <v>-37793206</v>
      </c>
      <c r="J3645">
        <v>12597052</v>
      </c>
      <c r="K3645">
        <v>27765644</v>
      </c>
      <c r="L3645">
        <v>89258295</v>
      </c>
      <c r="M3645">
        <v>102613795</v>
      </c>
      <c r="N3645">
        <v>400538</v>
      </c>
      <c r="P3645">
        <v>167</v>
      </c>
      <c r="Q3645" t="s">
        <v>7638</v>
      </c>
    </row>
    <row r="3646" spans="1:17" x14ac:dyDescent="0.3">
      <c r="A3646" t="s">
        <v>59</v>
      </c>
      <c r="B3646" t="str">
        <f>"300412"</f>
        <v>300412</v>
      </c>
      <c r="C3646" t="s">
        <v>7639</v>
      </c>
      <c r="D3646" t="s">
        <v>1351</v>
      </c>
      <c r="F3646">
        <v>75025263</v>
      </c>
      <c r="G3646">
        <v>55469488</v>
      </c>
      <c r="H3646">
        <v>41507676</v>
      </c>
      <c r="I3646">
        <v>-21616230</v>
      </c>
      <c r="J3646">
        <v>-26302020</v>
      </c>
      <c r="K3646">
        <v>24678909</v>
      </c>
      <c r="L3646">
        <v>39955510</v>
      </c>
      <c r="M3646">
        <v>38900441</v>
      </c>
      <c r="N3646">
        <v>20846950</v>
      </c>
      <c r="O3646">
        <v>33814280</v>
      </c>
      <c r="P3646">
        <v>96</v>
      </c>
      <c r="Q3646" t="s">
        <v>7640</v>
      </c>
    </row>
    <row r="3647" spans="1:17" x14ac:dyDescent="0.3">
      <c r="A3647" t="s">
        <v>59</v>
      </c>
      <c r="B3647" t="str">
        <f>"300550"</f>
        <v>300550</v>
      </c>
      <c r="C3647" t="s">
        <v>7641</v>
      </c>
      <c r="D3647" t="s">
        <v>1528</v>
      </c>
      <c r="F3647">
        <v>-17830829</v>
      </c>
      <c r="G3647">
        <v>-67562480</v>
      </c>
      <c r="H3647">
        <v>41415638</v>
      </c>
      <c r="I3647">
        <v>18228433</v>
      </c>
      <c r="J3647">
        <v>44675867</v>
      </c>
      <c r="K3647">
        <v>15884200</v>
      </c>
      <c r="L3647">
        <v>40713181</v>
      </c>
      <c r="M3647">
        <v>24968354</v>
      </c>
      <c r="N3647">
        <v>14733993</v>
      </c>
      <c r="P3647">
        <v>123</v>
      </c>
      <c r="Q3647" t="s">
        <v>7642</v>
      </c>
    </row>
    <row r="3648" spans="1:17" x14ac:dyDescent="0.3">
      <c r="A3648" t="s">
        <v>17</v>
      </c>
      <c r="B3648" t="str">
        <f>"603988"</f>
        <v>603988</v>
      </c>
      <c r="C3648" t="s">
        <v>7643</v>
      </c>
      <c r="D3648" t="s">
        <v>1556</v>
      </c>
      <c r="F3648">
        <v>-10713891</v>
      </c>
      <c r="G3648">
        <v>74586890</v>
      </c>
      <c r="H3648">
        <v>41368086</v>
      </c>
      <c r="I3648">
        <v>54726915</v>
      </c>
      <c r="J3648">
        <v>50924776</v>
      </c>
      <c r="K3648">
        <v>30889684</v>
      </c>
      <c r="L3648">
        <v>18222615</v>
      </c>
      <c r="M3648">
        <v>-5478106</v>
      </c>
      <c r="N3648">
        <v>36192007</v>
      </c>
      <c r="O3648">
        <v>113502416</v>
      </c>
      <c r="P3648">
        <v>192</v>
      </c>
      <c r="Q3648" t="s">
        <v>7644</v>
      </c>
    </row>
    <row r="3649" spans="1:17" x14ac:dyDescent="0.3">
      <c r="A3649" t="s">
        <v>59</v>
      </c>
      <c r="B3649" t="str">
        <f>"000752"</f>
        <v>000752</v>
      </c>
      <c r="C3649" t="s">
        <v>7645</v>
      </c>
      <c r="D3649" t="s">
        <v>566</v>
      </c>
      <c r="F3649">
        <v>36168130</v>
      </c>
      <c r="G3649">
        <v>-49968631</v>
      </c>
      <c r="H3649">
        <v>41295265</v>
      </c>
      <c r="I3649">
        <v>108955683</v>
      </c>
      <c r="J3649">
        <v>26402966</v>
      </c>
      <c r="K3649">
        <v>97169387</v>
      </c>
      <c r="L3649">
        <v>114560170</v>
      </c>
      <c r="M3649">
        <v>68131018</v>
      </c>
      <c r="N3649">
        <v>99925826</v>
      </c>
      <c r="O3649">
        <v>215967266</v>
      </c>
      <c r="P3649">
        <v>103</v>
      </c>
      <c r="Q3649" t="s">
        <v>7646</v>
      </c>
    </row>
    <row r="3650" spans="1:17" x14ac:dyDescent="0.3">
      <c r="A3650" t="s">
        <v>59</v>
      </c>
      <c r="B3650" t="str">
        <f>"002935"</f>
        <v>002935</v>
      </c>
      <c r="C3650" t="s">
        <v>7647</v>
      </c>
      <c r="D3650" t="s">
        <v>1983</v>
      </c>
      <c r="F3650">
        <v>109478580</v>
      </c>
      <c r="G3650">
        <v>15210156</v>
      </c>
      <c r="H3650">
        <v>41037711</v>
      </c>
      <c r="I3650">
        <v>100116463</v>
      </c>
      <c r="J3650">
        <v>99453351</v>
      </c>
      <c r="K3650">
        <v>-47543853</v>
      </c>
      <c r="L3650">
        <v>5505068</v>
      </c>
      <c r="P3650">
        <v>203</v>
      </c>
      <c r="Q3650" t="s">
        <v>7648</v>
      </c>
    </row>
    <row r="3651" spans="1:17" x14ac:dyDescent="0.3">
      <c r="A3651" t="s">
        <v>59</v>
      </c>
      <c r="B3651" t="str">
        <f>"000997"</f>
        <v>000997</v>
      </c>
      <c r="C3651" t="s">
        <v>7649</v>
      </c>
      <c r="D3651" t="s">
        <v>707</v>
      </c>
      <c r="F3651">
        <v>987802991</v>
      </c>
      <c r="G3651">
        <v>491497630</v>
      </c>
      <c r="H3651">
        <v>40852316</v>
      </c>
      <c r="I3651">
        <v>-55976260</v>
      </c>
      <c r="J3651">
        <v>-275911509</v>
      </c>
      <c r="K3651">
        <v>1106628416</v>
      </c>
      <c r="L3651">
        <v>800305199</v>
      </c>
      <c r="M3651">
        <v>316421967</v>
      </c>
      <c r="N3651">
        <v>462680808</v>
      </c>
      <c r="O3651">
        <v>165588686</v>
      </c>
      <c r="P3651">
        <v>581</v>
      </c>
      <c r="Q3651" t="s">
        <v>7650</v>
      </c>
    </row>
    <row r="3652" spans="1:17" x14ac:dyDescent="0.3">
      <c r="A3652" t="s">
        <v>59</v>
      </c>
      <c r="B3652" t="str">
        <f>"002770"</f>
        <v>002770</v>
      </c>
      <c r="C3652" t="s">
        <v>7651</v>
      </c>
      <c r="D3652" t="s">
        <v>308</v>
      </c>
      <c r="F3652">
        <v>-4679162</v>
      </c>
      <c r="G3652">
        <v>-6706704</v>
      </c>
      <c r="H3652">
        <v>40790694</v>
      </c>
      <c r="I3652">
        <v>450112356</v>
      </c>
      <c r="J3652">
        <v>327260639</v>
      </c>
      <c r="K3652">
        <v>212530448</v>
      </c>
      <c r="L3652">
        <v>172249647</v>
      </c>
      <c r="M3652">
        <v>61298807</v>
      </c>
      <c r="N3652">
        <v>91557683</v>
      </c>
      <c r="O3652">
        <v>20017841</v>
      </c>
      <c r="P3652">
        <v>163</v>
      </c>
      <c r="Q3652" t="s">
        <v>7652</v>
      </c>
    </row>
    <row r="3653" spans="1:17" x14ac:dyDescent="0.3">
      <c r="A3653" t="s">
        <v>17</v>
      </c>
      <c r="B3653" t="str">
        <f>"600843"</f>
        <v>600843</v>
      </c>
      <c r="C3653" t="s">
        <v>7653</v>
      </c>
      <c r="D3653" t="s">
        <v>3970</v>
      </c>
      <c r="F3653">
        <v>75891883</v>
      </c>
      <c r="G3653">
        <v>319956588</v>
      </c>
      <c r="H3653">
        <v>40779130</v>
      </c>
      <c r="I3653">
        <v>79553871</v>
      </c>
      <c r="J3653">
        <v>117335869</v>
      </c>
      <c r="K3653">
        <v>99056912</v>
      </c>
      <c r="L3653">
        <v>50886864</v>
      </c>
      <c r="M3653">
        <v>101603960</v>
      </c>
      <c r="N3653">
        <v>69806628</v>
      </c>
      <c r="O3653">
        <v>138676454</v>
      </c>
      <c r="P3653">
        <v>78</v>
      </c>
      <c r="Q3653" t="s">
        <v>7654</v>
      </c>
    </row>
    <row r="3654" spans="1:17" x14ac:dyDescent="0.3">
      <c r="A3654" t="s">
        <v>59</v>
      </c>
      <c r="B3654" t="str">
        <f>"002593"</f>
        <v>002593</v>
      </c>
      <c r="C3654" t="s">
        <v>7655</v>
      </c>
      <c r="D3654" t="s">
        <v>1903</v>
      </c>
      <c r="F3654">
        <v>-47247557</v>
      </c>
      <c r="G3654">
        <v>219073937</v>
      </c>
      <c r="H3654">
        <v>40710998</v>
      </c>
      <c r="I3654">
        <v>94319312</v>
      </c>
      <c r="J3654">
        <v>-38104353</v>
      </c>
      <c r="K3654">
        <v>163444926</v>
      </c>
      <c r="L3654">
        <v>59709526</v>
      </c>
      <c r="M3654">
        <v>12253865</v>
      </c>
      <c r="N3654">
        <v>-118405858</v>
      </c>
      <c r="O3654">
        <v>-205965797</v>
      </c>
      <c r="P3654">
        <v>88</v>
      </c>
      <c r="Q3654" t="s">
        <v>7656</v>
      </c>
    </row>
    <row r="3655" spans="1:17" x14ac:dyDescent="0.3">
      <c r="A3655" t="s">
        <v>59</v>
      </c>
      <c r="B3655" t="str">
        <f>"300925"</f>
        <v>300925</v>
      </c>
      <c r="C3655" t="s">
        <v>7657</v>
      </c>
      <c r="D3655" t="s">
        <v>1528</v>
      </c>
      <c r="F3655">
        <v>-63741992</v>
      </c>
      <c r="G3655">
        <v>66691219</v>
      </c>
      <c r="H3655">
        <v>40624865</v>
      </c>
      <c r="I3655">
        <v>12763520</v>
      </c>
      <c r="J3655">
        <v>12709321</v>
      </c>
      <c r="K3655">
        <v>2046241</v>
      </c>
      <c r="P3655">
        <v>72</v>
      </c>
      <c r="Q3655" t="s">
        <v>7658</v>
      </c>
    </row>
    <row r="3656" spans="1:17" x14ac:dyDescent="0.3">
      <c r="A3656" t="s">
        <v>17</v>
      </c>
      <c r="B3656" t="str">
        <f>"600313"</f>
        <v>600313</v>
      </c>
      <c r="C3656" t="s">
        <v>7659</v>
      </c>
      <c r="D3656" t="s">
        <v>4417</v>
      </c>
      <c r="F3656">
        <v>23732593</v>
      </c>
      <c r="G3656">
        <v>151676345</v>
      </c>
      <c r="H3656">
        <v>40234932</v>
      </c>
      <c r="I3656">
        <v>31842961</v>
      </c>
      <c r="J3656">
        <v>7000209</v>
      </c>
      <c r="K3656">
        <v>71270879</v>
      </c>
      <c r="L3656">
        <v>128979269</v>
      </c>
      <c r="M3656">
        <v>349985</v>
      </c>
      <c r="N3656">
        <v>7562703</v>
      </c>
      <c r="O3656">
        <v>44467316</v>
      </c>
      <c r="P3656">
        <v>173</v>
      </c>
      <c r="Q3656" t="s">
        <v>7660</v>
      </c>
    </row>
    <row r="3657" spans="1:17" x14ac:dyDescent="0.3">
      <c r="A3657" t="s">
        <v>59</v>
      </c>
      <c r="B3657" t="str">
        <f>"301059"</f>
        <v>301059</v>
      </c>
      <c r="C3657" t="s">
        <v>7661</v>
      </c>
      <c r="D3657" t="s">
        <v>1252</v>
      </c>
      <c r="F3657">
        <v>52420927</v>
      </c>
      <c r="G3657">
        <v>92383627</v>
      </c>
      <c r="H3657">
        <v>40176217</v>
      </c>
      <c r="I3657">
        <v>49163272</v>
      </c>
      <c r="J3657">
        <v>25731284</v>
      </c>
      <c r="P3657">
        <v>21</v>
      </c>
      <c r="Q3657" t="s">
        <v>7662</v>
      </c>
    </row>
    <row r="3658" spans="1:17" x14ac:dyDescent="0.3">
      <c r="A3658" t="s">
        <v>59</v>
      </c>
      <c r="B3658" t="str">
        <f>"301226"</f>
        <v>301226</v>
      </c>
      <c r="C3658" t="s">
        <v>7663</v>
      </c>
      <c r="F3658">
        <v>8851562</v>
      </c>
      <c r="G3658">
        <v>54049940</v>
      </c>
      <c r="H3658">
        <v>40162951</v>
      </c>
      <c r="I3658">
        <v>31425939</v>
      </c>
      <c r="J3658">
        <v>-2682745</v>
      </c>
      <c r="P3658">
        <v>4</v>
      </c>
      <c r="Q3658" t="s">
        <v>7664</v>
      </c>
    </row>
    <row r="3659" spans="1:17" x14ac:dyDescent="0.3">
      <c r="A3659" t="s">
        <v>59</v>
      </c>
      <c r="B3659" t="str">
        <f>"300756"</f>
        <v>300756</v>
      </c>
      <c r="C3659" t="s">
        <v>7665</v>
      </c>
      <c r="D3659" t="s">
        <v>4437</v>
      </c>
      <c r="F3659">
        <v>-63319090</v>
      </c>
      <c r="G3659">
        <v>107996670</v>
      </c>
      <c r="H3659">
        <v>40135337</v>
      </c>
      <c r="I3659">
        <v>111368966</v>
      </c>
      <c r="J3659">
        <v>71319945</v>
      </c>
      <c r="K3659">
        <v>85807917</v>
      </c>
      <c r="L3659">
        <v>106264153</v>
      </c>
      <c r="P3659">
        <v>76</v>
      </c>
      <c r="Q3659" t="s">
        <v>7666</v>
      </c>
    </row>
    <row r="3660" spans="1:17" x14ac:dyDescent="0.3">
      <c r="A3660" t="s">
        <v>59</v>
      </c>
      <c r="B3660" t="str">
        <f>"300162"</f>
        <v>300162</v>
      </c>
      <c r="C3660" t="s">
        <v>7667</v>
      </c>
      <c r="D3660" t="s">
        <v>772</v>
      </c>
      <c r="F3660">
        <v>41720436</v>
      </c>
      <c r="G3660">
        <v>-10150116</v>
      </c>
      <c r="H3660">
        <v>40110632</v>
      </c>
      <c r="I3660">
        <v>50941226</v>
      </c>
      <c r="J3660">
        <v>1117244</v>
      </c>
      <c r="K3660">
        <v>98869812</v>
      </c>
      <c r="L3660">
        <v>47349148</v>
      </c>
      <c r="M3660">
        <v>70613406</v>
      </c>
      <c r="N3660">
        <v>-34691460</v>
      </c>
      <c r="O3660">
        <v>57577647</v>
      </c>
      <c r="P3660">
        <v>76</v>
      </c>
      <c r="Q3660" t="s">
        <v>7668</v>
      </c>
    </row>
    <row r="3661" spans="1:17" x14ac:dyDescent="0.3">
      <c r="A3661" t="s">
        <v>17</v>
      </c>
      <c r="B3661" t="str">
        <f>"688681"</f>
        <v>688681</v>
      </c>
      <c r="C3661" t="s">
        <v>7669</v>
      </c>
      <c r="D3661" t="s">
        <v>494</v>
      </c>
      <c r="F3661">
        <v>4037741</v>
      </c>
      <c r="G3661">
        <v>38211789</v>
      </c>
      <c r="H3661">
        <v>40076697</v>
      </c>
      <c r="I3661">
        <v>7016689</v>
      </c>
      <c r="J3661">
        <v>13914800</v>
      </c>
      <c r="P3661">
        <v>31</v>
      </c>
      <c r="Q3661" t="s">
        <v>7670</v>
      </c>
    </row>
    <row r="3662" spans="1:17" x14ac:dyDescent="0.3">
      <c r="A3662" t="s">
        <v>59</v>
      </c>
      <c r="B3662" t="str">
        <f>"300780"</f>
        <v>300780</v>
      </c>
      <c r="C3662" t="s">
        <v>7671</v>
      </c>
      <c r="D3662" t="s">
        <v>637</v>
      </c>
      <c r="F3662">
        <v>-126841774</v>
      </c>
      <c r="G3662">
        <v>127559259</v>
      </c>
      <c r="H3662">
        <v>40065561</v>
      </c>
      <c r="I3662">
        <v>107330344</v>
      </c>
      <c r="J3662">
        <v>45587419</v>
      </c>
      <c r="K3662">
        <v>61102917</v>
      </c>
      <c r="P3662">
        <v>56</v>
      </c>
      <c r="Q3662" t="s">
        <v>7672</v>
      </c>
    </row>
    <row r="3663" spans="1:17" x14ac:dyDescent="0.3">
      <c r="A3663" t="s">
        <v>17</v>
      </c>
      <c r="B3663" t="str">
        <f>"688004"</f>
        <v>688004</v>
      </c>
      <c r="C3663" t="s">
        <v>7673</v>
      </c>
      <c r="D3663" t="s">
        <v>1189</v>
      </c>
      <c r="F3663">
        <v>40680410</v>
      </c>
      <c r="G3663">
        <v>26523779</v>
      </c>
      <c r="H3663">
        <v>39948222</v>
      </c>
      <c r="I3663">
        <v>26647385</v>
      </c>
      <c r="J3663">
        <v>15708690</v>
      </c>
      <c r="K3663">
        <v>18222123</v>
      </c>
      <c r="P3663">
        <v>37</v>
      </c>
      <c r="Q3663" t="s">
        <v>7674</v>
      </c>
    </row>
    <row r="3664" spans="1:17" x14ac:dyDescent="0.3">
      <c r="A3664" t="s">
        <v>59</v>
      </c>
      <c r="B3664" t="str">
        <f>"000837"</f>
        <v>000837</v>
      </c>
      <c r="C3664" t="s">
        <v>7675</v>
      </c>
      <c r="D3664" t="s">
        <v>2705</v>
      </c>
      <c r="F3664">
        <v>433923355</v>
      </c>
      <c r="G3664">
        <v>377599492</v>
      </c>
      <c r="H3664">
        <v>39893400</v>
      </c>
      <c r="I3664">
        <v>-34533968</v>
      </c>
      <c r="J3664">
        <v>5720257</v>
      </c>
      <c r="K3664">
        <v>-77186579</v>
      </c>
      <c r="L3664">
        <v>-196832412</v>
      </c>
      <c r="M3664">
        <v>-102577640</v>
      </c>
      <c r="N3664">
        <v>-81062742</v>
      </c>
      <c r="O3664">
        <v>-156014198</v>
      </c>
      <c r="P3664">
        <v>129</v>
      </c>
      <c r="Q3664" t="s">
        <v>7676</v>
      </c>
    </row>
    <row r="3665" spans="1:17" x14ac:dyDescent="0.3">
      <c r="A3665" t="s">
        <v>59</v>
      </c>
      <c r="B3665" t="str">
        <f>"002919"</f>
        <v>002919</v>
      </c>
      <c r="C3665" t="s">
        <v>7677</v>
      </c>
      <c r="D3665" t="s">
        <v>4966</v>
      </c>
      <c r="F3665">
        <v>79866171</v>
      </c>
      <c r="G3665">
        <v>170972765</v>
      </c>
      <c r="H3665">
        <v>39845342</v>
      </c>
      <c r="I3665">
        <v>3191684</v>
      </c>
      <c r="J3665">
        <v>-26657200</v>
      </c>
      <c r="K3665">
        <v>84759051</v>
      </c>
      <c r="L3665">
        <v>113868857</v>
      </c>
      <c r="M3665">
        <v>24596372</v>
      </c>
      <c r="P3665">
        <v>146</v>
      </c>
      <c r="Q3665" t="s">
        <v>7678</v>
      </c>
    </row>
    <row r="3666" spans="1:17" x14ac:dyDescent="0.3">
      <c r="A3666" t="s">
        <v>59</v>
      </c>
      <c r="B3666" t="str">
        <f>"002703"</f>
        <v>002703</v>
      </c>
      <c r="C3666" t="s">
        <v>7679</v>
      </c>
      <c r="D3666" t="s">
        <v>156</v>
      </c>
      <c r="F3666">
        <v>39631162</v>
      </c>
      <c r="G3666">
        <v>95704764</v>
      </c>
      <c r="H3666">
        <v>39800748</v>
      </c>
      <c r="I3666">
        <v>-12849643</v>
      </c>
      <c r="J3666">
        <v>-38102398</v>
      </c>
      <c r="K3666">
        <v>92021042</v>
      </c>
      <c r="L3666">
        <v>75760490</v>
      </c>
      <c r="M3666">
        <v>88725583</v>
      </c>
      <c r="N3666">
        <v>58105665</v>
      </c>
      <c r="O3666">
        <v>18202299</v>
      </c>
      <c r="P3666">
        <v>76</v>
      </c>
      <c r="Q3666" t="s">
        <v>7680</v>
      </c>
    </row>
    <row r="3667" spans="1:17" x14ac:dyDescent="0.3">
      <c r="A3667" t="s">
        <v>59</v>
      </c>
      <c r="B3667" t="str">
        <f>"300612"</f>
        <v>300612</v>
      </c>
      <c r="C3667" t="s">
        <v>7681</v>
      </c>
      <c r="D3667" t="s">
        <v>1889</v>
      </c>
      <c r="F3667">
        <v>-78410769</v>
      </c>
      <c r="G3667">
        <v>82367882</v>
      </c>
      <c r="H3667">
        <v>39798007</v>
      </c>
      <c r="I3667">
        <v>114288360</v>
      </c>
      <c r="J3667">
        <v>-29761511</v>
      </c>
      <c r="K3667">
        <v>50977710</v>
      </c>
      <c r="L3667">
        <v>1256019</v>
      </c>
      <c r="M3667">
        <v>61971073</v>
      </c>
      <c r="N3667">
        <v>25148886</v>
      </c>
      <c r="P3667">
        <v>84</v>
      </c>
      <c r="Q3667" t="s">
        <v>7682</v>
      </c>
    </row>
    <row r="3668" spans="1:17" x14ac:dyDescent="0.3">
      <c r="A3668" t="s">
        <v>17</v>
      </c>
      <c r="B3668" t="str">
        <f>"603500"</f>
        <v>603500</v>
      </c>
      <c r="C3668" t="s">
        <v>7683</v>
      </c>
      <c r="D3668" t="s">
        <v>165</v>
      </c>
      <c r="F3668">
        <v>37336733</v>
      </c>
      <c r="G3668">
        <v>101097759</v>
      </c>
      <c r="H3668">
        <v>39731068</v>
      </c>
      <c r="I3668">
        <v>118573239</v>
      </c>
      <c r="J3668">
        <v>32580556</v>
      </c>
      <c r="K3668">
        <v>76558751</v>
      </c>
      <c r="L3668">
        <v>10750092</v>
      </c>
      <c r="M3668">
        <v>49290688</v>
      </c>
      <c r="P3668">
        <v>91</v>
      </c>
      <c r="Q3668" t="s">
        <v>7684</v>
      </c>
    </row>
    <row r="3669" spans="1:17" x14ac:dyDescent="0.3">
      <c r="A3669" t="s">
        <v>59</v>
      </c>
      <c r="B3669" t="str">
        <f>"301113"</f>
        <v>301113</v>
      </c>
      <c r="C3669" t="s">
        <v>7685</v>
      </c>
      <c r="D3669" t="s">
        <v>923</v>
      </c>
      <c r="F3669">
        <v>75290404</v>
      </c>
      <c r="G3669">
        <v>56111302</v>
      </c>
      <c r="H3669">
        <v>39616863</v>
      </c>
      <c r="I3669">
        <v>22525704</v>
      </c>
      <c r="J3669">
        <v>39096542</v>
      </c>
      <c r="P3669">
        <v>27</v>
      </c>
      <c r="Q3669" t="s">
        <v>7686</v>
      </c>
    </row>
    <row r="3670" spans="1:17" x14ac:dyDescent="0.3">
      <c r="A3670" t="s">
        <v>17</v>
      </c>
      <c r="B3670" t="str">
        <f>"600257"</f>
        <v>600257</v>
      </c>
      <c r="C3670" t="s">
        <v>7687</v>
      </c>
      <c r="D3670" t="s">
        <v>2932</v>
      </c>
      <c r="F3670">
        <v>96420909</v>
      </c>
      <c r="G3670">
        <v>-33584944</v>
      </c>
      <c r="H3670">
        <v>39555297</v>
      </c>
      <c r="I3670">
        <v>-39317557</v>
      </c>
      <c r="J3670">
        <v>39665935</v>
      </c>
      <c r="K3670">
        <v>29986544</v>
      </c>
      <c r="L3670">
        <v>18028617</v>
      </c>
      <c r="M3670">
        <v>656653</v>
      </c>
      <c r="N3670">
        <v>-75641515</v>
      </c>
      <c r="O3670">
        <v>22630980</v>
      </c>
      <c r="P3670">
        <v>96</v>
      </c>
      <c r="Q3670" t="s">
        <v>7688</v>
      </c>
    </row>
    <row r="3671" spans="1:17" x14ac:dyDescent="0.3">
      <c r="A3671" t="s">
        <v>17</v>
      </c>
      <c r="B3671" t="str">
        <f>"688306"</f>
        <v>688306</v>
      </c>
      <c r="C3671" t="s">
        <v>7689</v>
      </c>
      <c r="F3671">
        <v>42609543</v>
      </c>
      <c r="G3671">
        <v>-122129137</v>
      </c>
      <c r="H3671">
        <v>39359044</v>
      </c>
      <c r="I3671">
        <v>-55729129</v>
      </c>
      <c r="J3671">
        <v>116999269</v>
      </c>
      <c r="P3671">
        <v>3</v>
      </c>
      <c r="Q3671" t="s">
        <v>7690</v>
      </c>
    </row>
    <row r="3672" spans="1:17" x14ac:dyDescent="0.3">
      <c r="A3672" t="s">
        <v>59</v>
      </c>
      <c r="B3672" t="str">
        <f>"300585"</f>
        <v>300585</v>
      </c>
      <c r="C3672" t="s">
        <v>7691</v>
      </c>
      <c r="D3672" t="s">
        <v>156</v>
      </c>
      <c r="F3672">
        <v>26262101</v>
      </c>
      <c r="G3672">
        <v>23310347</v>
      </c>
      <c r="H3672">
        <v>39286093</v>
      </c>
      <c r="I3672">
        <v>42620227</v>
      </c>
      <c r="J3672">
        <v>41569197</v>
      </c>
      <c r="K3672">
        <v>21030762</v>
      </c>
      <c r="L3672">
        <v>60819147</v>
      </c>
      <c r="M3672">
        <v>66849557</v>
      </c>
      <c r="N3672">
        <v>9537591</v>
      </c>
      <c r="P3672">
        <v>92</v>
      </c>
      <c r="Q3672" t="s">
        <v>7692</v>
      </c>
    </row>
    <row r="3673" spans="1:17" x14ac:dyDescent="0.3">
      <c r="A3673" t="s">
        <v>17</v>
      </c>
      <c r="B3673" t="str">
        <f>"600776"</f>
        <v>600776</v>
      </c>
      <c r="C3673" t="s">
        <v>7693</v>
      </c>
      <c r="D3673" t="s">
        <v>1138</v>
      </c>
      <c r="F3673">
        <v>109195684</v>
      </c>
      <c r="G3673">
        <v>31186479</v>
      </c>
      <c r="H3673">
        <v>39147331</v>
      </c>
      <c r="I3673">
        <v>-34007301</v>
      </c>
      <c r="J3673">
        <v>-68620898</v>
      </c>
      <c r="K3673">
        <v>-58567690</v>
      </c>
      <c r="L3673">
        <v>-10806713</v>
      </c>
      <c r="M3673">
        <v>74355287</v>
      </c>
      <c r="N3673">
        <v>-189588569</v>
      </c>
      <c r="O3673">
        <v>-52954451</v>
      </c>
      <c r="P3673">
        <v>284</v>
      </c>
      <c r="Q3673" t="s">
        <v>7694</v>
      </c>
    </row>
    <row r="3674" spans="1:17" x14ac:dyDescent="0.3">
      <c r="A3674" t="s">
        <v>59</v>
      </c>
      <c r="B3674" t="str">
        <f>"002452"</f>
        <v>002452</v>
      </c>
      <c r="C3674" t="s">
        <v>7695</v>
      </c>
      <c r="D3674" t="s">
        <v>560</v>
      </c>
      <c r="F3674">
        <v>483774351</v>
      </c>
      <c r="G3674">
        <v>205726355</v>
      </c>
      <c r="H3674">
        <v>39134113</v>
      </c>
      <c r="I3674">
        <v>-67728174</v>
      </c>
      <c r="J3674">
        <v>307604776</v>
      </c>
      <c r="K3674">
        <v>143066299</v>
      </c>
      <c r="L3674">
        <v>-161969040</v>
      </c>
      <c r="M3674">
        <v>62583513</v>
      </c>
      <c r="N3674">
        <v>18661911</v>
      </c>
      <c r="O3674">
        <v>-45009609</v>
      </c>
      <c r="P3674">
        <v>173</v>
      </c>
      <c r="Q3674" t="s">
        <v>7696</v>
      </c>
    </row>
    <row r="3675" spans="1:17" x14ac:dyDescent="0.3">
      <c r="A3675" t="s">
        <v>17</v>
      </c>
      <c r="B3675" t="str">
        <f>"688261"</f>
        <v>688261</v>
      </c>
      <c r="C3675" t="s">
        <v>7697</v>
      </c>
      <c r="F3675">
        <v>130246075</v>
      </c>
      <c r="G3675">
        <v>-37485732</v>
      </c>
      <c r="H3675">
        <v>39057664</v>
      </c>
      <c r="I3675">
        <v>-58870176</v>
      </c>
      <c r="P3675">
        <v>11</v>
      </c>
      <c r="Q3675" t="s">
        <v>7698</v>
      </c>
    </row>
    <row r="3676" spans="1:17" x14ac:dyDescent="0.3">
      <c r="A3676" t="s">
        <v>17</v>
      </c>
      <c r="B3676" t="str">
        <f>"603322"</f>
        <v>603322</v>
      </c>
      <c r="C3676" t="s">
        <v>7699</v>
      </c>
      <c r="D3676" t="s">
        <v>2057</v>
      </c>
      <c r="F3676">
        <v>59213461</v>
      </c>
      <c r="G3676">
        <v>80711882</v>
      </c>
      <c r="H3676">
        <v>38997785</v>
      </c>
      <c r="I3676">
        <v>48755974</v>
      </c>
      <c r="J3676">
        <v>38147313</v>
      </c>
      <c r="K3676">
        <v>-45341969</v>
      </c>
      <c r="L3676">
        <v>35509498</v>
      </c>
      <c r="M3676">
        <v>61527167</v>
      </c>
      <c r="N3676">
        <v>-28460282</v>
      </c>
      <c r="P3676">
        <v>184</v>
      </c>
      <c r="Q3676" t="s">
        <v>7700</v>
      </c>
    </row>
    <row r="3677" spans="1:17" x14ac:dyDescent="0.3">
      <c r="A3677" t="s">
        <v>17</v>
      </c>
      <c r="B3677" t="str">
        <f>"688793"</f>
        <v>688793</v>
      </c>
      <c r="C3677" t="s">
        <v>7701</v>
      </c>
      <c r="D3677" t="s">
        <v>2828</v>
      </c>
      <c r="F3677">
        <v>86917960</v>
      </c>
      <c r="G3677">
        <v>68245926</v>
      </c>
      <c r="H3677">
        <v>38957007</v>
      </c>
      <c r="I3677">
        <v>38094000</v>
      </c>
      <c r="J3677">
        <v>19713756</v>
      </c>
      <c r="P3677">
        <v>48</v>
      </c>
      <c r="Q3677" t="s">
        <v>7702</v>
      </c>
    </row>
    <row r="3678" spans="1:17" x14ac:dyDescent="0.3">
      <c r="A3678" t="s">
        <v>17</v>
      </c>
      <c r="B3678" t="str">
        <f>"600891"</f>
        <v>600891</v>
      </c>
      <c r="C3678" t="s">
        <v>7703</v>
      </c>
      <c r="G3678">
        <v>27039800</v>
      </c>
      <c r="H3678">
        <v>38928260</v>
      </c>
      <c r="I3678">
        <v>194287908</v>
      </c>
      <c r="J3678">
        <v>-1673369324</v>
      </c>
      <c r="K3678">
        <v>-138175299</v>
      </c>
      <c r="L3678">
        <v>30027605</v>
      </c>
      <c r="M3678">
        <v>-137785340</v>
      </c>
      <c r="N3678">
        <v>111119515</v>
      </c>
      <c r="O3678">
        <v>52483870</v>
      </c>
      <c r="P3678">
        <v>45</v>
      </c>
      <c r="Q3678" t="s">
        <v>7704</v>
      </c>
    </row>
    <row r="3679" spans="1:17" x14ac:dyDescent="0.3">
      <c r="A3679" t="s">
        <v>17</v>
      </c>
      <c r="B3679" t="str">
        <f>"603938"</f>
        <v>603938</v>
      </c>
      <c r="C3679" t="s">
        <v>7705</v>
      </c>
      <c r="D3679" t="s">
        <v>778</v>
      </c>
      <c r="F3679">
        <v>254538290</v>
      </c>
      <c r="G3679">
        <v>180054396</v>
      </c>
      <c r="H3679">
        <v>38797697</v>
      </c>
      <c r="I3679">
        <v>108085664</v>
      </c>
      <c r="J3679">
        <v>-18551992</v>
      </c>
      <c r="K3679">
        <v>53679584</v>
      </c>
      <c r="L3679">
        <v>5211791</v>
      </c>
      <c r="M3679">
        <v>31228301</v>
      </c>
      <c r="P3679">
        <v>102</v>
      </c>
      <c r="Q3679" t="s">
        <v>7706</v>
      </c>
    </row>
    <row r="3680" spans="1:17" x14ac:dyDescent="0.3">
      <c r="A3680" t="s">
        <v>59</v>
      </c>
      <c r="B3680" t="str">
        <f>"000547"</f>
        <v>000547</v>
      </c>
      <c r="C3680" t="s">
        <v>7707</v>
      </c>
      <c r="D3680" t="s">
        <v>1983</v>
      </c>
      <c r="F3680">
        <v>-273638743</v>
      </c>
      <c r="G3680">
        <v>194807989</v>
      </c>
      <c r="H3680">
        <v>38795781</v>
      </c>
      <c r="I3680">
        <v>186702510</v>
      </c>
      <c r="J3680">
        <v>193729455</v>
      </c>
      <c r="K3680">
        <v>176564300</v>
      </c>
      <c r="L3680">
        <v>171412420</v>
      </c>
      <c r="M3680">
        <v>132479008</v>
      </c>
      <c r="N3680">
        <v>-112612761</v>
      </c>
      <c r="O3680">
        <v>7128709</v>
      </c>
      <c r="P3680">
        <v>612</v>
      </c>
      <c r="Q3680" t="s">
        <v>7708</v>
      </c>
    </row>
    <row r="3681" spans="1:17" x14ac:dyDescent="0.3">
      <c r="A3681" t="s">
        <v>59</v>
      </c>
      <c r="B3681" t="str">
        <f>"300906"</f>
        <v>300906</v>
      </c>
      <c r="C3681" t="s">
        <v>7709</v>
      </c>
      <c r="D3681" t="s">
        <v>2382</v>
      </c>
      <c r="F3681">
        <v>33148366</v>
      </c>
      <c r="G3681">
        <v>68956376</v>
      </c>
      <c r="H3681">
        <v>38692048</v>
      </c>
      <c r="I3681">
        <v>26766381</v>
      </c>
      <c r="J3681">
        <v>47956053</v>
      </c>
      <c r="K3681">
        <v>19381204</v>
      </c>
      <c r="P3681">
        <v>60</v>
      </c>
      <c r="Q3681" t="s">
        <v>7710</v>
      </c>
    </row>
    <row r="3682" spans="1:17" x14ac:dyDescent="0.3">
      <c r="A3682" t="s">
        <v>59</v>
      </c>
      <c r="B3682" t="str">
        <f>"000821"</f>
        <v>000821</v>
      </c>
      <c r="C3682" t="s">
        <v>7711</v>
      </c>
      <c r="D3682" t="s">
        <v>3768</v>
      </c>
      <c r="F3682">
        <v>642194290</v>
      </c>
      <c r="G3682">
        <v>253282884</v>
      </c>
      <c r="H3682">
        <v>38551463</v>
      </c>
      <c r="I3682">
        <v>140554081</v>
      </c>
      <c r="J3682">
        <v>67480204</v>
      </c>
      <c r="K3682">
        <v>76084032</v>
      </c>
      <c r="L3682">
        <v>154612403</v>
      </c>
      <c r="M3682">
        <v>21695680</v>
      </c>
      <c r="N3682">
        <v>-36631448</v>
      </c>
      <c r="O3682">
        <v>117357243</v>
      </c>
      <c r="P3682">
        <v>166</v>
      </c>
      <c r="Q3682" t="s">
        <v>7712</v>
      </c>
    </row>
    <row r="3683" spans="1:17" x14ac:dyDescent="0.3">
      <c r="A3683" t="s">
        <v>59</v>
      </c>
      <c r="B3683" t="str">
        <f>"300897"</f>
        <v>300897</v>
      </c>
      <c r="C3683" t="s">
        <v>7713</v>
      </c>
      <c r="D3683" t="s">
        <v>2382</v>
      </c>
      <c r="F3683">
        <v>13991171</v>
      </c>
      <c r="G3683">
        <v>29718395</v>
      </c>
      <c r="H3683">
        <v>38397317</v>
      </c>
      <c r="I3683">
        <v>39561285</v>
      </c>
      <c r="J3683">
        <v>33854486</v>
      </c>
      <c r="K3683">
        <v>26156339</v>
      </c>
      <c r="P3683">
        <v>50</v>
      </c>
      <c r="Q3683" t="s">
        <v>7714</v>
      </c>
    </row>
    <row r="3684" spans="1:17" x14ac:dyDescent="0.3">
      <c r="A3684" t="s">
        <v>17</v>
      </c>
      <c r="B3684" t="str">
        <f>"600614"</f>
        <v>600614</v>
      </c>
      <c r="C3684" t="s">
        <v>7715</v>
      </c>
      <c r="G3684">
        <v>-9160746</v>
      </c>
      <c r="H3684">
        <v>38358325</v>
      </c>
      <c r="I3684">
        <v>-96982550</v>
      </c>
      <c r="J3684">
        <v>-63519803</v>
      </c>
      <c r="K3684">
        <v>547185165</v>
      </c>
      <c r="L3684">
        <v>-287000421</v>
      </c>
      <c r="M3684">
        <v>-244114367</v>
      </c>
      <c r="N3684">
        <v>149472146</v>
      </c>
      <c r="O3684">
        <v>-70225691</v>
      </c>
      <c r="P3684">
        <v>55</v>
      </c>
      <c r="Q3684" t="s">
        <v>7716</v>
      </c>
    </row>
    <row r="3685" spans="1:17" x14ac:dyDescent="0.3">
      <c r="A3685" t="s">
        <v>59</v>
      </c>
      <c r="B3685" t="str">
        <f>"300005"</f>
        <v>300005</v>
      </c>
      <c r="C3685" t="s">
        <v>7717</v>
      </c>
      <c r="D3685" t="s">
        <v>7718</v>
      </c>
      <c r="F3685">
        <v>31464616</v>
      </c>
      <c r="G3685">
        <v>-124688307</v>
      </c>
      <c r="H3685">
        <v>38334503</v>
      </c>
      <c r="I3685">
        <v>-149598513</v>
      </c>
      <c r="J3685">
        <v>-148821401</v>
      </c>
      <c r="K3685">
        <v>284291996</v>
      </c>
      <c r="L3685">
        <v>61912998</v>
      </c>
      <c r="M3685">
        <v>290912435</v>
      </c>
      <c r="N3685">
        <v>218269102</v>
      </c>
      <c r="O3685">
        <v>224676817</v>
      </c>
      <c r="P3685">
        <v>181</v>
      </c>
      <c r="Q3685" t="s">
        <v>7719</v>
      </c>
    </row>
    <row r="3686" spans="1:17" x14ac:dyDescent="0.3">
      <c r="A3686" t="s">
        <v>59</v>
      </c>
      <c r="B3686" t="str">
        <f>"002656"</f>
        <v>002656</v>
      </c>
      <c r="C3686" t="s">
        <v>7720</v>
      </c>
      <c r="D3686" t="s">
        <v>646</v>
      </c>
      <c r="F3686">
        <v>162672876</v>
      </c>
      <c r="G3686">
        <v>-172080907</v>
      </c>
      <c r="H3686">
        <v>38245877</v>
      </c>
      <c r="I3686">
        <v>-87272192</v>
      </c>
      <c r="J3686">
        <v>284376469</v>
      </c>
      <c r="K3686">
        <v>-124907559</v>
      </c>
      <c r="L3686">
        <v>43410192</v>
      </c>
      <c r="M3686">
        <v>42437026</v>
      </c>
      <c r="N3686">
        <v>-12799067</v>
      </c>
      <c r="O3686">
        <v>32939762</v>
      </c>
      <c r="P3686">
        <v>62</v>
      </c>
      <c r="Q3686" t="s">
        <v>7721</v>
      </c>
    </row>
    <row r="3687" spans="1:17" x14ac:dyDescent="0.3">
      <c r="A3687" t="s">
        <v>59</v>
      </c>
      <c r="B3687" t="str">
        <f>"300722"</f>
        <v>300722</v>
      </c>
      <c r="C3687" t="s">
        <v>7722</v>
      </c>
      <c r="D3687" t="s">
        <v>1056</v>
      </c>
      <c r="F3687">
        <v>63739402</v>
      </c>
      <c r="G3687">
        <v>53810102</v>
      </c>
      <c r="H3687">
        <v>38037997</v>
      </c>
      <c r="I3687">
        <v>26228450</v>
      </c>
      <c r="J3687">
        <v>16716139</v>
      </c>
      <c r="K3687">
        <v>8158913</v>
      </c>
      <c r="L3687">
        <v>12374333</v>
      </c>
      <c r="M3687">
        <v>18668776</v>
      </c>
      <c r="P3687">
        <v>113</v>
      </c>
      <c r="Q3687" t="s">
        <v>7723</v>
      </c>
    </row>
    <row r="3688" spans="1:17" x14ac:dyDescent="0.3">
      <c r="A3688" t="s">
        <v>59</v>
      </c>
      <c r="B3688" t="str">
        <f>"300733"</f>
        <v>300733</v>
      </c>
      <c r="C3688" t="s">
        <v>7724</v>
      </c>
      <c r="D3688" t="s">
        <v>156</v>
      </c>
      <c r="F3688">
        <v>36170544</v>
      </c>
      <c r="G3688">
        <v>1286342</v>
      </c>
      <c r="H3688">
        <v>38006918</v>
      </c>
      <c r="I3688">
        <v>92889779</v>
      </c>
      <c r="J3688">
        <v>77422852</v>
      </c>
      <c r="K3688">
        <v>93497320</v>
      </c>
      <c r="L3688">
        <v>91368607</v>
      </c>
      <c r="M3688">
        <v>67120450</v>
      </c>
      <c r="P3688">
        <v>60</v>
      </c>
      <c r="Q3688" t="s">
        <v>7725</v>
      </c>
    </row>
    <row r="3689" spans="1:17" x14ac:dyDescent="0.3">
      <c r="A3689" t="s">
        <v>17</v>
      </c>
      <c r="B3689" t="str">
        <f>"603696"</f>
        <v>603696</v>
      </c>
      <c r="C3689" t="s">
        <v>7726</v>
      </c>
      <c r="D3689" t="s">
        <v>375</v>
      </c>
      <c r="F3689">
        <v>101757107</v>
      </c>
      <c r="G3689">
        <v>35477845</v>
      </c>
      <c r="H3689">
        <v>37905922</v>
      </c>
      <c r="I3689">
        <v>34202997</v>
      </c>
      <c r="J3689">
        <v>-80723328</v>
      </c>
      <c r="K3689">
        <v>57041485</v>
      </c>
      <c r="L3689">
        <v>45889753</v>
      </c>
      <c r="M3689">
        <v>73907254</v>
      </c>
      <c r="N3689">
        <v>49066634</v>
      </c>
      <c r="O3689">
        <v>75211679</v>
      </c>
      <c r="P3689">
        <v>195</v>
      </c>
      <c r="Q3689" t="s">
        <v>7727</v>
      </c>
    </row>
    <row r="3690" spans="1:17" x14ac:dyDescent="0.3">
      <c r="A3690" t="s">
        <v>59</v>
      </c>
      <c r="B3690" t="str">
        <f>"300838"</f>
        <v>300838</v>
      </c>
      <c r="C3690" t="s">
        <v>7728</v>
      </c>
      <c r="D3690" t="s">
        <v>637</v>
      </c>
      <c r="F3690">
        <v>51172321</v>
      </c>
      <c r="G3690">
        <v>52638288</v>
      </c>
      <c r="H3690">
        <v>37795810</v>
      </c>
      <c r="I3690">
        <v>52895534</v>
      </c>
      <c r="J3690">
        <v>48165329</v>
      </c>
      <c r="P3690">
        <v>39</v>
      </c>
      <c r="Q3690" t="s">
        <v>7729</v>
      </c>
    </row>
    <row r="3691" spans="1:17" x14ac:dyDescent="0.3">
      <c r="A3691" t="s">
        <v>17</v>
      </c>
      <c r="B3691" t="str">
        <f>"688081"</f>
        <v>688081</v>
      </c>
      <c r="C3691" t="s">
        <v>7730</v>
      </c>
      <c r="D3691" t="s">
        <v>1983</v>
      </c>
      <c r="F3691">
        <v>-65069226</v>
      </c>
      <c r="G3691">
        <v>-40948216</v>
      </c>
      <c r="H3691">
        <v>37766012</v>
      </c>
      <c r="I3691">
        <v>-2914730</v>
      </c>
      <c r="J3691">
        <v>24594736</v>
      </c>
      <c r="K3691">
        <v>-10587019</v>
      </c>
      <c r="P3691">
        <v>55</v>
      </c>
      <c r="Q3691" t="s">
        <v>7731</v>
      </c>
    </row>
    <row r="3692" spans="1:17" x14ac:dyDescent="0.3">
      <c r="A3692" t="s">
        <v>17</v>
      </c>
      <c r="B3692" t="str">
        <f>"688078"</f>
        <v>688078</v>
      </c>
      <c r="C3692" t="s">
        <v>7732</v>
      </c>
      <c r="D3692" t="s">
        <v>789</v>
      </c>
      <c r="F3692">
        <v>-11604284</v>
      </c>
      <c r="G3692">
        <v>-11980101</v>
      </c>
      <c r="H3692">
        <v>37691481</v>
      </c>
      <c r="I3692">
        <v>8760829</v>
      </c>
      <c r="J3692">
        <v>2988413</v>
      </c>
      <c r="K3692">
        <v>-17659177</v>
      </c>
      <c r="P3692">
        <v>83</v>
      </c>
      <c r="Q3692" t="s">
        <v>7733</v>
      </c>
    </row>
    <row r="3693" spans="1:17" x14ac:dyDescent="0.3">
      <c r="A3693" t="s">
        <v>17</v>
      </c>
      <c r="B3693" t="str">
        <f>"603859"</f>
        <v>603859</v>
      </c>
      <c r="C3693" t="s">
        <v>7734</v>
      </c>
      <c r="D3693" t="s">
        <v>1426</v>
      </c>
      <c r="F3693">
        <v>49464929</v>
      </c>
      <c r="G3693">
        <v>78519569</v>
      </c>
      <c r="H3693">
        <v>37688030</v>
      </c>
      <c r="I3693">
        <v>-14469741</v>
      </c>
      <c r="J3693">
        <v>-28478839</v>
      </c>
      <c r="K3693">
        <v>-52423381</v>
      </c>
      <c r="L3693">
        <v>36756071</v>
      </c>
      <c r="M3693">
        <v>16631345</v>
      </c>
      <c r="N3693">
        <v>23863796</v>
      </c>
      <c r="P3693">
        <v>205</v>
      </c>
      <c r="Q3693" t="s">
        <v>7735</v>
      </c>
    </row>
    <row r="3694" spans="1:17" x14ac:dyDescent="0.3">
      <c r="A3694" t="s">
        <v>59</v>
      </c>
      <c r="B3694" t="str">
        <f>"300236"</f>
        <v>300236</v>
      </c>
      <c r="C3694" t="s">
        <v>7736</v>
      </c>
      <c r="D3694" t="s">
        <v>2111</v>
      </c>
      <c r="F3694">
        <v>191324609</v>
      </c>
      <c r="G3694">
        <v>179553451</v>
      </c>
      <c r="H3694">
        <v>37621283</v>
      </c>
      <c r="I3694">
        <v>65696896</v>
      </c>
      <c r="J3694">
        <v>96911980</v>
      </c>
      <c r="K3694">
        <v>68478149</v>
      </c>
      <c r="L3694">
        <v>-5475756</v>
      </c>
      <c r="M3694">
        <v>22294614</v>
      </c>
      <c r="N3694">
        <v>33802024</v>
      </c>
      <c r="O3694">
        <v>24830045</v>
      </c>
      <c r="P3694">
        <v>414</v>
      </c>
      <c r="Q3694" t="s">
        <v>7737</v>
      </c>
    </row>
    <row r="3695" spans="1:17" x14ac:dyDescent="0.3">
      <c r="A3695" t="s">
        <v>59</v>
      </c>
      <c r="B3695" t="str">
        <f>"300998"</f>
        <v>300998</v>
      </c>
      <c r="C3695" t="s">
        <v>7738</v>
      </c>
      <c r="D3695" t="s">
        <v>1226</v>
      </c>
      <c r="F3695">
        <v>-1559045</v>
      </c>
      <c r="G3695">
        <v>71332466</v>
      </c>
      <c r="H3695">
        <v>37618331</v>
      </c>
      <c r="I3695">
        <v>96904726</v>
      </c>
      <c r="J3695">
        <v>75439365</v>
      </c>
      <c r="K3695">
        <v>105389110</v>
      </c>
      <c r="P3695">
        <v>26</v>
      </c>
      <c r="Q3695" t="s">
        <v>7739</v>
      </c>
    </row>
    <row r="3696" spans="1:17" x14ac:dyDescent="0.3">
      <c r="A3696" t="s">
        <v>59</v>
      </c>
      <c r="B3696" t="str">
        <f>"002272"</f>
        <v>002272</v>
      </c>
      <c r="C3696" t="s">
        <v>7740</v>
      </c>
      <c r="D3696" t="s">
        <v>1214</v>
      </c>
      <c r="F3696">
        <v>-170972413</v>
      </c>
      <c r="G3696">
        <v>-48209072</v>
      </c>
      <c r="H3696">
        <v>37590173</v>
      </c>
      <c r="I3696">
        <v>-22318799</v>
      </c>
      <c r="J3696">
        <v>4359911</v>
      </c>
      <c r="K3696">
        <v>4227341</v>
      </c>
      <c r="L3696">
        <v>-5710751</v>
      </c>
      <c r="M3696">
        <v>-44514886</v>
      </c>
      <c r="N3696">
        <v>-90080454</v>
      </c>
      <c r="O3696">
        <v>-17562862</v>
      </c>
      <c r="P3696">
        <v>107</v>
      </c>
      <c r="Q3696" t="s">
        <v>7741</v>
      </c>
    </row>
    <row r="3697" spans="1:17" x14ac:dyDescent="0.3">
      <c r="A3697" t="s">
        <v>59</v>
      </c>
      <c r="B3697" t="str">
        <f>"300508"</f>
        <v>300508</v>
      </c>
      <c r="C3697" t="s">
        <v>7742</v>
      </c>
      <c r="D3697" t="s">
        <v>707</v>
      </c>
      <c r="F3697">
        <v>30413490</v>
      </c>
      <c r="G3697">
        <v>35419379</v>
      </c>
      <c r="H3697">
        <v>37523635</v>
      </c>
      <c r="I3697">
        <v>20504159</v>
      </c>
      <c r="J3697">
        <v>46480221</v>
      </c>
      <c r="K3697">
        <v>24945916</v>
      </c>
      <c r="L3697">
        <v>49522411</v>
      </c>
      <c r="M3697">
        <v>54184185</v>
      </c>
      <c r="N3697">
        <v>36283845</v>
      </c>
      <c r="P3697">
        <v>130</v>
      </c>
      <c r="Q3697" t="s">
        <v>7743</v>
      </c>
    </row>
    <row r="3698" spans="1:17" x14ac:dyDescent="0.3">
      <c r="A3698" t="s">
        <v>59</v>
      </c>
      <c r="B3698" t="str">
        <f>"300884"</f>
        <v>300884</v>
      </c>
      <c r="C3698" t="s">
        <v>7744</v>
      </c>
      <c r="D3698" t="s">
        <v>344</v>
      </c>
      <c r="F3698">
        <v>4433029</v>
      </c>
      <c r="G3698">
        <v>83580566</v>
      </c>
      <c r="H3698">
        <v>37430072</v>
      </c>
      <c r="I3698">
        <v>16909539</v>
      </c>
      <c r="J3698">
        <v>17987523</v>
      </c>
      <c r="K3698">
        <v>4120710</v>
      </c>
      <c r="P3698">
        <v>68</v>
      </c>
      <c r="Q3698" t="s">
        <v>7745</v>
      </c>
    </row>
    <row r="3699" spans="1:17" x14ac:dyDescent="0.3">
      <c r="A3699" t="s">
        <v>17</v>
      </c>
      <c r="B3699" t="str">
        <f>"603002"</f>
        <v>603002</v>
      </c>
      <c r="C3699" t="s">
        <v>7746</v>
      </c>
      <c r="D3699" t="s">
        <v>2111</v>
      </c>
      <c r="F3699">
        <v>337004809</v>
      </c>
      <c r="G3699">
        <v>321651598</v>
      </c>
      <c r="H3699">
        <v>37375541</v>
      </c>
      <c r="I3699">
        <v>137084785</v>
      </c>
      <c r="J3699">
        <v>34633916</v>
      </c>
      <c r="K3699">
        <v>54093172</v>
      </c>
      <c r="L3699">
        <v>-37035261</v>
      </c>
      <c r="M3699">
        <v>59315781</v>
      </c>
      <c r="N3699">
        <v>45505785</v>
      </c>
      <c r="O3699">
        <v>138518725</v>
      </c>
      <c r="P3699">
        <v>117</v>
      </c>
      <c r="Q3699" t="s">
        <v>7747</v>
      </c>
    </row>
    <row r="3700" spans="1:17" x14ac:dyDescent="0.3">
      <c r="A3700" t="s">
        <v>17</v>
      </c>
      <c r="B3700" t="str">
        <f>"688096"</f>
        <v>688096</v>
      </c>
      <c r="C3700" t="s">
        <v>7748</v>
      </c>
      <c r="D3700" t="s">
        <v>669</v>
      </c>
      <c r="F3700">
        <v>-106749507</v>
      </c>
      <c r="G3700">
        <v>-67646972</v>
      </c>
      <c r="H3700">
        <v>37351170</v>
      </c>
      <c r="I3700">
        <v>-24432258</v>
      </c>
      <c r="J3700">
        <v>-31455268</v>
      </c>
      <c r="K3700">
        <v>-22796832</v>
      </c>
      <c r="P3700">
        <v>73</v>
      </c>
      <c r="Q3700" t="s">
        <v>7749</v>
      </c>
    </row>
    <row r="3701" spans="1:17" x14ac:dyDescent="0.3">
      <c r="A3701" t="s">
        <v>59</v>
      </c>
      <c r="B3701" t="str">
        <f>"002715"</f>
        <v>002715</v>
      </c>
      <c r="C3701" t="s">
        <v>7750</v>
      </c>
      <c r="D3701" t="s">
        <v>156</v>
      </c>
      <c r="F3701">
        <v>40890788</v>
      </c>
      <c r="G3701">
        <v>60705926</v>
      </c>
      <c r="H3701">
        <v>37280471</v>
      </c>
      <c r="I3701">
        <v>34037464</v>
      </c>
      <c r="J3701">
        <v>32334839</v>
      </c>
      <c r="K3701">
        <v>68569074</v>
      </c>
      <c r="L3701">
        <v>-7499506</v>
      </c>
      <c r="M3701">
        <v>4816463</v>
      </c>
      <c r="N3701">
        <v>25210729</v>
      </c>
      <c r="O3701">
        <v>29364986</v>
      </c>
      <c r="P3701">
        <v>61</v>
      </c>
      <c r="Q3701" t="s">
        <v>7751</v>
      </c>
    </row>
    <row r="3702" spans="1:17" x14ac:dyDescent="0.3">
      <c r="A3702" t="s">
        <v>17</v>
      </c>
      <c r="B3702" t="str">
        <f>"688086"</f>
        <v>688086</v>
      </c>
      <c r="C3702" t="s">
        <v>7752</v>
      </c>
      <c r="D3702" t="s">
        <v>707</v>
      </c>
      <c r="F3702">
        <v>-193836329</v>
      </c>
      <c r="G3702">
        <v>155953856</v>
      </c>
      <c r="H3702">
        <v>37106350</v>
      </c>
      <c r="I3702">
        <v>10327021</v>
      </c>
      <c r="J3702">
        <v>-8166245</v>
      </c>
      <c r="K3702">
        <v>-9716382</v>
      </c>
      <c r="P3702">
        <v>84</v>
      </c>
      <c r="Q3702" t="s">
        <v>7753</v>
      </c>
    </row>
    <row r="3703" spans="1:17" x14ac:dyDescent="0.3">
      <c r="A3703" t="s">
        <v>17</v>
      </c>
      <c r="B3703" t="str">
        <f>"688395"</f>
        <v>688395</v>
      </c>
      <c r="C3703" t="s">
        <v>7754</v>
      </c>
      <c r="D3703" t="s">
        <v>1426</v>
      </c>
      <c r="F3703">
        <v>24832857</v>
      </c>
      <c r="G3703">
        <v>37885263</v>
      </c>
      <c r="H3703">
        <v>37096727</v>
      </c>
      <c r="I3703">
        <v>34797250</v>
      </c>
      <c r="J3703">
        <v>14390923</v>
      </c>
      <c r="P3703">
        <v>36</v>
      </c>
      <c r="Q3703" t="s">
        <v>7755</v>
      </c>
    </row>
    <row r="3704" spans="1:17" x14ac:dyDescent="0.3">
      <c r="A3704" t="s">
        <v>59</v>
      </c>
      <c r="B3704" t="str">
        <f>"301025"</f>
        <v>301025</v>
      </c>
      <c r="C3704" t="s">
        <v>7756</v>
      </c>
      <c r="D3704" t="s">
        <v>914</v>
      </c>
      <c r="F3704">
        <v>41856369</v>
      </c>
      <c r="G3704">
        <v>60604210</v>
      </c>
      <c r="H3704">
        <v>36796736</v>
      </c>
      <c r="I3704">
        <v>-21370343</v>
      </c>
      <c r="J3704">
        <v>5691243</v>
      </c>
      <c r="K3704">
        <v>41674849</v>
      </c>
      <c r="P3704">
        <v>24</v>
      </c>
      <c r="Q3704" t="s">
        <v>7757</v>
      </c>
    </row>
    <row r="3705" spans="1:17" x14ac:dyDescent="0.3">
      <c r="A3705" t="s">
        <v>17</v>
      </c>
      <c r="B3705" t="str">
        <f>"600817"</f>
        <v>600817</v>
      </c>
      <c r="C3705" t="s">
        <v>7758</v>
      </c>
      <c r="D3705" t="s">
        <v>235</v>
      </c>
      <c r="F3705">
        <v>84380610</v>
      </c>
      <c r="G3705">
        <v>465263931</v>
      </c>
      <c r="H3705">
        <v>36723341</v>
      </c>
      <c r="I3705">
        <v>-22717926</v>
      </c>
      <c r="J3705">
        <v>-963965</v>
      </c>
      <c r="K3705">
        <v>-60153522</v>
      </c>
      <c r="L3705">
        <v>-19160315</v>
      </c>
      <c r="M3705">
        <v>14587618</v>
      </c>
      <c r="N3705">
        <v>-24100397</v>
      </c>
      <c r="O3705">
        <v>52402681</v>
      </c>
      <c r="P3705">
        <v>102</v>
      </c>
      <c r="Q3705" t="s">
        <v>7759</v>
      </c>
    </row>
    <row r="3706" spans="1:17" x14ac:dyDescent="0.3">
      <c r="A3706" t="s">
        <v>17</v>
      </c>
      <c r="B3706" t="str">
        <f>"688112"</f>
        <v>688112</v>
      </c>
      <c r="C3706" t="s">
        <v>7760</v>
      </c>
      <c r="D3706" t="s">
        <v>2382</v>
      </c>
      <c r="F3706">
        <v>36563840</v>
      </c>
      <c r="G3706">
        <v>55219918</v>
      </c>
      <c r="H3706">
        <v>36618483</v>
      </c>
      <c r="I3706">
        <v>3617578</v>
      </c>
      <c r="J3706">
        <v>22459076</v>
      </c>
      <c r="P3706">
        <v>42</v>
      </c>
      <c r="Q3706" t="s">
        <v>7761</v>
      </c>
    </row>
    <row r="3707" spans="1:17" x14ac:dyDescent="0.3">
      <c r="A3707" t="s">
        <v>17</v>
      </c>
      <c r="B3707" t="str">
        <f>"600069"</f>
        <v>600069</v>
      </c>
      <c r="C3707" t="s">
        <v>7762</v>
      </c>
      <c r="H3707">
        <v>36419032</v>
      </c>
      <c r="I3707">
        <v>-357195940</v>
      </c>
      <c r="J3707">
        <v>244657136</v>
      </c>
      <c r="K3707">
        <v>342972869</v>
      </c>
      <c r="L3707">
        <v>84652888</v>
      </c>
      <c r="M3707">
        <v>-2632428</v>
      </c>
      <c r="N3707">
        <v>-119639489</v>
      </c>
      <c r="O3707">
        <v>108115523</v>
      </c>
      <c r="P3707">
        <v>48</v>
      </c>
      <c r="Q3707" t="s">
        <v>7763</v>
      </c>
    </row>
    <row r="3708" spans="1:17" x14ac:dyDescent="0.3">
      <c r="A3708" t="s">
        <v>59</v>
      </c>
      <c r="B3708" t="str">
        <f>"300353"</f>
        <v>300353</v>
      </c>
      <c r="C3708" t="s">
        <v>7764</v>
      </c>
      <c r="D3708" t="s">
        <v>1138</v>
      </c>
      <c r="F3708">
        <v>128967207</v>
      </c>
      <c r="G3708">
        <v>-39281901</v>
      </c>
      <c r="H3708">
        <v>36383400</v>
      </c>
      <c r="I3708">
        <v>-96734596</v>
      </c>
      <c r="J3708">
        <v>36010324</v>
      </c>
      <c r="K3708">
        <v>42302123</v>
      </c>
      <c r="L3708">
        <v>87036778</v>
      </c>
      <c r="M3708">
        <v>48360356</v>
      </c>
      <c r="N3708">
        <v>53270479</v>
      </c>
      <c r="O3708">
        <v>22797866</v>
      </c>
      <c r="P3708">
        <v>3033</v>
      </c>
      <c r="Q3708" t="s">
        <v>7765</v>
      </c>
    </row>
    <row r="3709" spans="1:17" x14ac:dyDescent="0.3">
      <c r="A3709" t="s">
        <v>59</v>
      </c>
      <c r="B3709" t="str">
        <f>"300818"</f>
        <v>300818</v>
      </c>
      <c r="C3709" t="s">
        <v>7766</v>
      </c>
      <c r="D3709" t="s">
        <v>1636</v>
      </c>
      <c r="F3709">
        <v>-37274706</v>
      </c>
      <c r="G3709">
        <v>354055792</v>
      </c>
      <c r="H3709">
        <v>36271876</v>
      </c>
      <c r="I3709">
        <v>66879157</v>
      </c>
      <c r="J3709">
        <v>45191213</v>
      </c>
      <c r="K3709">
        <v>55390883</v>
      </c>
      <c r="P3709">
        <v>92</v>
      </c>
      <c r="Q3709" t="s">
        <v>7767</v>
      </c>
    </row>
    <row r="3710" spans="1:17" x14ac:dyDescent="0.3">
      <c r="A3710" t="s">
        <v>59</v>
      </c>
      <c r="B3710" t="str">
        <f>"300617"</f>
        <v>300617</v>
      </c>
      <c r="C3710" t="s">
        <v>7768</v>
      </c>
      <c r="D3710" t="s">
        <v>1065</v>
      </c>
      <c r="F3710">
        <v>77953174</v>
      </c>
      <c r="G3710">
        <v>31034198</v>
      </c>
      <c r="H3710">
        <v>36228661</v>
      </c>
      <c r="I3710">
        <v>58318180</v>
      </c>
      <c r="J3710">
        <v>-21008593</v>
      </c>
      <c r="K3710">
        <v>88009188</v>
      </c>
      <c r="L3710">
        <v>79206179</v>
      </c>
      <c r="M3710">
        <v>80246700</v>
      </c>
      <c r="P3710">
        <v>148</v>
      </c>
      <c r="Q3710" t="s">
        <v>7769</v>
      </c>
    </row>
    <row r="3711" spans="1:17" x14ac:dyDescent="0.3">
      <c r="A3711" t="s">
        <v>17</v>
      </c>
      <c r="B3711" t="str">
        <f>"600892"</f>
        <v>600892</v>
      </c>
      <c r="C3711" t="s">
        <v>7770</v>
      </c>
      <c r="D3711" t="s">
        <v>689</v>
      </c>
      <c r="F3711">
        <v>6033916</v>
      </c>
      <c r="G3711">
        <v>92190572</v>
      </c>
      <c r="H3711">
        <v>36206485</v>
      </c>
      <c r="I3711">
        <v>-33230499</v>
      </c>
      <c r="J3711">
        <v>54535141</v>
      </c>
      <c r="K3711">
        <v>181950808</v>
      </c>
      <c r="L3711">
        <v>-9018083</v>
      </c>
      <c r="M3711">
        <v>108298124</v>
      </c>
      <c r="N3711">
        <v>18953027</v>
      </c>
      <c r="O3711">
        <v>-17504687</v>
      </c>
      <c r="P3711">
        <v>85</v>
      </c>
      <c r="Q3711" t="s">
        <v>7771</v>
      </c>
    </row>
    <row r="3712" spans="1:17" x14ac:dyDescent="0.3">
      <c r="A3712" t="s">
        <v>59</v>
      </c>
      <c r="B3712" t="str">
        <f>"000908"</f>
        <v>000908</v>
      </c>
      <c r="C3712" t="s">
        <v>7772</v>
      </c>
      <c r="D3712" t="s">
        <v>592</v>
      </c>
      <c r="F3712">
        <v>123834600</v>
      </c>
      <c r="G3712">
        <v>-271684173</v>
      </c>
      <c r="H3712">
        <v>36170429</v>
      </c>
      <c r="I3712">
        <v>350937845</v>
      </c>
      <c r="J3712">
        <v>151650409</v>
      </c>
      <c r="K3712">
        <v>12324621</v>
      </c>
      <c r="L3712">
        <v>92367550</v>
      </c>
      <c r="M3712">
        <v>205930470</v>
      </c>
      <c r="N3712">
        <v>-3442163</v>
      </c>
      <c r="O3712">
        <v>351502</v>
      </c>
      <c r="P3712">
        <v>186</v>
      </c>
      <c r="Q3712" t="s">
        <v>7773</v>
      </c>
    </row>
    <row r="3713" spans="1:17" x14ac:dyDescent="0.3">
      <c r="A3713" t="s">
        <v>59</v>
      </c>
      <c r="B3713" t="str">
        <f>"300994"</f>
        <v>300994</v>
      </c>
      <c r="C3713" t="s">
        <v>7774</v>
      </c>
      <c r="D3713" t="s">
        <v>1391</v>
      </c>
      <c r="F3713">
        <v>2711693</v>
      </c>
      <c r="G3713">
        <v>203118751</v>
      </c>
      <c r="H3713">
        <v>36063433</v>
      </c>
      <c r="I3713">
        <v>6637610</v>
      </c>
      <c r="J3713">
        <v>29338024</v>
      </c>
      <c r="P3713">
        <v>21</v>
      </c>
      <c r="Q3713" t="s">
        <v>7775</v>
      </c>
    </row>
    <row r="3714" spans="1:17" x14ac:dyDescent="0.3">
      <c r="A3714" t="s">
        <v>59</v>
      </c>
      <c r="B3714" t="str">
        <f>"300930"</f>
        <v>300930</v>
      </c>
      <c r="C3714" t="s">
        <v>7776</v>
      </c>
      <c r="D3714" t="s">
        <v>2129</v>
      </c>
      <c r="F3714">
        <v>57299908</v>
      </c>
      <c r="G3714">
        <v>24472615</v>
      </c>
      <c r="H3714">
        <v>36006570</v>
      </c>
      <c r="I3714">
        <v>50535305</v>
      </c>
      <c r="J3714">
        <v>-3297861</v>
      </c>
      <c r="K3714">
        <v>8066806</v>
      </c>
      <c r="P3714">
        <v>75</v>
      </c>
      <c r="Q3714" t="s">
        <v>7777</v>
      </c>
    </row>
    <row r="3715" spans="1:17" x14ac:dyDescent="0.3">
      <c r="A3715" t="s">
        <v>59</v>
      </c>
      <c r="B3715" t="str">
        <f>"301057"</f>
        <v>301057</v>
      </c>
      <c r="C3715" t="s">
        <v>7778</v>
      </c>
      <c r="D3715" t="s">
        <v>1116</v>
      </c>
      <c r="F3715">
        <v>86379934</v>
      </c>
      <c r="G3715">
        <v>137704099</v>
      </c>
      <c r="H3715">
        <v>35976142</v>
      </c>
      <c r="I3715">
        <v>56756094</v>
      </c>
      <c r="J3715">
        <v>38165698</v>
      </c>
      <c r="P3715">
        <v>16</v>
      </c>
      <c r="Q3715" t="s">
        <v>7779</v>
      </c>
    </row>
    <row r="3716" spans="1:17" x14ac:dyDescent="0.3">
      <c r="A3716" t="s">
        <v>59</v>
      </c>
      <c r="B3716" t="str">
        <f>"002495"</f>
        <v>002495</v>
      </c>
      <c r="C3716" t="s">
        <v>7780</v>
      </c>
      <c r="D3716" t="s">
        <v>375</v>
      </c>
      <c r="F3716">
        <v>88838661</v>
      </c>
      <c r="G3716">
        <v>62945752</v>
      </c>
      <c r="H3716">
        <v>35859892</v>
      </c>
      <c r="I3716">
        <v>80390369</v>
      </c>
      <c r="J3716">
        <v>74633632</v>
      </c>
      <c r="K3716">
        <v>60365151</v>
      </c>
      <c r="L3716">
        <v>134157552</v>
      </c>
      <c r="M3716">
        <v>64876850</v>
      </c>
      <c r="N3716">
        <v>99955478</v>
      </c>
      <c r="O3716">
        <v>52780811</v>
      </c>
      <c r="P3716">
        <v>113</v>
      </c>
      <c r="Q3716" t="s">
        <v>7781</v>
      </c>
    </row>
    <row r="3717" spans="1:17" x14ac:dyDescent="0.3">
      <c r="A3717" t="s">
        <v>17</v>
      </c>
      <c r="B3717" t="str">
        <f>"688170"</f>
        <v>688170</v>
      </c>
      <c r="C3717" t="s">
        <v>7782</v>
      </c>
      <c r="F3717">
        <v>50732077</v>
      </c>
      <c r="G3717">
        <v>22445973</v>
      </c>
      <c r="H3717">
        <v>35686615</v>
      </c>
      <c r="I3717">
        <v>-3824341</v>
      </c>
      <c r="P3717">
        <v>2</v>
      </c>
      <c r="Q3717" t="s">
        <v>7783</v>
      </c>
    </row>
    <row r="3718" spans="1:17" x14ac:dyDescent="0.3">
      <c r="A3718" t="s">
        <v>17</v>
      </c>
      <c r="B3718" t="str">
        <f>"600288"</f>
        <v>600288</v>
      </c>
      <c r="C3718" t="s">
        <v>7784</v>
      </c>
      <c r="D3718" t="s">
        <v>595</v>
      </c>
      <c r="F3718">
        <v>-21159507</v>
      </c>
      <c r="G3718">
        <v>109306659</v>
      </c>
      <c r="H3718">
        <v>35634760</v>
      </c>
      <c r="I3718">
        <v>45290451</v>
      </c>
      <c r="J3718">
        <v>82450932</v>
      </c>
      <c r="K3718">
        <v>41991149</v>
      </c>
      <c r="L3718">
        <v>172596901</v>
      </c>
      <c r="M3718">
        <v>206436995</v>
      </c>
      <c r="N3718">
        <v>8546982</v>
      </c>
      <c r="O3718">
        <v>52364243</v>
      </c>
      <c r="P3718">
        <v>95</v>
      </c>
      <c r="Q3718" t="s">
        <v>7785</v>
      </c>
    </row>
    <row r="3719" spans="1:17" x14ac:dyDescent="0.3">
      <c r="A3719" t="s">
        <v>59</v>
      </c>
      <c r="B3719" t="str">
        <f>"300152"</f>
        <v>300152</v>
      </c>
      <c r="C3719" t="s">
        <v>7786</v>
      </c>
      <c r="D3719" t="s">
        <v>2700</v>
      </c>
      <c r="F3719">
        <v>-70465087</v>
      </c>
      <c r="G3719">
        <v>80150247</v>
      </c>
      <c r="H3719">
        <v>35328731</v>
      </c>
      <c r="I3719">
        <v>-33965554</v>
      </c>
      <c r="J3719">
        <v>-101481955</v>
      </c>
      <c r="K3719">
        <v>243141241</v>
      </c>
      <c r="L3719">
        <v>-120802809</v>
      </c>
      <c r="M3719">
        <v>-4818654</v>
      </c>
      <c r="N3719">
        <v>-182219098</v>
      </c>
      <c r="O3719">
        <v>-61903713</v>
      </c>
      <c r="P3719">
        <v>92</v>
      </c>
      <c r="Q3719" t="s">
        <v>7787</v>
      </c>
    </row>
    <row r="3720" spans="1:17" x14ac:dyDescent="0.3">
      <c r="A3720" t="s">
        <v>59</v>
      </c>
      <c r="B3720" t="str">
        <f>"301075"</f>
        <v>301075</v>
      </c>
      <c r="C3720" t="s">
        <v>7788</v>
      </c>
      <c r="D3720" t="s">
        <v>592</v>
      </c>
      <c r="F3720">
        <v>48149282</v>
      </c>
      <c r="G3720">
        <v>63639874</v>
      </c>
      <c r="H3720">
        <v>35274018</v>
      </c>
      <c r="I3720">
        <v>65449995</v>
      </c>
      <c r="J3720">
        <v>62356879</v>
      </c>
      <c r="P3720">
        <v>22</v>
      </c>
      <c r="Q3720" t="s">
        <v>7789</v>
      </c>
    </row>
    <row r="3721" spans="1:17" x14ac:dyDescent="0.3">
      <c r="A3721" t="s">
        <v>59</v>
      </c>
      <c r="B3721" t="str">
        <f>"002640"</f>
        <v>002640</v>
      </c>
      <c r="C3721" t="s">
        <v>7790</v>
      </c>
      <c r="D3721" t="s">
        <v>3040</v>
      </c>
      <c r="F3721">
        <v>-274735948</v>
      </c>
      <c r="G3721">
        <v>-171901647</v>
      </c>
      <c r="H3721">
        <v>34991091</v>
      </c>
      <c r="I3721">
        <v>182580450</v>
      </c>
      <c r="J3721">
        <v>-292123854</v>
      </c>
      <c r="K3721">
        <v>-1059466278</v>
      </c>
      <c r="L3721">
        <v>-12943860</v>
      </c>
      <c r="M3721">
        <v>-13129313</v>
      </c>
      <c r="N3721">
        <v>-48373207</v>
      </c>
      <c r="O3721">
        <v>-132823501</v>
      </c>
      <c r="P3721">
        <v>263</v>
      </c>
      <c r="Q3721" t="s">
        <v>7791</v>
      </c>
    </row>
    <row r="3722" spans="1:17" x14ac:dyDescent="0.3">
      <c r="A3722" t="s">
        <v>17</v>
      </c>
      <c r="B3722" t="str">
        <f>"603331"</f>
        <v>603331</v>
      </c>
      <c r="C3722" t="s">
        <v>7792</v>
      </c>
      <c r="D3722" t="s">
        <v>1838</v>
      </c>
      <c r="F3722">
        <v>-4757669</v>
      </c>
      <c r="G3722">
        <v>9343028</v>
      </c>
      <c r="H3722">
        <v>34933177</v>
      </c>
      <c r="I3722">
        <v>38129163</v>
      </c>
      <c r="J3722">
        <v>-93932005</v>
      </c>
      <c r="K3722">
        <v>95095879</v>
      </c>
      <c r="L3722">
        <v>77641475</v>
      </c>
      <c r="M3722">
        <v>97300303</v>
      </c>
      <c r="P3722">
        <v>83</v>
      </c>
      <c r="Q3722" t="s">
        <v>7793</v>
      </c>
    </row>
    <row r="3723" spans="1:17" x14ac:dyDescent="0.3">
      <c r="A3723" t="s">
        <v>17</v>
      </c>
      <c r="B3723" t="str">
        <f>"688013"</f>
        <v>688013</v>
      </c>
      <c r="C3723" t="s">
        <v>7794</v>
      </c>
      <c r="D3723" t="s">
        <v>1036</v>
      </c>
      <c r="F3723">
        <v>60978247</v>
      </c>
      <c r="G3723">
        <v>42082676</v>
      </c>
      <c r="H3723">
        <v>34821758</v>
      </c>
      <c r="I3723">
        <v>34441243</v>
      </c>
      <c r="J3723">
        <v>7884092</v>
      </c>
      <c r="P3723">
        <v>64</v>
      </c>
      <c r="Q3723" t="s">
        <v>7795</v>
      </c>
    </row>
    <row r="3724" spans="1:17" x14ac:dyDescent="0.3">
      <c r="A3724" t="s">
        <v>17</v>
      </c>
      <c r="B3724" t="str">
        <f>"688265"</f>
        <v>688265</v>
      </c>
      <c r="C3724" t="s">
        <v>7796</v>
      </c>
      <c r="D3724" t="s">
        <v>751</v>
      </c>
      <c r="F3724">
        <v>111457504</v>
      </c>
      <c r="G3724">
        <v>59102989</v>
      </c>
      <c r="H3724">
        <v>34771067</v>
      </c>
      <c r="I3724">
        <v>11745709</v>
      </c>
      <c r="J3724">
        <v>8233593</v>
      </c>
      <c r="P3724">
        <v>17</v>
      </c>
      <c r="Q3724" t="s">
        <v>7797</v>
      </c>
    </row>
    <row r="3725" spans="1:17" x14ac:dyDescent="0.3">
      <c r="A3725" t="s">
        <v>59</v>
      </c>
      <c r="B3725" t="str">
        <f>"300249"</f>
        <v>300249</v>
      </c>
      <c r="C3725" t="s">
        <v>7798</v>
      </c>
      <c r="D3725" t="s">
        <v>707</v>
      </c>
      <c r="F3725">
        <v>10102919</v>
      </c>
      <c r="G3725">
        <v>-16821565</v>
      </c>
      <c r="H3725">
        <v>34695681</v>
      </c>
      <c r="I3725">
        <v>24130240</v>
      </c>
      <c r="J3725">
        <v>-83659397</v>
      </c>
      <c r="K3725">
        <v>105952461</v>
      </c>
      <c r="L3725">
        <v>-14197545</v>
      </c>
      <c r="M3725">
        <v>15930178</v>
      </c>
      <c r="N3725">
        <v>-865191</v>
      </c>
      <c r="O3725">
        <v>-43858347</v>
      </c>
      <c r="P3725">
        <v>195</v>
      </c>
      <c r="Q3725" t="s">
        <v>7799</v>
      </c>
    </row>
    <row r="3726" spans="1:17" x14ac:dyDescent="0.3">
      <c r="A3726" t="s">
        <v>17</v>
      </c>
      <c r="B3726" t="str">
        <f>"603189"</f>
        <v>603189</v>
      </c>
      <c r="C3726" t="s">
        <v>7800</v>
      </c>
      <c r="D3726" t="s">
        <v>1528</v>
      </c>
      <c r="F3726">
        <v>-35431257</v>
      </c>
      <c r="G3726">
        <v>78363118</v>
      </c>
      <c r="H3726">
        <v>34667203</v>
      </c>
      <c r="I3726">
        <v>18131304</v>
      </c>
      <c r="J3726">
        <v>34387625</v>
      </c>
      <c r="K3726">
        <v>34513931</v>
      </c>
      <c r="L3726">
        <v>75176591</v>
      </c>
      <c r="M3726">
        <v>61194360</v>
      </c>
      <c r="N3726">
        <v>48877820</v>
      </c>
      <c r="P3726">
        <v>166</v>
      </c>
      <c r="Q3726" t="s">
        <v>7801</v>
      </c>
    </row>
    <row r="3727" spans="1:17" x14ac:dyDescent="0.3">
      <c r="A3727" t="s">
        <v>59</v>
      </c>
      <c r="B3727" t="str">
        <f>"300084"</f>
        <v>300084</v>
      </c>
      <c r="C3727" t="s">
        <v>7802</v>
      </c>
      <c r="D3727" t="s">
        <v>741</v>
      </c>
      <c r="F3727">
        <v>155827073</v>
      </c>
      <c r="G3727">
        <v>68552613</v>
      </c>
      <c r="H3727">
        <v>34589124</v>
      </c>
      <c r="I3727">
        <v>37678382</v>
      </c>
      <c r="J3727">
        <v>45816173</v>
      </c>
      <c r="K3727">
        <v>1177160</v>
      </c>
      <c r="L3727">
        <v>87864256</v>
      </c>
      <c r="M3727">
        <v>54270276</v>
      </c>
      <c r="N3727">
        <v>70461710</v>
      </c>
      <c r="O3727">
        <v>18731745</v>
      </c>
      <c r="P3727">
        <v>69</v>
      </c>
      <c r="Q3727" t="s">
        <v>7803</v>
      </c>
    </row>
    <row r="3728" spans="1:17" x14ac:dyDescent="0.3">
      <c r="A3728" t="s">
        <v>59</v>
      </c>
      <c r="B3728" t="str">
        <f>"002405"</f>
        <v>002405</v>
      </c>
      <c r="C3728" t="s">
        <v>7804</v>
      </c>
      <c r="D3728" t="s">
        <v>1528</v>
      </c>
      <c r="F3728">
        <v>91265996</v>
      </c>
      <c r="G3728">
        <v>136807168</v>
      </c>
      <c r="H3728">
        <v>34569446</v>
      </c>
      <c r="I3728">
        <v>370749671</v>
      </c>
      <c r="J3728">
        <v>390314074</v>
      </c>
      <c r="K3728">
        <v>398617135</v>
      </c>
      <c r="L3728">
        <v>296482797</v>
      </c>
      <c r="M3728">
        <v>324775434</v>
      </c>
      <c r="N3728">
        <v>189653255</v>
      </c>
      <c r="O3728">
        <v>108088167</v>
      </c>
      <c r="P3728">
        <v>3861</v>
      </c>
      <c r="Q3728" t="s">
        <v>7805</v>
      </c>
    </row>
    <row r="3729" spans="1:17" x14ac:dyDescent="0.3">
      <c r="A3729" t="s">
        <v>59</v>
      </c>
      <c r="B3729" t="str">
        <f>"300988"</f>
        <v>300988</v>
      </c>
      <c r="C3729" t="s">
        <v>7806</v>
      </c>
      <c r="D3729" t="s">
        <v>1351</v>
      </c>
      <c r="F3729">
        <v>16274664</v>
      </c>
      <c r="G3729">
        <v>83589757</v>
      </c>
      <c r="H3729">
        <v>34493621</v>
      </c>
      <c r="I3729">
        <v>36604122</v>
      </c>
      <c r="J3729">
        <v>16424027</v>
      </c>
      <c r="P3729">
        <v>20</v>
      </c>
      <c r="Q3729" t="s">
        <v>7807</v>
      </c>
    </row>
    <row r="3730" spans="1:17" x14ac:dyDescent="0.3">
      <c r="A3730" t="s">
        <v>59</v>
      </c>
      <c r="B3730" t="str">
        <f>"300688"</f>
        <v>300688</v>
      </c>
      <c r="C3730" t="s">
        <v>7808</v>
      </c>
      <c r="D3730" t="s">
        <v>871</v>
      </c>
      <c r="F3730">
        <v>41139648</v>
      </c>
      <c r="G3730">
        <v>29508679</v>
      </c>
      <c r="H3730">
        <v>34485730</v>
      </c>
      <c r="I3730">
        <v>-32194680</v>
      </c>
      <c r="J3730">
        <v>13974726</v>
      </c>
      <c r="K3730">
        <v>42699099</v>
      </c>
      <c r="L3730">
        <v>55502765</v>
      </c>
      <c r="M3730">
        <v>27544704</v>
      </c>
      <c r="P3730">
        <v>83</v>
      </c>
      <c r="Q3730" t="s">
        <v>7809</v>
      </c>
    </row>
    <row r="3731" spans="1:17" x14ac:dyDescent="0.3">
      <c r="A3731" t="s">
        <v>59</v>
      </c>
      <c r="B3731" t="str">
        <f>"300844"</f>
        <v>300844</v>
      </c>
      <c r="C3731" t="s">
        <v>7810</v>
      </c>
      <c r="D3731" t="s">
        <v>2254</v>
      </c>
      <c r="F3731">
        <v>-91947591</v>
      </c>
      <c r="G3731">
        <v>72699460</v>
      </c>
      <c r="H3731">
        <v>34437242</v>
      </c>
      <c r="I3731">
        <v>45457798</v>
      </c>
      <c r="J3731">
        <v>48924703</v>
      </c>
      <c r="P3731">
        <v>16</v>
      </c>
      <c r="Q3731" t="s">
        <v>7811</v>
      </c>
    </row>
    <row r="3732" spans="1:17" x14ac:dyDescent="0.3">
      <c r="A3732" t="s">
        <v>17</v>
      </c>
      <c r="B3732" t="str">
        <f>"688191"</f>
        <v>688191</v>
      </c>
      <c r="C3732" t="s">
        <v>7812</v>
      </c>
      <c r="D3732" t="s">
        <v>494</v>
      </c>
      <c r="F3732">
        <v>-50756263</v>
      </c>
      <c r="G3732">
        <v>52931052</v>
      </c>
      <c r="H3732">
        <v>34387332</v>
      </c>
      <c r="I3732">
        <v>2984001</v>
      </c>
      <c r="J3732">
        <v>21663571</v>
      </c>
      <c r="P3732">
        <v>56</v>
      </c>
      <c r="Q3732" t="s">
        <v>7813</v>
      </c>
    </row>
    <row r="3733" spans="1:17" x14ac:dyDescent="0.3">
      <c r="A3733" t="s">
        <v>17</v>
      </c>
      <c r="B3733" t="str">
        <f>"688221"</f>
        <v>688221</v>
      </c>
      <c r="C3733" t="s">
        <v>7814</v>
      </c>
      <c r="D3733" t="s">
        <v>592</v>
      </c>
      <c r="F3733">
        <v>-243069041</v>
      </c>
      <c r="G3733">
        <v>-170174582</v>
      </c>
      <c r="H3733">
        <v>34287130</v>
      </c>
      <c r="I3733">
        <v>-79134208</v>
      </c>
      <c r="J3733">
        <v>-21236887</v>
      </c>
      <c r="K3733">
        <v>-5055150</v>
      </c>
      <c r="P3733">
        <v>51</v>
      </c>
      <c r="Q3733" t="s">
        <v>7815</v>
      </c>
    </row>
    <row r="3734" spans="1:17" x14ac:dyDescent="0.3">
      <c r="A3734" t="s">
        <v>17</v>
      </c>
      <c r="B3734" t="str">
        <f>"600206"</f>
        <v>600206</v>
      </c>
      <c r="C3734" t="s">
        <v>7816</v>
      </c>
      <c r="D3734" t="s">
        <v>874</v>
      </c>
      <c r="F3734">
        <v>304291148</v>
      </c>
      <c r="G3734">
        <v>-28890290</v>
      </c>
      <c r="H3734">
        <v>34271797</v>
      </c>
      <c r="I3734">
        <v>112256336</v>
      </c>
      <c r="J3734">
        <v>39068255</v>
      </c>
      <c r="K3734">
        <v>-129075359</v>
      </c>
      <c r="L3734">
        <v>-115115842</v>
      </c>
      <c r="M3734">
        <v>-82156564</v>
      </c>
      <c r="N3734">
        <v>-19447722</v>
      </c>
      <c r="O3734">
        <v>20848953</v>
      </c>
      <c r="P3734">
        <v>421</v>
      </c>
      <c r="Q3734" t="s">
        <v>7817</v>
      </c>
    </row>
    <row r="3735" spans="1:17" x14ac:dyDescent="0.3">
      <c r="A3735" t="s">
        <v>17</v>
      </c>
      <c r="B3735" t="str">
        <f>"600728"</f>
        <v>600728</v>
      </c>
      <c r="C3735" t="s">
        <v>7818</v>
      </c>
      <c r="D3735" t="s">
        <v>1189</v>
      </c>
      <c r="F3735">
        <v>381838771</v>
      </c>
      <c r="G3735">
        <v>589630822</v>
      </c>
      <c r="H3735">
        <v>34255000</v>
      </c>
      <c r="I3735">
        <v>173823825</v>
      </c>
      <c r="J3735">
        <v>-206724540</v>
      </c>
      <c r="K3735">
        <v>-177842971</v>
      </c>
      <c r="L3735">
        <v>198632577</v>
      </c>
      <c r="M3735">
        <v>-28974111</v>
      </c>
      <c r="N3735">
        <v>-147684591</v>
      </c>
      <c r="O3735">
        <v>20940900</v>
      </c>
      <c r="P3735">
        <v>345</v>
      </c>
      <c r="Q3735" t="s">
        <v>7819</v>
      </c>
    </row>
    <row r="3736" spans="1:17" x14ac:dyDescent="0.3">
      <c r="A3736" t="s">
        <v>59</v>
      </c>
      <c r="B3736" t="str">
        <f>"300364"</f>
        <v>300364</v>
      </c>
      <c r="C3736" t="s">
        <v>7820</v>
      </c>
      <c r="D3736" t="s">
        <v>914</v>
      </c>
      <c r="F3736">
        <v>31176935</v>
      </c>
      <c r="G3736">
        <v>198894499</v>
      </c>
      <c r="H3736">
        <v>34218597</v>
      </c>
      <c r="I3736">
        <v>-89389368</v>
      </c>
      <c r="J3736">
        <v>239252264</v>
      </c>
      <c r="K3736">
        <v>200024866</v>
      </c>
      <c r="L3736">
        <v>36105458</v>
      </c>
      <c r="M3736">
        <v>38325953</v>
      </c>
      <c r="N3736">
        <v>48711295</v>
      </c>
      <c r="O3736">
        <v>57284989</v>
      </c>
      <c r="P3736">
        <v>153</v>
      </c>
      <c r="Q3736" t="s">
        <v>7821</v>
      </c>
    </row>
    <row r="3737" spans="1:17" x14ac:dyDescent="0.3">
      <c r="A3737" t="s">
        <v>59</v>
      </c>
      <c r="B3737" t="str">
        <f>"300489"</f>
        <v>300489</v>
      </c>
      <c r="C3737" t="s">
        <v>7822</v>
      </c>
      <c r="D3737" t="s">
        <v>238</v>
      </c>
      <c r="F3737">
        <v>-170139868</v>
      </c>
      <c r="G3737">
        <v>-44299989</v>
      </c>
      <c r="H3737">
        <v>34011041</v>
      </c>
      <c r="I3737">
        <v>23356484</v>
      </c>
      <c r="J3737">
        <v>-28153744</v>
      </c>
      <c r="K3737">
        <v>-12588274</v>
      </c>
      <c r="L3737">
        <v>16507314</v>
      </c>
      <c r="M3737">
        <v>37943253</v>
      </c>
      <c r="N3737">
        <v>52385940</v>
      </c>
      <c r="O3737">
        <v>46610892</v>
      </c>
      <c r="P3737">
        <v>71</v>
      </c>
      <c r="Q3737" t="s">
        <v>7823</v>
      </c>
    </row>
    <row r="3738" spans="1:17" x14ac:dyDescent="0.3">
      <c r="A3738" t="s">
        <v>59</v>
      </c>
      <c r="B3738" t="str">
        <f>"300436"</f>
        <v>300436</v>
      </c>
      <c r="C3738" t="s">
        <v>7824</v>
      </c>
      <c r="D3738" t="s">
        <v>592</v>
      </c>
      <c r="F3738">
        <v>-17764779</v>
      </c>
      <c r="G3738">
        <v>15597457</v>
      </c>
      <c r="H3738">
        <v>33988140</v>
      </c>
      <c r="I3738">
        <v>10943959</v>
      </c>
      <c r="J3738">
        <v>71468006</v>
      </c>
      <c r="K3738">
        <v>73842321</v>
      </c>
      <c r="L3738">
        <v>111625805</v>
      </c>
      <c r="M3738">
        <v>107036308</v>
      </c>
      <c r="N3738">
        <v>66201834</v>
      </c>
      <c r="O3738">
        <v>41972313</v>
      </c>
      <c r="P3738">
        <v>135</v>
      </c>
      <c r="Q3738" t="s">
        <v>7825</v>
      </c>
    </row>
    <row r="3739" spans="1:17" x14ac:dyDescent="0.3">
      <c r="A3739" t="s">
        <v>17</v>
      </c>
      <c r="B3739" t="str">
        <f>"600877"</f>
        <v>600877</v>
      </c>
      <c r="C3739" t="s">
        <v>7826</v>
      </c>
      <c r="D3739" t="s">
        <v>232</v>
      </c>
      <c r="F3739">
        <v>-49217493</v>
      </c>
      <c r="G3739">
        <v>68695083</v>
      </c>
      <c r="H3739">
        <v>33816376</v>
      </c>
      <c r="I3739">
        <v>-84971923</v>
      </c>
      <c r="J3739">
        <v>-1419538</v>
      </c>
      <c r="K3739">
        <v>-178055304</v>
      </c>
      <c r="L3739">
        <v>-169538886</v>
      </c>
      <c r="M3739">
        <v>-78158274</v>
      </c>
      <c r="N3739">
        <v>-59849382</v>
      </c>
      <c r="O3739">
        <v>-55986974</v>
      </c>
      <c r="P3739">
        <v>119</v>
      </c>
      <c r="Q3739" t="s">
        <v>7827</v>
      </c>
    </row>
    <row r="3740" spans="1:17" x14ac:dyDescent="0.3">
      <c r="A3740" t="s">
        <v>59</v>
      </c>
      <c r="B3740" t="str">
        <f>"002873"</f>
        <v>002873</v>
      </c>
      <c r="C3740" t="s">
        <v>7828</v>
      </c>
      <c r="D3740" t="s">
        <v>455</v>
      </c>
      <c r="F3740">
        <v>124300304</v>
      </c>
      <c r="G3740">
        <v>175767527</v>
      </c>
      <c r="H3740">
        <v>33728460</v>
      </c>
      <c r="I3740">
        <v>47592579</v>
      </c>
      <c r="J3740">
        <v>62060036</v>
      </c>
      <c r="K3740">
        <v>61343778</v>
      </c>
      <c r="L3740">
        <v>40731172</v>
      </c>
      <c r="M3740">
        <v>37304161</v>
      </c>
      <c r="P3740">
        <v>166</v>
      </c>
      <c r="Q3740" t="s">
        <v>7829</v>
      </c>
    </row>
    <row r="3741" spans="1:17" x14ac:dyDescent="0.3">
      <c r="A3741" t="s">
        <v>17</v>
      </c>
      <c r="B3741" t="str">
        <f>"600259"</f>
        <v>600259</v>
      </c>
      <c r="C3741" t="s">
        <v>7830</v>
      </c>
      <c r="D3741" t="s">
        <v>1865</v>
      </c>
      <c r="F3741">
        <v>533941583</v>
      </c>
      <c r="G3741">
        <v>524940083</v>
      </c>
      <c r="H3741">
        <v>33691741</v>
      </c>
      <c r="I3741">
        <v>88205141</v>
      </c>
      <c r="J3741">
        <v>241452372</v>
      </c>
      <c r="K3741">
        <v>-419171192</v>
      </c>
      <c r="L3741">
        <v>-51378227</v>
      </c>
      <c r="M3741">
        <v>-452928822</v>
      </c>
      <c r="N3741">
        <v>-128244398</v>
      </c>
      <c r="O3741">
        <v>10477052</v>
      </c>
      <c r="P3741">
        <v>221</v>
      </c>
      <c r="Q3741" t="s">
        <v>7831</v>
      </c>
    </row>
    <row r="3742" spans="1:17" x14ac:dyDescent="0.3">
      <c r="A3742" t="s">
        <v>59</v>
      </c>
      <c r="B3742" t="str">
        <f>"003038"</f>
        <v>003038</v>
      </c>
      <c r="C3742" t="s">
        <v>7832</v>
      </c>
      <c r="D3742" t="s">
        <v>238</v>
      </c>
      <c r="F3742">
        <v>-384632166</v>
      </c>
      <c r="G3742">
        <v>50971939</v>
      </c>
      <c r="H3742">
        <v>33627336</v>
      </c>
      <c r="I3742">
        <v>3347740</v>
      </c>
      <c r="J3742">
        <v>26762828</v>
      </c>
      <c r="P3742">
        <v>74</v>
      </c>
      <c r="Q3742" t="s">
        <v>7833</v>
      </c>
    </row>
    <row r="3743" spans="1:17" x14ac:dyDescent="0.3">
      <c r="A3743" t="s">
        <v>59</v>
      </c>
      <c r="B3743" t="str">
        <f>"001266"</f>
        <v>001266</v>
      </c>
      <c r="C3743" t="s">
        <v>7834</v>
      </c>
      <c r="F3743">
        <v>81686835</v>
      </c>
      <c r="G3743">
        <v>63053700</v>
      </c>
      <c r="H3743">
        <v>33450920</v>
      </c>
      <c r="I3743">
        <v>-4520400</v>
      </c>
      <c r="P3743">
        <v>8</v>
      </c>
      <c r="Q3743" t="s">
        <v>7835</v>
      </c>
    </row>
    <row r="3744" spans="1:17" x14ac:dyDescent="0.3">
      <c r="A3744" t="s">
        <v>59</v>
      </c>
      <c r="B3744" t="str">
        <f>"002537"</f>
        <v>002537</v>
      </c>
      <c r="C3744" t="s">
        <v>7836</v>
      </c>
      <c r="D3744" t="s">
        <v>289</v>
      </c>
      <c r="F3744">
        <v>185340587</v>
      </c>
      <c r="G3744">
        <v>369786036</v>
      </c>
      <c r="H3744">
        <v>33364621</v>
      </c>
      <c r="I3744">
        <v>228020044</v>
      </c>
      <c r="J3744">
        <v>-157936812</v>
      </c>
      <c r="K3744">
        <v>433617738</v>
      </c>
      <c r="L3744">
        <v>498370937</v>
      </c>
      <c r="M3744">
        <v>354520592</v>
      </c>
      <c r="N3744">
        <v>1395610</v>
      </c>
      <c r="O3744">
        <v>-193133218</v>
      </c>
      <c r="P3744">
        <v>182</v>
      </c>
      <c r="Q3744" t="s">
        <v>7837</v>
      </c>
    </row>
    <row r="3745" spans="1:17" x14ac:dyDescent="0.3">
      <c r="A3745" t="s">
        <v>17</v>
      </c>
      <c r="B3745" t="str">
        <f>"605166"</f>
        <v>605166</v>
      </c>
      <c r="C3745" t="s">
        <v>7838</v>
      </c>
      <c r="D3745" t="s">
        <v>1219</v>
      </c>
      <c r="F3745">
        <v>265693839</v>
      </c>
      <c r="G3745">
        <v>137540781</v>
      </c>
      <c r="H3745">
        <v>33352249</v>
      </c>
      <c r="I3745">
        <v>58398948</v>
      </c>
      <c r="J3745">
        <v>130159921</v>
      </c>
      <c r="K3745">
        <v>44590315</v>
      </c>
      <c r="P3745">
        <v>68</v>
      </c>
      <c r="Q3745" t="s">
        <v>7839</v>
      </c>
    </row>
    <row r="3746" spans="1:17" x14ac:dyDescent="0.3">
      <c r="A3746" t="s">
        <v>17</v>
      </c>
      <c r="B3746" t="str">
        <f>"603880"</f>
        <v>603880</v>
      </c>
      <c r="C3746" t="s">
        <v>7840</v>
      </c>
      <c r="D3746" t="s">
        <v>1036</v>
      </c>
      <c r="F3746">
        <v>-84252020</v>
      </c>
      <c r="G3746">
        <v>154122593</v>
      </c>
      <c r="H3746">
        <v>32994069</v>
      </c>
      <c r="I3746">
        <v>52749492</v>
      </c>
      <c r="J3746">
        <v>49236926</v>
      </c>
      <c r="K3746">
        <v>99350001</v>
      </c>
      <c r="L3746">
        <v>90664007</v>
      </c>
      <c r="M3746">
        <v>73518726</v>
      </c>
      <c r="P3746">
        <v>125</v>
      </c>
      <c r="Q3746" t="s">
        <v>7841</v>
      </c>
    </row>
    <row r="3747" spans="1:17" x14ac:dyDescent="0.3">
      <c r="A3747" t="s">
        <v>17</v>
      </c>
      <c r="B3747" t="str">
        <f>"900914"</f>
        <v>900914</v>
      </c>
      <c r="C3747" t="s">
        <v>7842</v>
      </c>
      <c r="G3747">
        <v>45353360.289300002</v>
      </c>
      <c r="H3747">
        <v>32964065.259199999</v>
      </c>
      <c r="I3747">
        <v>16811426.295600001</v>
      </c>
      <c r="J3747">
        <v>37320345.139200002</v>
      </c>
      <c r="K3747">
        <v>39057821.855999999</v>
      </c>
      <c r="L3747">
        <v>50521693.222000003</v>
      </c>
      <c r="M3747">
        <v>54704029.062799998</v>
      </c>
      <c r="N3747">
        <v>42695263.010399997</v>
      </c>
      <c r="O3747">
        <v>49900010.145000003</v>
      </c>
      <c r="P3747">
        <v>20</v>
      </c>
      <c r="Q3747" t="s">
        <v>7843</v>
      </c>
    </row>
    <row r="3748" spans="1:17" x14ac:dyDescent="0.3">
      <c r="A3748" t="s">
        <v>59</v>
      </c>
      <c r="B3748" t="str">
        <f>"300539"</f>
        <v>300539</v>
      </c>
      <c r="C3748" t="s">
        <v>7844</v>
      </c>
      <c r="D3748" t="s">
        <v>2104</v>
      </c>
      <c r="F3748">
        <v>75600656</v>
      </c>
      <c r="G3748">
        <v>63627353</v>
      </c>
      <c r="H3748">
        <v>32953201</v>
      </c>
      <c r="I3748">
        <v>6732419</v>
      </c>
      <c r="J3748">
        <v>12268664</v>
      </c>
      <c r="K3748">
        <v>43212372</v>
      </c>
      <c r="L3748">
        <v>49626700</v>
      </c>
      <c r="M3748">
        <v>31239088</v>
      </c>
      <c r="N3748">
        <v>42842540</v>
      </c>
      <c r="P3748">
        <v>84</v>
      </c>
      <c r="Q3748" t="s">
        <v>7845</v>
      </c>
    </row>
    <row r="3749" spans="1:17" x14ac:dyDescent="0.3">
      <c r="A3749" t="s">
        <v>59</v>
      </c>
      <c r="B3749" t="str">
        <f>"301022"</f>
        <v>301022</v>
      </c>
      <c r="C3749" t="s">
        <v>7846</v>
      </c>
      <c r="D3749" t="s">
        <v>1226</v>
      </c>
      <c r="F3749">
        <v>60409129</v>
      </c>
      <c r="G3749">
        <v>39130084</v>
      </c>
      <c r="H3749">
        <v>32857141</v>
      </c>
      <c r="I3749">
        <v>22405787</v>
      </c>
      <c r="J3749">
        <v>44856657</v>
      </c>
      <c r="P3749">
        <v>24</v>
      </c>
      <c r="Q3749" t="s">
        <v>7847</v>
      </c>
    </row>
    <row r="3750" spans="1:17" x14ac:dyDescent="0.3">
      <c r="A3750" t="s">
        <v>59</v>
      </c>
      <c r="B3750" t="str">
        <f>"300899"</f>
        <v>300899</v>
      </c>
      <c r="C3750" t="s">
        <v>7848</v>
      </c>
      <c r="D3750" t="s">
        <v>669</v>
      </c>
      <c r="F3750">
        <v>45976976</v>
      </c>
      <c r="G3750">
        <v>638362</v>
      </c>
      <c r="H3750">
        <v>32796011</v>
      </c>
      <c r="I3750">
        <v>13057487</v>
      </c>
      <c r="J3750">
        <v>-4397894</v>
      </c>
      <c r="K3750">
        <v>26275242</v>
      </c>
      <c r="P3750">
        <v>58</v>
      </c>
      <c r="Q3750" t="s">
        <v>7849</v>
      </c>
    </row>
    <row r="3751" spans="1:17" x14ac:dyDescent="0.3">
      <c r="A3751" t="s">
        <v>17</v>
      </c>
      <c r="B3751" t="str">
        <f>"688189"</f>
        <v>688189</v>
      </c>
      <c r="C3751" t="s">
        <v>7850</v>
      </c>
      <c r="D3751" t="s">
        <v>592</v>
      </c>
      <c r="F3751">
        <v>-63111276</v>
      </c>
      <c r="G3751">
        <v>-290839051</v>
      </c>
      <c r="H3751">
        <v>32558861</v>
      </c>
      <c r="I3751">
        <v>64405849</v>
      </c>
      <c r="J3751">
        <v>70721145</v>
      </c>
      <c r="K3751">
        <v>75345957</v>
      </c>
      <c r="P3751">
        <v>97</v>
      </c>
      <c r="Q3751" t="s">
        <v>7851</v>
      </c>
    </row>
    <row r="3752" spans="1:17" x14ac:dyDescent="0.3">
      <c r="A3752" t="s">
        <v>59</v>
      </c>
      <c r="B3752" t="str">
        <f>"000014"</f>
        <v>000014</v>
      </c>
      <c r="C3752" t="s">
        <v>7852</v>
      </c>
      <c r="D3752" t="s">
        <v>61</v>
      </c>
      <c r="F3752">
        <v>-72482012</v>
      </c>
      <c r="G3752">
        <v>259151612</v>
      </c>
      <c r="H3752">
        <v>32487473</v>
      </c>
      <c r="I3752">
        <v>-118120075</v>
      </c>
      <c r="J3752">
        <v>419223173</v>
      </c>
      <c r="K3752">
        <v>444308245</v>
      </c>
      <c r="L3752">
        <v>39894394</v>
      </c>
      <c r="M3752">
        <v>-321940603</v>
      </c>
      <c r="N3752">
        <v>74199488</v>
      </c>
      <c r="O3752">
        <v>92412304</v>
      </c>
      <c r="P3752">
        <v>96</v>
      </c>
      <c r="Q3752" t="s">
        <v>7853</v>
      </c>
    </row>
    <row r="3753" spans="1:17" x14ac:dyDescent="0.3">
      <c r="A3753" t="s">
        <v>17</v>
      </c>
      <c r="B3753" t="str">
        <f>"688017"</f>
        <v>688017</v>
      </c>
      <c r="C3753" t="s">
        <v>7854</v>
      </c>
      <c r="D3753" t="s">
        <v>3323</v>
      </c>
      <c r="F3753">
        <v>45588086</v>
      </c>
      <c r="G3753">
        <v>125971091</v>
      </c>
      <c r="H3753">
        <v>32477360</v>
      </c>
      <c r="I3753">
        <v>11447025</v>
      </c>
      <c r="J3753">
        <v>345956</v>
      </c>
      <c r="P3753">
        <v>152</v>
      </c>
      <c r="Q3753" t="s">
        <v>7855</v>
      </c>
    </row>
    <row r="3754" spans="1:17" x14ac:dyDescent="0.3">
      <c r="A3754" t="s">
        <v>59</v>
      </c>
      <c r="B3754" t="str">
        <f>"001207"</f>
        <v>001207</v>
      </c>
      <c r="C3754" t="s">
        <v>7856</v>
      </c>
      <c r="D3754" t="s">
        <v>2708</v>
      </c>
      <c r="F3754">
        <v>30034439</v>
      </c>
      <c r="G3754">
        <v>54559947</v>
      </c>
      <c r="H3754">
        <v>32025529</v>
      </c>
      <c r="I3754">
        <v>158405792</v>
      </c>
      <c r="J3754">
        <v>5000299</v>
      </c>
      <c r="P3754">
        <v>25</v>
      </c>
      <c r="Q3754" t="s">
        <v>7857</v>
      </c>
    </row>
    <row r="3755" spans="1:17" x14ac:dyDescent="0.3">
      <c r="A3755" t="s">
        <v>17</v>
      </c>
      <c r="B3755" t="str">
        <f>"600796"</f>
        <v>600796</v>
      </c>
      <c r="C3755" t="s">
        <v>7858</v>
      </c>
      <c r="D3755" t="s">
        <v>1356</v>
      </c>
      <c r="F3755">
        <v>368653556</v>
      </c>
      <c r="G3755">
        <v>80633021</v>
      </c>
      <c r="H3755">
        <v>31935011</v>
      </c>
      <c r="I3755">
        <v>55556575</v>
      </c>
      <c r="J3755">
        <v>59773385</v>
      </c>
      <c r="K3755">
        <v>29755171</v>
      </c>
      <c r="L3755">
        <v>48957317</v>
      </c>
      <c r="M3755">
        <v>62087013</v>
      </c>
      <c r="N3755">
        <v>74767153</v>
      </c>
      <c r="O3755">
        <v>160022804</v>
      </c>
      <c r="P3755">
        <v>74</v>
      </c>
      <c r="Q3755" t="s">
        <v>7859</v>
      </c>
    </row>
    <row r="3756" spans="1:17" x14ac:dyDescent="0.3">
      <c r="A3756" t="s">
        <v>59</v>
      </c>
      <c r="B3756" t="str">
        <f>"301237"</f>
        <v>301237</v>
      </c>
      <c r="C3756" t="s">
        <v>7860</v>
      </c>
      <c r="F3756">
        <v>83800048</v>
      </c>
      <c r="G3756">
        <v>50458987</v>
      </c>
      <c r="H3756">
        <v>31934145</v>
      </c>
      <c r="I3756">
        <v>6973554</v>
      </c>
      <c r="J3756">
        <v>-8619172</v>
      </c>
      <c r="P3756">
        <v>6</v>
      </c>
      <c r="Q3756" t="s">
        <v>7861</v>
      </c>
    </row>
    <row r="3757" spans="1:17" x14ac:dyDescent="0.3">
      <c r="A3757" t="s">
        <v>59</v>
      </c>
      <c r="B3757" t="str">
        <f>"300644"</f>
        <v>300644</v>
      </c>
      <c r="C3757" t="s">
        <v>7862</v>
      </c>
      <c r="D3757" t="s">
        <v>792</v>
      </c>
      <c r="F3757">
        <v>-56504536</v>
      </c>
      <c r="G3757">
        <v>14790485</v>
      </c>
      <c r="H3757">
        <v>31912795</v>
      </c>
      <c r="I3757">
        <v>-25099606</v>
      </c>
      <c r="J3757">
        <v>3793324</v>
      </c>
      <c r="K3757">
        <v>39987283</v>
      </c>
      <c r="L3757">
        <v>54312373</v>
      </c>
      <c r="P3757">
        <v>133</v>
      </c>
      <c r="Q3757" t="s">
        <v>7863</v>
      </c>
    </row>
    <row r="3758" spans="1:17" x14ac:dyDescent="0.3">
      <c r="A3758" t="s">
        <v>17</v>
      </c>
      <c r="B3758" t="str">
        <f>"688178"</f>
        <v>688178</v>
      </c>
      <c r="C3758" t="s">
        <v>7864</v>
      </c>
      <c r="D3758" t="s">
        <v>669</v>
      </c>
      <c r="F3758">
        <v>-26608583</v>
      </c>
      <c r="G3758">
        <v>-104760905</v>
      </c>
      <c r="H3758">
        <v>31863789</v>
      </c>
      <c r="I3758">
        <v>5528610</v>
      </c>
      <c r="J3758">
        <v>-45672775</v>
      </c>
      <c r="K3758">
        <v>7741127</v>
      </c>
      <c r="P3758">
        <v>69</v>
      </c>
      <c r="Q3758" t="s">
        <v>7865</v>
      </c>
    </row>
    <row r="3759" spans="1:17" x14ac:dyDescent="0.3">
      <c r="A3759" t="s">
        <v>59</v>
      </c>
      <c r="B3759" t="str">
        <f>"002107"</f>
        <v>002107</v>
      </c>
      <c r="C3759" t="s">
        <v>7866</v>
      </c>
      <c r="D3759" t="s">
        <v>455</v>
      </c>
      <c r="F3759">
        <v>200119233</v>
      </c>
      <c r="G3759">
        <v>196577976</v>
      </c>
      <c r="H3759">
        <v>31655285</v>
      </c>
      <c r="I3759">
        <v>107883591</v>
      </c>
      <c r="J3759">
        <v>123881287</v>
      </c>
      <c r="K3759">
        <v>72909796</v>
      </c>
      <c r="L3759">
        <v>132819715</v>
      </c>
      <c r="M3759">
        <v>26577327</v>
      </c>
      <c r="N3759">
        <v>15154912</v>
      </c>
      <c r="O3759">
        <v>33858420</v>
      </c>
      <c r="P3759">
        <v>350</v>
      </c>
      <c r="Q3759" t="s">
        <v>7867</v>
      </c>
    </row>
    <row r="3760" spans="1:17" x14ac:dyDescent="0.3">
      <c r="A3760" t="s">
        <v>17</v>
      </c>
      <c r="B3760" t="str">
        <f>"600608"</f>
        <v>600608</v>
      </c>
      <c r="C3760" t="s">
        <v>7868</v>
      </c>
      <c r="D3760" t="s">
        <v>659</v>
      </c>
      <c r="F3760">
        <v>6012210</v>
      </c>
      <c r="G3760">
        <v>-8892785</v>
      </c>
      <c r="H3760">
        <v>31505469</v>
      </c>
      <c r="I3760">
        <v>-23119168</v>
      </c>
      <c r="J3760">
        <v>-144569708</v>
      </c>
      <c r="K3760">
        <v>-57823691</v>
      </c>
      <c r="L3760">
        <v>97175905</v>
      </c>
      <c r="M3760">
        <v>-7812673</v>
      </c>
      <c r="N3760">
        <v>-17363989</v>
      </c>
      <c r="O3760">
        <v>-16420486</v>
      </c>
      <c r="P3760">
        <v>47</v>
      </c>
      <c r="Q3760" t="s">
        <v>7869</v>
      </c>
    </row>
    <row r="3761" spans="1:17" x14ac:dyDescent="0.3">
      <c r="A3761" t="s">
        <v>17</v>
      </c>
      <c r="B3761" t="str">
        <f>"688766"</f>
        <v>688766</v>
      </c>
      <c r="C3761" t="s">
        <v>7870</v>
      </c>
      <c r="D3761" t="s">
        <v>817</v>
      </c>
      <c r="F3761">
        <v>181786419</v>
      </c>
      <c r="G3761">
        <v>-49149995</v>
      </c>
      <c r="H3761">
        <v>31430460</v>
      </c>
      <c r="I3761">
        <v>-19473082</v>
      </c>
      <c r="J3761">
        <v>-9885889</v>
      </c>
      <c r="P3761">
        <v>42</v>
      </c>
      <c r="Q3761" t="s">
        <v>7871</v>
      </c>
    </row>
    <row r="3762" spans="1:17" x14ac:dyDescent="0.3">
      <c r="A3762" t="s">
        <v>17</v>
      </c>
      <c r="B3762" t="str">
        <f>"603861"</f>
        <v>603861</v>
      </c>
      <c r="C3762" t="s">
        <v>7872</v>
      </c>
      <c r="D3762" t="s">
        <v>458</v>
      </c>
      <c r="F3762">
        <v>139213771</v>
      </c>
      <c r="G3762">
        <v>208203940</v>
      </c>
      <c r="H3762">
        <v>31374610</v>
      </c>
      <c r="I3762">
        <v>-141189489</v>
      </c>
      <c r="J3762">
        <v>156764002</v>
      </c>
      <c r="K3762">
        <v>168906447</v>
      </c>
      <c r="L3762">
        <v>181713536</v>
      </c>
      <c r="M3762">
        <v>103142139</v>
      </c>
      <c r="N3762">
        <v>127524541</v>
      </c>
      <c r="P3762">
        <v>109</v>
      </c>
      <c r="Q3762" t="s">
        <v>7873</v>
      </c>
    </row>
    <row r="3763" spans="1:17" x14ac:dyDescent="0.3">
      <c r="A3763" t="s">
        <v>59</v>
      </c>
      <c r="B3763" t="str">
        <f>"301033"</f>
        <v>301033</v>
      </c>
      <c r="C3763" t="s">
        <v>7874</v>
      </c>
      <c r="D3763" t="s">
        <v>1036</v>
      </c>
      <c r="F3763">
        <v>66510692</v>
      </c>
      <c r="G3763">
        <v>33908755</v>
      </c>
      <c r="H3763">
        <v>31272498</v>
      </c>
      <c r="I3763">
        <v>5761117</v>
      </c>
      <c r="J3763">
        <v>5641155</v>
      </c>
      <c r="P3763">
        <v>31</v>
      </c>
      <c r="Q3763" t="s">
        <v>7875</v>
      </c>
    </row>
    <row r="3764" spans="1:17" x14ac:dyDescent="0.3">
      <c r="A3764" t="s">
        <v>17</v>
      </c>
      <c r="B3764" t="str">
        <f>"603138"</f>
        <v>603138</v>
      </c>
      <c r="C3764" t="s">
        <v>7876</v>
      </c>
      <c r="D3764" t="s">
        <v>1189</v>
      </c>
      <c r="F3764">
        <v>-17921943</v>
      </c>
      <c r="G3764">
        <v>85446289</v>
      </c>
      <c r="H3764">
        <v>31161194</v>
      </c>
      <c r="I3764">
        <v>77147090</v>
      </c>
      <c r="J3764">
        <v>19539440</v>
      </c>
      <c r="K3764">
        <v>43792235</v>
      </c>
      <c r="L3764">
        <v>46103625</v>
      </c>
      <c r="M3764">
        <v>11700592</v>
      </c>
      <c r="P3764">
        <v>147</v>
      </c>
      <c r="Q3764" t="s">
        <v>7877</v>
      </c>
    </row>
    <row r="3765" spans="1:17" x14ac:dyDescent="0.3">
      <c r="A3765" t="s">
        <v>59</v>
      </c>
      <c r="B3765" t="str">
        <f>"002021"</f>
        <v>002021</v>
      </c>
      <c r="C3765" t="s">
        <v>7878</v>
      </c>
      <c r="D3765" t="s">
        <v>3970</v>
      </c>
      <c r="F3765">
        <v>214077477</v>
      </c>
      <c r="G3765">
        <v>-36379808</v>
      </c>
      <c r="H3765">
        <v>31137146</v>
      </c>
      <c r="I3765">
        <v>19139833</v>
      </c>
      <c r="J3765">
        <v>42622805</v>
      </c>
      <c r="K3765">
        <v>-4213538</v>
      </c>
      <c r="L3765">
        <v>-88341677</v>
      </c>
      <c r="M3765">
        <v>336700835</v>
      </c>
      <c r="N3765">
        <v>55672876</v>
      </c>
      <c r="O3765">
        <v>16709741</v>
      </c>
      <c r="P3765">
        <v>57</v>
      </c>
      <c r="Q3765" t="s">
        <v>7879</v>
      </c>
    </row>
    <row r="3766" spans="1:17" x14ac:dyDescent="0.3">
      <c r="A3766" t="s">
        <v>17</v>
      </c>
      <c r="B3766" t="str">
        <f>"600746"</f>
        <v>600746</v>
      </c>
      <c r="C3766" t="s">
        <v>7880</v>
      </c>
      <c r="D3766" t="s">
        <v>611</v>
      </c>
      <c r="F3766">
        <v>2341650769</v>
      </c>
      <c r="G3766">
        <v>753972160</v>
      </c>
      <c r="H3766">
        <v>31089146</v>
      </c>
      <c r="I3766">
        <v>-21884590</v>
      </c>
      <c r="J3766">
        <v>-15576689</v>
      </c>
      <c r="K3766">
        <v>179322230</v>
      </c>
      <c r="L3766">
        <v>17864831</v>
      </c>
      <c r="M3766">
        <v>39615381</v>
      </c>
      <c r="N3766">
        <v>65070094</v>
      </c>
      <c r="O3766">
        <v>61461634</v>
      </c>
      <c r="P3766">
        <v>230</v>
      </c>
      <c r="Q3766" t="s">
        <v>7881</v>
      </c>
    </row>
    <row r="3767" spans="1:17" x14ac:dyDescent="0.3">
      <c r="A3767" t="s">
        <v>17</v>
      </c>
      <c r="B3767" t="str">
        <f>"688255"</f>
        <v>688255</v>
      </c>
      <c r="C3767" t="s">
        <v>7882</v>
      </c>
      <c r="D3767" t="s">
        <v>3323</v>
      </c>
      <c r="F3767">
        <v>-18048426</v>
      </c>
      <c r="G3767">
        <v>74808256</v>
      </c>
      <c r="H3767">
        <v>31053252</v>
      </c>
      <c r="I3767">
        <v>57910602</v>
      </c>
      <c r="J3767">
        <v>8325112</v>
      </c>
      <c r="P3767">
        <v>19</v>
      </c>
      <c r="Q3767" t="s">
        <v>7883</v>
      </c>
    </row>
    <row r="3768" spans="1:17" x14ac:dyDescent="0.3">
      <c r="A3768" t="s">
        <v>59</v>
      </c>
      <c r="B3768" t="str">
        <f>"300492"</f>
        <v>300492</v>
      </c>
      <c r="C3768" t="s">
        <v>7884</v>
      </c>
      <c r="D3768" t="s">
        <v>2254</v>
      </c>
      <c r="F3768">
        <v>2825688</v>
      </c>
      <c r="G3768">
        <v>12266612</v>
      </c>
      <c r="H3768">
        <v>31042147</v>
      </c>
      <c r="I3768">
        <v>87018747</v>
      </c>
      <c r="J3768">
        <v>14869806</v>
      </c>
      <c r="K3768">
        <v>871343</v>
      </c>
      <c r="L3768">
        <v>9290595</v>
      </c>
      <c r="M3768">
        <v>-18766507</v>
      </c>
      <c r="N3768">
        <v>54103679</v>
      </c>
      <c r="O3768">
        <v>34204009</v>
      </c>
      <c r="P3768">
        <v>94</v>
      </c>
      <c r="Q3768" t="s">
        <v>7885</v>
      </c>
    </row>
    <row r="3769" spans="1:17" x14ac:dyDescent="0.3">
      <c r="A3769" t="s">
        <v>59</v>
      </c>
      <c r="B3769" t="str">
        <f>"300535"</f>
        <v>300535</v>
      </c>
      <c r="C3769" t="s">
        <v>7886</v>
      </c>
      <c r="D3769" t="s">
        <v>1252</v>
      </c>
      <c r="F3769">
        <v>53586543</v>
      </c>
      <c r="G3769">
        <v>-27346796</v>
      </c>
      <c r="H3769">
        <v>30985071</v>
      </c>
      <c r="I3769">
        <v>-776833</v>
      </c>
      <c r="J3769">
        <v>15010779</v>
      </c>
      <c r="K3769">
        <v>48602872</v>
      </c>
      <c r="L3769">
        <v>68725022</v>
      </c>
      <c r="M3769">
        <v>19347088</v>
      </c>
      <c r="N3769">
        <v>12558545</v>
      </c>
      <c r="P3769">
        <v>73</v>
      </c>
      <c r="Q3769" t="s">
        <v>7887</v>
      </c>
    </row>
    <row r="3770" spans="1:17" x14ac:dyDescent="0.3">
      <c r="A3770" t="s">
        <v>17</v>
      </c>
      <c r="B3770" t="str">
        <f>"688070"</f>
        <v>688070</v>
      </c>
      <c r="C3770" t="s">
        <v>7888</v>
      </c>
      <c r="D3770" t="s">
        <v>448</v>
      </c>
      <c r="F3770">
        <v>-83530450</v>
      </c>
      <c r="G3770">
        <v>-22156071</v>
      </c>
      <c r="H3770">
        <v>30946365</v>
      </c>
      <c r="I3770">
        <v>8530445</v>
      </c>
      <c r="J3770">
        <v>29112313</v>
      </c>
      <c r="P3770">
        <v>43</v>
      </c>
      <c r="Q3770" t="s">
        <v>7889</v>
      </c>
    </row>
    <row r="3771" spans="1:17" x14ac:dyDescent="0.3">
      <c r="A3771" t="s">
        <v>59</v>
      </c>
      <c r="B3771" t="str">
        <f>"300629"</f>
        <v>300629</v>
      </c>
      <c r="C3771" t="s">
        <v>7890</v>
      </c>
      <c r="D3771" t="s">
        <v>1636</v>
      </c>
      <c r="F3771">
        <v>142961483</v>
      </c>
      <c r="G3771">
        <v>112502105</v>
      </c>
      <c r="H3771">
        <v>30937938</v>
      </c>
      <c r="I3771">
        <v>-46154435</v>
      </c>
      <c r="J3771">
        <v>14649203</v>
      </c>
      <c r="K3771">
        <v>20719927</v>
      </c>
      <c r="L3771">
        <v>24586313</v>
      </c>
      <c r="M3771">
        <v>46963708</v>
      </c>
      <c r="N3771">
        <v>536439</v>
      </c>
      <c r="P3771">
        <v>65</v>
      </c>
      <c r="Q3771" t="s">
        <v>7891</v>
      </c>
    </row>
    <row r="3772" spans="1:17" x14ac:dyDescent="0.3">
      <c r="A3772" t="s">
        <v>17</v>
      </c>
      <c r="B3772" t="str">
        <f>"688117"</f>
        <v>688117</v>
      </c>
      <c r="C3772" t="s">
        <v>7892</v>
      </c>
      <c r="D3772" t="s">
        <v>592</v>
      </c>
      <c r="F3772">
        <v>52414166</v>
      </c>
      <c r="G3772">
        <v>80844229</v>
      </c>
      <c r="H3772">
        <v>30919618</v>
      </c>
      <c r="I3772">
        <v>66229460</v>
      </c>
      <c r="J3772">
        <v>58221708</v>
      </c>
      <c r="P3772">
        <v>29</v>
      </c>
      <c r="Q3772" t="s">
        <v>7893</v>
      </c>
    </row>
    <row r="3773" spans="1:17" x14ac:dyDescent="0.3">
      <c r="A3773" t="s">
        <v>59</v>
      </c>
      <c r="B3773" t="str">
        <f>"300264"</f>
        <v>300264</v>
      </c>
      <c r="C3773" t="s">
        <v>7894</v>
      </c>
      <c r="D3773" t="s">
        <v>1189</v>
      </c>
      <c r="F3773">
        <v>-27696950</v>
      </c>
      <c r="G3773">
        <v>-16025306</v>
      </c>
      <c r="H3773">
        <v>30911446</v>
      </c>
      <c r="I3773">
        <v>-85349653</v>
      </c>
      <c r="J3773">
        <v>-108467914</v>
      </c>
      <c r="K3773">
        <v>22373796</v>
      </c>
      <c r="L3773">
        <v>-1295891</v>
      </c>
      <c r="M3773">
        <v>11286071</v>
      </c>
      <c r="N3773">
        <v>60578952</v>
      </c>
      <c r="O3773">
        <v>-27096227</v>
      </c>
      <c r="P3773">
        <v>132</v>
      </c>
      <c r="Q3773" t="s">
        <v>7895</v>
      </c>
    </row>
    <row r="3774" spans="1:17" x14ac:dyDescent="0.3">
      <c r="A3774" t="s">
        <v>59</v>
      </c>
      <c r="B3774" t="str">
        <f>"002881"</f>
        <v>002881</v>
      </c>
      <c r="C3774" t="s">
        <v>7896</v>
      </c>
      <c r="D3774" t="s">
        <v>349</v>
      </c>
      <c r="F3774">
        <v>-199608827</v>
      </c>
      <c r="G3774">
        <v>68445142</v>
      </c>
      <c r="H3774">
        <v>30851864</v>
      </c>
      <c r="I3774">
        <v>36700308</v>
      </c>
      <c r="J3774">
        <v>-16962893</v>
      </c>
      <c r="K3774">
        <v>3395055</v>
      </c>
      <c r="L3774">
        <v>1575086</v>
      </c>
      <c r="M3774">
        <v>11818920</v>
      </c>
      <c r="P3774">
        <v>240</v>
      </c>
      <c r="Q3774" t="s">
        <v>7897</v>
      </c>
    </row>
    <row r="3775" spans="1:17" x14ac:dyDescent="0.3">
      <c r="A3775" t="s">
        <v>17</v>
      </c>
      <c r="B3775" t="str">
        <f>"688080"</f>
        <v>688080</v>
      </c>
      <c r="C3775" t="s">
        <v>7898</v>
      </c>
      <c r="D3775" t="s">
        <v>1138</v>
      </c>
      <c r="F3775">
        <v>38537423</v>
      </c>
      <c r="G3775">
        <v>69470218</v>
      </c>
      <c r="H3775">
        <v>30786101</v>
      </c>
      <c r="I3775">
        <v>34133004</v>
      </c>
      <c r="J3775">
        <v>-24715527</v>
      </c>
      <c r="K3775">
        <v>461731</v>
      </c>
      <c r="P3775">
        <v>87</v>
      </c>
      <c r="Q3775" t="s">
        <v>7899</v>
      </c>
    </row>
    <row r="3776" spans="1:17" x14ac:dyDescent="0.3">
      <c r="A3776" t="s">
        <v>17</v>
      </c>
      <c r="B3776" t="str">
        <f>"688301"</f>
        <v>688301</v>
      </c>
      <c r="C3776" t="s">
        <v>7900</v>
      </c>
      <c r="D3776" t="s">
        <v>485</v>
      </c>
      <c r="F3776">
        <v>248017800</v>
      </c>
      <c r="G3776">
        <v>262324509</v>
      </c>
      <c r="H3776">
        <v>30776068</v>
      </c>
      <c r="I3776">
        <v>19292459</v>
      </c>
      <c r="J3776">
        <v>101682742</v>
      </c>
      <c r="P3776">
        <v>178</v>
      </c>
      <c r="Q3776" t="s">
        <v>7901</v>
      </c>
    </row>
    <row r="3777" spans="1:17" x14ac:dyDescent="0.3">
      <c r="A3777" t="s">
        <v>17</v>
      </c>
      <c r="B3777" t="str">
        <f>"688768"</f>
        <v>688768</v>
      </c>
      <c r="C3777" t="s">
        <v>7902</v>
      </c>
      <c r="D3777" t="s">
        <v>2382</v>
      </c>
      <c r="F3777">
        <v>31658076</v>
      </c>
      <c r="G3777">
        <v>18973728</v>
      </c>
      <c r="H3777">
        <v>30723011</v>
      </c>
      <c r="I3777">
        <v>-6097471</v>
      </c>
      <c r="J3777">
        <v>161549</v>
      </c>
      <c r="P3777">
        <v>30</v>
      </c>
      <c r="Q3777" t="s">
        <v>7903</v>
      </c>
    </row>
    <row r="3778" spans="1:17" x14ac:dyDescent="0.3">
      <c r="A3778" t="s">
        <v>17</v>
      </c>
      <c r="B3778" t="str">
        <f>"603133"</f>
        <v>603133</v>
      </c>
      <c r="C3778" t="s">
        <v>7904</v>
      </c>
      <c r="D3778" t="s">
        <v>349</v>
      </c>
      <c r="F3778">
        <v>-24701131</v>
      </c>
      <c r="G3778">
        <v>65608236</v>
      </c>
      <c r="H3778">
        <v>30654394</v>
      </c>
      <c r="I3778">
        <v>48338324</v>
      </c>
      <c r="J3778">
        <v>57740031</v>
      </c>
      <c r="K3778">
        <v>119218946</v>
      </c>
      <c r="L3778">
        <v>87613301</v>
      </c>
      <c r="M3778">
        <v>114196824</v>
      </c>
      <c r="P3778">
        <v>138</v>
      </c>
      <c r="Q3778" t="s">
        <v>7905</v>
      </c>
    </row>
    <row r="3779" spans="1:17" x14ac:dyDescent="0.3">
      <c r="A3779" t="s">
        <v>59</v>
      </c>
      <c r="B3779" t="str">
        <f>"300421"</f>
        <v>300421</v>
      </c>
      <c r="C3779" t="s">
        <v>7906</v>
      </c>
      <c r="D3779" t="s">
        <v>637</v>
      </c>
      <c r="F3779">
        <v>20546581</v>
      </c>
      <c r="G3779">
        <v>86968837</v>
      </c>
      <c r="H3779">
        <v>30638416</v>
      </c>
      <c r="I3779">
        <v>50891621</v>
      </c>
      <c r="J3779">
        <v>47561502</v>
      </c>
      <c r="K3779">
        <v>33427869</v>
      </c>
      <c r="L3779">
        <v>-6546778</v>
      </c>
      <c r="M3779">
        <v>71069527</v>
      </c>
      <c r="N3779">
        <v>33285619</v>
      </c>
      <c r="O3779">
        <v>80490141</v>
      </c>
      <c r="P3779">
        <v>108</v>
      </c>
      <c r="Q3779" t="s">
        <v>7907</v>
      </c>
    </row>
    <row r="3780" spans="1:17" x14ac:dyDescent="0.3">
      <c r="A3780" t="s">
        <v>17</v>
      </c>
      <c r="B3780" t="str">
        <f>"688156"</f>
        <v>688156</v>
      </c>
      <c r="C3780" t="s">
        <v>7908</v>
      </c>
      <c r="D3780" t="s">
        <v>894</v>
      </c>
      <c r="F3780">
        <v>44812669</v>
      </c>
      <c r="G3780">
        <v>23528355</v>
      </c>
      <c r="H3780">
        <v>30499118</v>
      </c>
      <c r="I3780">
        <v>69257403</v>
      </c>
      <c r="J3780">
        <v>49498390</v>
      </c>
      <c r="K3780">
        <v>23063449</v>
      </c>
      <c r="P3780">
        <v>41</v>
      </c>
      <c r="Q3780" t="s">
        <v>7909</v>
      </c>
    </row>
    <row r="3781" spans="1:17" x14ac:dyDescent="0.3">
      <c r="A3781" t="s">
        <v>59</v>
      </c>
      <c r="B3781" t="str">
        <f>"300557"</f>
        <v>300557</v>
      </c>
      <c r="C3781" t="s">
        <v>7910</v>
      </c>
      <c r="D3781" t="s">
        <v>2382</v>
      </c>
      <c r="F3781">
        <v>11536101</v>
      </c>
      <c r="G3781">
        <v>23901129</v>
      </c>
      <c r="H3781">
        <v>30452791</v>
      </c>
      <c r="I3781">
        <v>42957057</v>
      </c>
      <c r="J3781">
        <v>-92540931</v>
      </c>
      <c r="K3781">
        <v>28314843</v>
      </c>
      <c r="L3781">
        <v>24964592</v>
      </c>
      <c r="M3781">
        <v>16011781</v>
      </c>
      <c r="N3781">
        <v>32846530</v>
      </c>
      <c r="P3781">
        <v>61</v>
      </c>
      <c r="Q3781" t="s">
        <v>7911</v>
      </c>
    </row>
    <row r="3782" spans="1:17" x14ac:dyDescent="0.3">
      <c r="A3782" t="s">
        <v>59</v>
      </c>
      <c r="B3782" t="str">
        <f>"300591"</f>
        <v>300591</v>
      </c>
      <c r="C3782" t="s">
        <v>7912</v>
      </c>
      <c r="D3782" t="s">
        <v>3416</v>
      </c>
      <c r="F3782">
        <v>76826619</v>
      </c>
      <c r="G3782">
        <v>-4495281</v>
      </c>
      <c r="H3782">
        <v>30402149</v>
      </c>
      <c r="I3782">
        <v>-87726059</v>
      </c>
      <c r="J3782">
        <v>-259386742</v>
      </c>
      <c r="K3782">
        <v>67665522</v>
      </c>
      <c r="L3782">
        <v>112348217</v>
      </c>
      <c r="M3782">
        <v>-10092760</v>
      </c>
      <c r="N3782">
        <v>2825583</v>
      </c>
      <c r="P3782">
        <v>88</v>
      </c>
      <c r="Q3782" t="s">
        <v>7913</v>
      </c>
    </row>
    <row r="3783" spans="1:17" x14ac:dyDescent="0.3">
      <c r="A3783" t="s">
        <v>59</v>
      </c>
      <c r="B3783" t="str">
        <f>"300045"</f>
        <v>300045</v>
      </c>
      <c r="C3783" t="s">
        <v>7914</v>
      </c>
      <c r="D3783" t="s">
        <v>1983</v>
      </c>
      <c r="F3783">
        <v>108111913</v>
      </c>
      <c r="G3783">
        <v>109625323</v>
      </c>
      <c r="H3783">
        <v>30388446</v>
      </c>
      <c r="I3783">
        <v>7400459</v>
      </c>
      <c r="J3783">
        <v>-90453103</v>
      </c>
      <c r="K3783">
        <v>27344957</v>
      </c>
      <c r="L3783">
        <v>-29125795</v>
      </c>
      <c r="M3783">
        <v>10031968</v>
      </c>
      <c r="N3783">
        <v>-15469072</v>
      </c>
      <c r="O3783">
        <v>16951487</v>
      </c>
      <c r="P3783">
        <v>158</v>
      </c>
      <c r="Q3783" t="s">
        <v>7915</v>
      </c>
    </row>
    <row r="3784" spans="1:17" x14ac:dyDescent="0.3">
      <c r="A3784" t="s">
        <v>17</v>
      </c>
      <c r="B3784" t="str">
        <f>"603709"</f>
        <v>603709</v>
      </c>
      <c r="C3784" t="s">
        <v>7916</v>
      </c>
      <c r="D3784" t="s">
        <v>972</v>
      </c>
      <c r="F3784">
        <v>33574506</v>
      </c>
      <c r="G3784">
        <v>37944852</v>
      </c>
      <c r="H3784">
        <v>30347198</v>
      </c>
      <c r="I3784">
        <v>65341164</v>
      </c>
      <c r="J3784">
        <v>105479575</v>
      </c>
      <c r="K3784">
        <v>107879856</v>
      </c>
      <c r="L3784">
        <v>92210479</v>
      </c>
      <c r="M3784">
        <v>43208375</v>
      </c>
      <c r="P3784">
        <v>99</v>
      </c>
      <c r="Q3784" t="s">
        <v>7917</v>
      </c>
    </row>
    <row r="3785" spans="1:17" x14ac:dyDescent="0.3">
      <c r="A3785" t="s">
        <v>59</v>
      </c>
      <c r="B3785" t="str">
        <f>"301169"</f>
        <v>301169</v>
      </c>
      <c r="C3785" t="s">
        <v>7918</v>
      </c>
      <c r="D3785" t="s">
        <v>5532</v>
      </c>
      <c r="F3785">
        <v>7411051</v>
      </c>
      <c r="G3785">
        <v>50721050</v>
      </c>
      <c r="H3785">
        <v>30333314</v>
      </c>
      <c r="I3785">
        <v>19581414</v>
      </c>
      <c r="J3785">
        <v>35569738</v>
      </c>
      <c r="P3785">
        <v>15</v>
      </c>
      <c r="Q3785" t="s">
        <v>7919</v>
      </c>
    </row>
    <row r="3786" spans="1:17" x14ac:dyDescent="0.3">
      <c r="A3786" t="s">
        <v>17</v>
      </c>
      <c r="B3786" t="str">
        <f>"900927"</f>
        <v>900927</v>
      </c>
      <c r="C3786" t="s">
        <v>7920</v>
      </c>
      <c r="G3786">
        <v>31114286.8968</v>
      </c>
      <c r="H3786">
        <v>30300790.5876</v>
      </c>
      <c r="I3786">
        <v>-22936577.375</v>
      </c>
      <c r="J3786">
        <v>10778793.6768</v>
      </c>
      <c r="K3786">
        <v>-31451912.063999999</v>
      </c>
      <c r="L3786">
        <v>41616614.732000001</v>
      </c>
      <c r="M3786">
        <v>77350010.852400005</v>
      </c>
      <c r="N3786">
        <v>214035835.88800001</v>
      </c>
      <c r="O3786">
        <v>-201289589.25150001</v>
      </c>
      <c r="P3786">
        <v>5</v>
      </c>
      <c r="Q3786" t="s">
        <v>7921</v>
      </c>
    </row>
    <row r="3787" spans="1:17" x14ac:dyDescent="0.3">
      <c r="A3787" t="s">
        <v>17</v>
      </c>
      <c r="B3787" t="str">
        <f>"600712"</f>
        <v>600712</v>
      </c>
      <c r="C3787" t="s">
        <v>7922</v>
      </c>
      <c r="D3787" t="s">
        <v>1361</v>
      </c>
      <c r="F3787">
        <v>-15471509</v>
      </c>
      <c r="G3787">
        <v>17926830</v>
      </c>
      <c r="H3787">
        <v>30219821</v>
      </c>
      <c r="I3787">
        <v>-56475489</v>
      </c>
      <c r="J3787">
        <v>-163603705</v>
      </c>
      <c r="K3787">
        <v>155578009</v>
      </c>
      <c r="L3787">
        <v>91024890</v>
      </c>
      <c r="M3787">
        <v>-204634549</v>
      </c>
      <c r="N3787">
        <v>81509772</v>
      </c>
      <c r="O3787">
        <v>-3985310</v>
      </c>
      <c r="P3787">
        <v>87</v>
      </c>
      <c r="Q3787" t="s">
        <v>7923</v>
      </c>
    </row>
    <row r="3788" spans="1:17" x14ac:dyDescent="0.3">
      <c r="A3788" t="s">
        <v>59</v>
      </c>
      <c r="B3788" t="str">
        <f>"002843"</f>
        <v>002843</v>
      </c>
      <c r="C3788" t="s">
        <v>7924</v>
      </c>
      <c r="D3788" t="s">
        <v>637</v>
      </c>
      <c r="F3788">
        <v>175510089</v>
      </c>
      <c r="G3788">
        <v>84841967</v>
      </c>
      <c r="H3788">
        <v>30193784</v>
      </c>
      <c r="I3788">
        <v>71570005</v>
      </c>
      <c r="J3788">
        <v>90878270</v>
      </c>
      <c r="K3788">
        <v>85324690</v>
      </c>
      <c r="L3788">
        <v>90021836</v>
      </c>
      <c r="M3788">
        <v>96649920</v>
      </c>
      <c r="N3788">
        <v>64291431</v>
      </c>
      <c r="P3788">
        <v>74</v>
      </c>
      <c r="Q3788" t="s">
        <v>7925</v>
      </c>
    </row>
    <row r="3789" spans="1:17" x14ac:dyDescent="0.3">
      <c r="A3789" t="s">
        <v>59</v>
      </c>
      <c r="B3789" t="str">
        <f>"000010"</f>
        <v>000010</v>
      </c>
      <c r="C3789" t="s">
        <v>7926</v>
      </c>
      <c r="D3789" t="s">
        <v>1489</v>
      </c>
      <c r="F3789">
        <v>-55295848</v>
      </c>
      <c r="G3789">
        <v>-360797902</v>
      </c>
      <c r="H3789">
        <v>30170445</v>
      </c>
      <c r="I3789">
        <v>-238431968</v>
      </c>
      <c r="J3789">
        <v>564162715</v>
      </c>
      <c r="K3789">
        <v>-81009787</v>
      </c>
      <c r="L3789">
        <v>-388026037</v>
      </c>
      <c r="M3789">
        <v>-120689306</v>
      </c>
      <c r="N3789">
        <v>4239215</v>
      </c>
      <c r="O3789">
        <v>-2202267</v>
      </c>
      <c r="P3789">
        <v>93</v>
      </c>
      <c r="Q3789" t="s">
        <v>7927</v>
      </c>
    </row>
    <row r="3790" spans="1:17" x14ac:dyDescent="0.3">
      <c r="A3790" t="s">
        <v>59</v>
      </c>
      <c r="B3790" t="str">
        <f>"300615"</f>
        <v>300615</v>
      </c>
      <c r="C3790" t="s">
        <v>7928</v>
      </c>
      <c r="D3790" t="s">
        <v>1650</v>
      </c>
      <c r="F3790">
        <v>26118055</v>
      </c>
      <c r="G3790">
        <v>39226857</v>
      </c>
      <c r="H3790">
        <v>29931432</v>
      </c>
      <c r="I3790">
        <v>-6923885</v>
      </c>
      <c r="J3790">
        <v>43392186</v>
      </c>
      <c r="K3790">
        <v>33644861</v>
      </c>
      <c r="L3790">
        <v>73427080</v>
      </c>
      <c r="M3790">
        <v>79479266</v>
      </c>
      <c r="N3790">
        <v>45357924</v>
      </c>
      <c r="P3790">
        <v>156</v>
      </c>
      <c r="Q3790" t="s">
        <v>7929</v>
      </c>
    </row>
    <row r="3791" spans="1:17" x14ac:dyDescent="0.3">
      <c r="A3791" t="s">
        <v>17</v>
      </c>
      <c r="B3791" t="str">
        <f>"603580"</f>
        <v>603580</v>
      </c>
      <c r="C3791" t="s">
        <v>7930</v>
      </c>
      <c r="D3791" t="s">
        <v>2104</v>
      </c>
      <c r="F3791">
        <v>28010112</v>
      </c>
      <c r="G3791">
        <v>19345881</v>
      </c>
      <c r="H3791">
        <v>29906305</v>
      </c>
      <c r="I3791">
        <v>31170248</v>
      </c>
      <c r="J3791">
        <v>30270383</v>
      </c>
      <c r="K3791">
        <v>32585106</v>
      </c>
      <c r="L3791">
        <v>35562094</v>
      </c>
      <c r="M3791">
        <v>35225987</v>
      </c>
      <c r="P3791">
        <v>57</v>
      </c>
      <c r="Q3791" t="s">
        <v>7931</v>
      </c>
    </row>
    <row r="3792" spans="1:17" x14ac:dyDescent="0.3">
      <c r="A3792" t="s">
        <v>17</v>
      </c>
      <c r="B3792" t="str">
        <f>"605081"</f>
        <v>605081</v>
      </c>
      <c r="C3792" t="s">
        <v>7932</v>
      </c>
      <c r="D3792" t="s">
        <v>669</v>
      </c>
      <c r="F3792">
        <v>-128410994</v>
      </c>
      <c r="G3792">
        <v>22498067</v>
      </c>
      <c r="H3792">
        <v>29861920</v>
      </c>
      <c r="I3792">
        <v>14354707</v>
      </c>
      <c r="J3792">
        <v>54261116</v>
      </c>
      <c r="K3792">
        <v>-26721898</v>
      </c>
      <c r="P3792">
        <v>30</v>
      </c>
      <c r="Q3792" t="s">
        <v>7933</v>
      </c>
    </row>
    <row r="3793" spans="1:17" x14ac:dyDescent="0.3">
      <c r="A3793" t="s">
        <v>59</v>
      </c>
      <c r="B3793" t="str">
        <f>"300143"</f>
        <v>300143</v>
      </c>
      <c r="C3793" t="s">
        <v>7934</v>
      </c>
      <c r="D3793" t="s">
        <v>999</v>
      </c>
      <c r="F3793">
        <v>125613691</v>
      </c>
      <c r="G3793">
        <v>88108953</v>
      </c>
      <c r="H3793">
        <v>29779972</v>
      </c>
      <c r="I3793">
        <v>99688126</v>
      </c>
      <c r="J3793">
        <v>166821077</v>
      </c>
      <c r="K3793">
        <v>44617472</v>
      </c>
      <c r="L3793">
        <v>52372614</v>
      </c>
      <c r="M3793">
        <v>21248174</v>
      </c>
      <c r="N3793">
        <v>13600812</v>
      </c>
      <c r="O3793">
        <v>27059742</v>
      </c>
      <c r="P3793">
        <v>150</v>
      </c>
      <c r="Q3793" t="s">
        <v>7935</v>
      </c>
    </row>
    <row r="3794" spans="1:17" x14ac:dyDescent="0.3">
      <c r="A3794" t="s">
        <v>17</v>
      </c>
      <c r="B3794" t="str">
        <f>"688330"</f>
        <v>688330</v>
      </c>
      <c r="C3794" t="s">
        <v>7936</v>
      </c>
      <c r="D3794" t="s">
        <v>494</v>
      </c>
      <c r="F3794">
        <v>42211592</v>
      </c>
      <c r="G3794">
        <v>70963892</v>
      </c>
      <c r="H3794">
        <v>29654677</v>
      </c>
      <c r="I3794">
        <v>217627748</v>
      </c>
      <c r="J3794">
        <v>50126568</v>
      </c>
      <c r="K3794">
        <v>24834909</v>
      </c>
      <c r="P3794">
        <v>90</v>
      </c>
      <c r="Q3794" t="s">
        <v>7937</v>
      </c>
    </row>
    <row r="3795" spans="1:17" x14ac:dyDescent="0.3">
      <c r="A3795" t="s">
        <v>59</v>
      </c>
      <c r="B3795" t="str">
        <f>"301031"</f>
        <v>301031</v>
      </c>
      <c r="C3795" t="s">
        <v>7938</v>
      </c>
      <c r="D3795" t="s">
        <v>595</v>
      </c>
      <c r="F3795">
        <v>25069510</v>
      </c>
      <c r="G3795">
        <v>22549647</v>
      </c>
      <c r="H3795">
        <v>29496801</v>
      </c>
      <c r="I3795">
        <v>9341146</v>
      </c>
      <c r="J3795">
        <v>-754734</v>
      </c>
      <c r="P3795">
        <v>77</v>
      </c>
      <c r="Q3795" t="s">
        <v>7939</v>
      </c>
    </row>
    <row r="3796" spans="1:17" x14ac:dyDescent="0.3">
      <c r="A3796" t="s">
        <v>59</v>
      </c>
      <c r="B3796" t="str">
        <f>"300526"</f>
        <v>300526</v>
      </c>
      <c r="C3796" t="s">
        <v>7940</v>
      </c>
      <c r="D3796" t="s">
        <v>3416</v>
      </c>
      <c r="F3796">
        <v>-822113</v>
      </c>
      <c r="G3796">
        <v>2241757</v>
      </c>
      <c r="H3796">
        <v>29246571</v>
      </c>
      <c r="I3796">
        <v>125963611</v>
      </c>
      <c r="J3796">
        <v>79202434</v>
      </c>
      <c r="K3796">
        <v>5755982</v>
      </c>
      <c r="L3796">
        <v>108611919</v>
      </c>
      <c r="M3796">
        <v>51171120</v>
      </c>
      <c r="N3796">
        <v>32827893</v>
      </c>
      <c r="P3796">
        <v>104</v>
      </c>
      <c r="Q3796" t="s">
        <v>7941</v>
      </c>
    </row>
    <row r="3797" spans="1:17" x14ac:dyDescent="0.3">
      <c r="A3797" t="s">
        <v>17</v>
      </c>
      <c r="B3797" t="str">
        <f>"688636"</f>
        <v>688636</v>
      </c>
      <c r="C3797" t="s">
        <v>7942</v>
      </c>
      <c r="D3797" t="s">
        <v>1983</v>
      </c>
      <c r="F3797">
        <v>67441085</v>
      </c>
      <c r="G3797">
        <v>28681902</v>
      </c>
      <c r="H3797">
        <v>29234701</v>
      </c>
      <c r="I3797">
        <v>34657017</v>
      </c>
      <c r="J3797">
        <v>3717511</v>
      </c>
      <c r="P3797">
        <v>32</v>
      </c>
      <c r="Q3797" t="s">
        <v>7943</v>
      </c>
    </row>
    <row r="3798" spans="1:17" x14ac:dyDescent="0.3">
      <c r="A3798" t="s">
        <v>59</v>
      </c>
      <c r="B3798" t="str">
        <f>"000590"</f>
        <v>000590</v>
      </c>
      <c r="C3798" t="s">
        <v>7944</v>
      </c>
      <c r="D3798" t="s">
        <v>455</v>
      </c>
      <c r="F3798">
        <v>25196297</v>
      </c>
      <c r="G3798">
        <v>51480580</v>
      </c>
      <c r="H3798">
        <v>29208436</v>
      </c>
      <c r="I3798">
        <v>654237</v>
      </c>
      <c r="J3798">
        <v>-89144168</v>
      </c>
      <c r="K3798">
        <v>-32513859</v>
      </c>
      <c r="L3798">
        <v>-60559967</v>
      </c>
      <c r="M3798">
        <v>-50908087</v>
      </c>
      <c r="N3798">
        <v>4122159</v>
      </c>
      <c r="O3798">
        <v>19746061</v>
      </c>
      <c r="P3798">
        <v>148</v>
      </c>
      <c r="Q3798" t="s">
        <v>7945</v>
      </c>
    </row>
    <row r="3799" spans="1:17" x14ac:dyDescent="0.3">
      <c r="A3799" t="s">
        <v>17</v>
      </c>
      <c r="B3799" t="str">
        <f>"688600"</f>
        <v>688600</v>
      </c>
      <c r="C3799" t="s">
        <v>7946</v>
      </c>
      <c r="D3799" t="s">
        <v>1337</v>
      </c>
      <c r="F3799">
        <v>-30684156</v>
      </c>
      <c r="G3799">
        <v>53473025</v>
      </c>
      <c r="H3799">
        <v>29129626</v>
      </c>
      <c r="I3799">
        <v>32479081</v>
      </c>
      <c r="J3799">
        <v>18900537</v>
      </c>
      <c r="K3799">
        <v>42172205</v>
      </c>
      <c r="P3799">
        <v>62</v>
      </c>
      <c r="Q3799" t="s">
        <v>7947</v>
      </c>
    </row>
    <row r="3800" spans="1:17" x14ac:dyDescent="0.3">
      <c r="A3800" t="s">
        <v>17</v>
      </c>
      <c r="B3800" t="str">
        <f>"688125"</f>
        <v>688125</v>
      </c>
      <c r="C3800" t="s">
        <v>7948</v>
      </c>
      <c r="F3800">
        <v>129075708</v>
      </c>
      <c r="G3800">
        <v>83422217</v>
      </c>
      <c r="H3800">
        <v>29110878</v>
      </c>
      <c r="I3800">
        <v>271216507</v>
      </c>
      <c r="P3800">
        <v>2</v>
      </c>
      <c r="Q3800" t="s">
        <v>7949</v>
      </c>
    </row>
    <row r="3801" spans="1:17" x14ac:dyDescent="0.3">
      <c r="A3801" t="s">
        <v>59</v>
      </c>
      <c r="B3801" t="str">
        <f>"300813"</f>
        <v>300813</v>
      </c>
      <c r="C3801" t="s">
        <v>7950</v>
      </c>
      <c r="D3801" t="s">
        <v>1351</v>
      </c>
      <c r="F3801">
        <v>35961770</v>
      </c>
      <c r="G3801">
        <v>106282845</v>
      </c>
      <c r="H3801">
        <v>29039127</v>
      </c>
      <c r="I3801">
        <v>37326173</v>
      </c>
      <c r="J3801">
        <v>23043847</v>
      </c>
      <c r="K3801">
        <v>31563271</v>
      </c>
      <c r="P3801">
        <v>106</v>
      </c>
      <c r="Q3801" t="s">
        <v>7951</v>
      </c>
    </row>
    <row r="3802" spans="1:17" x14ac:dyDescent="0.3">
      <c r="A3802" t="s">
        <v>59</v>
      </c>
      <c r="B3802" t="str">
        <f>"300257"</f>
        <v>300257</v>
      </c>
      <c r="C3802" t="s">
        <v>7952</v>
      </c>
      <c r="D3802" t="s">
        <v>1838</v>
      </c>
      <c r="F3802">
        <v>438873818</v>
      </c>
      <c r="G3802">
        <v>261646097</v>
      </c>
      <c r="H3802">
        <v>29025966</v>
      </c>
      <c r="I3802">
        <v>142231148</v>
      </c>
      <c r="J3802">
        <v>178324545</v>
      </c>
      <c r="K3802">
        <v>81661713</v>
      </c>
      <c r="L3802">
        <v>14428838</v>
      </c>
      <c r="M3802">
        <v>283473138</v>
      </c>
      <c r="N3802">
        <v>410152890</v>
      </c>
      <c r="O3802">
        <v>218611746</v>
      </c>
      <c r="P3802">
        <v>148</v>
      </c>
      <c r="Q3802" t="s">
        <v>7953</v>
      </c>
    </row>
    <row r="3803" spans="1:17" x14ac:dyDescent="0.3">
      <c r="A3803" t="s">
        <v>59</v>
      </c>
      <c r="B3803" t="str">
        <f>"301110"</f>
        <v>301110</v>
      </c>
      <c r="C3803" t="s">
        <v>7954</v>
      </c>
      <c r="F3803">
        <v>71195571</v>
      </c>
      <c r="G3803">
        <v>48331997</v>
      </c>
      <c r="H3803">
        <v>29003105</v>
      </c>
      <c r="I3803">
        <v>71560289</v>
      </c>
      <c r="J3803">
        <v>7491281</v>
      </c>
      <c r="P3803">
        <v>9</v>
      </c>
      <c r="Q3803" t="s">
        <v>7955</v>
      </c>
    </row>
    <row r="3804" spans="1:17" x14ac:dyDescent="0.3">
      <c r="A3804" t="s">
        <v>17</v>
      </c>
      <c r="B3804" t="str">
        <f>"600714"</f>
        <v>600714</v>
      </c>
      <c r="C3804" t="s">
        <v>7956</v>
      </c>
      <c r="D3804" t="s">
        <v>1241</v>
      </c>
      <c r="F3804">
        <v>71074780</v>
      </c>
      <c r="G3804">
        <v>4352920</v>
      </c>
      <c r="H3804">
        <v>28890049</v>
      </c>
      <c r="I3804">
        <v>-42487424</v>
      </c>
      <c r="J3804">
        <v>-8765578</v>
      </c>
      <c r="K3804">
        <v>-52792499</v>
      </c>
      <c r="L3804">
        <v>214318802</v>
      </c>
      <c r="M3804">
        <v>-106327414</v>
      </c>
      <c r="N3804">
        <v>-1391176</v>
      </c>
      <c r="O3804">
        <v>64328037</v>
      </c>
      <c r="P3804">
        <v>68</v>
      </c>
      <c r="Q3804" t="s">
        <v>7957</v>
      </c>
    </row>
    <row r="3805" spans="1:17" x14ac:dyDescent="0.3">
      <c r="A3805" t="s">
        <v>59</v>
      </c>
      <c r="B3805" t="str">
        <f>"002771"</f>
        <v>002771</v>
      </c>
      <c r="C3805" t="s">
        <v>7958</v>
      </c>
      <c r="D3805" t="s">
        <v>1189</v>
      </c>
      <c r="F3805">
        <v>55940554</v>
      </c>
      <c r="G3805">
        <v>47175380</v>
      </c>
      <c r="H3805">
        <v>28793336</v>
      </c>
      <c r="I3805">
        <v>-142021823</v>
      </c>
      <c r="J3805">
        <v>61427426</v>
      </c>
      <c r="K3805">
        <v>38290064</v>
      </c>
      <c r="L3805">
        <v>83978089</v>
      </c>
      <c r="M3805">
        <v>66999634</v>
      </c>
      <c r="N3805">
        <v>32803157</v>
      </c>
      <c r="O3805">
        <v>32053064</v>
      </c>
      <c r="P3805">
        <v>95</v>
      </c>
      <c r="Q3805" t="s">
        <v>7959</v>
      </c>
    </row>
    <row r="3806" spans="1:17" x14ac:dyDescent="0.3">
      <c r="A3806" t="s">
        <v>59</v>
      </c>
      <c r="B3806" t="str">
        <f>"002899"</f>
        <v>002899</v>
      </c>
      <c r="C3806" t="s">
        <v>7960</v>
      </c>
      <c r="D3806" t="s">
        <v>4437</v>
      </c>
      <c r="F3806">
        <v>62204409</v>
      </c>
      <c r="G3806">
        <v>113481800</v>
      </c>
      <c r="H3806">
        <v>28768411</v>
      </c>
      <c r="I3806">
        <v>30247147</v>
      </c>
      <c r="J3806">
        <v>56913066</v>
      </c>
      <c r="K3806">
        <v>91274799</v>
      </c>
      <c r="L3806">
        <v>128431944</v>
      </c>
      <c r="M3806">
        <v>102414667</v>
      </c>
      <c r="P3806">
        <v>65</v>
      </c>
      <c r="Q3806" t="s">
        <v>7961</v>
      </c>
    </row>
    <row r="3807" spans="1:17" x14ac:dyDescent="0.3">
      <c r="A3807" t="s">
        <v>59</v>
      </c>
      <c r="B3807" t="str">
        <f>"300668"</f>
        <v>300668</v>
      </c>
      <c r="C3807" t="s">
        <v>7962</v>
      </c>
      <c r="D3807" t="s">
        <v>2254</v>
      </c>
      <c r="F3807">
        <v>19394734</v>
      </c>
      <c r="G3807">
        <v>41120856</v>
      </c>
      <c r="H3807">
        <v>28758180</v>
      </c>
      <c r="I3807">
        <v>27132883</v>
      </c>
      <c r="J3807">
        <v>23237057</v>
      </c>
      <c r="K3807">
        <v>16174335</v>
      </c>
      <c r="L3807">
        <v>32427868</v>
      </c>
      <c r="M3807">
        <v>20970056</v>
      </c>
      <c r="P3807">
        <v>207</v>
      </c>
      <c r="Q3807" t="s">
        <v>7963</v>
      </c>
    </row>
    <row r="3808" spans="1:17" x14ac:dyDescent="0.3">
      <c r="A3808" t="s">
        <v>59</v>
      </c>
      <c r="B3808" t="str">
        <f>"300975"</f>
        <v>300975</v>
      </c>
      <c r="C3808" t="s">
        <v>7964</v>
      </c>
      <c r="D3808" t="s">
        <v>595</v>
      </c>
      <c r="F3808">
        <v>-832928851</v>
      </c>
      <c r="G3808">
        <v>-368364012</v>
      </c>
      <c r="H3808">
        <v>28649335</v>
      </c>
      <c r="I3808">
        <v>149529256</v>
      </c>
      <c r="J3808">
        <v>-224633841</v>
      </c>
      <c r="P3808">
        <v>30</v>
      </c>
      <c r="Q3808" t="s">
        <v>7965</v>
      </c>
    </row>
    <row r="3809" spans="1:17" x14ac:dyDescent="0.3">
      <c r="A3809" t="s">
        <v>59</v>
      </c>
      <c r="B3809" t="str">
        <f>"300420"</f>
        <v>300420</v>
      </c>
      <c r="C3809" t="s">
        <v>7966</v>
      </c>
      <c r="D3809" t="s">
        <v>1838</v>
      </c>
      <c r="F3809">
        <v>-102364068</v>
      </c>
      <c r="G3809">
        <v>-29562036</v>
      </c>
      <c r="H3809">
        <v>28221017</v>
      </c>
      <c r="I3809">
        <v>-82205188</v>
      </c>
      <c r="J3809">
        <v>-49378632</v>
      </c>
      <c r="K3809">
        <v>24270353</v>
      </c>
      <c r="L3809">
        <v>56456949</v>
      </c>
      <c r="M3809">
        <v>7867553</v>
      </c>
      <c r="N3809">
        <v>29643291</v>
      </c>
      <c r="O3809">
        <v>27455759</v>
      </c>
      <c r="P3809">
        <v>146</v>
      </c>
      <c r="Q3809" t="s">
        <v>7967</v>
      </c>
    </row>
    <row r="3810" spans="1:17" x14ac:dyDescent="0.3">
      <c r="A3810" t="s">
        <v>59</v>
      </c>
      <c r="B3810" t="str">
        <f>"300534"</f>
        <v>300534</v>
      </c>
      <c r="C3810" t="s">
        <v>7968</v>
      </c>
      <c r="D3810" t="s">
        <v>455</v>
      </c>
      <c r="F3810">
        <v>51134885</v>
      </c>
      <c r="G3810">
        <v>43500880</v>
      </c>
      <c r="H3810">
        <v>28208544</v>
      </c>
      <c r="I3810">
        <v>10232914</v>
      </c>
      <c r="J3810">
        <v>-2053780</v>
      </c>
      <c r="K3810">
        <v>13135424</v>
      </c>
      <c r="L3810">
        <v>30601504</v>
      </c>
      <c r="M3810">
        <v>39007994</v>
      </c>
      <c r="N3810">
        <v>35917465</v>
      </c>
      <c r="P3810">
        <v>109</v>
      </c>
      <c r="Q3810" t="s">
        <v>7969</v>
      </c>
    </row>
    <row r="3811" spans="1:17" x14ac:dyDescent="0.3">
      <c r="A3811" t="s">
        <v>17</v>
      </c>
      <c r="B3811" t="str">
        <f>"688195"</f>
        <v>688195</v>
      </c>
      <c r="C3811" t="s">
        <v>7970</v>
      </c>
      <c r="D3811" t="s">
        <v>692</v>
      </c>
      <c r="F3811">
        <v>75484155</v>
      </c>
      <c r="G3811">
        <v>40949548</v>
      </c>
      <c r="H3811">
        <v>28151544</v>
      </c>
      <c r="I3811">
        <v>31909866</v>
      </c>
      <c r="J3811">
        <v>11312013</v>
      </c>
      <c r="P3811">
        <v>41</v>
      </c>
      <c r="Q3811" t="s">
        <v>7971</v>
      </c>
    </row>
    <row r="3812" spans="1:17" x14ac:dyDescent="0.3">
      <c r="A3812" t="s">
        <v>17</v>
      </c>
      <c r="B3812" t="str">
        <f>"603985"</f>
        <v>603985</v>
      </c>
      <c r="C3812" t="s">
        <v>7972</v>
      </c>
      <c r="D3812" t="s">
        <v>637</v>
      </c>
      <c r="F3812">
        <v>325507734</v>
      </c>
      <c r="G3812">
        <v>242489419</v>
      </c>
      <c r="H3812">
        <v>28141156</v>
      </c>
      <c r="I3812">
        <v>39600840</v>
      </c>
      <c r="J3812">
        <v>48811219</v>
      </c>
      <c r="K3812">
        <v>81994079</v>
      </c>
      <c r="L3812">
        <v>82649367</v>
      </c>
      <c r="M3812">
        <v>55898154</v>
      </c>
      <c r="P3812">
        <v>218</v>
      </c>
      <c r="Q3812" t="s">
        <v>7973</v>
      </c>
    </row>
    <row r="3813" spans="1:17" x14ac:dyDescent="0.3">
      <c r="A3813" t="s">
        <v>59</v>
      </c>
      <c r="B3813" t="str">
        <f>"300549"</f>
        <v>300549</v>
      </c>
      <c r="C3813" t="s">
        <v>7974</v>
      </c>
      <c r="D3813" t="s">
        <v>1351</v>
      </c>
      <c r="F3813">
        <v>26278968</v>
      </c>
      <c r="G3813">
        <v>56021862</v>
      </c>
      <c r="H3813">
        <v>27978082</v>
      </c>
      <c r="I3813">
        <v>86192840</v>
      </c>
      <c r="J3813">
        <v>21752113</v>
      </c>
      <c r="K3813">
        <v>58207870</v>
      </c>
      <c r="L3813">
        <v>65235179</v>
      </c>
      <c r="M3813">
        <v>21131242</v>
      </c>
      <c r="N3813">
        <v>29414649</v>
      </c>
      <c r="P3813">
        <v>92</v>
      </c>
      <c r="Q3813" t="s">
        <v>7975</v>
      </c>
    </row>
    <row r="3814" spans="1:17" x14ac:dyDescent="0.3">
      <c r="A3814" t="s">
        <v>17</v>
      </c>
      <c r="B3814" t="str">
        <f>"603908"</f>
        <v>603908</v>
      </c>
      <c r="C3814" t="s">
        <v>7976</v>
      </c>
      <c r="D3814" t="s">
        <v>3416</v>
      </c>
      <c r="F3814">
        <v>-55265207</v>
      </c>
      <c r="G3814">
        <v>17747846</v>
      </c>
      <c r="H3814">
        <v>27953286</v>
      </c>
      <c r="I3814">
        <v>28262920</v>
      </c>
      <c r="J3814">
        <v>34420054</v>
      </c>
      <c r="K3814">
        <v>41520548</v>
      </c>
      <c r="L3814">
        <v>74367207</v>
      </c>
      <c r="M3814">
        <v>10219842</v>
      </c>
      <c r="P3814">
        <v>114</v>
      </c>
      <c r="Q3814" t="s">
        <v>7977</v>
      </c>
    </row>
    <row r="3815" spans="1:17" x14ac:dyDescent="0.3">
      <c r="A3815" t="s">
        <v>17</v>
      </c>
      <c r="B3815" t="str">
        <f>"688206"</f>
        <v>688206</v>
      </c>
      <c r="C3815" t="s">
        <v>7978</v>
      </c>
      <c r="D3815" t="s">
        <v>5407</v>
      </c>
      <c r="F3815">
        <v>56472486</v>
      </c>
      <c r="G3815">
        <v>81464707</v>
      </c>
      <c r="H3815">
        <v>27916893</v>
      </c>
      <c r="I3815">
        <v>-2768112</v>
      </c>
      <c r="P3815">
        <v>26</v>
      </c>
      <c r="Q3815" t="s">
        <v>7979</v>
      </c>
    </row>
    <row r="3816" spans="1:17" x14ac:dyDescent="0.3">
      <c r="A3816" t="s">
        <v>17</v>
      </c>
      <c r="B3816" t="str">
        <f>"600571"</f>
        <v>600571</v>
      </c>
      <c r="C3816" t="s">
        <v>7980</v>
      </c>
      <c r="D3816" t="s">
        <v>1189</v>
      </c>
      <c r="F3816">
        <v>-21921438</v>
      </c>
      <c r="G3816">
        <v>83221610</v>
      </c>
      <c r="H3816">
        <v>27801548</v>
      </c>
      <c r="I3816">
        <v>65641207</v>
      </c>
      <c r="J3816">
        <v>24705902</v>
      </c>
      <c r="K3816">
        <v>130231281</v>
      </c>
      <c r="L3816">
        <v>88329190</v>
      </c>
      <c r="M3816">
        <v>248425425</v>
      </c>
      <c r="N3816">
        <v>-5956105</v>
      </c>
      <c r="O3816">
        <v>102953509</v>
      </c>
      <c r="P3816">
        <v>155</v>
      </c>
      <c r="Q3816" t="s">
        <v>7981</v>
      </c>
    </row>
    <row r="3817" spans="1:17" x14ac:dyDescent="0.3">
      <c r="A3817" t="s">
        <v>17</v>
      </c>
      <c r="B3817" t="str">
        <f>"688259"</f>
        <v>688259</v>
      </c>
      <c r="C3817" t="s">
        <v>7982</v>
      </c>
      <c r="D3817" t="s">
        <v>817</v>
      </c>
      <c r="F3817">
        <v>516368202</v>
      </c>
      <c r="G3817">
        <v>69648034</v>
      </c>
      <c r="H3817">
        <v>27613978</v>
      </c>
      <c r="I3817">
        <v>15953288</v>
      </c>
      <c r="J3817">
        <v>-11675465</v>
      </c>
      <c r="P3817">
        <v>17</v>
      </c>
      <c r="Q3817" t="s">
        <v>7983</v>
      </c>
    </row>
    <row r="3818" spans="1:17" x14ac:dyDescent="0.3">
      <c r="A3818" t="s">
        <v>17</v>
      </c>
      <c r="B3818" t="str">
        <f>"603655"</f>
        <v>603655</v>
      </c>
      <c r="C3818" t="s">
        <v>7984</v>
      </c>
      <c r="D3818" t="s">
        <v>1226</v>
      </c>
      <c r="F3818">
        <v>36551647</v>
      </c>
      <c r="G3818">
        <v>22867538</v>
      </c>
      <c r="H3818">
        <v>27567437</v>
      </c>
      <c r="I3818">
        <v>38206134</v>
      </c>
      <c r="J3818">
        <v>25233416</v>
      </c>
      <c r="K3818">
        <v>19436388</v>
      </c>
      <c r="L3818">
        <v>30947421</v>
      </c>
      <c r="M3818">
        <v>29602300</v>
      </c>
      <c r="P3818">
        <v>88</v>
      </c>
      <c r="Q3818" t="s">
        <v>7985</v>
      </c>
    </row>
    <row r="3819" spans="1:17" x14ac:dyDescent="0.3">
      <c r="A3819" t="s">
        <v>59</v>
      </c>
      <c r="B3819" t="str">
        <f>"300150"</f>
        <v>300150</v>
      </c>
      <c r="C3819" t="s">
        <v>7986</v>
      </c>
      <c r="D3819" t="s">
        <v>1189</v>
      </c>
      <c r="F3819">
        <v>-61475289</v>
      </c>
      <c r="G3819">
        <v>33015807</v>
      </c>
      <c r="H3819">
        <v>27368124</v>
      </c>
      <c r="I3819">
        <v>15647982</v>
      </c>
      <c r="J3819">
        <v>-41559243</v>
      </c>
      <c r="K3819">
        <v>52893387</v>
      </c>
      <c r="L3819">
        <v>-3427149</v>
      </c>
      <c r="M3819">
        <v>2908679</v>
      </c>
      <c r="N3819">
        <v>35768288</v>
      </c>
      <c r="O3819">
        <v>24219446</v>
      </c>
      <c r="P3819">
        <v>121</v>
      </c>
      <c r="Q3819" t="s">
        <v>7987</v>
      </c>
    </row>
    <row r="3820" spans="1:17" x14ac:dyDescent="0.3">
      <c r="A3820" t="s">
        <v>59</v>
      </c>
      <c r="B3820" t="str">
        <f>"300964"</f>
        <v>300964</v>
      </c>
      <c r="C3820" t="s">
        <v>7988</v>
      </c>
      <c r="D3820" t="s">
        <v>539</v>
      </c>
      <c r="F3820">
        <v>20505959</v>
      </c>
      <c r="G3820">
        <v>135136335</v>
      </c>
      <c r="H3820">
        <v>27307740</v>
      </c>
      <c r="I3820">
        <v>44836675</v>
      </c>
      <c r="J3820">
        <v>9608999</v>
      </c>
      <c r="P3820">
        <v>20</v>
      </c>
      <c r="Q3820" t="s">
        <v>7989</v>
      </c>
    </row>
    <row r="3821" spans="1:17" x14ac:dyDescent="0.3">
      <c r="A3821" t="s">
        <v>59</v>
      </c>
      <c r="B3821" t="str">
        <f>"301148"</f>
        <v>301148</v>
      </c>
      <c r="C3821" t="s">
        <v>7990</v>
      </c>
      <c r="F3821">
        <v>6855502</v>
      </c>
      <c r="G3821">
        <v>25110028</v>
      </c>
      <c r="H3821">
        <v>27288367</v>
      </c>
      <c r="I3821">
        <v>84139033</v>
      </c>
      <c r="J3821">
        <v>26333432</v>
      </c>
      <c r="P3821">
        <v>1</v>
      </c>
      <c r="Q3821" t="s">
        <v>7991</v>
      </c>
    </row>
    <row r="3822" spans="1:17" x14ac:dyDescent="0.3">
      <c r="A3822" t="s">
        <v>17</v>
      </c>
      <c r="B3822" t="str">
        <f>"600195"</f>
        <v>600195</v>
      </c>
      <c r="C3822" t="s">
        <v>7992</v>
      </c>
      <c r="D3822" t="s">
        <v>3061</v>
      </c>
      <c r="F3822">
        <v>382997571</v>
      </c>
      <c r="G3822">
        <v>666111488</v>
      </c>
      <c r="H3822">
        <v>27118054</v>
      </c>
      <c r="I3822">
        <v>186380650</v>
      </c>
      <c r="J3822">
        <v>202496413</v>
      </c>
      <c r="K3822">
        <v>633402460</v>
      </c>
      <c r="L3822">
        <v>530135872</v>
      </c>
      <c r="M3822">
        <v>287622412</v>
      </c>
      <c r="N3822">
        <v>253195233</v>
      </c>
      <c r="O3822">
        <v>-34697353</v>
      </c>
      <c r="P3822">
        <v>371</v>
      </c>
      <c r="Q3822" t="s">
        <v>7993</v>
      </c>
    </row>
    <row r="3823" spans="1:17" x14ac:dyDescent="0.3">
      <c r="A3823" t="s">
        <v>17</v>
      </c>
      <c r="B3823" t="str">
        <f>"688682"</f>
        <v>688682</v>
      </c>
      <c r="C3823" t="s">
        <v>7994</v>
      </c>
      <c r="D3823" t="s">
        <v>1983</v>
      </c>
      <c r="F3823">
        <v>17741711</v>
      </c>
      <c r="G3823">
        <v>30536876</v>
      </c>
      <c r="H3823">
        <v>27101222</v>
      </c>
      <c r="I3823">
        <v>19029355</v>
      </c>
      <c r="J3823">
        <v>22266792</v>
      </c>
      <c r="P3823">
        <v>33</v>
      </c>
      <c r="Q3823" t="s">
        <v>7995</v>
      </c>
    </row>
    <row r="3824" spans="1:17" x14ac:dyDescent="0.3">
      <c r="A3824" t="s">
        <v>17</v>
      </c>
      <c r="B3824" t="str">
        <f>"688311"</f>
        <v>688311</v>
      </c>
      <c r="C3824" t="s">
        <v>7996</v>
      </c>
      <c r="D3824" t="s">
        <v>1983</v>
      </c>
      <c r="F3824">
        <v>78186921</v>
      </c>
      <c r="G3824">
        <v>69085611</v>
      </c>
      <c r="H3824">
        <v>26874755</v>
      </c>
      <c r="I3824">
        <v>50623432</v>
      </c>
      <c r="J3824">
        <v>47593304</v>
      </c>
      <c r="K3824">
        <v>-50440487</v>
      </c>
      <c r="P3824">
        <v>74</v>
      </c>
      <c r="Q3824" t="s">
        <v>7997</v>
      </c>
    </row>
    <row r="3825" spans="1:17" x14ac:dyDescent="0.3">
      <c r="A3825" t="s">
        <v>59</v>
      </c>
      <c r="B3825" t="str">
        <f>"300721"</f>
        <v>300721</v>
      </c>
      <c r="C3825" t="s">
        <v>7998</v>
      </c>
      <c r="D3825" t="s">
        <v>1252</v>
      </c>
      <c r="F3825">
        <v>266138688</v>
      </c>
      <c r="G3825">
        <v>79773784</v>
      </c>
      <c r="H3825">
        <v>26751580</v>
      </c>
      <c r="I3825">
        <v>124190993</v>
      </c>
      <c r="J3825">
        <v>2077877</v>
      </c>
      <c r="K3825">
        <v>41077750</v>
      </c>
      <c r="L3825">
        <v>166139568</v>
      </c>
      <c r="M3825">
        <v>9205013</v>
      </c>
      <c r="P3825">
        <v>73</v>
      </c>
      <c r="Q3825" t="s">
        <v>7999</v>
      </c>
    </row>
    <row r="3826" spans="1:17" x14ac:dyDescent="0.3">
      <c r="A3826" t="s">
        <v>59</v>
      </c>
      <c r="B3826" t="str">
        <f>"300808"</f>
        <v>300808</v>
      </c>
      <c r="C3826" t="s">
        <v>8000</v>
      </c>
      <c r="D3826" t="s">
        <v>772</v>
      </c>
      <c r="F3826">
        <v>13790005</v>
      </c>
      <c r="G3826">
        <v>106869750</v>
      </c>
      <c r="H3826">
        <v>26652189</v>
      </c>
      <c r="I3826">
        <v>90474671</v>
      </c>
      <c r="J3826">
        <v>152377829</v>
      </c>
      <c r="K3826">
        <v>72899584</v>
      </c>
      <c r="P3826">
        <v>55</v>
      </c>
      <c r="Q3826" t="s">
        <v>8001</v>
      </c>
    </row>
    <row r="3827" spans="1:17" x14ac:dyDescent="0.3">
      <c r="A3827" t="s">
        <v>59</v>
      </c>
      <c r="B3827" t="str">
        <f>"301199"</f>
        <v>301199</v>
      </c>
      <c r="C3827" t="s">
        <v>8002</v>
      </c>
      <c r="D3827" t="s">
        <v>3323</v>
      </c>
      <c r="F3827">
        <v>-18768861</v>
      </c>
      <c r="G3827">
        <v>9033367</v>
      </c>
      <c r="H3827">
        <v>26633266</v>
      </c>
      <c r="I3827">
        <v>-8964624</v>
      </c>
      <c r="J3827">
        <v>19560541</v>
      </c>
      <c r="K3827">
        <v>-63374975</v>
      </c>
      <c r="P3827">
        <v>10</v>
      </c>
      <c r="Q3827" t="s">
        <v>8003</v>
      </c>
    </row>
    <row r="3828" spans="1:17" x14ac:dyDescent="0.3">
      <c r="A3828" t="s">
        <v>59</v>
      </c>
      <c r="B3828" t="str">
        <f>"300125"</f>
        <v>300125</v>
      </c>
      <c r="C3828" t="s">
        <v>8004</v>
      </c>
      <c r="D3828" t="s">
        <v>1119</v>
      </c>
      <c r="F3828">
        <v>-132803377</v>
      </c>
      <c r="G3828">
        <v>27005751</v>
      </c>
      <c r="H3828">
        <v>26455761</v>
      </c>
      <c r="I3828">
        <v>-15334006</v>
      </c>
      <c r="J3828">
        <v>5041326</v>
      </c>
      <c r="K3828">
        <v>73770516</v>
      </c>
      <c r="L3828">
        <v>13823497</v>
      </c>
      <c r="M3828">
        <v>112647756</v>
      </c>
      <c r="N3828">
        <v>70152540</v>
      </c>
      <c r="O3828">
        <v>71610628</v>
      </c>
      <c r="P3828">
        <v>59</v>
      </c>
      <c r="Q3828" t="s">
        <v>8005</v>
      </c>
    </row>
    <row r="3829" spans="1:17" x14ac:dyDescent="0.3">
      <c r="A3829" t="s">
        <v>59</v>
      </c>
      <c r="B3829" t="str">
        <f>"002829"</f>
        <v>002829</v>
      </c>
      <c r="C3829" t="s">
        <v>8006</v>
      </c>
      <c r="D3829" t="s">
        <v>1056</v>
      </c>
      <c r="F3829">
        <v>42703125</v>
      </c>
      <c r="G3829">
        <v>193384627</v>
      </c>
      <c r="H3829">
        <v>26391699</v>
      </c>
      <c r="I3829">
        <v>-50854383</v>
      </c>
      <c r="J3829">
        <v>-55369296</v>
      </c>
      <c r="K3829">
        <v>79401219</v>
      </c>
      <c r="L3829">
        <v>3662706</v>
      </c>
      <c r="M3829">
        <v>83381756</v>
      </c>
      <c r="N3829">
        <v>70908327</v>
      </c>
      <c r="P3829">
        <v>132</v>
      </c>
      <c r="Q3829" t="s">
        <v>8007</v>
      </c>
    </row>
    <row r="3830" spans="1:17" x14ac:dyDescent="0.3">
      <c r="A3830" t="s">
        <v>59</v>
      </c>
      <c r="B3830" t="str">
        <f>"300312"</f>
        <v>300312</v>
      </c>
      <c r="C3830" t="s">
        <v>8008</v>
      </c>
      <c r="D3830" t="s">
        <v>352</v>
      </c>
      <c r="G3830">
        <v>-11450709</v>
      </c>
      <c r="H3830">
        <v>26334913</v>
      </c>
      <c r="I3830">
        <v>94445024</v>
      </c>
      <c r="J3830">
        <v>-18985739</v>
      </c>
      <c r="K3830">
        <v>-13081813</v>
      </c>
      <c r="L3830">
        <v>-116769142</v>
      </c>
      <c r="M3830">
        <v>-122481687</v>
      </c>
      <c r="N3830">
        <v>-110570318</v>
      </c>
      <c r="O3830">
        <v>-146648546</v>
      </c>
      <c r="P3830">
        <v>134</v>
      </c>
      <c r="Q3830" t="s">
        <v>8009</v>
      </c>
    </row>
    <row r="3831" spans="1:17" x14ac:dyDescent="0.3">
      <c r="A3831" t="s">
        <v>59</v>
      </c>
      <c r="B3831" t="str">
        <f>"301127"</f>
        <v>301127</v>
      </c>
      <c r="C3831" t="s">
        <v>8010</v>
      </c>
      <c r="D3831" t="s">
        <v>669</v>
      </c>
      <c r="F3831">
        <v>-73301265</v>
      </c>
      <c r="G3831">
        <v>261750722</v>
      </c>
      <c r="H3831">
        <v>26327690</v>
      </c>
      <c r="I3831">
        <v>-48479419</v>
      </c>
      <c r="J3831">
        <v>64049253</v>
      </c>
      <c r="P3831">
        <v>13</v>
      </c>
      <c r="Q3831" t="s">
        <v>8011</v>
      </c>
    </row>
    <row r="3832" spans="1:17" x14ac:dyDescent="0.3">
      <c r="A3832" t="s">
        <v>59</v>
      </c>
      <c r="B3832" t="str">
        <f>"300275"</f>
        <v>300275</v>
      </c>
      <c r="C3832" t="s">
        <v>8012</v>
      </c>
      <c r="D3832" t="s">
        <v>741</v>
      </c>
      <c r="F3832">
        <v>13004387</v>
      </c>
      <c r="G3832">
        <v>3840269</v>
      </c>
      <c r="H3832">
        <v>26267069</v>
      </c>
      <c r="I3832">
        <v>33125820</v>
      </c>
      <c r="J3832">
        <v>68012266</v>
      </c>
      <c r="K3832">
        <v>-64800327</v>
      </c>
      <c r="L3832">
        <v>-66425697</v>
      </c>
      <c r="M3832">
        <v>-49568795</v>
      </c>
      <c r="N3832">
        <v>1934527</v>
      </c>
      <c r="O3832">
        <v>37282552</v>
      </c>
      <c r="P3832">
        <v>89</v>
      </c>
      <c r="Q3832" t="s">
        <v>8013</v>
      </c>
    </row>
    <row r="3833" spans="1:17" x14ac:dyDescent="0.3">
      <c r="A3833" t="s">
        <v>17</v>
      </c>
      <c r="B3833" t="str">
        <f>"603090"</f>
        <v>603090</v>
      </c>
      <c r="C3833" t="s">
        <v>8014</v>
      </c>
      <c r="D3833" t="s">
        <v>1838</v>
      </c>
      <c r="F3833">
        <v>-52751925</v>
      </c>
      <c r="G3833">
        <v>46570097</v>
      </c>
      <c r="H3833">
        <v>26125058</v>
      </c>
      <c r="I3833">
        <v>26866887</v>
      </c>
      <c r="J3833">
        <v>11590792</v>
      </c>
      <c r="K3833">
        <v>46243364</v>
      </c>
      <c r="L3833">
        <v>33621824</v>
      </c>
      <c r="M3833">
        <v>32037726</v>
      </c>
      <c r="N3833">
        <v>30339025</v>
      </c>
      <c r="P3833">
        <v>51</v>
      </c>
      <c r="Q3833" t="s">
        <v>8015</v>
      </c>
    </row>
    <row r="3834" spans="1:17" x14ac:dyDescent="0.3">
      <c r="A3834" t="s">
        <v>17</v>
      </c>
      <c r="B3834" t="str">
        <f>"600363"</f>
        <v>600363</v>
      </c>
      <c r="C3834" t="s">
        <v>8016</v>
      </c>
      <c r="D3834" t="s">
        <v>772</v>
      </c>
      <c r="F3834">
        <v>195579206</v>
      </c>
      <c r="G3834">
        <v>498430844</v>
      </c>
      <c r="H3834">
        <v>26093790</v>
      </c>
      <c r="I3834">
        <v>37381576</v>
      </c>
      <c r="J3834">
        <v>33997264</v>
      </c>
      <c r="K3834">
        <v>61875528</v>
      </c>
      <c r="L3834">
        <v>17700831</v>
      </c>
      <c r="M3834">
        <v>46790863</v>
      </c>
      <c r="N3834">
        <v>-83594392</v>
      </c>
      <c r="O3834">
        <v>31996586</v>
      </c>
      <c r="P3834">
        <v>202</v>
      </c>
      <c r="Q3834" t="s">
        <v>8017</v>
      </c>
    </row>
    <row r="3835" spans="1:17" x14ac:dyDescent="0.3">
      <c r="A3835" t="s">
        <v>17</v>
      </c>
      <c r="B3835" t="str">
        <f>"688115"</f>
        <v>688115</v>
      </c>
      <c r="C3835" t="s">
        <v>8018</v>
      </c>
      <c r="F3835">
        <v>-46087680</v>
      </c>
      <c r="G3835">
        <v>14595766</v>
      </c>
      <c r="H3835">
        <v>26042331</v>
      </c>
      <c r="I3835">
        <v>17931028</v>
      </c>
      <c r="P3835">
        <v>7</v>
      </c>
      <c r="Q3835" t="s">
        <v>8019</v>
      </c>
    </row>
    <row r="3836" spans="1:17" x14ac:dyDescent="0.3">
      <c r="A3836" t="s">
        <v>17</v>
      </c>
      <c r="B3836" t="str">
        <f>"603798"</f>
        <v>603798</v>
      </c>
      <c r="C3836" t="s">
        <v>8020</v>
      </c>
      <c r="D3836" t="s">
        <v>445</v>
      </c>
      <c r="F3836">
        <v>154161462</v>
      </c>
      <c r="G3836">
        <v>191096919</v>
      </c>
      <c r="H3836">
        <v>25948611</v>
      </c>
      <c r="I3836">
        <v>87910421</v>
      </c>
      <c r="J3836">
        <v>88593085</v>
      </c>
      <c r="K3836">
        <v>153711106</v>
      </c>
      <c r="L3836">
        <v>111660078</v>
      </c>
      <c r="M3836">
        <v>113678923</v>
      </c>
      <c r="N3836">
        <v>63562776</v>
      </c>
      <c r="P3836">
        <v>141</v>
      </c>
      <c r="Q3836" t="s">
        <v>8021</v>
      </c>
    </row>
    <row r="3837" spans="1:17" x14ac:dyDescent="0.3">
      <c r="A3837" t="s">
        <v>59</v>
      </c>
      <c r="B3837" t="str">
        <f>"300461"</f>
        <v>300461</v>
      </c>
      <c r="C3837" t="s">
        <v>8022</v>
      </c>
      <c r="D3837" t="s">
        <v>4218</v>
      </c>
      <c r="F3837">
        <v>70512782</v>
      </c>
      <c r="G3837">
        <v>14254097</v>
      </c>
      <c r="H3837">
        <v>25853251</v>
      </c>
      <c r="I3837">
        <v>140265552</v>
      </c>
      <c r="J3837">
        <v>-41892921</v>
      </c>
      <c r="K3837">
        <v>-22595296</v>
      </c>
      <c r="L3837">
        <v>11156432</v>
      </c>
      <c r="M3837">
        <v>54832166</v>
      </c>
      <c r="N3837">
        <v>22621754</v>
      </c>
      <c r="O3837">
        <v>23465312</v>
      </c>
      <c r="P3837">
        <v>153</v>
      </c>
      <c r="Q3837" t="s">
        <v>8023</v>
      </c>
    </row>
    <row r="3838" spans="1:17" x14ac:dyDescent="0.3">
      <c r="A3838" t="s">
        <v>59</v>
      </c>
      <c r="B3838" t="str">
        <f>"300647"</f>
        <v>300647</v>
      </c>
      <c r="C3838" t="s">
        <v>8024</v>
      </c>
      <c r="D3838" t="s">
        <v>349</v>
      </c>
      <c r="F3838">
        <v>-111990828</v>
      </c>
      <c r="G3838">
        <v>14963093</v>
      </c>
      <c r="H3838">
        <v>25745044</v>
      </c>
      <c r="I3838">
        <v>41051810</v>
      </c>
      <c r="J3838">
        <v>-82591566</v>
      </c>
      <c r="K3838">
        <v>54429144</v>
      </c>
      <c r="L3838">
        <v>69759916</v>
      </c>
      <c r="M3838">
        <v>38273475</v>
      </c>
      <c r="P3838">
        <v>116</v>
      </c>
      <c r="Q3838" t="s">
        <v>8025</v>
      </c>
    </row>
    <row r="3839" spans="1:17" x14ac:dyDescent="0.3">
      <c r="A3839" t="s">
        <v>17</v>
      </c>
      <c r="B3839" t="str">
        <f>"688767"</f>
        <v>688767</v>
      </c>
      <c r="C3839" t="s">
        <v>8026</v>
      </c>
      <c r="D3839" t="s">
        <v>1953</v>
      </c>
      <c r="F3839">
        <v>908123248</v>
      </c>
      <c r="G3839">
        <v>446065972</v>
      </c>
      <c r="H3839">
        <v>25666793</v>
      </c>
      <c r="I3839">
        <v>21168798</v>
      </c>
      <c r="J3839">
        <v>7073218</v>
      </c>
      <c r="P3839">
        <v>43</v>
      </c>
      <c r="Q3839" t="s">
        <v>8027</v>
      </c>
    </row>
    <row r="3840" spans="1:17" x14ac:dyDescent="0.3">
      <c r="A3840" t="s">
        <v>17</v>
      </c>
      <c r="B3840" t="str">
        <f>"603595"</f>
        <v>603595</v>
      </c>
      <c r="C3840" t="s">
        <v>8028</v>
      </c>
      <c r="D3840" t="s">
        <v>349</v>
      </c>
      <c r="F3840">
        <v>27866043</v>
      </c>
      <c r="G3840">
        <v>105175687</v>
      </c>
      <c r="H3840">
        <v>25622651</v>
      </c>
      <c r="I3840">
        <v>191464874</v>
      </c>
      <c r="J3840">
        <v>-30287605</v>
      </c>
      <c r="K3840">
        <v>33923116</v>
      </c>
      <c r="L3840">
        <v>50685839</v>
      </c>
      <c r="M3840">
        <v>39550540</v>
      </c>
      <c r="P3840">
        <v>184</v>
      </c>
      <c r="Q3840" t="s">
        <v>8029</v>
      </c>
    </row>
    <row r="3841" spans="1:17" x14ac:dyDescent="0.3">
      <c r="A3841" t="s">
        <v>59</v>
      </c>
      <c r="B3841" t="str">
        <f>"002403"</f>
        <v>002403</v>
      </c>
      <c r="C3841" t="s">
        <v>8030</v>
      </c>
      <c r="D3841" t="s">
        <v>1173</v>
      </c>
      <c r="F3841">
        <v>235443978</v>
      </c>
      <c r="G3841">
        <v>46410253</v>
      </c>
      <c r="H3841">
        <v>25512026</v>
      </c>
      <c r="I3841">
        <v>140802999</v>
      </c>
      <c r="J3841">
        <v>107125053</v>
      </c>
      <c r="K3841">
        <v>314547059</v>
      </c>
      <c r="L3841">
        <v>130113343</v>
      </c>
      <c r="M3841">
        <v>253195151</v>
      </c>
      <c r="N3841">
        <v>197880610</v>
      </c>
      <c r="O3841">
        <v>152446972</v>
      </c>
      <c r="P3841">
        <v>151</v>
      </c>
      <c r="Q3841" t="s">
        <v>8031</v>
      </c>
    </row>
    <row r="3842" spans="1:17" x14ac:dyDescent="0.3">
      <c r="A3842" t="s">
        <v>59</v>
      </c>
      <c r="B3842" t="str">
        <f>"200468"</f>
        <v>200468</v>
      </c>
      <c r="C3842" t="s">
        <v>8032</v>
      </c>
      <c r="F3842">
        <v>-75468194.461199999</v>
      </c>
      <c r="G3842">
        <v>104549198.4489</v>
      </c>
      <c r="H3842">
        <v>25374419.627500001</v>
      </c>
      <c r="I3842">
        <v>-176944228.65900001</v>
      </c>
      <c r="J3842">
        <v>-56670006.6272</v>
      </c>
      <c r="K3842">
        <v>121828699.3442</v>
      </c>
      <c r="L3842">
        <v>19066288.497299999</v>
      </c>
      <c r="M3842">
        <v>88802202.614399999</v>
      </c>
      <c r="N3842">
        <v>59850691.287799999</v>
      </c>
      <c r="O3842">
        <v>159892656.79519999</v>
      </c>
      <c r="P3842">
        <v>4</v>
      </c>
      <c r="Q3842" t="s">
        <v>8033</v>
      </c>
    </row>
    <row r="3843" spans="1:17" x14ac:dyDescent="0.3">
      <c r="A3843" t="s">
        <v>17</v>
      </c>
      <c r="B3843" t="str">
        <f>"688618"</f>
        <v>688618</v>
      </c>
      <c r="C3843" t="s">
        <v>8034</v>
      </c>
      <c r="D3843" t="s">
        <v>352</v>
      </c>
      <c r="F3843">
        <v>23330968</v>
      </c>
      <c r="G3843">
        <v>36031880</v>
      </c>
      <c r="H3843">
        <v>25370613</v>
      </c>
      <c r="I3843">
        <v>20197569</v>
      </c>
      <c r="J3843">
        <v>27556940</v>
      </c>
      <c r="P3843">
        <v>41</v>
      </c>
      <c r="Q3843" t="s">
        <v>8035</v>
      </c>
    </row>
    <row r="3844" spans="1:17" x14ac:dyDescent="0.3">
      <c r="A3844" t="s">
        <v>17</v>
      </c>
      <c r="B3844" t="str">
        <f>"603336"</f>
        <v>603336</v>
      </c>
      <c r="C3844" t="s">
        <v>8036</v>
      </c>
      <c r="D3844" t="s">
        <v>1831</v>
      </c>
      <c r="F3844">
        <v>-18211349</v>
      </c>
      <c r="G3844">
        <v>23748638</v>
      </c>
      <c r="H3844">
        <v>25283858</v>
      </c>
      <c r="I3844">
        <v>-63302293</v>
      </c>
      <c r="J3844">
        <v>45562629</v>
      </c>
      <c r="K3844">
        <v>12962046</v>
      </c>
      <c r="L3844">
        <v>21233164</v>
      </c>
      <c r="M3844">
        <v>-16309441</v>
      </c>
      <c r="N3844">
        <v>17650533</v>
      </c>
      <c r="P3844">
        <v>179</v>
      </c>
      <c r="Q3844" t="s">
        <v>8037</v>
      </c>
    </row>
    <row r="3845" spans="1:17" x14ac:dyDescent="0.3">
      <c r="A3845" t="s">
        <v>59</v>
      </c>
      <c r="B3845" t="str">
        <f>"000068"</f>
        <v>000068</v>
      </c>
      <c r="C3845" t="s">
        <v>8038</v>
      </c>
      <c r="D3845" t="s">
        <v>2700</v>
      </c>
      <c r="F3845">
        <v>-20384186</v>
      </c>
      <c r="G3845">
        <v>-15697727</v>
      </c>
      <c r="H3845">
        <v>25267413</v>
      </c>
      <c r="I3845">
        <v>-49603852</v>
      </c>
      <c r="J3845">
        <v>17866484</v>
      </c>
      <c r="K3845">
        <v>48108799</v>
      </c>
      <c r="L3845">
        <v>28399414</v>
      </c>
      <c r="M3845">
        <v>110634536</v>
      </c>
      <c r="N3845">
        <v>-198786974</v>
      </c>
      <c r="O3845">
        <v>-106506417</v>
      </c>
      <c r="P3845">
        <v>144</v>
      </c>
      <c r="Q3845" t="s">
        <v>8039</v>
      </c>
    </row>
    <row r="3846" spans="1:17" x14ac:dyDescent="0.3">
      <c r="A3846" t="s">
        <v>59</v>
      </c>
      <c r="B3846" t="str">
        <f>"300923"</f>
        <v>300923</v>
      </c>
      <c r="C3846" t="s">
        <v>8040</v>
      </c>
      <c r="D3846" t="s">
        <v>165</v>
      </c>
      <c r="F3846">
        <v>56139062</v>
      </c>
      <c r="G3846">
        <v>44520214</v>
      </c>
      <c r="H3846">
        <v>25238814</v>
      </c>
      <c r="I3846">
        <v>12057984</v>
      </c>
      <c r="J3846">
        <v>54584385</v>
      </c>
      <c r="K3846">
        <v>-30901157</v>
      </c>
      <c r="P3846">
        <v>28</v>
      </c>
      <c r="Q3846" t="s">
        <v>8041</v>
      </c>
    </row>
    <row r="3847" spans="1:17" x14ac:dyDescent="0.3">
      <c r="A3847" t="s">
        <v>59</v>
      </c>
      <c r="B3847" t="str">
        <f>"300538"</f>
        <v>300538</v>
      </c>
      <c r="C3847" t="s">
        <v>8042</v>
      </c>
      <c r="D3847" t="s">
        <v>792</v>
      </c>
      <c r="F3847">
        <v>-233210361</v>
      </c>
      <c r="G3847">
        <v>-103646960</v>
      </c>
      <c r="H3847">
        <v>25202864</v>
      </c>
      <c r="I3847">
        <v>17883874</v>
      </c>
      <c r="J3847">
        <v>-123658104</v>
      </c>
      <c r="K3847">
        <v>20912007</v>
      </c>
      <c r="L3847">
        <v>42403947</v>
      </c>
      <c r="M3847">
        <v>26788472</v>
      </c>
      <c r="N3847">
        <v>46158548</v>
      </c>
      <c r="P3847">
        <v>186</v>
      </c>
      <c r="Q3847" t="s">
        <v>8043</v>
      </c>
    </row>
    <row r="3848" spans="1:17" x14ac:dyDescent="0.3">
      <c r="A3848" t="s">
        <v>59</v>
      </c>
      <c r="B3848" t="str">
        <f>"300153"</f>
        <v>300153</v>
      </c>
      <c r="C3848" t="s">
        <v>8044</v>
      </c>
      <c r="D3848" t="s">
        <v>1746</v>
      </c>
      <c r="F3848">
        <v>177143158</v>
      </c>
      <c r="G3848">
        <v>-31198803</v>
      </c>
      <c r="H3848">
        <v>25184162</v>
      </c>
      <c r="I3848">
        <v>67112755</v>
      </c>
      <c r="J3848">
        <v>-47511582</v>
      </c>
      <c r="K3848">
        <v>-25070041</v>
      </c>
      <c r="L3848">
        <v>2267552</v>
      </c>
      <c r="M3848">
        <v>-6423329</v>
      </c>
      <c r="N3848">
        <v>64093571</v>
      </c>
      <c r="O3848">
        <v>-54142895</v>
      </c>
      <c r="P3848">
        <v>108</v>
      </c>
      <c r="Q3848" t="s">
        <v>8045</v>
      </c>
    </row>
    <row r="3849" spans="1:17" x14ac:dyDescent="0.3">
      <c r="A3849" t="s">
        <v>17</v>
      </c>
      <c r="B3849" t="str">
        <f>"603068"</f>
        <v>603068</v>
      </c>
      <c r="C3849" t="s">
        <v>8046</v>
      </c>
      <c r="D3849" t="s">
        <v>759</v>
      </c>
      <c r="F3849">
        <v>166812462</v>
      </c>
      <c r="G3849">
        <v>63091540</v>
      </c>
      <c r="H3849">
        <v>25150024</v>
      </c>
      <c r="I3849">
        <v>84395327</v>
      </c>
      <c r="J3849">
        <v>53763914</v>
      </c>
      <c r="K3849">
        <v>60464392</v>
      </c>
      <c r="P3849">
        <v>345</v>
      </c>
      <c r="Q3849" t="s">
        <v>8047</v>
      </c>
    </row>
    <row r="3850" spans="1:17" x14ac:dyDescent="0.3">
      <c r="A3850" t="s">
        <v>17</v>
      </c>
      <c r="B3850" t="str">
        <f>"600478"</f>
        <v>600478</v>
      </c>
      <c r="C3850" t="s">
        <v>8048</v>
      </c>
      <c r="D3850" t="s">
        <v>232</v>
      </c>
      <c r="F3850">
        <v>219144510</v>
      </c>
      <c r="G3850">
        <v>491109994</v>
      </c>
      <c r="H3850">
        <v>25142405</v>
      </c>
      <c r="I3850">
        <v>-50716975</v>
      </c>
      <c r="J3850">
        <v>-24382432</v>
      </c>
      <c r="K3850">
        <v>-192633498</v>
      </c>
      <c r="L3850">
        <v>139516951</v>
      </c>
      <c r="M3850">
        <v>93248202</v>
      </c>
      <c r="N3850">
        <v>131597539</v>
      </c>
      <c r="O3850">
        <v>75886994</v>
      </c>
      <c r="P3850">
        <v>160</v>
      </c>
      <c r="Q3850" t="s">
        <v>8049</v>
      </c>
    </row>
    <row r="3851" spans="1:17" x14ac:dyDescent="0.3">
      <c r="A3851" t="s">
        <v>17</v>
      </c>
      <c r="B3851" t="str">
        <f>"600316"</f>
        <v>600316</v>
      </c>
      <c r="C3851" t="s">
        <v>8050</v>
      </c>
      <c r="D3851" t="s">
        <v>448</v>
      </c>
      <c r="F3851">
        <v>220649909</v>
      </c>
      <c r="G3851">
        <v>-142080850</v>
      </c>
      <c r="H3851">
        <v>25129683</v>
      </c>
      <c r="I3851">
        <v>52271484</v>
      </c>
      <c r="J3851">
        <v>209093904</v>
      </c>
      <c r="K3851">
        <v>-646705855</v>
      </c>
      <c r="L3851">
        <v>346995665</v>
      </c>
      <c r="M3851">
        <v>-400610973</v>
      </c>
      <c r="N3851">
        <v>-68237165</v>
      </c>
      <c r="O3851">
        <v>-385693056</v>
      </c>
      <c r="P3851">
        <v>387</v>
      </c>
      <c r="Q3851" t="s">
        <v>8051</v>
      </c>
    </row>
    <row r="3852" spans="1:17" x14ac:dyDescent="0.3">
      <c r="A3852" t="s">
        <v>17</v>
      </c>
      <c r="B3852" t="str">
        <f>"600847"</f>
        <v>600847</v>
      </c>
      <c r="C3852" t="s">
        <v>8052</v>
      </c>
      <c r="D3852" t="s">
        <v>1107</v>
      </c>
      <c r="F3852">
        <v>-19121132</v>
      </c>
      <c r="G3852">
        <v>20881912</v>
      </c>
      <c r="H3852">
        <v>25119383</v>
      </c>
      <c r="I3852">
        <v>24796307</v>
      </c>
      <c r="J3852">
        <v>-13264412</v>
      </c>
      <c r="K3852">
        <v>-53310629</v>
      </c>
      <c r="L3852">
        <v>-26580649</v>
      </c>
      <c r="M3852">
        <v>-43983199</v>
      </c>
      <c r="N3852">
        <v>-58176050</v>
      </c>
      <c r="O3852">
        <v>-3428910</v>
      </c>
      <c r="P3852">
        <v>54</v>
      </c>
      <c r="Q3852" t="s">
        <v>8053</v>
      </c>
    </row>
    <row r="3853" spans="1:17" x14ac:dyDescent="0.3">
      <c r="A3853" t="s">
        <v>59</v>
      </c>
      <c r="B3853" t="str">
        <f>"300220"</f>
        <v>300220</v>
      </c>
      <c r="C3853" t="s">
        <v>8054</v>
      </c>
      <c r="D3853" t="s">
        <v>975</v>
      </c>
      <c r="F3853">
        <v>-61135783</v>
      </c>
      <c r="G3853">
        <v>-39387391</v>
      </c>
      <c r="H3853">
        <v>25096155</v>
      </c>
      <c r="I3853">
        <v>29702997</v>
      </c>
      <c r="J3853">
        <v>385422</v>
      </c>
      <c r="K3853">
        <v>20072097</v>
      </c>
      <c r="L3853">
        <v>-13888729</v>
      </c>
      <c r="M3853">
        <v>11462050</v>
      </c>
      <c r="N3853">
        <v>-13207068</v>
      </c>
      <c r="O3853">
        <v>-14533473</v>
      </c>
      <c r="P3853">
        <v>91</v>
      </c>
      <c r="Q3853" t="s">
        <v>8055</v>
      </c>
    </row>
    <row r="3854" spans="1:17" x14ac:dyDescent="0.3">
      <c r="A3854" t="s">
        <v>17</v>
      </c>
      <c r="B3854" t="str">
        <f>"688511"</f>
        <v>688511</v>
      </c>
      <c r="C3854" t="s">
        <v>8056</v>
      </c>
      <c r="D3854" t="s">
        <v>1983</v>
      </c>
      <c r="F3854">
        <v>49417188</v>
      </c>
      <c r="G3854">
        <v>31891105</v>
      </c>
      <c r="H3854">
        <v>24964563</v>
      </c>
      <c r="I3854">
        <v>2311452</v>
      </c>
      <c r="J3854">
        <v>-1661551</v>
      </c>
      <c r="P3854">
        <v>23</v>
      </c>
      <c r="Q3854" t="s">
        <v>8057</v>
      </c>
    </row>
    <row r="3855" spans="1:17" x14ac:dyDescent="0.3">
      <c r="A3855" t="s">
        <v>17</v>
      </c>
      <c r="B3855" t="str">
        <f>"600178"</f>
        <v>600178</v>
      </c>
      <c r="C3855" t="s">
        <v>8058</v>
      </c>
      <c r="D3855" t="s">
        <v>156</v>
      </c>
      <c r="F3855">
        <v>471454663</v>
      </c>
      <c r="G3855">
        <v>98351387</v>
      </c>
      <c r="H3855">
        <v>24911613</v>
      </c>
      <c r="I3855">
        <v>213289187</v>
      </c>
      <c r="J3855">
        <v>62172250</v>
      </c>
      <c r="K3855">
        <v>-106683859</v>
      </c>
      <c r="L3855">
        <v>79272363</v>
      </c>
      <c r="M3855">
        <v>-87493642</v>
      </c>
      <c r="N3855">
        <v>-157345551</v>
      </c>
      <c r="O3855">
        <v>202268885</v>
      </c>
      <c r="P3855">
        <v>119</v>
      </c>
      <c r="Q3855" t="s">
        <v>8059</v>
      </c>
    </row>
    <row r="3856" spans="1:17" x14ac:dyDescent="0.3">
      <c r="A3856" t="s">
        <v>17</v>
      </c>
      <c r="B3856" t="str">
        <f>"900925"</f>
        <v>900925</v>
      </c>
      <c r="C3856" t="s">
        <v>8060</v>
      </c>
      <c r="G3856">
        <v>167646151.3856</v>
      </c>
      <c r="H3856">
        <v>24836912.974399999</v>
      </c>
      <c r="I3856">
        <v>27400669.258000001</v>
      </c>
      <c r="J3856">
        <v>296466194.53439999</v>
      </c>
      <c r="K3856">
        <v>287938613.23199999</v>
      </c>
      <c r="L3856">
        <v>206171276.69600001</v>
      </c>
      <c r="M3856">
        <v>324328478.47920001</v>
      </c>
      <c r="N3856">
        <v>290569105.26279998</v>
      </c>
      <c r="O3856">
        <v>500769431.46149999</v>
      </c>
      <c r="P3856">
        <v>83</v>
      </c>
      <c r="Q3856" t="s">
        <v>8061</v>
      </c>
    </row>
    <row r="3857" spans="1:17" x14ac:dyDescent="0.3">
      <c r="A3857" t="s">
        <v>59</v>
      </c>
      <c r="B3857" t="str">
        <f>"301002"</f>
        <v>301002</v>
      </c>
      <c r="C3857" t="s">
        <v>8062</v>
      </c>
      <c r="D3857" t="s">
        <v>560</v>
      </c>
      <c r="F3857">
        <v>-3225894</v>
      </c>
      <c r="G3857">
        <v>77883214</v>
      </c>
      <c r="H3857">
        <v>24819140</v>
      </c>
      <c r="I3857">
        <v>30855132</v>
      </c>
      <c r="J3857">
        <v>-956944</v>
      </c>
      <c r="P3857">
        <v>43</v>
      </c>
      <c r="Q3857" t="s">
        <v>8063</v>
      </c>
    </row>
    <row r="3858" spans="1:17" x14ac:dyDescent="0.3">
      <c r="A3858" t="s">
        <v>59</v>
      </c>
      <c r="B3858" t="str">
        <f>"300008"</f>
        <v>300008</v>
      </c>
      <c r="C3858" t="s">
        <v>8064</v>
      </c>
      <c r="D3858" t="s">
        <v>614</v>
      </c>
      <c r="F3858">
        <v>-185016784</v>
      </c>
      <c r="G3858">
        <v>-128531902</v>
      </c>
      <c r="H3858">
        <v>24673374</v>
      </c>
      <c r="I3858">
        <v>-19996367</v>
      </c>
      <c r="J3858">
        <v>-125373124</v>
      </c>
      <c r="K3858">
        <v>-280078311</v>
      </c>
      <c r="L3858">
        <v>-62766615</v>
      </c>
      <c r="M3858">
        <v>-23705930</v>
      </c>
      <c r="N3858">
        <v>88209520</v>
      </c>
      <c r="O3858">
        <v>-39042830</v>
      </c>
      <c r="P3858">
        <v>107</v>
      </c>
      <c r="Q3858" t="s">
        <v>8065</v>
      </c>
    </row>
    <row r="3859" spans="1:17" x14ac:dyDescent="0.3">
      <c r="A3859" t="s">
        <v>17</v>
      </c>
      <c r="B3859" t="str">
        <f>"600137"</f>
        <v>600137</v>
      </c>
      <c r="C3859" t="s">
        <v>8066</v>
      </c>
      <c r="D3859" t="s">
        <v>3416</v>
      </c>
      <c r="F3859">
        <v>37847198</v>
      </c>
      <c r="G3859">
        <v>34605486</v>
      </c>
      <c r="H3859">
        <v>24627056</v>
      </c>
      <c r="I3859">
        <v>-26214880</v>
      </c>
      <c r="J3859">
        <v>25167666</v>
      </c>
      <c r="K3859">
        <v>72969452</v>
      </c>
      <c r="L3859">
        <v>18225791</v>
      </c>
      <c r="M3859">
        <v>58428034</v>
      </c>
      <c r="N3859">
        <v>23227987</v>
      </c>
      <c r="O3859">
        <v>16027594</v>
      </c>
      <c r="P3859">
        <v>75</v>
      </c>
      <c r="Q3859" t="s">
        <v>8067</v>
      </c>
    </row>
    <row r="3860" spans="1:17" x14ac:dyDescent="0.3">
      <c r="A3860" t="s">
        <v>59</v>
      </c>
      <c r="B3860" t="str">
        <f>"300649"</f>
        <v>300649</v>
      </c>
      <c r="C3860" t="s">
        <v>8068</v>
      </c>
      <c r="D3860" t="s">
        <v>1489</v>
      </c>
      <c r="F3860">
        <v>120199237</v>
      </c>
      <c r="G3860">
        <v>51823835</v>
      </c>
      <c r="H3860">
        <v>24583647</v>
      </c>
      <c r="I3860">
        <v>40358171</v>
      </c>
      <c r="J3860">
        <v>21039514</v>
      </c>
      <c r="K3860">
        <v>13989612</v>
      </c>
      <c r="L3860">
        <v>7309266</v>
      </c>
      <c r="M3860">
        <v>-11450380</v>
      </c>
      <c r="P3860">
        <v>91</v>
      </c>
      <c r="Q3860" t="s">
        <v>8069</v>
      </c>
    </row>
    <row r="3861" spans="1:17" x14ac:dyDescent="0.3">
      <c r="A3861" t="s">
        <v>59</v>
      </c>
      <c r="B3861" t="str">
        <f>"001228"</f>
        <v>001228</v>
      </c>
      <c r="C3861" t="s">
        <v>8070</v>
      </c>
      <c r="F3861">
        <v>145712414</v>
      </c>
      <c r="G3861">
        <v>103878392</v>
      </c>
      <c r="H3861">
        <v>24481168</v>
      </c>
      <c r="I3861">
        <v>57641692</v>
      </c>
      <c r="J3861">
        <v>9586898</v>
      </c>
      <c r="P3861">
        <v>2</v>
      </c>
      <c r="Q3861" t="s">
        <v>8071</v>
      </c>
    </row>
    <row r="3862" spans="1:17" x14ac:dyDescent="0.3">
      <c r="A3862" t="s">
        <v>17</v>
      </c>
      <c r="B3862" t="str">
        <f>"688589"</f>
        <v>688589</v>
      </c>
      <c r="C3862" t="s">
        <v>8072</v>
      </c>
      <c r="D3862" t="s">
        <v>817</v>
      </c>
      <c r="F3862">
        <v>37298366</v>
      </c>
      <c r="G3862">
        <v>2711530</v>
      </c>
      <c r="H3862">
        <v>24447564</v>
      </c>
      <c r="I3862">
        <v>-7846496</v>
      </c>
      <c r="J3862">
        <v>278320</v>
      </c>
      <c r="K3862">
        <v>-8046832</v>
      </c>
      <c r="P3862">
        <v>73</v>
      </c>
      <c r="Q3862" t="s">
        <v>8073</v>
      </c>
    </row>
    <row r="3863" spans="1:17" x14ac:dyDescent="0.3">
      <c r="A3863" t="s">
        <v>17</v>
      </c>
      <c r="B3863" t="str">
        <f>"688367"</f>
        <v>688367</v>
      </c>
      <c r="C3863" t="s">
        <v>8074</v>
      </c>
      <c r="D3863" t="s">
        <v>165</v>
      </c>
      <c r="F3863">
        <v>50693008</v>
      </c>
      <c r="G3863">
        <v>2193127</v>
      </c>
      <c r="H3863">
        <v>24287053</v>
      </c>
      <c r="I3863">
        <v>5157502</v>
      </c>
      <c r="J3863">
        <v>7017057</v>
      </c>
      <c r="P3863">
        <v>30</v>
      </c>
      <c r="Q3863" t="s">
        <v>8075</v>
      </c>
    </row>
    <row r="3864" spans="1:17" x14ac:dyDescent="0.3">
      <c r="A3864" t="s">
        <v>59</v>
      </c>
      <c r="B3864" t="str">
        <f>"300235"</f>
        <v>300235</v>
      </c>
      <c r="C3864" t="s">
        <v>8076</v>
      </c>
      <c r="D3864" t="s">
        <v>1528</v>
      </c>
      <c r="F3864">
        <v>22484075</v>
      </c>
      <c r="G3864">
        <v>28967295</v>
      </c>
      <c r="H3864">
        <v>24284385</v>
      </c>
      <c r="I3864">
        <v>12605500</v>
      </c>
      <c r="J3864">
        <v>3960736</v>
      </c>
      <c r="K3864">
        <v>9639489</v>
      </c>
      <c r="L3864">
        <v>19415704</v>
      </c>
      <c r="M3864">
        <v>20637846</v>
      </c>
      <c r="N3864">
        <v>17797305</v>
      </c>
      <c r="O3864">
        <v>25203423</v>
      </c>
      <c r="P3864">
        <v>114</v>
      </c>
      <c r="Q3864" t="s">
        <v>8077</v>
      </c>
    </row>
    <row r="3865" spans="1:17" x14ac:dyDescent="0.3">
      <c r="A3865" t="s">
        <v>59</v>
      </c>
      <c r="B3865" t="str">
        <f>"301079"</f>
        <v>301079</v>
      </c>
      <c r="C3865" t="s">
        <v>8078</v>
      </c>
      <c r="D3865" t="s">
        <v>1214</v>
      </c>
      <c r="F3865">
        <v>-5928339</v>
      </c>
      <c r="G3865">
        <v>38481373</v>
      </c>
      <c r="H3865">
        <v>24188952</v>
      </c>
      <c r="I3865">
        <v>7986635</v>
      </c>
      <c r="J3865">
        <v>16513818</v>
      </c>
      <c r="P3865">
        <v>22</v>
      </c>
      <c r="Q3865" t="s">
        <v>8079</v>
      </c>
    </row>
    <row r="3866" spans="1:17" x14ac:dyDescent="0.3">
      <c r="A3866" t="s">
        <v>59</v>
      </c>
      <c r="B3866" t="str">
        <f>"300175"</f>
        <v>300175</v>
      </c>
      <c r="C3866" t="s">
        <v>8080</v>
      </c>
      <c r="D3866" t="s">
        <v>1518</v>
      </c>
      <c r="F3866">
        <v>30282777</v>
      </c>
      <c r="G3866">
        <v>30995335</v>
      </c>
      <c r="H3866">
        <v>24056961</v>
      </c>
      <c r="I3866">
        <v>-20104496</v>
      </c>
      <c r="J3866">
        <v>119771035</v>
      </c>
      <c r="K3866">
        <v>392216479</v>
      </c>
      <c r="L3866">
        <v>141602523</v>
      </c>
      <c r="M3866">
        <v>-271328670</v>
      </c>
      <c r="N3866">
        <v>-31727141</v>
      </c>
      <c r="O3866">
        <v>-56552904</v>
      </c>
      <c r="P3866">
        <v>84</v>
      </c>
      <c r="Q3866" t="s">
        <v>8081</v>
      </c>
    </row>
    <row r="3867" spans="1:17" x14ac:dyDescent="0.3">
      <c r="A3867" t="s">
        <v>59</v>
      </c>
      <c r="B3867" t="str">
        <f>"002862"</f>
        <v>002862</v>
      </c>
      <c r="C3867" t="s">
        <v>8082</v>
      </c>
      <c r="D3867" t="s">
        <v>4437</v>
      </c>
      <c r="F3867">
        <v>-4863763</v>
      </c>
      <c r="G3867">
        <v>-22298699</v>
      </c>
      <c r="H3867">
        <v>23593024</v>
      </c>
      <c r="I3867">
        <v>13685719</v>
      </c>
      <c r="J3867">
        <v>36336779</v>
      </c>
      <c r="K3867">
        <v>64400976</v>
      </c>
      <c r="L3867">
        <v>56125628</v>
      </c>
      <c r="M3867">
        <v>77633084</v>
      </c>
      <c r="P3867">
        <v>66</v>
      </c>
      <c r="Q3867" t="s">
        <v>8083</v>
      </c>
    </row>
    <row r="3868" spans="1:17" x14ac:dyDescent="0.3">
      <c r="A3868" t="s">
        <v>59</v>
      </c>
      <c r="B3868" t="str">
        <f>"300853"</f>
        <v>300853</v>
      </c>
      <c r="C3868" t="s">
        <v>8084</v>
      </c>
      <c r="D3868" t="s">
        <v>3323</v>
      </c>
      <c r="F3868">
        <v>-60720192</v>
      </c>
      <c r="G3868">
        <v>-38004947</v>
      </c>
      <c r="H3868">
        <v>23574910</v>
      </c>
      <c r="I3868">
        <v>27425483</v>
      </c>
      <c r="J3868">
        <v>53222824</v>
      </c>
      <c r="K3868">
        <v>60312570</v>
      </c>
      <c r="P3868">
        <v>142</v>
      </c>
      <c r="Q3868" t="s">
        <v>8085</v>
      </c>
    </row>
    <row r="3869" spans="1:17" x14ac:dyDescent="0.3">
      <c r="A3869" t="s">
        <v>59</v>
      </c>
      <c r="B3869" t="str">
        <f>"002849"</f>
        <v>002849</v>
      </c>
      <c r="C3869" t="s">
        <v>8086</v>
      </c>
      <c r="D3869" t="s">
        <v>2382</v>
      </c>
      <c r="F3869">
        <v>38804306</v>
      </c>
      <c r="G3869">
        <v>117976627</v>
      </c>
      <c r="H3869">
        <v>23268634</v>
      </c>
      <c r="I3869">
        <v>33960925</v>
      </c>
      <c r="J3869">
        <v>21071140</v>
      </c>
      <c r="K3869">
        <v>41115996</v>
      </c>
      <c r="L3869">
        <v>24382411</v>
      </c>
      <c r="M3869">
        <v>21243908</v>
      </c>
      <c r="P3869">
        <v>177</v>
      </c>
      <c r="Q3869" t="s">
        <v>8087</v>
      </c>
    </row>
    <row r="3870" spans="1:17" x14ac:dyDescent="0.3">
      <c r="A3870" t="s">
        <v>59</v>
      </c>
      <c r="B3870" t="str">
        <f>"300597"</f>
        <v>300597</v>
      </c>
      <c r="C3870" t="s">
        <v>8088</v>
      </c>
      <c r="D3870" t="s">
        <v>2057</v>
      </c>
      <c r="F3870">
        <v>19152754</v>
      </c>
      <c r="G3870">
        <v>30465620</v>
      </c>
      <c r="H3870">
        <v>22943149</v>
      </c>
      <c r="I3870">
        <v>14739236</v>
      </c>
      <c r="J3870">
        <v>6883731</v>
      </c>
      <c r="K3870">
        <v>18050874</v>
      </c>
      <c r="L3870">
        <v>24185000</v>
      </c>
      <c r="M3870">
        <v>-22569542</v>
      </c>
      <c r="N3870">
        <v>34990261</v>
      </c>
      <c r="P3870">
        <v>110</v>
      </c>
      <c r="Q3870" t="s">
        <v>8089</v>
      </c>
    </row>
    <row r="3871" spans="1:17" x14ac:dyDescent="0.3">
      <c r="A3871" t="s">
        <v>59</v>
      </c>
      <c r="B3871" t="str">
        <f>"300781"</f>
        <v>300781</v>
      </c>
      <c r="C3871" t="s">
        <v>8090</v>
      </c>
      <c r="D3871" t="s">
        <v>1889</v>
      </c>
      <c r="F3871">
        <v>26644292</v>
      </c>
      <c r="G3871">
        <v>58704520</v>
      </c>
      <c r="H3871">
        <v>22942322</v>
      </c>
      <c r="I3871">
        <v>36723276</v>
      </c>
      <c r="J3871">
        <v>54404883</v>
      </c>
      <c r="K3871">
        <v>22522665</v>
      </c>
      <c r="P3871">
        <v>100</v>
      </c>
      <c r="Q3871" t="s">
        <v>8091</v>
      </c>
    </row>
    <row r="3872" spans="1:17" x14ac:dyDescent="0.3">
      <c r="A3872" t="s">
        <v>17</v>
      </c>
      <c r="B3872" t="str">
        <f>"688168"</f>
        <v>688168</v>
      </c>
      <c r="C3872" t="s">
        <v>8092</v>
      </c>
      <c r="D3872" t="s">
        <v>789</v>
      </c>
      <c r="F3872">
        <v>19139522</v>
      </c>
      <c r="G3872">
        <v>12479396</v>
      </c>
      <c r="H3872">
        <v>22940105</v>
      </c>
      <c r="I3872">
        <v>18031980</v>
      </c>
      <c r="J3872">
        <v>19342122</v>
      </c>
      <c r="K3872">
        <v>1928917</v>
      </c>
      <c r="P3872">
        <v>144</v>
      </c>
      <c r="Q3872" t="s">
        <v>8093</v>
      </c>
    </row>
    <row r="3873" spans="1:17" x14ac:dyDescent="0.3">
      <c r="A3873" t="s">
        <v>59</v>
      </c>
      <c r="B3873" t="str">
        <f>"002816"</f>
        <v>002816</v>
      </c>
      <c r="C3873" t="s">
        <v>8094</v>
      </c>
      <c r="D3873" t="s">
        <v>1351</v>
      </c>
      <c r="F3873">
        <v>-84061297</v>
      </c>
      <c r="G3873">
        <v>40159012</v>
      </c>
      <c r="H3873">
        <v>22868691</v>
      </c>
      <c r="I3873">
        <v>20586527</v>
      </c>
      <c r="J3873">
        <v>-55366066</v>
      </c>
      <c r="K3873">
        <v>-28719819</v>
      </c>
      <c r="L3873">
        <v>37419984</v>
      </c>
      <c r="M3873">
        <v>6115136</v>
      </c>
      <c r="N3873">
        <v>-21274103</v>
      </c>
      <c r="P3873">
        <v>46</v>
      </c>
      <c r="Q3873" t="s">
        <v>8095</v>
      </c>
    </row>
    <row r="3874" spans="1:17" x14ac:dyDescent="0.3">
      <c r="A3874" t="s">
        <v>59</v>
      </c>
      <c r="B3874" t="str">
        <f>"000678"</f>
        <v>000678</v>
      </c>
      <c r="C3874" t="s">
        <v>8096</v>
      </c>
      <c r="D3874" t="s">
        <v>156</v>
      </c>
      <c r="F3874">
        <v>54538234</v>
      </c>
      <c r="G3874">
        <v>-43279344</v>
      </c>
      <c r="H3874">
        <v>22801387</v>
      </c>
      <c r="I3874">
        <v>92485254</v>
      </c>
      <c r="J3874">
        <v>27929012</v>
      </c>
      <c r="K3874">
        <v>-35482298</v>
      </c>
      <c r="L3874">
        <v>-121230176</v>
      </c>
      <c r="M3874">
        <v>16047760</v>
      </c>
      <c r="N3874">
        <v>-75961567</v>
      </c>
      <c r="O3874">
        <v>-58518635</v>
      </c>
      <c r="P3874">
        <v>71</v>
      </c>
      <c r="Q3874" t="s">
        <v>8097</v>
      </c>
    </row>
    <row r="3875" spans="1:17" x14ac:dyDescent="0.3">
      <c r="A3875" t="s">
        <v>59</v>
      </c>
      <c r="B3875" t="str">
        <f>"300281"</f>
        <v>300281</v>
      </c>
      <c r="C3875" t="s">
        <v>8098</v>
      </c>
      <c r="D3875" t="s">
        <v>1351</v>
      </c>
      <c r="F3875">
        <v>74800007</v>
      </c>
      <c r="G3875">
        <v>50267777</v>
      </c>
      <c r="H3875">
        <v>22794019</v>
      </c>
      <c r="I3875">
        <v>80416402</v>
      </c>
      <c r="J3875">
        <v>25881975</v>
      </c>
      <c r="K3875">
        <v>5040156</v>
      </c>
      <c r="L3875">
        <v>-9697499</v>
      </c>
      <c r="M3875">
        <v>67800218</v>
      </c>
      <c r="N3875">
        <v>-43940850</v>
      </c>
      <c r="O3875">
        <v>8280772</v>
      </c>
      <c r="P3875">
        <v>48</v>
      </c>
      <c r="Q3875" t="s">
        <v>8099</v>
      </c>
    </row>
    <row r="3876" spans="1:17" x14ac:dyDescent="0.3">
      <c r="A3876" t="s">
        <v>59</v>
      </c>
      <c r="B3876" t="str">
        <f>"002622"</f>
        <v>002622</v>
      </c>
      <c r="C3876" t="s">
        <v>8100</v>
      </c>
      <c r="D3876" t="s">
        <v>560</v>
      </c>
      <c r="F3876">
        <v>18367226</v>
      </c>
      <c r="G3876">
        <v>65344208</v>
      </c>
      <c r="H3876">
        <v>22750890</v>
      </c>
      <c r="I3876">
        <v>4229099</v>
      </c>
      <c r="J3876">
        <v>-167062834</v>
      </c>
      <c r="K3876">
        <v>-33217022</v>
      </c>
      <c r="L3876">
        <v>16375406</v>
      </c>
      <c r="M3876">
        <v>59724239</v>
      </c>
      <c r="N3876">
        <v>69323576</v>
      </c>
      <c r="O3876">
        <v>40397985</v>
      </c>
      <c r="P3876">
        <v>120</v>
      </c>
      <c r="Q3876" t="s">
        <v>8101</v>
      </c>
    </row>
    <row r="3877" spans="1:17" x14ac:dyDescent="0.3">
      <c r="A3877" t="s">
        <v>59</v>
      </c>
      <c r="B3877" t="str">
        <f>"301071"</f>
        <v>301071</v>
      </c>
      <c r="C3877" t="s">
        <v>8102</v>
      </c>
      <c r="D3877" t="s">
        <v>1636</v>
      </c>
      <c r="F3877">
        <v>288076549</v>
      </c>
      <c r="G3877">
        <v>100212230</v>
      </c>
      <c r="H3877">
        <v>22745666</v>
      </c>
      <c r="I3877">
        <v>36370024</v>
      </c>
      <c r="J3877">
        <v>14106594</v>
      </c>
      <c r="P3877">
        <v>76</v>
      </c>
      <c r="Q3877" t="s">
        <v>8103</v>
      </c>
    </row>
    <row r="3878" spans="1:17" x14ac:dyDescent="0.3">
      <c r="A3878" t="s">
        <v>17</v>
      </c>
      <c r="B3878" t="str">
        <f>"603527"</f>
        <v>603527</v>
      </c>
      <c r="C3878" t="s">
        <v>8104</v>
      </c>
      <c r="D3878" t="s">
        <v>259</v>
      </c>
      <c r="F3878">
        <v>-17866988</v>
      </c>
      <c r="G3878">
        <v>-218702640</v>
      </c>
      <c r="H3878">
        <v>22580706</v>
      </c>
      <c r="I3878">
        <v>137460909</v>
      </c>
      <c r="J3878">
        <v>-101658747</v>
      </c>
      <c r="K3878">
        <v>70674005</v>
      </c>
      <c r="L3878">
        <v>96414096</v>
      </c>
      <c r="M3878">
        <v>79830983</v>
      </c>
      <c r="P3878">
        <v>53</v>
      </c>
      <c r="Q3878" t="s">
        <v>8105</v>
      </c>
    </row>
    <row r="3879" spans="1:17" x14ac:dyDescent="0.3">
      <c r="A3879" t="s">
        <v>17</v>
      </c>
      <c r="B3879" t="str">
        <f>"688516"</f>
        <v>688516</v>
      </c>
      <c r="C3879" t="s">
        <v>8106</v>
      </c>
      <c r="D3879" t="s">
        <v>2062</v>
      </c>
      <c r="F3879">
        <v>316770719</v>
      </c>
      <c r="G3879">
        <v>153194250</v>
      </c>
      <c r="H3879">
        <v>22532671</v>
      </c>
      <c r="I3879">
        <v>-53158551</v>
      </c>
      <c r="J3879">
        <v>-108744240</v>
      </c>
      <c r="K3879">
        <v>38755307</v>
      </c>
      <c r="P3879">
        <v>152</v>
      </c>
      <c r="Q3879" t="s">
        <v>8107</v>
      </c>
    </row>
    <row r="3880" spans="1:17" x14ac:dyDescent="0.3">
      <c r="A3880" t="s">
        <v>17</v>
      </c>
      <c r="B3880" t="str">
        <f>"600876"</f>
        <v>600876</v>
      </c>
      <c r="C3880" t="s">
        <v>8108</v>
      </c>
      <c r="D3880" t="s">
        <v>901</v>
      </c>
      <c r="F3880">
        <v>136314148</v>
      </c>
      <c r="G3880">
        <v>354080798</v>
      </c>
      <c r="H3880">
        <v>22491989</v>
      </c>
      <c r="I3880">
        <v>-80220923</v>
      </c>
      <c r="J3880">
        <v>50453331</v>
      </c>
      <c r="K3880">
        <v>30552922</v>
      </c>
      <c r="L3880">
        <v>-131037565</v>
      </c>
      <c r="M3880">
        <v>-40828688</v>
      </c>
      <c r="N3880">
        <v>10986239</v>
      </c>
      <c r="O3880">
        <v>8734732</v>
      </c>
      <c r="P3880">
        <v>175</v>
      </c>
      <c r="Q3880" t="s">
        <v>8109</v>
      </c>
    </row>
    <row r="3881" spans="1:17" x14ac:dyDescent="0.3">
      <c r="A3881" t="s">
        <v>59</v>
      </c>
      <c r="B3881" t="str">
        <f>"301228"</f>
        <v>301228</v>
      </c>
      <c r="C3881" t="s">
        <v>8110</v>
      </c>
      <c r="F3881">
        <v>86525116</v>
      </c>
      <c r="G3881">
        <v>38749966</v>
      </c>
      <c r="H3881">
        <v>22490056</v>
      </c>
      <c r="I3881">
        <v>32070685</v>
      </c>
      <c r="J3881">
        <v>20986141</v>
      </c>
      <c r="P3881">
        <v>11</v>
      </c>
      <c r="Q3881" t="s">
        <v>8111</v>
      </c>
    </row>
    <row r="3882" spans="1:17" x14ac:dyDescent="0.3">
      <c r="A3882" t="s">
        <v>59</v>
      </c>
      <c r="B3882" t="str">
        <f>"002932"</f>
        <v>002932</v>
      </c>
      <c r="C3882" t="s">
        <v>8112</v>
      </c>
      <c r="D3882" t="s">
        <v>1953</v>
      </c>
      <c r="F3882">
        <v>1127006148</v>
      </c>
      <c r="G3882">
        <v>359682449</v>
      </c>
      <c r="H3882">
        <v>22485879</v>
      </c>
      <c r="I3882">
        <v>53671446</v>
      </c>
      <c r="J3882">
        <v>46496345</v>
      </c>
      <c r="K3882">
        <v>58859242</v>
      </c>
      <c r="L3882">
        <v>45021651</v>
      </c>
      <c r="P3882">
        <v>423</v>
      </c>
      <c r="Q3882" t="s">
        <v>8113</v>
      </c>
    </row>
    <row r="3883" spans="1:17" x14ac:dyDescent="0.3">
      <c r="A3883" t="s">
        <v>17</v>
      </c>
      <c r="B3883" t="str">
        <f>"688289"</f>
        <v>688289</v>
      </c>
      <c r="C3883" t="s">
        <v>8114</v>
      </c>
      <c r="D3883" t="s">
        <v>1953</v>
      </c>
      <c r="F3883">
        <v>1877070615</v>
      </c>
      <c r="G3883">
        <v>2642276432</v>
      </c>
      <c r="H3883">
        <v>22405732</v>
      </c>
      <c r="I3883">
        <v>10067121</v>
      </c>
      <c r="J3883">
        <v>-61444859</v>
      </c>
      <c r="P3883">
        <v>209</v>
      </c>
      <c r="Q3883" t="s">
        <v>8115</v>
      </c>
    </row>
    <row r="3884" spans="1:17" x14ac:dyDescent="0.3">
      <c r="A3884" t="s">
        <v>59</v>
      </c>
      <c r="B3884" t="str">
        <f>"002248"</f>
        <v>002248</v>
      </c>
      <c r="C3884" t="s">
        <v>8116</v>
      </c>
      <c r="D3884" t="s">
        <v>2705</v>
      </c>
      <c r="F3884">
        <v>23138353</v>
      </c>
      <c r="G3884">
        <v>23902535</v>
      </c>
      <c r="H3884">
        <v>22394652</v>
      </c>
      <c r="I3884">
        <v>-61639504</v>
      </c>
      <c r="J3884">
        <v>116666686</v>
      </c>
      <c r="K3884">
        <v>-4854194</v>
      </c>
      <c r="L3884">
        <v>-39721319</v>
      </c>
      <c r="M3884">
        <v>-70035969</v>
      </c>
      <c r="N3884">
        <v>-13890134</v>
      </c>
      <c r="O3884">
        <v>-39193396</v>
      </c>
      <c r="P3884">
        <v>109</v>
      </c>
      <c r="Q3884" t="s">
        <v>8117</v>
      </c>
    </row>
    <row r="3885" spans="1:17" x14ac:dyDescent="0.3">
      <c r="A3885" t="s">
        <v>59</v>
      </c>
      <c r="B3885" t="str">
        <f>"300391"</f>
        <v>300391</v>
      </c>
      <c r="C3885" t="s">
        <v>8118</v>
      </c>
      <c r="D3885" t="s">
        <v>156</v>
      </c>
      <c r="F3885">
        <v>230987890</v>
      </c>
      <c r="G3885">
        <v>32805640</v>
      </c>
      <c r="H3885">
        <v>22302178</v>
      </c>
      <c r="I3885">
        <v>137087581</v>
      </c>
      <c r="J3885">
        <v>38957030</v>
      </c>
      <c r="K3885">
        <v>-18006133</v>
      </c>
      <c r="L3885">
        <v>40984293</v>
      </c>
      <c r="M3885">
        <v>-38880883</v>
      </c>
      <c r="N3885">
        <v>21658761</v>
      </c>
      <c r="O3885">
        <v>29341439</v>
      </c>
      <c r="P3885">
        <v>80</v>
      </c>
      <c r="Q3885" t="s">
        <v>8119</v>
      </c>
    </row>
    <row r="3886" spans="1:17" x14ac:dyDescent="0.3">
      <c r="A3886" t="s">
        <v>59</v>
      </c>
      <c r="B3886" t="str">
        <f>"002659"</f>
        <v>002659</v>
      </c>
      <c r="C3886" t="s">
        <v>8120</v>
      </c>
      <c r="D3886" t="s">
        <v>8121</v>
      </c>
      <c r="F3886">
        <v>121488606</v>
      </c>
      <c r="G3886">
        <v>3496978</v>
      </c>
      <c r="H3886">
        <v>22050078</v>
      </c>
      <c r="I3886">
        <v>528848</v>
      </c>
      <c r="J3886">
        <v>-180032497</v>
      </c>
      <c r="K3886">
        <v>-315502142</v>
      </c>
      <c r="L3886">
        <v>174360086</v>
      </c>
      <c r="M3886">
        <v>92617972</v>
      </c>
      <c r="N3886">
        <v>-100147487</v>
      </c>
      <c r="O3886">
        <v>-428561703</v>
      </c>
      <c r="P3886">
        <v>96</v>
      </c>
      <c r="Q3886" t="s">
        <v>8122</v>
      </c>
    </row>
    <row r="3887" spans="1:17" x14ac:dyDescent="0.3">
      <c r="A3887" t="s">
        <v>17</v>
      </c>
      <c r="B3887" t="str">
        <f>"603990"</f>
        <v>603990</v>
      </c>
      <c r="C3887" t="s">
        <v>8123</v>
      </c>
      <c r="D3887" t="s">
        <v>1528</v>
      </c>
      <c r="F3887">
        <v>36037346</v>
      </c>
      <c r="G3887">
        <v>100479245</v>
      </c>
      <c r="H3887">
        <v>22040766</v>
      </c>
      <c r="I3887">
        <v>48670471</v>
      </c>
      <c r="J3887">
        <v>-6159447</v>
      </c>
      <c r="K3887">
        <v>32558392</v>
      </c>
      <c r="L3887">
        <v>37536098</v>
      </c>
      <c r="M3887">
        <v>40817781</v>
      </c>
      <c r="N3887">
        <v>32839620</v>
      </c>
      <c r="P3887">
        <v>143</v>
      </c>
      <c r="Q3887" t="s">
        <v>8124</v>
      </c>
    </row>
    <row r="3888" spans="1:17" x14ac:dyDescent="0.3">
      <c r="A3888" t="s">
        <v>59</v>
      </c>
      <c r="B3888" t="str">
        <f>"002480"</f>
        <v>002480</v>
      </c>
      <c r="C3888" t="s">
        <v>8125</v>
      </c>
      <c r="D3888" t="s">
        <v>637</v>
      </c>
      <c r="F3888">
        <v>-444098770</v>
      </c>
      <c r="G3888">
        <v>558554306</v>
      </c>
      <c r="H3888">
        <v>21966188</v>
      </c>
      <c r="I3888">
        <v>116533543</v>
      </c>
      <c r="J3888">
        <v>-154810114</v>
      </c>
      <c r="K3888">
        <v>193878435</v>
      </c>
      <c r="L3888">
        <v>-43060526</v>
      </c>
      <c r="M3888">
        <v>227529959</v>
      </c>
      <c r="N3888">
        <v>191538188</v>
      </c>
      <c r="O3888">
        <v>322729358</v>
      </c>
      <c r="P3888">
        <v>107</v>
      </c>
      <c r="Q3888" t="s">
        <v>8126</v>
      </c>
    </row>
    <row r="3889" spans="1:17" x14ac:dyDescent="0.3">
      <c r="A3889" t="s">
        <v>17</v>
      </c>
      <c r="B3889" t="str">
        <f>"600679"</f>
        <v>600679</v>
      </c>
      <c r="C3889" t="s">
        <v>8127</v>
      </c>
      <c r="D3889" t="s">
        <v>1391</v>
      </c>
      <c r="F3889">
        <v>65465687</v>
      </c>
      <c r="G3889">
        <v>122538622</v>
      </c>
      <c r="H3889">
        <v>21917350</v>
      </c>
      <c r="I3889">
        <v>-25751928</v>
      </c>
      <c r="J3889">
        <v>40153105</v>
      </c>
      <c r="K3889">
        <v>32031721</v>
      </c>
      <c r="L3889">
        <v>29802128</v>
      </c>
      <c r="M3889">
        <v>107967739</v>
      </c>
      <c r="N3889">
        <v>14722439</v>
      </c>
      <c r="O3889">
        <v>-18024271</v>
      </c>
      <c r="P3889">
        <v>77</v>
      </c>
      <c r="Q3889" t="s">
        <v>8128</v>
      </c>
    </row>
    <row r="3890" spans="1:17" x14ac:dyDescent="0.3">
      <c r="A3890" t="s">
        <v>17</v>
      </c>
      <c r="B3890" t="str">
        <f>"900930"</f>
        <v>900930</v>
      </c>
      <c r="C3890" t="s">
        <v>8129</v>
      </c>
      <c r="H3890">
        <v>21842854.841200002</v>
      </c>
      <c r="I3890">
        <v>8274837.1538000004</v>
      </c>
      <c r="J3890">
        <v>-420033.94559999998</v>
      </c>
      <c r="K3890">
        <v>1222120.5120000001</v>
      </c>
      <c r="L3890">
        <v>-26676345.826900002</v>
      </c>
      <c r="M3890">
        <v>-43069865.519100003</v>
      </c>
      <c r="N3890">
        <v>-44913798.596900001</v>
      </c>
      <c r="O3890">
        <v>-23066318.883200001</v>
      </c>
      <c r="P3890">
        <v>1</v>
      </c>
      <c r="Q3890" t="s">
        <v>8130</v>
      </c>
    </row>
    <row r="3891" spans="1:17" x14ac:dyDescent="0.3">
      <c r="A3891" t="s">
        <v>59</v>
      </c>
      <c r="B3891" t="str">
        <f>"300106"</f>
        <v>300106</v>
      </c>
      <c r="C3891" t="s">
        <v>8131</v>
      </c>
      <c r="D3891" t="s">
        <v>308</v>
      </c>
      <c r="F3891">
        <v>92540360</v>
      </c>
      <c r="G3891">
        <v>155385602</v>
      </c>
      <c r="H3891">
        <v>21715132</v>
      </c>
      <c r="I3891">
        <v>741993354</v>
      </c>
      <c r="J3891">
        <v>80946860</v>
      </c>
      <c r="K3891">
        <v>-269566013</v>
      </c>
      <c r="L3891">
        <v>72775916</v>
      </c>
      <c r="M3891">
        <v>-166624995</v>
      </c>
      <c r="N3891">
        <v>-33834477</v>
      </c>
      <c r="O3891">
        <v>25810362</v>
      </c>
      <c r="P3891">
        <v>124</v>
      </c>
      <c r="Q3891" t="s">
        <v>8132</v>
      </c>
    </row>
    <row r="3892" spans="1:17" x14ac:dyDescent="0.3">
      <c r="A3892" t="s">
        <v>59</v>
      </c>
      <c r="B3892" t="str">
        <f>"300743"</f>
        <v>300743</v>
      </c>
      <c r="C3892" t="s">
        <v>8133</v>
      </c>
      <c r="D3892" t="s">
        <v>707</v>
      </c>
      <c r="F3892">
        <v>-21565928</v>
      </c>
      <c r="G3892">
        <v>48043326</v>
      </c>
      <c r="H3892">
        <v>21647853</v>
      </c>
      <c r="I3892">
        <v>13922888</v>
      </c>
      <c r="J3892">
        <v>33934710</v>
      </c>
      <c r="K3892">
        <v>68186982</v>
      </c>
      <c r="L3892">
        <v>38385887</v>
      </c>
      <c r="P3892">
        <v>54</v>
      </c>
      <c r="Q3892" t="s">
        <v>8134</v>
      </c>
    </row>
    <row r="3893" spans="1:17" x14ac:dyDescent="0.3">
      <c r="A3893" t="s">
        <v>59</v>
      </c>
      <c r="B3893" t="str">
        <f>"301120"</f>
        <v>301120</v>
      </c>
      <c r="C3893" t="s">
        <v>8135</v>
      </c>
      <c r="F3893">
        <v>57619459</v>
      </c>
      <c r="G3893">
        <v>31173965</v>
      </c>
      <c r="H3893">
        <v>21622027</v>
      </c>
      <c r="I3893">
        <v>-1302740</v>
      </c>
      <c r="J3893">
        <v>-17822196</v>
      </c>
      <c r="P3893">
        <v>7</v>
      </c>
      <c r="Q3893" t="s">
        <v>8136</v>
      </c>
    </row>
    <row r="3894" spans="1:17" x14ac:dyDescent="0.3">
      <c r="A3894" t="s">
        <v>17</v>
      </c>
      <c r="B3894" t="str">
        <f>"688607"</f>
        <v>688607</v>
      </c>
      <c r="C3894" t="s">
        <v>8137</v>
      </c>
      <c r="D3894" t="s">
        <v>485</v>
      </c>
      <c r="F3894">
        <v>31530199</v>
      </c>
      <c r="G3894">
        <v>71184740</v>
      </c>
      <c r="H3894">
        <v>21585707</v>
      </c>
      <c r="I3894">
        <v>32954336</v>
      </c>
      <c r="J3894">
        <v>28997337</v>
      </c>
      <c r="P3894">
        <v>55</v>
      </c>
      <c r="Q3894" t="s">
        <v>8138</v>
      </c>
    </row>
    <row r="3895" spans="1:17" x14ac:dyDescent="0.3">
      <c r="A3895" t="s">
        <v>59</v>
      </c>
      <c r="B3895" t="str">
        <f>"300279"</f>
        <v>300279</v>
      </c>
      <c r="C3895" t="s">
        <v>8139</v>
      </c>
      <c r="D3895" t="s">
        <v>349</v>
      </c>
      <c r="F3895">
        <v>-4590329</v>
      </c>
      <c r="G3895">
        <v>-146047879</v>
      </c>
      <c r="H3895">
        <v>21379245</v>
      </c>
      <c r="I3895">
        <v>93888595</v>
      </c>
      <c r="J3895">
        <v>-29929596</v>
      </c>
      <c r="K3895">
        <v>44580099</v>
      </c>
      <c r="L3895">
        <v>-18379142</v>
      </c>
      <c r="M3895">
        <v>43104615</v>
      </c>
      <c r="N3895">
        <v>14322550</v>
      </c>
      <c r="O3895">
        <v>1700212</v>
      </c>
      <c r="P3895">
        <v>166</v>
      </c>
      <c r="Q3895" t="s">
        <v>8140</v>
      </c>
    </row>
    <row r="3896" spans="1:17" x14ac:dyDescent="0.3">
      <c r="A3896" t="s">
        <v>59</v>
      </c>
      <c r="B3896" t="str">
        <f>"300553"</f>
        <v>300553</v>
      </c>
      <c r="C3896" t="s">
        <v>8141</v>
      </c>
      <c r="D3896" t="s">
        <v>2382</v>
      </c>
      <c r="F3896">
        <v>21899111</v>
      </c>
      <c r="G3896">
        <v>18719327</v>
      </c>
      <c r="H3896">
        <v>21303870</v>
      </c>
      <c r="I3896">
        <v>4905605</v>
      </c>
      <c r="J3896">
        <v>-2232952</v>
      </c>
      <c r="K3896">
        <v>26802244</v>
      </c>
      <c r="L3896">
        <v>27222342</v>
      </c>
      <c r="M3896">
        <v>42215529</v>
      </c>
      <c r="N3896">
        <v>30706194</v>
      </c>
      <c r="P3896">
        <v>72</v>
      </c>
      <c r="Q3896" t="s">
        <v>8142</v>
      </c>
    </row>
    <row r="3897" spans="1:17" x14ac:dyDescent="0.3">
      <c r="A3897" t="s">
        <v>17</v>
      </c>
      <c r="B3897" t="str">
        <f>"688320"</f>
        <v>688320</v>
      </c>
      <c r="C3897" t="s">
        <v>8143</v>
      </c>
      <c r="F3897">
        <v>13501948</v>
      </c>
      <c r="G3897">
        <v>47015715</v>
      </c>
      <c r="H3897">
        <v>21298732</v>
      </c>
      <c r="I3897">
        <v>20803324</v>
      </c>
      <c r="P3897">
        <v>1</v>
      </c>
      <c r="Q3897" t="s">
        <v>8144</v>
      </c>
    </row>
    <row r="3898" spans="1:17" x14ac:dyDescent="0.3">
      <c r="A3898" t="s">
        <v>17</v>
      </c>
      <c r="B3898" t="str">
        <f>"688051"</f>
        <v>688051</v>
      </c>
      <c r="C3898" t="s">
        <v>8145</v>
      </c>
      <c r="D3898" t="s">
        <v>1189</v>
      </c>
      <c r="F3898">
        <v>-24359026</v>
      </c>
      <c r="G3898">
        <v>-56593169</v>
      </c>
      <c r="H3898">
        <v>21258106</v>
      </c>
      <c r="I3898">
        <v>65908950</v>
      </c>
      <c r="J3898">
        <v>2435981</v>
      </c>
      <c r="K3898">
        <v>41905465</v>
      </c>
      <c r="P3898">
        <v>91</v>
      </c>
      <c r="Q3898" t="s">
        <v>8146</v>
      </c>
    </row>
    <row r="3899" spans="1:17" x14ac:dyDescent="0.3">
      <c r="A3899" t="s">
        <v>17</v>
      </c>
      <c r="B3899" t="str">
        <f>"688690"</f>
        <v>688690</v>
      </c>
      <c r="C3899" t="s">
        <v>8147</v>
      </c>
      <c r="D3899" t="s">
        <v>984</v>
      </c>
      <c r="F3899">
        <v>157563861</v>
      </c>
      <c r="G3899">
        <v>72208424</v>
      </c>
      <c r="H3899">
        <v>21054067</v>
      </c>
      <c r="I3899">
        <v>24941</v>
      </c>
      <c r="J3899">
        <v>12175303</v>
      </c>
      <c r="P3899">
        <v>116</v>
      </c>
      <c r="Q3899" t="s">
        <v>8148</v>
      </c>
    </row>
    <row r="3900" spans="1:17" x14ac:dyDescent="0.3">
      <c r="A3900" t="s">
        <v>59</v>
      </c>
      <c r="B3900" t="str">
        <f>"300916"</f>
        <v>300916</v>
      </c>
      <c r="C3900" t="s">
        <v>8149</v>
      </c>
      <c r="D3900" t="s">
        <v>349</v>
      </c>
      <c r="F3900">
        <v>129150350</v>
      </c>
      <c r="G3900">
        <v>128510006</v>
      </c>
      <c r="H3900">
        <v>21048011</v>
      </c>
      <c r="I3900">
        <v>14158478</v>
      </c>
      <c r="J3900">
        <v>43908286</v>
      </c>
      <c r="K3900">
        <v>33450324</v>
      </c>
      <c r="P3900">
        <v>79</v>
      </c>
      <c r="Q3900" t="s">
        <v>8150</v>
      </c>
    </row>
    <row r="3901" spans="1:17" x14ac:dyDescent="0.3">
      <c r="A3901" t="s">
        <v>17</v>
      </c>
      <c r="B3901" t="str">
        <f>"600272"</f>
        <v>600272</v>
      </c>
      <c r="C3901" t="s">
        <v>8151</v>
      </c>
      <c r="D3901" t="s">
        <v>396</v>
      </c>
      <c r="F3901">
        <v>26714571</v>
      </c>
      <c r="G3901">
        <v>81659668</v>
      </c>
      <c r="H3901">
        <v>20728062</v>
      </c>
      <c r="I3901">
        <v>32074938</v>
      </c>
      <c r="J3901">
        <v>72647255</v>
      </c>
      <c r="K3901">
        <v>11270516</v>
      </c>
      <c r="L3901">
        <v>12170096</v>
      </c>
      <c r="M3901">
        <v>27550971</v>
      </c>
      <c r="N3901">
        <v>14391623</v>
      </c>
      <c r="O3901">
        <v>23232651</v>
      </c>
      <c r="P3901">
        <v>66</v>
      </c>
      <c r="Q3901" t="s">
        <v>8152</v>
      </c>
    </row>
    <row r="3902" spans="1:17" x14ac:dyDescent="0.3">
      <c r="A3902" t="s">
        <v>59</v>
      </c>
      <c r="B3902" t="str">
        <f>"301182"</f>
        <v>301182</v>
      </c>
      <c r="C3902" t="s">
        <v>8153</v>
      </c>
      <c r="D3902" t="s">
        <v>349</v>
      </c>
      <c r="F3902">
        <v>44770963</v>
      </c>
      <c r="G3902">
        <v>-13011465</v>
      </c>
      <c r="H3902">
        <v>20682206</v>
      </c>
      <c r="I3902">
        <v>25786634</v>
      </c>
      <c r="J3902">
        <v>32467519</v>
      </c>
      <c r="P3902">
        <v>11</v>
      </c>
      <c r="Q3902" t="s">
        <v>8154</v>
      </c>
    </row>
    <row r="3903" spans="1:17" x14ac:dyDescent="0.3">
      <c r="A3903" t="s">
        <v>17</v>
      </c>
      <c r="B3903" t="str">
        <f>"605599"</f>
        <v>605599</v>
      </c>
      <c r="C3903" t="s">
        <v>8155</v>
      </c>
      <c r="D3903" t="s">
        <v>2025</v>
      </c>
      <c r="F3903">
        <v>-404065277</v>
      </c>
      <c r="G3903">
        <v>936734004</v>
      </c>
      <c r="H3903">
        <v>20662334</v>
      </c>
      <c r="I3903">
        <v>279149352</v>
      </c>
      <c r="J3903">
        <v>676662654</v>
      </c>
      <c r="P3903">
        <v>21</v>
      </c>
      <c r="Q3903" t="s">
        <v>8156</v>
      </c>
    </row>
    <row r="3904" spans="1:17" x14ac:dyDescent="0.3">
      <c r="A3904" t="s">
        <v>59</v>
      </c>
      <c r="B3904" t="str">
        <f>"300414"</f>
        <v>300414</v>
      </c>
      <c r="C3904" t="s">
        <v>8157</v>
      </c>
      <c r="D3904" t="s">
        <v>1138</v>
      </c>
      <c r="F3904">
        <v>-69116529</v>
      </c>
      <c r="G3904">
        <v>-7133321</v>
      </c>
      <c r="H3904">
        <v>20640576</v>
      </c>
      <c r="I3904">
        <v>22670528</v>
      </c>
      <c r="J3904">
        <v>-19781267</v>
      </c>
      <c r="K3904">
        <v>68553166</v>
      </c>
      <c r="L3904">
        <v>62610107</v>
      </c>
      <c r="M3904">
        <v>104664007</v>
      </c>
      <c r="N3904">
        <v>51330172</v>
      </c>
      <c r="O3904">
        <v>46999642</v>
      </c>
      <c r="P3904">
        <v>219</v>
      </c>
      <c r="Q3904" t="s">
        <v>8158</v>
      </c>
    </row>
    <row r="3905" spans="1:17" x14ac:dyDescent="0.3">
      <c r="A3905" t="s">
        <v>59</v>
      </c>
      <c r="B3905" t="str">
        <f>"002333"</f>
        <v>002333</v>
      </c>
      <c r="C3905" t="s">
        <v>8159</v>
      </c>
      <c r="D3905" t="s">
        <v>1041</v>
      </c>
      <c r="F3905">
        <v>-225904949</v>
      </c>
      <c r="G3905">
        <v>-81626016</v>
      </c>
      <c r="H3905">
        <v>20609103</v>
      </c>
      <c r="I3905">
        <v>15152444</v>
      </c>
      <c r="J3905">
        <v>-39696512</v>
      </c>
      <c r="K3905">
        <v>-41766304</v>
      </c>
      <c r="L3905">
        <v>-24360494</v>
      </c>
      <c r="M3905">
        <v>63321644</v>
      </c>
      <c r="N3905">
        <v>118849933</v>
      </c>
      <c r="O3905">
        <v>136115957</v>
      </c>
      <c r="P3905">
        <v>59</v>
      </c>
      <c r="Q3905" t="s">
        <v>8160</v>
      </c>
    </row>
    <row r="3906" spans="1:17" x14ac:dyDescent="0.3">
      <c r="A3906" t="s">
        <v>59</v>
      </c>
      <c r="B3906" t="str">
        <f>"301248"</f>
        <v>301248</v>
      </c>
      <c r="C3906" t="s">
        <v>8161</v>
      </c>
      <c r="F3906">
        <v>-31354213</v>
      </c>
      <c r="G3906">
        <v>198306952</v>
      </c>
      <c r="H3906">
        <v>20536705</v>
      </c>
      <c r="I3906">
        <v>-7231036</v>
      </c>
      <c r="J3906">
        <v>2470491</v>
      </c>
      <c r="P3906">
        <v>2</v>
      </c>
      <c r="Q3906" t="s">
        <v>8162</v>
      </c>
    </row>
    <row r="3907" spans="1:17" x14ac:dyDescent="0.3">
      <c r="A3907" t="s">
        <v>17</v>
      </c>
      <c r="B3907" t="str">
        <f>"688277"</f>
        <v>688277</v>
      </c>
      <c r="C3907" t="s">
        <v>8163</v>
      </c>
      <c r="D3907" t="s">
        <v>485</v>
      </c>
      <c r="F3907">
        <v>-77755220</v>
      </c>
      <c r="G3907">
        <v>-57578159</v>
      </c>
      <c r="H3907">
        <v>20532241</v>
      </c>
      <c r="I3907">
        <v>13151898</v>
      </c>
      <c r="J3907">
        <v>5727986</v>
      </c>
      <c r="K3907">
        <v>-32699318</v>
      </c>
      <c r="P3907">
        <v>120</v>
      </c>
      <c r="Q3907" t="s">
        <v>8164</v>
      </c>
    </row>
    <row r="3908" spans="1:17" x14ac:dyDescent="0.3">
      <c r="A3908" t="s">
        <v>59</v>
      </c>
      <c r="B3908" t="str">
        <f>"002806"</f>
        <v>002806</v>
      </c>
      <c r="C3908" t="s">
        <v>8165</v>
      </c>
      <c r="D3908" t="s">
        <v>238</v>
      </c>
      <c r="F3908">
        <v>28889541</v>
      </c>
      <c r="G3908">
        <v>148822132</v>
      </c>
      <c r="H3908">
        <v>20521289</v>
      </c>
      <c r="I3908">
        <v>77569750</v>
      </c>
      <c r="J3908">
        <v>46118086</v>
      </c>
      <c r="K3908">
        <v>22527959</v>
      </c>
      <c r="L3908">
        <v>29396972</v>
      </c>
      <c r="M3908">
        <v>18300575</v>
      </c>
      <c r="N3908">
        <v>14832437</v>
      </c>
      <c r="P3908">
        <v>100</v>
      </c>
      <c r="Q3908" t="s">
        <v>8166</v>
      </c>
    </row>
    <row r="3909" spans="1:17" x14ac:dyDescent="0.3">
      <c r="A3909" t="s">
        <v>59</v>
      </c>
      <c r="B3909" t="str">
        <f>"301080"</f>
        <v>301080</v>
      </c>
      <c r="C3909" t="s">
        <v>8167</v>
      </c>
      <c r="D3909" t="s">
        <v>751</v>
      </c>
      <c r="F3909">
        <v>138007272</v>
      </c>
      <c r="G3909">
        <v>96496412</v>
      </c>
      <c r="H3909">
        <v>20403541</v>
      </c>
      <c r="I3909">
        <v>6656710</v>
      </c>
      <c r="J3909">
        <v>2312153</v>
      </c>
      <c r="P3909">
        <v>52</v>
      </c>
      <c r="Q3909" t="s">
        <v>8168</v>
      </c>
    </row>
    <row r="3910" spans="1:17" x14ac:dyDescent="0.3">
      <c r="A3910" t="s">
        <v>59</v>
      </c>
      <c r="B3910" t="str">
        <f>"002877"</f>
        <v>002877</v>
      </c>
      <c r="C3910" t="s">
        <v>8169</v>
      </c>
      <c r="D3910" t="s">
        <v>637</v>
      </c>
      <c r="F3910">
        <v>-41269895</v>
      </c>
      <c r="G3910">
        <v>-48288056</v>
      </c>
      <c r="H3910">
        <v>20346870</v>
      </c>
      <c r="I3910">
        <v>43615180</v>
      </c>
      <c r="J3910">
        <v>-35880799</v>
      </c>
      <c r="K3910">
        <v>38058734</v>
      </c>
      <c r="L3910">
        <v>7164230</v>
      </c>
      <c r="M3910">
        <v>30286231</v>
      </c>
      <c r="P3910">
        <v>100</v>
      </c>
      <c r="Q3910" t="s">
        <v>8170</v>
      </c>
    </row>
    <row r="3911" spans="1:17" x14ac:dyDescent="0.3">
      <c r="A3911" t="s">
        <v>59</v>
      </c>
      <c r="B3911" t="str">
        <f>"300050"</f>
        <v>300050</v>
      </c>
      <c r="C3911" t="s">
        <v>8171</v>
      </c>
      <c r="D3911" t="s">
        <v>2057</v>
      </c>
      <c r="F3911">
        <v>11330150</v>
      </c>
      <c r="G3911">
        <v>26862748</v>
      </c>
      <c r="H3911">
        <v>20019666</v>
      </c>
      <c r="I3911">
        <v>-78687893</v>
      </c>
      <c r="J3911">
        <v>209543963</v>
      </c>
      <c r="K3911">
        <v>240245690</v>
      </c>
      <c r="L3911">
        <v>81691236</v>
      </c>
      <c r="M3911">
        <v>116161583</v>
      </c>
      <c r="N3911">
        <v>15152851</v>
      </c>
      <c r="O3911">
        <v>10795445</v>
      </c>
      <c r="P3911">
        <v>164</v>
      </c>
      <c r="Q3911" t="s">
        <v>8172</v>
      </c>
    </row>
    <row r="3912" spans="1:17" x14ac:dyDescent="0.3">
      <c r="A3912" t="s">
        <v>59</v>
      </c>
      <c r="B3912" t="str">
        <f>"003023"</f>
        <v>003023</v>
      </c>
      <c r="C3912" t="s">
        <v>8173</v>
      </c>
      <c r="D3912" t="s">
        <v>1173</v>
      </c>
      <c r="F3912">
        <v>63404658</v>
      </c>
      <c r="G3912">
        <v>195227488</v>
      </c>
      <c r="H3912">
        <v>19989102</v>
      </c>
      <c r="I3912">
        <v>141921077</v>
      </c>
      <c r="J3912">
        <v>54166761</v>
      </c>
      <c r="K3912">
        <v>150819052</v>
      </c>
      <c r="P3912">
        <v>49</v>
      </c>
      <c r="Q3912" t="s">
        <v>8174</v>
      </c>
    </row>
    <row r="3913" spans="1:17" x14ac:dyDescent="0.3">
      <c r="A3913" t="s">
        <v>17</v>
      </c>
      <c r="B3913" t="str">
        <f>"688021"</f>
        <v>688021</v>
      </c>
      <c r="C3913" t="s">
        <v>8175</v>
      </c>
      <c r="D3913" t="s">
        <v>1226</v>
      </c>
      <c r="F3913">
        <v>82736416</v>
      </c>
      <c r="G3913">
        <v>33504780</v>
      </c>
      <c r="H3913">
        <v>19959483</v>
      </c>
      <c r="I3913">
        <v>1929009</v>
      </c>
      <c r="J3913">
        <v>-22397513</v>
      </c>
      <c r="K3913">
        <v>-16600648</v>
      </c>
      <c r="P3913">
        <v>79</v>
      </c>
      <c r="Q3913" t="s">
        <v>8176</v>
      </c>
    </row>
    <row r="3914" spans="1:17" x14ac:dyDescent="0.3">
      <c r="A3914" t="s">
        <v>59</v>
      </c>
      <c r="B3914" t="str">
        <f>"002619"</f>
        <v>002619</v>
      </c>
      <c r="C3914" t="s">
        <v>8177</v>
      </c>
      <c r="D3914" t="s">
        <v>689</v>
      </c>
      <c r="G3914">
        <v>-294982439</v>
      </c>
      <c r="H3914">
        <v>19887940</v>
      </c>
      <c r="I3914">
        <v>233541433</v>
      </c>
      <c r="J3914">
        <v>399443925</v>
      </c>
      <c r="K3914">
        <v>243385229</v>
      </c>
      <c r="L3914">
        <v>127061356</v>
      </c>
      <c r="M3914">
        <v>48462102</v>
      </c>
      <c r="N3914">
        <v>11871909</v>
      </c>
      <c r="O3914">
        <v>-45271130</v>
      </c>
      <c r="P3914">
        <v>124</v>
      </c>
      <c r="Q3914" t="s">
        <v>8178</v>
      </c>
    </row>
    <row r="3915" spans="1:17" x14ac:dyDescent="0.3">
      <c r="A3915" t="s">
        <v>59</v>
      </c>
      <c r="B3915" t="str">
        <f>"300165"</f>
        <v>300165</v>
      </c>
      <c r="C3915" t="s">
        <v>8179</v>
      </c>
      <c r="D3915" t="s">
        <v>2382</v>
      </c>
      <c r="F3915">
        <v>-503828082</v>
      </c>
      <c r="G3915">
        <v>138859567</v>
      </c>
      <c r="H3915">
        <v>19583779</v>
      </c>
      <c r="I3915">
        <v>-36431575</v>
      </c>
      <c r="J3915">
        <v>102014290</v>
      </c>
      <c r="K3915">
        <v>-30000242</v>
      </c>
      <c r="L3915">
        <v>-5258726</v>
      </c>
      <c r="M3915">
        <v>33251266</v>
      </c>
      <c r="N3915">
        <v>-15347325</v>
      </c>
      <c r="O3915">
        <v>19878301</v>
      </c>
      <c r="P3915">
        <v>103</v>
      </c>
      <c r="Q3915" t="s">
        <v>8180</v>
      </c>
    </row>
    <row r="3916" spans="1:17" x14ac:dyDescent="0.3">
      <c r="A3916" t="s">
        <v>59</v>
      </c>
      <c r="B3916" t="str">
        <f>"002319"</f>
        <v>002319</v>
      </c>
      <c r="C3916" t="s">
        <v>8181</v>
      </c>
      <c r="D3916" t="s">
        <v>4667</v>
      </c>
      <c r="F3916">
        <v>16005628</v>
      </c>
      <c r="G3916">
        <v>27597849</v>
      </c>
      <c r="H3916">
        <v>19567058</v>
      </c>
      <c r="I3916">
        <v>78513662</v>
      </c>
      <c r="J3916">
        <v>81378001</v>
      </c>
      <c r="K3916">
        <v>89598695</v>
      </c>
      <c r="L3916">
        <v>104421465</v>
      </c>
      <c r="M3916">
        <v>29047263</v>
      </c>
      <c r="N3916">
        <v>4881812</v>
      </c>
      <c r="O3916">
        <v>137169187</v>
      </c>
      <c r="P3916">
        <v>55</v>
      </c>
      <c r="Q3916" t="s">
        <v>8182</v>
      </c>
    </row>
    <row r="3917" spans="1:17" x14ac:dyDescent="0.3">
      <c r="A3917" t="s">
        <v>17</v>
      </c>
      <c r="B3917" t="str">
        <f>"688075"</f>
        <v>688075</v>
      </c>
      <c r="C3917" t="s">
        <v>8183</v>
      </c>
      <c r="D3917" t="s">
        <v>1953</v>
      </c>
      <c r="F3917">
        <v>675939933</v>
      </c>
      <c r="G3917">
        <v>602200646</v>
      </c>
      <c r="H3917">
        <v>19441850</v>
      </c>
      <c r="I3917">
        <v>12186549</v>
      </c>
      <c r="J3917">
        <v>16511851</v>
      </c>
      <c r="P3917">
        <v>37</v>
      </c>
      <c r="Q3917" t="s">
        <v>8184</v>
      </c>
    </row>
    <row r="3918" spans="1:17" x14ac:dyDescent="0.3">
      <c r="A3918" t="s">
        <v>17</v>
      </c>
      <c r="B3918" t="str">
        <f>"688068"</f>
        <v>688068</v>
      </c>
      <c r="C3918" t="s">
        <v>8185</v>
      </c>
      <c r="D3918" t="s">
        <v>1953</v>
      </c>
      <c r="F3918">
        <v>2644481599</v>
      </c>
      <c r="G3918">
        <v>164624080</v>
      </c>
      <c r="H3918">
        <v>19372379</v>
      </c>
      <c r="I3918">
        <v>55036639</v>
      </c>
      <c r="J3918">
        <v>22950092</v>
      </c>
      <c r="K3918">
        <v>45540324</v>
      </c>
      <c r="P3918">
        <v>254</v>
      </c>
      <c r="Q3918" t="s">
        <v>8186</v>
      </c>
    </row>
    <row r="3919" spans="1:17" x14ac:dyDescent="0.3">
      <c r="A3919" t="s">
        <v>59</v>
      </c>
      <c r="B3919" t="str">
        <f>"002395"</f>
        <v>002395</v>
      </c>
      <c r="C3919" t="s">
        <v>8187</v>
      </c>
      <c r="D3919" t="s">
        <v>2385</v>
      </c>
      <c r="F3919">
        <v>584252</v>
      </c>
      <c r="G3919">
        <v>94941083</v>
      </c>
      <c r="H3919">
        <v>19338646</v>
      </c>
      <c r="I3919">
        <v>137346299</v>
      </c>
      <c r="J3919">
        <v>26266745</v>
      </c>
      <c r="K3919">
        <v>121381930</v>
      </c>
      <c r="L3919">
        <v>171375438</v>
      </c>
      <c r="M3919">
        <v>-54324876</v>
      </c>
      <c r="N3919">
        <v>26481003</v>
      </c>
      <c r="O3919">
        <v>48245544</v>
      </c>
      <c r="P3919">
        <v>59</v>
      </c>
      <c r="Q3919" t="s">
        <v>8188</v>
      </c>
    </row>
    <row r="3920" spans="1:17" x14ac:dyDescent="0.3">
      <c r="A3920" t="s">
        <v>59</v>
      </c>
      <c r="B3920" t="str">
        <f>"002364"</f>
        <v>002364</v>
      </c>
      <c r="C3920" t="s">
        <v>8189</v>
      </c>
      <c r="D3920" t="s">
        <v>1746</v>
      </c>
      <c r="F3920">
        <v>11559133</v>
      </c>
      <c r="G3920">
        <v>-4329328</v>
      </c>
      <c r="H3920">
        <v>19265351</v>
      </c>
      <c r="I3920">
        <v>93963395</v>
      </c>
      <c r="J3920">
        <v>4692811</v>
      </c>
      <c r="K3920">
        <v>124437432</v>
      </c>
      <c r="L3920">
        <v>17673634</v>
      </c>
      <c r="M3920">
        <v>-5407328</v>
      </c>
      <c r="N3920">
        <v>-8224417</v>
      </c>
      <c r="O3920">
        <v>28168143</v>
      </c>
      <c r="P3920">
        <v>219</v>
      </c>
      <c r="Q3920" t="s">
        <v>8190</v>
      </c>
    </row>
    <row r="3921" spans="1:17" x14ac:dyDescent="0.3">
      <c r="A3921" t="s">
        <v>17</v>
      </c>
      <c r="B3921" t="str">
        <f>"688216"</f>
        <v>688216</v>
      </c>
      <c r="C3921" t="s">
        <v>8191</v>
      </c>
      <c r="D3921" t="s">
        <v>704</v>
      </c>
      <c r="F3921">
        <v>221364734</v>
      </c>
      <c r="G3921">
        <v>57532670</v>
      </c>
      <c r="H3921">
        <v>19030907</v>
      </c>
      <c r="I3921">
        <v>65291530</v>
      </c>
      <c r="J3921">
        <v>61490925</v>
      </c>
      <c r="P3921">
        <v>26</v>
      </c>
      <c r="Q3921" t="s">
        <v>8192</v>
      </c>
    </row>
    <row r="3922" spans="1:17" x14ac:dyDescent="0.3">
      <c r="A3922" t="s">
        <v>17</v>
      </c>
      <c r="B3922" t="str">
        <f>"688010"</f>
        <v>688010</v>
      </c>
      <c r="C3922" t="s">
        <v>8193</v>
      </c>
      <c r="D3922" t="s">
        <v>692</v>
      </c>
      <c r="F3922">
        <v>28973351</v>
      </c>
      <c r="G3922">
        <v>83009110</v>
      </c>
      <c r="H3922">
        <v>18961667</v>
      </c>
      <c r="I3922">
        <v>97777216</v>
      </c>
      <c r="J3922">
        <v>88056393</v>
      </c>
      <c r="K3922">
        <v>79569562</v>
      </c>
      <c r="P3922">
        <v>125</v>
      </c>
      <c r="Q3922" t="s">
        <v>8194</v>
      </c>
    </row>
    <row r="3923" spans="1:17" x14ac:dyDescent="0.3">
      <c r="A3923" t="s">
        <v>59</v>
      </c>
      <c r="B3923" t="str">
        <f>"300912"</f>
        <v>300912</v>
      </c>
      <c r="C3923" t="s">
        <v>8195</v>
      </c>
      <c r="D3923" t="s">
        <v>1226</v>
      </c>
      <c r="F3923">
        <v>12299715</v>
      </c>
      <c r="G3923">
        <v>101651169</v>
      </c>
      <c r="H3923">
        <v>18799612</v>
      </c>
      <c r="I3923">
        <v>172427207</v>
      </c>
      <c r="J3923">
        <v>13087072</v>
      </c>
      <c r="K3923">
        <v>1263193</v>
      </c>
      <c r="P3923">
        <v>39</v>
      </c>
      <c r="Q3923" t="s">
        <v>8196</v>
      </c>
    </row>
    <row r="3924" spans="1:17" x14ac:dyDescent="0.3">
      <c r="A3924" t="s">
        <v>59</v>
      </c>
      <c r="B3924" t="str">
        <f>"002240"</f>
        <v>002240</v>
      </c>
      <c r="C3924" t="s">
        <v>8197</v>
      </c>
      <c r="D3924" t="s">
        <v>911</v>
      </c>
      <c r="F3924">
        <v>218814429</v>
      </c>
      <c r="G3924">
        <v>-226198164</v>
      </c>
      <c r="H3924">
        <v>18790990</v>
      </c>
      <c r="I3924">
        <v>-1424934</v>
      </c>
      <c r="J3924">
        <v>55506493</v>
      </c>
      <c r="K3924">
        <v>50066364</v>
      </c>
      <c r="L3924">
        <v>99959187</v>
      </c>
      <c r="M3924">
        <v>242500930</v>
      </c>
      <c r="N3924">
        <v>175504011</v>
      </c>
      <c r="O3924">
        <v>365931528</v>
      </c>
      <c r="P3924">
        <v>389</v>
      </c>
      <c r="Q3924" t="s">
        <v>8198</v>
      </c>
    </row>
    <row r="3925" spans="1:17" x14ac:dyDescent="0.3">
      <c r="A3925" t="s">
        <v>17</v>
      </c>
      <c r="B3925" t="str">
        <f>"600624"</f>
        <v>600624</v>
      </c>
      <c r="C3925" t="s">
        <v>8199</v>
      </c>
      <c r="D3925" t="s">
        <v>592</v>
      </c>
      <c r="F3925">
        <v>45578980</v>
      </c>
      <c r="G3925">
        <v>59034975</v>
      </c>
      <c r="H3925">
        <v>18649081</v>
      </c>
      <c r="I3925">
        <v>126467136</v>
      </c>
      <c r="J3925">
        <v>96489139</v>
      </c>
      <c r="K3925">
        <v>-26018317</v>
      </c>
      <c r="L3925">
        <v>69696401</v>
      </c>
      <c r="M3925">
        <v>35773639</v>
      </c>
      <c r="N3925">
        <v>-133355262</v>
      </c>
      <c r="O3925">
        <v>222355802</v>
      </c>
      <c r="P3925">
        <v>122</v>
      </c>
      <c r="Q3925" t="s">
        <v>8200</v>
      </c>
    </row>
    <row r="3926" spans="1:17" x14ac:dyDescent="0.3">
      <c r="A3926" t="s">
        <v>59</v>
      </c>
      <c r="B3926" t="str">
        <f>"300354"</f>
        <v>300354</v>
      </c>
      <c r="C3926" t="s">
        <v>8201</v>
      </c>
      <c r="D3926" t="s">
        <v>2382</v>
      </c>
      <c r="F3926">
        <v>27481525</v>
      </c>
      <c r="G3926">
        <v>21115393</v>
      </c>
      <c r="H3926">
        <v>18626274</v>
      </c>
      <c r="I3926">
        <v>20798730</v>
      </c>
      <c r="J3926">
        <v>26046402</v>
      </c>
      <c r="K3926">
        <v>14079111</v>
      </c>
      <c r="L3926">
        <v>6585088</v>
      </c>
      <c r="M3926">
        <v>3261348</v>
      </c>
      <c r="N3926">
        <v>7879224</v>
      </c>
      <c r="O3926">
        <v>13394686</v>
      </c>
      <c r="P3926">
        <v>139</v>
      </c>
      <c r="Q3926" t="s">
        <v>8202</v>
      </c>
    </row>
    <row r="3927" spans="1:17" x14ac:dyDescent="0.3">
      <c r="A3927" t="s">
        <v>17</v>
      </c>
      <c r="B3927" t="str">
        <f>"900953"</f>
        <v>900953</v>
      </c>
      <c r="C3927" t="s">
        <v>8203</v>
      </c>
      <c r="F3927">
        <v>-39341372.508599997</v>
      </c>
      <c r="G3927">
        <v>2137063.432</v>
      </c>
      <c r="H3927">
        <v>18488300.2524</v>
      </c>
      <c r="I3927">
        <v>13018611.3166</v>
      </c>
      <c r="J3927">
        <v>6692156.7744000005</v>
      </c>
      <c r="K3927">
        <v>38523169.583999999</v>
      </c>
      <c r="L3927">
        <v>55334191.219999999</v>
      </c>
      <c r="M3927">
        <v>-1434079.0464000001</v>
      </c>
      <c r="N3927">
        <v>53189980.569600001</v>
      </c>
      <c r="O3927">
        <v>37948482.451499999</v>
      </c>
      <c r="P3927">
        <v>6</v>
      </c>
      <c r="Q3927" t="s">
        <v>8204</v>
      </c>
    </row>
    <row r="3928" spans="1:17" x14ac:dyDescent="0.3">
      <c r="A3928" t="s">
        <v>17</v>
      </c>
      <c r="B3928" t="str">
        <f>"600130"</f>
        <v>600130</v>
      </c>
      <c r="C3928" t="s">
        <v>8205</v>
      </c>
      <c r="D3928" t="s">
        <v>349</v>
      </c>
      <c r="F3928">
        <v>74272685</v>
      </c>
      <c r="G3928">
        <v>-137540512</v>
      </c>
      <c r="H3928">
        <v>18469375</v>
      </c>
      <c r="I3928">
        <v>76034911</v>
      </c>
      <c r="J3928">
        <v>46078994</v>
      </c>
      <c r="K3928">
        <v>-198951552</v>
      </c>
      <c r="L3928">
        <v>93503758</v>
      </c>
      <c r="M3928">
        <v>-117501562</v>
      </c>
      <c r="N3928">
        <v>92518930</v>
      </c>
      <c r="O3928">
        <v>-2778226</v>
      </c>
      <c r="P3928">
        <v>93</v>
      </c>
      <c r="Q3928" t="s">
        <v>8206</v>
      </c>
    </row>
    <row r="3929" spans="1:17" x14ac:dyDescent="0.3">
      <c r="A3929" t="s">
        <v>17</v>
      </c>
      <c r="B3929" t="str">
        <f>"900904"</f>
        <v>900904</v>
      </c>
      <c r="C3929" t="s">
        <v>8207</v>
      </c>
      <c r="G3929">
        <v>15152958.2039</v>
      </c>
      <c r="H3929">
        <v>18420991.9168</v>
      </c>
      <c r="I3929">
        <v>21595680.109200001</v>
      </c>
      <c r="J3929">
        <v>10289267.4048</v>
      </c>
      <c r="K3929">
        <v>82139.615999999995</v>
      </c>
      <c r="L3929">
        <v>4638121.642</v>
      </c>
      <c r="M3929">
        <v>-1389488.7083999999</v>
      </c>
      <c r="N3929">
        <v>12348600.054</v>
      </c>
      <c r="O3929">
        <v>-1794647.442</v>
      </c>
      <c r="P3929">
        <v>8</v>
      </c>
      <c r="Q3929" t="s">
        <v>8208</v>
      </c>
    </row>
    <row r="3930" spans="1:17" x14ac:dyDescent="0.3">
      <c r="A3930" t="s">
        <v>17</v>
      </c>
      <c r="B3930" t="str">
        <f>"688215"</f>
        <v>688215</v>
      </c>
      <c r="C3930" t="s">
        <v>8209</v>
      </c>
      <c r="D3930" t="s">
        <v>4218</v>
      </c>
      <c r="F3930">
        <v>-5421251</v>
      </c>
      <c r="G3930">
        <v>6444364</v>
      </c>
      <c r="H3930">
        <v>18420204</v>
      </c>
      <c r="I3930">
        <v>16594714</v>
      </c>
      <c r="J3930">
        <v>-3490771</v>
      </c>
      <c r="K3930">
        <v>-7601651</v>
      </c>
      <c r="P3930">
        <v>62</v>
      </c>
      <c r="Q3930" t="s">
        <v>8210</v>
      </c>
    </row>
    <row r="3931" spans="1:17" x14ac:dyDescent="0.3">
      <c r="A3931" t="s">
        <v>17</v>
      </c>
      <c r="B3931" t="str">
        <f>"603007"</f>
        <v>603007</v>
      </c>
      <c r="C3931" t="s">
        <v>8211</v>
      </c>
      <c r="D3931" t="s">
        <v>1489</v>
      </c>
      <c r="F3931">
        <v>272700273</v>
      </c>
      <c r="G3931">
        <v>-130522833</v>
      </c>
      <c r="H3931">
        <v>18396562</v>
      </c>
      <c r="I3931">
        <v>145562235</v>
      </c>
      <c r="J3931">
        <v>-65832651</v>
      </c>
      <c r="K3931">
        <v>30535636</v>
      </c>
      <c r="L3931">
        <v>51538288</v>
      </c>
      <c r="M3931">
        <v>-78752523</v>
      </c>
      <c r="N3931">
        <v>7121898</v>
      </c>
      <c r="P3931">
        <v>81</v>
      </c>
      <c r="Q3931" t="s">
        <v>8212</v>
      </c>
    </row>
    <row r="3932" spans="1:17" x14ac:dyDescent="0.3">
      <c r="A3932" t="s">
        <v>17</v>
      </c>
      <c r="B3932" t="str">
        <f>"688279"</f>
        <v>688279</v>
      </c>
      <c r="C3932" t="s">
        <v>8213</v>
      </c>
      <c r="F3932">
        <v>138569367</v>
      </c>
      <c r="G3932">
        <v>87477990</v>
      </c>
      <c r="H3932">
        <v>18386069</v>
      </c>
      <c r="I3932">
        <v>17756836</v>
      </c>
      <c r="P3932">
        <v>6</v>
      </c>
      <c r="Q3932" t="s">
        <v>8214</v>
      </c>
    </row>
    <row r="3933" spans="1:17" x14ac:dyDescent="0.3">
      <c r="A3933" t="s">
        <v>59</v>
      </c>
      <c r="B3933" t="str">
        <f>"002356"</f>
        <v>002356</v>
      </c>
      <c r="C3933" t="s">
        <v>8215</v>
      </c>
      <c r="D3933" t="s">
        <v>829</v>
      </c>
      <c r="F3933">
        <v>-13099459</v>
      </c>
      <c r="G3933">
        <v>37055706</v>
      </c>
      <c r="H3933">
        <v>18382562</v>
      </c>
      <c r="I3933">
        <v>-379539198</v>
      </c>
      <c r="J3933">
        <v>-249380688</v>
      </c>
      <c r="K3933">
        <v>52256860</v>
      </c>
      <c r="L3933">
        <v>-197458591</v>
      </c>
      <c r="M3933">
        <v>-95412583</v>
      </c>
      <c r="N3933">
        <v>-49913303</v>
      </c>
      <c r="O3933">
        <v>-34524084</v>
      </c>
      <c r="P3933">
        <v>75</v>
      </c>
      <c r="Q3933" t="s">
        <v>8216</v>
      </c>
    </row>
    <row r="3934" spans="1:17" x14ac:dyDescent="0.3">
      <c r="A3934" t="s">
        <v>17</v>
      </c>
      <c r="B3934" t="str">
        <f>"688025"</f>
        <v>688025</v>
      </c>
      <c r="C3934" t="s">
        <v>8217</v>
      </c>
      <c r="D3934" t="s">
        <v>975</v>
      </c>
      <c r="F3934">
        <v>-162333297</v>
      </c>
      <c r="G3934">
        <v>91278174</v>
      </c>
      <c r="H3934">
        <v>18324911</v>
      </c>
      <c r="I3934">
        <v>60458030</v>
      </c>
      <c r="J3934">
        <v>-42923202</v>
      </c>
      <c r="K3934">
        <v>3961959</v>
      </c>
      <c r="P3934">
        <v>158</v>
      </c>
      <c r="Q3934" t="s">
        <v>8218</v>
      </c>
    </row>
    <row r="3935" spans="1:17" x14ac:dyDescent="0.3">
      <c r="A3935" t="s">
        <v>17</v>
      </c>
      <c r="B3935" t="str">
        <f>"688058"</f>
        <v>688058</v>
      </c>
      <c r="C3935" t="s">
        <v>8219</v>
      </c>
      <c r="D3935" t="s">
        <v>789</v>
      </c>
      <c r="F3935">
        <v>-6239878</v>
      </c>
      <c r="G3935">
        <v>26871699</v>
      </c>
      <c r="H3935">
        <v>18304802</v>
      </c>
      <c r="I3935">
        <v>16485486</v>
      </c>
      <c r="J3935">
        <v>30592437</v>
      </c>
      <c r="K3935">
        <v>14581548</v>
      </c>
      <c r="P3935">
        <v>96</v>
      </c>
      <c r="Q3935" t="s">
        <v>8220</v>
      </c>
    </row>
    <row r="3936" spans="1:17" x14ac:dyDescent="0.3">
      <c r="A3936" t="s">
        <v>59</v>
      </c>
      <c r="B3936" t="str">
        <f>"002890"</f>
        <v>002890</v>
      </c>
      <c r="C3936" t="s">
        <v>8221</v>
      </c>
      <c r="D3936" t="s">
        <v>3443</v>
      </c>
      <c r="F3936">
        <v>4076472</v>
      </c>
      <c r="G3936">
        <v>52892221</v>
      </c>
      <c r="H3936">
        <v>18198830</v>
      </c>
      <c r="I3936">
        <v>4121430</v>
      </c>
      <c r="J3936">
        <v>21771928</v>
      </c>
      <c r="K3936">
        <v>38709637</v>
      </c>
      <c r="L3936">
        <v>49760981</v>
      </c>
      <c r="M3936">
        <v>74118542</v>
      </c>
      <c r="P3936">
        <v>70</v>
      </c>
      <c r="Q3936" t="s">
        <v>8222</v>
      </c>
    </row>
    <row r="3937" spans="1:17" x14ac:dyDescent="0.3">
      <c r="A3937" t="s">
        <v>59</v>
      </c>
      <c r="B3937" t="str">
        <f>"002676"</f>
        <v>002676</v>
      </c>
      <c r="C3937" t="s">
        <v>8223</v>
      </c>
      <c r="D3937" t="s">
        <v>1087</v>
      </c>
      <c r="F3937">
        <v>65976798</v>
      </c>
      <c r="G3937">
        <v>40131753</v>
      </c>
      <c r="H3937">
        <v>18167464</v>
      </c>
      <c r="I3937">
        <v>-115062351</v>
      </c>
      <c r="J3937">
        <v>7192529</v>
      </c>
      <c r="K3937">
        <v>81029399</v>
      </c>
      <c r="L3937">
        <v>27162148</v>
      </c>
      <c r="M3937">
        <v>50109014</v>
      </c>
      <c r="N3937">
        <v>37295536</v>
      </c>
      <c r="O3937">
        <v>46453244</v>
      </c>
      <c r="P3937">
        <v>87</v>
      </c>
      <c r="Q3937" t="s">
        <v>8224</v>
      </c>
    </row>
    <row r="3938" spans="1:17" x14ac:dyDescent="0.3">
      <c r="A3938" t="s">
        <v>17</v>
      </c>
      <c r="B3938" t="str">
        <f>"600353"</f>
        <v>600353</v>
      </c>
      <c r="C3938" t="s">
        <v>8225</v>
      </c>
      <c r="D3938" t="s">
        <v>595</v>
      </c>
      <c r="F3938">
        <v>24607899</v>
      </c>
      <c r="G3938">
        <v>43349312</v>
      </c>
      <c r="H3938">
        <v>17745644</v>
      </c>
      <c r="I3938">
        <v>37390454</v>
      </c>
      <c r="J3938">
        <v>42545126</v>
      </c>
      <c r="K3938">
        <v>31013267</v>
      </c>
      <c r="L3938">
        <v>-3408578</v>
      </c>
      <c r="M3938">
        <v>550783</v>
      </c>
      <c r="N3938">
        <v>5716268</v>
      </c>
      <c r="O3938">
        <v>-15696956</v>
      </c>
      <c r="P3938">
        <v>141</v>
      </c>
      <c r="Q3938" t="s">
        <v>8226</v>
      </c>
    </row>
    <row r="3939" spans="1:17" x14ac:dyDescent="0.3">
      <c r="A3939" t="s">
        <v>59</v>
      </c>
      <c r="B3939" t="str">
        <f>"301162"</f>
        <v>301162</v>
      </c>
      <c r="C3939" t="s">
        <v>8227</v>
      </c>
      <c r="F3939">
        <v>44439407</v>
      </c>
      <c r="G3939">
        <v>37550694</v>
      </c>
      <c r="H3939">
        <v>17608156</v>
      </c>
      <c r="I3939">
        <v>5600865</v>
      </c>
      <c r="J3939">
        <v>-9261054</v>
      </c>
      <c r="P3939">
        <v>2</v>
      </c>
      <c r="Q3939" t="s">
        <v>8228</v>
      </c>
    </row>
    <row r="3940" spans="1:17" x14ac:dyDescent="0.3">
      <c r="A3940" t="s">
        <v>59</v>
      </c>
      <c r="B3940" t="str">
        <f>"002748"</f>
        <v>002748</v>
      </c>
      <c r="C3940" t="s">
        <v>8229</v>
      </c>
      <c r="D3940" t="s">
        <v>317</v>
      </c>
      <c r="F3940">
        <v>416154795</v>
      </c>
      <c r="G3940">
        <v>63282514</v>
      </c>
      <c r="H3940">
        <v>17585513</v>
      </c>
      <c r="I3940">
        <v>6946132</v>
      </c>
      <c r="J3940">
        <v>122892979</v>
      </c>
      <c r="K3940">
        <v>54111590</v>
      </c>
      <c r="L3940">
        <v>11094558</v>
      </c>
      <c r="M3940">
        <v>100809812</v>
      </c>
      <c r="N3940">
        <v>78420821</v>
      </c>
      <c r="O3940">
        <v>41506099</v>
      </c>
      <c r="P3940">
        <v>77</v>
      </c>
      <c r="Q3940" t="s">
        <v>8230</v>
      </c>
    </row>
    <row r="3941" spans="1:17" x14ac:dyDescent="0.3">
      <c r="A3941" t="s">
        <v>17</v>
      </c>
      <c r="B3941" t="str">
        <f>"600070"</f>
        <v>600070</v>
      </c>
      <c r="C3941" t="s">
        <v>8231</v>
      </c>
      <c r="D3941" t="s">
        <v>672</v>
      </c>
      <c r="F3941">
        <v>-284474639</v>
      </c>
      <c r="G3941">
        <v>-44592225</v>
      </c>
      <c r="H3941">
        <v>17501280</v>
      </c>
      <c r="I3941">
        <v>-51398448</v>
      </c>
      <c r="J3941">
        <v>-6390428</v>
      </c>
      <c r="K3941">
        <v>46618811</v>
      </c>
      <c r="L3941">
        <v>18216305</v>
      </c>
      <c r="M3941">
        <v>-12943817</v>
      </c>
      <c r="N3941">
        <v>70285722</v>
      </c>
      <c r="O3941">
        <v>133695778</v>
      </c>
      <c r="P3941">
        <v>183</v>
      </c>
      <c r="Q3941" t="s">
        <v>8232</v>
      </c>
    </row>
    <row r="3942" spans="1:17" x14ac:dyDescent="0.3">
      <c r="A3942" t="s">
        <v>17</v>
      </c>
      <c r="B3942" t="str">
        <f>"688565"</f>
        <v>688565</v>
      </c>
      <c r="C3942" t="s">
        <v>8233</v>
      </c>
      <c r="D3942" t="s">
        <v>669</v>
      </c>
      <c r="F3942">
        <v>-23290142</v>
      </c>
      <c r="G3942">
        <v>24411371</v>
      </c>
      <c r="H3942">
        <v>17355639</v>
      </c>
      <c r="I3942">
        <v>-6284033</v>
      </c>
      <c r="J3942">
        <v>15318054</v>
      </c>
      <c r="P3942">
        <v>38</v>
      </c>
      <c r="Q3942" t="s">
        <v>8234</v>
      </c>
    </row>
    <row r="3943" spans="1:17" x14ac:dyDescent="0.3">
      <c r="A3943" t="s">
        <v>59</v>
      </c>
      <c r="B3943" t="str">
        <f>"003010"</f>
        <v>003010</v>
      </c>
      <c r="C3943" t="s">
        <v>8235</v>
      </c>
      <c r="D3943" t="s">
        <v>1502</v>
      </c>
      <c r="F3943">
        <v>-93448981</v>
      </c>
      <c r="G3943">
        <v>-94416494</v>
      </c>
      <c r="H3943">
        <v>17082755</v>
      </c>
      <c r="I3943">
        <v>61763892</v>
      </c>
      <c r="J3943">
        <v>-25111088</v>
      </c>
      <c r="K3943">
        <v>-26797000</v>
      </c>
      <c r="P3943">
        <v>58</v>
      </c>
      <c r="Q3943" t="s">
        <v>8236</v>
      </c>
    </row>
    <row r="3944" spans="1:17" x14ac:dyDescent="0.3">
      <c r="A3944" t="s">
        <v>17</v>
      </c>
      <c r="B3944" t="str">
        <f>"603879"</f>
        <v>603879</v>
      </c>
      <c r="C3944" t="s">
        <v>8237</v>
      </c>
      <c r="D3944" t="s">
        <v>2385</v>
      </c>
      <c r="F3944">
        <v>11637706</v>
      </c>
      <c r="G3944">
        <v>2877348</v>
      </c>
      <c r="H3944">
        <v>16943896</v>
      </c>
      <c r="I3944">
        <v>27555646</v>
      </c>
      <c r="J3944">
        <v>25833571</v>
      </c>
      <c r="K3944">
        <v>37089110</v>
      </c>
      <c r="L3944">
        <v>63661084</v>
      </c>
      <c r="M3944">
        <v>49826675</v>
      </c>
      <c r="P3944">
        <v>55</v>
      </c>
      <c r="Q3944" t="s">
        <v>8238</v>
      </c>
    </row>
    <row r="3945" spans="1:17" x14ac:dyDescent="0.3">
      <c r="A3945" t="s">
        <v>17</v>
      </c>
      <c r="B3945" t="str">
        <f>"688262"</f>
        <v>688262</v>
      </c>
      <c r="C3945" t="s">
        <v>8239</v>
      </c>
      <c r="D3945" t="s">
        <v>817</v>
      </c>
      <c r="F3945">
        <v>83914166</v>
      </c>
      <c r="G3945">
        <v>79118313</v>
      </c>
      <c r="H3945">
        <v>16781530</v>
      </c>
      <c r="I3945">
        <v>-48011568</v>
      </c>
      <c r="J3945">
        <v>-52356789</v>
      </c>
      <c r="P3945">
        <v>19</v>
      </c>
      <c r="Q3945" t="s">
        <v>8240</v>
      </c>
    </row>
    <row r="3946" spans="1:17" x14ac:dyDescent="0.3">
      <c r="A3946" t="s">
        <v>59</v>
      </c>
      <c r="B3946" t="str">
        <f>"002288"</f>
        <v>002288</v>
      </c>
      <c r="C3946" t="s">
        <v>8241</v>
      </c>
      <c r="D3946" t="s">
        <v>539</v>
      </c>
      <c r="F3946">
        <v>86668280</v>
      </c>
      <c r="G3946">
        <v>63459558</v>
      </c>
      <c r="H3946">
        <v>16754888</v>
      </c>
      <c r="I3946">
        <v>171709516</v>
      </c>
      <c r="J3946">
        <v>34878060</v>
      </c>
      <c r="K3946">
        <v>125684546</v>
      </c>
      <c r="L3946">
        <v>21435793</v>
      </c>
      <c r="M3946">
        <v>5048037</v>
      </c>
      <c r="N3946">
        <v>-24384712</v>
      </c>
      <c r="O3946">
        <v>-38048018</v>
      </c>
      <c r="P3946">
        <v>176</v>
      </c>
      <c r="Q3946" t="s">
        <v>8242</v>
      </c>
    </row>
    <row r="3947" spans="1:17" x14ac:dyDescent="0.3">
      <c r="A3947" t="s">
        <v>17</v>
      </c>
      <c r="B3947" t="str">
        <f>"600228"</f>
        <v>600228</v>
      </c>
      <c r="C3947" t="s">
        <v>8243</v>
      </c>
      <c r="D3947" t="s">
        <v>2530</v>
      </c>
      <c r="F3947">
        <v>31295836</v>
      </c>
      <c r="G3947">
        <v>33840851</v>
      </c>
      <c r="H3947">
        <v>16733836</v>
      </c>
      <c r="I3947">
        <v>42684085</v>
      </c>
      <c r="J3947">
        <v>-5820481</v>
      </c>
      <c r="K3947">
        <v>9197995</v>
      </c>
      <c r="L3947">
        <v>95940276</v>
      </c>
      <c r="M3947">
        <v>6253690</v>
      </c>
      <c r="N3947">
        <v>36800406</v>
      </c>
      <c r="O3947">
        <v>994288</v>
      </c>
      <c r="P3947">
        <v>68</v>
      </c>
      <c r="Q3947" t="s">
        <v>8244</v>
      </c>
    </row>
    <row r="3948" spans="1:17" x14ac:dyDescent="0.3">
      <c r="A3948" t="s">
        <v>17</v>
      </c>
      <c r="B3948" t="str">
        <f>"605333"</f>
        <v>605333</v>
      </c>
      <c r="C3948" t="s">
        <v>8245</v>
      </c>
      <c r="D3948" t="s">
        <v>575</v>
      </c>
      <c r="F3948">
        <v>-208977337</v>
      </c>
      <c r="G3948">
        <v>80631521</v>
      </c>
      <c r="H3948">
        <v>16733424</v>
      </c>
      <c r="I3948">
        <v>95912605</v>
      </c>
      <c r="J3948">
        <v>45322623</v>
      </c>
      <c r="P3948">
        <v>85</v>
      </c>
      <c r="Q3948" t="s">
        <v>8246</v>
      </c>
    </row>
    <row r="3949" spans="1:17" x14ac:dyDescent="0.3">
      <c r="A3949" t="s">
        <v>17</v>
      </c>
      <c r="B3949" t="str">
        <f>"600448"</f>
        <v>600448</v>
      </c>
      <c r="C3949" t="s">
        <v>8247</v>
      </c>
      <c r="D3949" t="s">
        <v>1725</v>
      </c>
      <c r="F3949">
        <v>50759175</v>
      </c>
      <c r="G3949">
        <v>239281726</v>
      </c>
      <c r="H3949">
        <v>16621743</v>
      </c>
      <c r="I3949">
        <v>-21667476</v>
      </c>
      <c r="J3949">
        <v>153484643</v>
      </c>
      <c r="K3949">
        <v>71698039</v>
      </c>
      <c r="L3949">
        <v>62335231</v>
      </c>
      <c r="M3949">
        <v>37827811</v>
      </c>
      <c r="N3949">
        <v>54831220</v>
      </c>
      <c r="O3949">
        <v>24558604</v>
      </c>
      <c r="P3949">
        <v>97</v>
      </c>
      <c r="Q3949" t="s">
        <v>8248</v>
      </c>
    </row>
    <row r="3950" spans="1:17" x14ac:dyDescent="0.3">
      <c r="A3950" t="s">
        <v>59</v>
      </c>
      <c r="B3950" t="str">
        <f>"002779"</f>
        <v>002779</v>
      </c>
      <c r="C3950" t="s">
        <v>8249</v>
      </c>
      <c r="D3950" t="s">
        <v>1351</v>
      </c>
      <c r="F3950">
        <v>-59830516</v>
      </c>
      <c r="G3950">
        <v>39875148</v>
      </c>
      <c r="H3950">
        <v>16590493</v>
      </c>
      <c r="I3950">
        <v>20103312</v>
      </c>
      <c r="J3950">
        <v>38613843</v>
      </c>
      <c r="K3950">
        <v>22245058</v>
      </c>
      <c r="L3950">
        <v>45295964</v>
      </c>
      <c r="M3950">
        <v>55434686</v>
      </c>
      <c r="N3950">
        <v>49142417</v>
      </c>
      <c r="O3950">
        <v>48870777</v>
      </c>
      <c r="P3950">
        <v>54</v>
      </c>
      <c r="Q3950" t="s">
        <v>8250</v>
      </c>
    </row>
    <row r="3951" spans="1:17" x14ac:dyDescent="0.3">
      <c r="A3951" t="s">
        <v>17</v>
      </c>
      <c r="B3951" t="str">
        <f>"688699"</f>
        <v>688699</v>
      </c>
      <c r="C3951" t="s">
        <v>8251</v>
      </c>
      <c r="D3951" t="s">
        <v>759</v>
      </c>
      <c r="F3951">
        <v>391630111</v>
      </c>
      <c r="G3951">
        <v>-49274450</v>
      </c>
      <c r="H3951">
        <v>16574686</v>
      </c>
      <c r="I3951">
        <v>1737842</v>
      </c>
      <c r="J3951">
        <v>50479755</v>
      </c>
      <c r="K3951">
        <v>19327501</v>
      </c>
      <c r="P3951">
        <v>140</v>
      </c>
      <c r="Q3951" t="s">
        <v>8252</v>
      </c>
    </row>
    <row r="3952" spans="1:17" x14ac:dyDescent="0.3">
      <c r="A3952" t="s">
        <v>17</v>
      </c>
      <c r="B3952" t="str">
        <f>"600388"</f>
        <v>600388</v>
      </c>
      <c r="C3952" t="s">
        <v>8253</v>
      </c>
      <c r="D3952" t="s">
        <v>634</v>
      </c>
      <c r="F3952">
        <v>1213764912</v>
      </c>
      <c r="G3952">
        <v>2093804841</v>
      </c>
      <c r="H3952">
        <v>16518522</v>
      </c>
      <c r="I3952">
        <v>413960730</v>
      </c>
      <c r="J3952">
        <v>341980558</v>
      </c>
      <c r="K3952">
        <v>914661520</v>
      </c>
      <c r="L3952">
        <v>1014778280</v>
      </c>
      <c r="M3952">
        <v>495332648</v>
      </c>
      <c r="N3952">
        <v>80332509</v>
      </c>
      <c r="O3952">
        <v>449867217</v>
      </c>
      <c r="P3952">
        <v>815</v>
      </c>
      <c r="Q3952" t="s">
        <v>8254</v>
      </c>
    </row>
    <row r="3953" spans="1:17" x14ac:dyDescent="0.3">
      <c r="A3953" t="s">
        <v>59</v>
      </c>
      <c r="B3953" t="str">
        <f>"002917"</f>
        <v>002917</v>
      </c>
      <c r="C3953" t="s">
        <v>8255</v>
      </c>
      <c r="D3953" t="s">
        <v>1986</v>
      </c>
      <c r="F3953">
        <v>30111997</v>
      </c>
      <c r="G3953">
        <v>18125900</v>
      </c>
      <c r="H3953">
        <v>16407853</v>
      </c>
      <c r="I3953">
        <v>18257691</v>
      </c>
      <c r="J3953">
        <v>16104287</v>
      </c>
      <c r="K3953">
        <v>19975432</v>
      </c>
      <c r="L3953">
        <v>57206403</v>
      </c>
      <c r="M3953">
        <v>24002055</v>
      </c>
      <c r="P3953">
        <v>67</v>
      </c>
      <c r="Q3953" t="s">
        <v>8256</v>
      </c>
    </row>
    <row r="3954" spans="1:17" x14ac:dyDescent="0.3">
      <c r="A3954" t="s">
        <v>59</v>
      </c>
      <c r="B3954" t="str">
        <f>"000666"</f>
        <v>000666</v>
      </c>
      <c r="C3954" t="s">
        <v>8257</v>
      </c>
      <c r="D3954" t="s">
        <v>2215</v>
      </c>
      <c r="F3954">
        <v>-985934159</v>
      </c>
      <c r="G3954">
        <v>887239975</v>
      </c>
      <c r="H3954">
        <v>16151263</v>
      </c>
      <c r="I3954">
        <v>4792408426</v>
      </c>
      <c r="J3954">
        <v>-1990049367</v>
      </c>
      <c r="K3954">
        <v>406550734</v>
      </c>
      <c r="L3954">
        <v>2401844476</v>
      </c>
      <c r="M3954">
        <v>2477067866</v>
      </c>
      <c r="N3954">
        <v>2376469041</v>
      </c>
      <c r="O3954">
        <v>1791655059</v>
      </c>
      <c r="P3954">
        <v>186</v>
      </c>
      <c r="Q3954" t="s">
        <v>8258</v>
      </c>
    </row>
    <row r="3955" spans="1:17" x14ac:dyDescent="0.3">
      <c r="A3955" t="s">
        <v>59</v>
      </c>
      <c r="B3955" t="str">
        <f>"000836"</f>
        <v>000836</v>
      </c>
      <c r="C3955" t="s">
        <v>8259</v>
      </c>
      <c r="D3955" t="s">
        <v>754</v>
      </c>
      <c r="F3955">
        <v>-183748491</v>
      </c>
      <c r="G3955">
        <v>91368970</v>
      </c>
      <c r="H3955">
        <v>16140298</v>
      </c>
      <c r="I3955">
        <v>117687683</v>
      </c>
      <c r="J3955">
        <v>265335905</v>
      </c>
      <c r="K3955">
        <v>19958576</v>
      </c>
      <c r="L3955">
        <v>326481766</v>
      </c>
      <c r="M3955">
        <v>108622802</v>
      </c>
      <c r="N3955">
        <v>-7019614</v>
      </c>
      <c r="O3955">
        <v>64938220</v>
      </c>
      <c r="P3955">
        <v>135</v>
      </c>
      <c r="Q3955" t="s">
        <v>8260</v>
      </c>
    </row>
    <row r="3956" spans="1:17" x14ac:dyDescent="0.3">
      <c r="A3956" t="s">
        <v>17</v>
      </c>
      <c r="B3956" t="str">
        <f>"603085"</f>
        <v>603085</v>
      </c>
      <c r="C3956" t="s">
        <v>8261</v>
      </c>
      <c r="D3956" t="s">
        <v>289</v>
      </c>
      <c r="F3956">
        <v>87424244</v>
      </c>
      <c r="G3956">
        <v>50246055</v>
      </c>
      <c r="H3956">
        <v>16082756</v>
      </c>
      <c r="I3956">
        <v>-62546467</v>
      </c>
      <c r="J3956">
        <v>-117933016</v>
      </c>
      <c r="K3956">
        <v>39312871</v>
      </c>
      <c r="L3956">
        <v>22403106</v>
      </c>
      <c r="M3956">
        <v>35639345</v>
      </c>
      <c r="N3956">
        <v>25958680</v>
      </c>
      <c r="O3956">
        <v>30177711</v>
      </c>
      <c r="P3956">
        <v>81</v>
      </c>
      <c r="Q3956" t="s">
        <v>8262</v>
      </c>
    </row>
    <row r="3957" spans="1:17" x14ac:dyDescent="0.3">
      <c r="A3957" t="s">
        <v>59</v>
      </c>
      <c r="B3957" t="str">
        <f>"002711"</f>
        <v>002711</v>
      </c>
      <c r="C3957" t="s">
        <v>8263</v>
      </c>
      <c r="G3957">
        <v>-8372835</v>
      </c>
      <c r="H3957">
        <v>16075196</v>
      </c>
      <c r="I3957">
        <v>44984131</v>
      </c>
      <c r="J3957">
        <v>-87231914</v>
      </c>
      <c r="K3957">
        <v>-145473089</v>
      </c>
      <c r="L3957">
        <v>304051306</v>
      </c>
      <c r="M3957">
        <v>28651497</v>
      </c>
      <c r="N3957">
        <v>108932114</v>
      </c>
      <c r="O3957">
        <v>184259720</v>
      </c>
      <c r="P3957">
        <v>74</v>
      </c>
      <c r="Q3957" t="s">
        <v>8264</v>
      </c>
    </row>
    <row r="3958" spans="1:17" x14ac:dyDescent="0.3">
      <c r="A3958" t="s">
        <v>59</v>
      </c>
      <c r="B3958" t="str">
        <f>"000976"</f>
        <v>000976</v>
      </c>
      <c r="C3958" t="s">
        <v>8265</v>
      </c>
      <c r="D3958" t="s">
        <v>165</v>
      </c>
      <c r="F3958">
        <v>1096611994</v>
      </c>
      <c r="G3958">
        <v>177547145</v>
      </c>
      <c r="H3958">
        <v>16063537</v>
      </c>
      <c r="I3958">
        <v>117862033</v>
      </c>
      <c r="J3958">
        <v>-125618000</v>
      </c>
      <c r="K3958">
        <v>-5094244</v>
      </c>
      <c r="L3958">
        <v>72971078</v>
      </c>
      <c r="M3958">
        <v>124322180</v>
      </c>
      <c r="N3958">
        <v>-113094498</v>
      </c>
      <c r="O3958">
        <v>-32117762</v>
      </c>
      <c r="P3958">
        <v>146</v>
      </c>
      <c r="Q3958" t="s">
        <v>8266</v>
      </c>
    </row>
    <row r="3959" spans="1:17" x14ac:dyDescent="0.3">
      <c r="A3959" t="s">
        <v>17</v>
      </c>
      <c r="B3959" t="str">
        <f>"688800"</f>
        <v>688800</v>
      </c>
      <c r="C3959" t="s">
        <v>8267</v>
      </c>
      <c r="D3959" t="s">
        <v>595</v>
      </c>
      <c r="F3959">
        <v>38550989</v>
      </c>
      <c r="G3959">
        <v>112955607</v>
      </c>
      <c r="H3959">
        <v>16061109</v>
      </c>
      <c r="I3959">
        <v>41332524</v>
      </c>
      <c r="J3959">
        <v>35760728</v>
      </c>
      <c r="P3959">
        <v>51</v>
      </c>
      <c r="Q3959" t="s">
        <v>8268</v>
      </c>
    </row>
    <row r="3960" spans="1:17" x14ac:dyDescent="0.3">
      <c r="A3960" t="s">
        <v>59</v>
      </c>
      <c r="B3960" t="str">
        <f>"300066"</f>
        <v>300066</v>
      </c>
      <c r="C3960" t="s">
        <v>8269</v>
      </c>
      <c r="D3960" t="s">
        <v>2382</v>
      </c>
      <c r="F3960">
        <v>83874239</v>
      </c>
      <c r="G3960">
        <v>52379052</v>
      </c>
      <c r="H3960">
        <v>16034028</v>
      </c>
      <c r="I3960">
        <v>36514891</v>
      </c>
      <c r="J3960">
        <v>58073490</v>
      </c>
      <c r="K3960">
        <v>108436843</v>
      </c>
      <c r="L3960">
        <v>131328044</v>
      </c>
      <c r="M3960">
        <v>108112137</v>
      </c>
      <c r="N3960">
        <v>94752531</v>
      </c>
      <c r="O3960">
        <v>76160056</v>
      </c>
      <c r="P3960">
        <v>190</v>
      </c>
      <c r="Q3960" t="s">
        <v>8270</v>
      </c>
    </row>
    <row r="3961" spans="1:17" x14ac:dyDescent="0.3">
      <c r="A3961" t="s">
        <v>59</v>
      </c>
      <c r="B3961" t="str">
        <f>"300046"</f>
        <v>300046</v>
      </c>
      <c r="C3961" t="s">
        <v>8271</v>
      </c>
      <c r="D3961" t="s">
        <v>3230</v>
      </c>
      <c r="F3961">
        <v>25028853</v>
      </c>
      <c r="G3961">
        <v>66195286</v>
      </c>
      <c r="H3961">
        <v>15971172</v>
      </c>
      <c r="I3961">
        <v>-5543416</v>
      </c>
      <c r="J3961">
        <v>75000878</v>
      </c>
      <c r="K3961">
        <v>61249738</v>
      </c>
      <c r="L3961">
        <v>28433505</v>
      </c>
      <c r="M3961">
        <v>70322744</v>
      </c>
      <c r="N3961">
        <v>71830707</v>
      </c>
      <c r="O3961">
        <v>89010007</v>
      </c>
      <c r="P3961">
        <v>225</v>
      </c>
      <c r="Q3961" t="s">
        <v>8272</v>
      </c>
    </row>
    <row r="3962" spans="1:17" x14ac:dyDescent="0.3">
      <c r="A3962" t="s">
        <v>59</v>
      </c>
      <c r="B3962" t="str">
        <f>"300105"</f>
        <v>300105</v>
      </c>
      <c r="C3962" t="s">
        <v>8273</v>
      </c>
      <c r="D3962" t="s">
        <v>1851</v>
      </c>
      <c r="F3962">
        <v>59054529</v>
      </c>
      <c r="G3962">
        <v>22512082</v>
      </c>
      <c r="H3962">
        <v>15899660</v>
      </c>
      <c r="I3962">
        <v>95742240</v>
      </c>
      <c r="J3962">
        <v>-73553267</v>
      </c>
      <c r="K3962">
        <v>226171687</v>
      </c>
      <c r="L3962">
        <v>40311478</v>
      </c>
      <c r="M3962">
        <v>-137975161</v>
      </c>
      <c r="N3962">
        <v>103061355</v>
      </c>
      <c r="O3962">
        <v>90584609</v>
      </c>
      <c r="P3962">
        <v>56</v>
      </c>
      <c r="Q3962" t="s">
        <v>8274</v>
      </c>
    </row>
    <row r="3963" spans="1:17" x14ac:dyDescent="0.3">
      <c r="A3963" t="s">
        <v>59</v>
      </c>
      <c r="B3963" t="str">
        <f>"301159"</f>
        <v>301159</v>
      </c>
      <c r="C3963" t="s">
        <v>8275</v>
      </c>
      <c r="D3963" t="s">
        <v>1528</v>
      </c>
      <c r="F3963">
        <v>-33108188</v>
      </c>
      <c r="G3963">
        <v>4846835</v>
      </c>
      <c r="H3963">
        <v>15805359</v>
      </c>
      <c r="I3963">
        <v>-236418</v>
      </c>
      <c r="J3963">
        <v>16134097</v>
      </c>
      <c r="P3963">
        <v>10</v>
      </c>
      <c r="Q3963" t="s">
        <v>8276</v>
      </c>
    </row>
    <row r="3964" spans="1:17" x14ac:dyDescent="0.3">
      <c r="A3964" t="s">
        <v>17</v>
      </c>
      <c r="B3964" t="str">
        <f>"688030"</f>
        <v>688030</v>
      </c>
      <c r="C3964" t="s">
        <v>8277</v>
      </c>
      <c r="D3964" t="s">
        <v>789</v>
      </c>
      <c r="F3964">
        <v>-119053387</v>
      </c>
      <c r="G3964">
        <v>2720225</v>
      </c>
      <c r="H3964">
        <v>15802799</v>
      </c>
      <c r="I3964">
        <v>9178773</v>
      </c>
      <c r="J3964">
        <v>-6935651</v>
      </c>
      <c r="K3964">
        <v>19770552</v>
      </c>
      <c r="P3964">
        <v>145</v>
      </c>
      <c r="Q3964" t="s">
        <v>8278</v>
      </c>
    </row>
    <row r="3965" spans="1:17" x14ac:dyDescent="0.3">
      <c r="A3965" t="s">
        <v>17</v>
      </c>
      <c r="B3965" t="str">
        <f>"603496"</f>
        <v>603496</v>
      </c>
      <c r="C3965" t="s">
        <v>8279</v>
      </c>
      <c r="D3965" t="s">
        <v>707</v>
      </c>
      <c r="F3965">
        <v>-65963796</v>
      </c>
      <c r="G3965">
        <v>-79431925</v>
      </c>
      <c r="H3965">
        <v>15613510</v>
      </c>
      <c r="I3965">
        <v>39057802</v>
      </c>
      <c r="J3965">
        <v>-58706831</v>
      </c>
      <c r="K3965">
        <v>57051216</v>
      </c>
      <c r="L3965">
        <v>12793474</v>
      </c>
      <c r="M3965">
        <v>23655579</v>
      </c>
      <c r="P3965">
        <v>194</v>
      </c>
      <c r="Q3965" t="s">
        <v>8280</v>
      </c>
    </row>
    <row r="3966" spans="1:17" x14ac:dyDescent="0.3">
      <c r="A3966" t="s">
        <v>59</v>
      </c>
      <c r="B3966" t="str">
        <f>"002469"</f>
        <v>002469</v>
      </c>
      <c r="C3966" t="s">
        <v>8281</v>
      </c>
      <c r="D3966" t="s">
        <v>482</v>
      </c>
      <c r="F3966">
        <v>333885435</v>
      </c>
      <c r="G3966">
        <v>258147484</v>
      </c>
      <c r="H3966">
        <v>15609752</v>
      </c>
      <c r="I3966">
        <v>73462342</v>
      </c>
      <c r="J3966">
        <v>-20448846</v>
      </c>
      <c r="K3966">
        <v>144748091</v>
      </c>
      <c r="L3966">
        <v>241186679</v>
      </c>
      <c r="M3966">
        <v>-137976816</v>
      </c>
      <c r="N3966">
        <v>99920874</v>
      </c>
      <c r="O3966">
        <v>3066720</v>
      </c>
      <c r="P3966">
        <v>126</v>
      </c>
      <c r="Q3966" t="s">
        <v>8282</v>
      </c>
    </row>
    <row r="3967" spans="1:17" x14ac:dyDescent="0.3">
      <c r="A3967" t="s">
        <v>59</v>
      </c>
      <c r="B3967" t="str">
        <f>"002134"</f>
        <v>002134</v>
      </c>
      <c r="C3967" t="s">
        <v>8283</v>
      </c>
      <c r="D3967" t="s">
        <v>539</v>
      </c>
      <c r="F3967">
        <v>96421004</v>
      </c>
      <c r="G3967">
        <v>14670768</v>
      </c>
      <c r="H3967">
        <v>15302241</v>
      </c>
      <c r="I3967">
        <v>10692073</v>
      </c>
      <c r="J3967">
        <v>23681053</v>
      </c>
      <c r="K3967">
        <v>-14802086</v>
      </c>
      <c r="L3967">
        <v>47514538</v>
      </c>
      <c r="M3967">
        <v>2222237</v>
      </c>
      <c r="N3967">
        <v>61169474</v>
      </c>
      <c r="O3967">
        <v>-54845991</v>
      </c>
      <c r="P3967">
        <v>119</v>
      </c>
      <c r="Q3967" t="s">
        <v>8284</v>
      </c>
    </row>
    <row r="3968" spans="1:17" x14ac:dyDescent="0.3">
      <c r="A3968" t="s">
        <v>17</v>
      </c>
      <c r="B3968" t="str">
        <f>"688556"</f>
        <v>688556</v>
      </c>
      <c r="C3968" t="s">
        <v>8285</v>
      </c>
      <c r="D3968" t="s">
        <v>2062</v>
      </c>
      <c r="F3968">
        <v>76496570</v>
      </c>
      <c r="G3968">
        <v>3818875</v>
      </c>
      <c r="H3968">
        <v>15300693</v>
      </c>
      <c r="I3968">
        <v>1817522</v>
      </c>
      <c r="J3968">
        <v>827390</v>
      </c>
      <c r="K3968">
        <v>-44511183</v>
      </c>
      <c r="P3968">
        <v>69</v>
      </c>
      <c r="Q3968" t="s">
        <v>8286</v>
      </c>
    </row>
    <row r="3969" spans="1:17" x14ac:dyDescent="0.3">
      <c r="A3969" t="s">
        <v>17</v>
      </c>
      <c r="B3969" t="str">
        <f>"688105"</f>
        <v>688105</v>
      </c>
      <c r="C3969" t="s">
        <v>8287</v>
      </c>
      <c r="D3969" t="s">
        <v>1953</v>
      </c>
      <c r="F3969">
        <v>616800881</v>
      </c>
      <c r="G3969">
        <v>803552651</v>
      </c>
      <c r="H3969">
        <v>15202385</v>
      </c>
      <c r="I3969">
        <v>-3999178</v>
      </c>
      <c r="J3969">
        <v>-3860196</v>
      </c>
      <c r="P3969">
        <v>51</v>
      </c>
      <c r="Q3969" t="s">
        <v>8288</v>
      </c>
    </row>
    <row r="3970" spans="1:17" x14ac:dyDescent="0.3">
      <c r="A3970" t="s">
        <v>59</v>
      </c>
      <c r="B3970" t="str">
        <f>"300223"</f>
        <v>300223</v>
      </c>
      <c r="C3970" t="s">
        <v>8289</v>
      </c>
      <c r="D3970" t="s">
        <v>817</v>
      </c>
      <c r="F3970">
        <v>1083239206</v>
      </c>
      <c r="G3970">
        <v>312156606</v>
      </c>
      <c r="H3970">
        <v>15185934</v>
      </c>
      <c r="I3970">
        <v>36370742</v>
      </c>
      <c r="J3970">
        <v>-30694038</v>
      </c>
      <c r="K3970">
        <v>-65723331</v>
      </c>
      <c r="L3970">
        <v>52242673</v>
      </c>
      <c r="M3970">
        <v>-1080681</v>
      </c>
      <c r="N3970">
        <v>35945624</v>
      </c>
      <c r="O3970">
        <v>35057558</v>
      </c>
      <c r="P3970">
        <v>612</v>
      </c>
      <c r="Q3970" t="s">
        <v>8290</v>
      </c>
    </row>
    <row r="3971" spans="1:17" x14ac:dyDescent="0.3">
      <c r="A3971" t="s">
        <v>59</v>
      </c>
      <c r="B3971" t="str">
        <f>"300807"</f>
        <v>300807</v>
      </c>
      <c r="C3971" t="s">
        <v>8291</v>
      </c>
      <c r="D3971" t="s">
        <v>707</v>
      </c>
      <c r="F3971">
        <v>-91883721</v>
      </c>
      <c r="G3971">
        <v>-40985227</v>
      </c>
      <c r="H3971">
        <v>15120904</v>
      </c>
      <c r="I3971">
        <v>49627270</v>
      </c>
      <c r="J3971">
        <v>34515436</v>
      </c>
      <c r="K3971">
        <v>-18192557</v>
      </c>
      <c r="P3971">
        <v>103</v>
      </c>
      <c r="Q3971" t="s">
        <v>8292</v>
      </c>
    </row>
    <row r="3972" spans="1:17" x14ac:dyDescent="0.3">
      <c r="A3972" t="s">
        <v>59</v>
      </c>
      <c r="B3972" t="str">
        <f>"200054"</f>
        <v>200054</v>
      </c>
      <c r="C3972" t="s">
        <v>8293</v>
      </c>
      <c r="F3972">
        <v>26207498.367600001</v>
      </c>
      <c r="G3972">
        <v>195722069.93470001</v>
      </c>
      <c r="H3972">
        <v>15003958.304500001</v>
      </c>
      <c r="I3972">
        <v>185375709.18900001</v>
      </c>
      <c r="J3972">
        <v>75588724.421399996</v>
      </c>
      <c r="K3972">
        <v>121240660.6278</v>
      </c>
      <c r="L3972">
        <v>98248685.330699995</v>
      </c>
      <c r="M3972">
        <v>118286154.46080001</v>
      </c>
      <c r="N3972">
        <v>208723130.08539999</v>
      </c>
      <c r="O3972">
        <v>112413425.74420001</v>
      </c>
      <c r="P3972">
        <v>7</v>
      </c>
      <c r="Q3972" t="s">
        <v>8294</v>
      </c>
    </row>
    <row r="3973" spans="1:17" x14ac:dyDescent="0.3">
      <c r="A3973" t="s">
        <v>17</v>
      </c>
      <c r="B3973" t="str">
        <f>"603009"</f>
        <v>603009</v>
      </c>
      <c r="C3973" t="s">
        <v>8295</v>
      </c>
      <c r="D3973" t="s">
        <v>156</v>
      </c>
      <c r="F3973">
        <v>75414130</v>
      </c>
      <c r="G3973">
        <v>70159709</v>
      </c>
      <c r="H3973">
        <v>14862863</v>
      </c>
      <c r="I3973">
        <v>93141334</v>
      </c>
      <c r="J3973">
        <v>23942767</v>
      </c>
      <c r="K3973">
        <v>28810904</v>
      </c>
      <c r="L3973">
        <v>67897894</v>
      </c>
      <c r="M3973">
        <v>157949428</v>
      </c>
      <c r="N3973">
        <v>41153678</v>
      </c>
      <c r="O3973">
        <v>55887733</v>
      </c>
      <c r="P3973">
        <v>84</v>
      </c>
      <c r="Q3973" t="s">
        <v>8296</v>
      </c>
    </row>
    <row r="3974" spans="1:17" x14ac:dyDescent="0.3">
      <c r="A3974" t="s">
        <v>59</v>
      </c>
      <c r="B3974" t="str">
        <f>"300174"</f>
        <v>300174</v>
      </c>
      <c r="C3974" t="s">
        <v>8297</v>
      </c>
      <c r="D3974" t="s">
        <v>1252</v>
      </c>
      <c r="F3974">
        <v>227299398</v>
      </c>
      <c r="G3974">
        <v>105804474</v>
      </c>
      <c r="H3974">
        <v>14730680</v>
      </c>
      <c r="I3974">
        <v>118442723</v>
      </c>
      <c r="J3974">
        <v>94527023</v>
      </c>
      <c r="K3974">
        <v>89035998</v>
      </c>
      <c r="L3974">
        <v>46012004</v>
      </c>
      <c r="M3974">
        <v>21252995</v>
      </c>
      <c r="N3974">
        <v>-9904121</v>
      </c>
      <c r="O3974">
        <v>-10252961</v>
      </c>
      <c r="P3974">
        <v>90</v>
      </c>
      <c r="Q3974" t="s">
        <v>8298</v>
      </c>
    </row>
    <row r="3975" spans="1:17" x14ac:dyDescent="0.3">
      <c r="A3975" t="s">
        <v>59</v>
      </c>
      <c r="B3975" t="str">
        <f>"301085"</f>
        <v>301085</v>
      </c>
      <c r="C3975" t="s">
        <v>8299</v>
      </c>
      <c r="D3975" t="s">
        <v>1189</v>
      </c>
      <c r="F3975">
        <v>-87312226</v>
      </c>
      <c r="G3975">
        <v>74505687</v>
      </c>
      <c r="H3975">
        <v>14619000</v>
      </c>
      <c r="I3975">
        <v>47913436</v>
      </c>
      <c r="J3975">
        <v>31993879</v>
      </c>
      <c r="P3975">
        <v>16</v>
      </c>
      <c r="Q3975" t="s">
        <v>8300</v>
      </c>
    </row>
    <row r="3976" spans="1:17" x14ac:dyDescent="0.3">
      <c r="A3976" t="s">
        <v>17</v>
      </c>
      <c r="B3976" t="str">
        <f>"688290"</f>
        <v>688290</v>
      </c>
      <c r="C3976" t="s">
        <v>8301</v>
      </c>
      <c r="F3976">
        <v>88018836</v>
      </c>
      <c r="G3976">
        <v>51763863</v>
      </c>
      <c r="H3976">
        <v>14574681</v>
      </c>
      <c r="I3976">
        <v>12661015</v>
      </c>
      <c r="P3976">
        <v>0</v>
      </c>
      <c r="Q3976" t="s">
        <v>8302</v>
      </c>
    </row>
    <row r="3977" spans="1:17" x14ac:dyDescent="0.3">
      <c r="A3977" t="s">
        <v>59</v>
      </c>
      <c r="B3977" t="str">
        <f>"000504"</f>
        <v>000504</v>
      </c>
      <c r="C3977" t="s">
        <v>8303</v>
      </c>
      <c r="D3977" t="s">
        <v>6391</v>
      </c>
      <c r="F3977">
        <v>107098006</v>
      </c>
      <c r="G3977">
        <v>-207220872</v>
      </c>
      <c r="H3977">
        <v>14522363</v>
      </c>
      <c r="I3977">
        <v>-15187480</v>
      </c>
      <c r="J3977">
        <v>-47403365</v>
      </c>
      <c r="K3977">
        <v>-14604165</v>
      </c>
      <c r="L3977">
        <v>-17169761</v>
      </c>
      <c r="M3977">
        <v>-32601255</v>
      </c>
      <c r="N3977">
        <v>-11742069</v>
      </c>
      <c r="O3977">
        <v>-4275759</v>
      </c>
      <c r="P3977">
        <v>85</v>
      </c>
      <c r="Q3977" t="s">
        <v>8304</v>
      </c>
    </row>
    <row r="3978" spans="1:17" x14ac:dyDescent="0.3">
      <c r="A3978" t="s">
        <v>17</v>
      </c>
      <c r="B3978" t="str">
        <f>"603177"</f>
        <v>603177</v>
      </c>
      <c r="C3978" t="s">
        <v>8305</v>
      </c>
      <c r="D3978" t="s">
        <v>634</v>
      </c>
      <c r="F3978">
        <v>-27452246</v>
      </c>
      <c r="G3978">
        <v>-65339042</v>
      </c>
      <c r="H3978">
        <v>14450762</v>
      </c>
      <c r="I3978">
        <v>-36798831</v>
      </c>
      <c r="J3978">
        <v>-12570605</v>
      </c>
      <c r="K3978">
        <v>61541054</v>
      </c>
      <c r="L3978">
        <v>85577937</v>
      </c>
      <c r="M3978">
        <v>42489187</v>
      </c>
      <c r="N3978">
        <v>57243135</v>
      </c>
      <c r="P3978">
        <v>68</v>
      </c>
      <c r="Q3978" t="s">
        <v>8306</v>
      </c>
    </row>
    <row r="3979" spans="1:17" x14ac:dyDescent="0.3">
      <c r="A3979" t="s">
        <v>59</v>
      </c>
      <c r="B3979" t="str">
        <f>"002210"</f>
        <v>002210</v>
      </c>
      <c r="C3979" t="s">
        <v>8307</v>
      </c>
      <c r="D3979" t="s">
        <v>250</v>
      </c>
      <c r="F3979">
        <v>-63723946</v>
      </c>
      <c r="G3979">
        <v>20416097</v>
      </c>
      <c r="H3979">
        <v>14389356</v>
      </c>
      <c r="I3979">
        <v>-4666716928</v>
      </c>
      <c r="J3979">
        <v>163936662</v>
      </c>
      <c r="K3979">
        <v>-1669402906</v>
      </c>
      <c r="L3979">
        <v>-951330419</v>
      </c>
      <c r="M3979">
        <v>312755911</v>
      </c>
      <c r="N3979">
        <v>197340570</v>
      </c>
      <c r="O3979">
        <v>1530945312</v>
      </c>
      <c r="P3979">
        <v>83</v>
      </c>
      <c r="Q3979" t="s">
        <v>8308</v>
      </c>
    </row>
    <row r="3980" spans="1:17" x14ac:dyDescent="0.3">
      <c r="A3980" t="s">
        <v>59</v>
      </c>
      <c r="B3980" t="str">
        <f>"300576"</f>
        <v>300576</v>
      </c>
      <c r="C3980" t="s">
        <v>8309</v>
      </c>
      <c r="D3980" t="s">
        <v>2111</v>
      </c>
      <c r="F3980">
        <v>50416869</v>
      </c>
      <c r="G3980">
        <v>19936142</v>
      </c>
      <c r="H3980">
        <v>14312789</v>
      </c>
      <c r="I3980">
        <v>13931147</v>
      </c>
      <c r="J3980">
        <v>20062886</v>
      </c>
      <c r="K3980">
        <v>41023355</v>
      </c>
      <c r="L3980">
        <v>33145505</v>
      </c>
      <c r="M3980">
        <v>11193288</v>
      </c>
      <c r="N3980">
        <v>11598341</v>
      </c>
      <c r="P3980">
        <v>189</v>
      </c>
      <c r="Q3980" t="s">
        <v>8310</v>
      </c>
    </row>
    <row r="3981" spans="1:17" x14ac:dyDescent="0.3">
      <c r="A3981" t="s">
        <v>17</v>
      </c>
      <c r="B3981" t="str">
        <f>"600493"</f>
        <v>600493</v>
      </c>
      <c r="C3981" t="s">
        <v>8311</v>
      </c>
      <c r="D3981" t="s">
        <v>1090</v>
      </c>
      <c r="F3981">
        <v>75007031</v>
      </c>
      <c r="G3981">
        <v>129428197</v>
      </c>
      <c r="H3981">
        <v>14303809</v>
      </c>
      <c r="I3981">
        <v>31048472</v>
      </c>
      <c r="J3981">
        <v>45898673</v>
      </c>
      <c r="K3981">
        <v>122878853</v>
      </c>
      <c r="L3981">
        <v>83877014</v>
      </c>
      <c r="M3981">
        <v>186381328</v>
      </c>
      <c r="N3981">
        <v>45878007</v>
      </c>
      <c r="O3981">
        <v>190412669</v>
      </c>
      <c r="P3981">
        <v>80</v>
      </c>
      <c r="Q3981" t="s">
        <v>8312</v>
      </c>
    </row>
    <row r="3982" spans="1:17" x14ac:dyDescent="0.3">
      <c r="A3982" t="s">
        <v>59</v>
      </c>
      <c r="B3982" t="str">
        <f>"301117"</f>
        <v>301117</v>
      </c>
      <c r="C3982" t="s">
        <v>8313</v>
      </c>
      <c r="D3982" t="s">
        <v>344</v>
      </c>
      <c r="F3982">
        <v>-50195323</v>
      </c>
      <c r="G3982">
        <v>377788</v>
      </c>
      <c r="H3982">
        <v>14286883</v>
      </c>
      <c r="I3982">
        <v>-22619379</v>
      </c>
      <c r="J3982">
        <v>-154357</v>
      </c>
      <c r="P3982">
        <v>9</v>
      </c>
      <c r="Q3982" t="s">
        <v>8314</v>
      </c>
    </row>
    <row r="3983" spans="1:17" x14ac:dyDescent="0.3">
      <c r="A3983" t="s">
        <v>59</v>
      </c>
      <c r="B3983" t="str">
        <f>"200530"</f>
        <v>200530</v>
      </c>
      <c r="C3983" t="s">
        <v>8315</v>
      </c>
      <c r="F3983">
        <v>1856476.9704</v>
      </c>
      <c r="G3983">
        <v>-15588232.6647</v>
      </c>
      <c r="H3983">
        <v>14199438.032</v>
      </c>
      <c r="I3983">
        <v>-136230503.211</v>
      </c>
      <c r="J3983">
        <v>-248712466.37020001</v>
      </c>
      <c r="K3983">
        <v>-8601794.3839999996</v>
      </c>
      <c r="L3983">
        <v>-60363587.413800001</v>
      </c>
      <c r="M3983">
        <v>35631113.308799997</v>
      </c>
      <c r="N3983">
        <v>9779955.4551999997</v>
      </c>
      <c r="O3983">
        <v>-83215058.715599999</v>
      </c>
      <c r="P3983">
        <v>25</v>
      </c>
      <c r="Q3983" t="s">
        <v>8316</v>
      </c>
    </row>
    <row r="3984" spans="1:17" x14ac:dyDescent="0.3">
      <c r="A3984" t="s">
        <v>17</v>
      </c>
      <c r="B3984" t="str">
        <f>"688310"</f>
        <v>688310</v>
      </c>
      <c r="C3984" t="s">
        <v>8317</v>
      </c>
      <c r="D3984" t="s">
        <v>4218</v>
      </c>
      <c r="F3984">
        <v>84886101</v>
      </c>
      <c r="G3984">
        <v>70090864</v>
      </c>
      <c r="H3984">
        <v>14135338</v>
      </c>
      <c r="I3984">
        <v>31143591</v>
      </c>
      <c r="J3984">
        <v>72018839</v>
      </c>
      <c r="K3984">
        <v>40311502</v>
      </c>
      <c r="P3984">
        <v>92</v>
      </c>
      <c r="Q3984" t="s">
        <v>8318</v>
      </c>
    </row>
    <row r="3985" spans="1:17" x14ac:dyDescent="0.3">
      <c r="A3985" t="s">
        <v>59</v>
      </c>
      <c r="B3985" t="str">
        <f>"300479"</f>
        <v>300479</v>
      </c>
      <c r="C3985" t="s">
        <v>8319</v>
      </c>
      <c r="D3985" t="s">
        <v>707</v>
      </c>
      <c r="F3985">
        <v>47511384</v>
      </c>
      <c r="G3985">
        <v>39680168</v>
      </c>
      <c r="H3985">
        <v>14096587</v>
      </c>
      <c r="I3985">
        <v>3981802</v>
      </c>
      <c r="J3985">
        <v>-48998450</v>
      </c>
      <c r="K3985">
        <v>-47127107</v>
      </c>
      <c r="L3985">
        <v>15198015</v>
      </c>
      <c r="M3985">
        <v>41330218</v>
      </c>
      <c r="N3985">
        <v>33022251</v>
      </c>
      <c r="O3985">
        <v>28492990</v>
      </c>
      <c r="P3985">
        <v>167</v>
      </c>
      <c r="Q3985" t="s">
        <v>8320</v>
      </c>
    </row>
    <row r="3986" spans="1:17" x14ac:dyDescent="0.3">
      <c r="A3986" t="s">
        <v>59</v>
      </c>
      <c r="B3986" t="str">
        <f>"002633"</f>
        <v>002633</v>
      </c>
      <c r="C3986" t="s">
        <v>8321</v>
      </c>
      <c r="D3986" t="s">
        <v>637</v>
      </c>
      <c r="F3986">
        <v>-47631851</v>
      </c>
      <c r="G3986">
        <v>9162600</v>
      </c>
      <c r="H3986">
        <v>13721569</v>
      </c>
      <c r="I3986">
        <v>23804252</v>
      </c>
      <c r="J3986">
        <v>5809386</v>
      </c>
      <c r="K3986">
        <v>63811874</v>
      </c>
      <c r="L3986">
        <v>1104730</v>
      </c>
      <c r="M3986">
        <v>40108195</v>
      </c>
      <c r="N3986">
        <v>36886913</v>
      </c>
      <c r="O3986">
        <v>-51482428</v>
      </c>
      <c r="P3986">
        <v>44</v>
      </c>
      <c r="Q3986" t="s">
        <v>8322</v>
      </c>
    </row>
    <row r="3987" spans="1:17" x14ac:dyDescent="0.3">
      <c r="A3987" t="s">
        <v>17</v>
      </c>
      <c r="B3987" t="str">
        <f>"688328"</f>
        <v>688328</v>
      </c>
      <c r="C3987" t="s">
        <v>8323</v>
      </c>
      <c r="D3987" t="s">
        <v>1351</v>
      </c>
      <c r="F3987">
        <v>-83740263</v>
      </c>
      <c r="G3987">
        <v>17631545</v>
      </c>
      <c r="H3987">
        <v>13700845</v>
      </c>
      <c r="I3987">
        <v>25769809</v>
      </c>
      <c r="J3987">
        <v>28394170</v>
      </c>
      <c r="P3987">
        <v>39</v>
      </c>
      <c r="Q3987" t="s">
        <v>8324</v>
      </c>
    </row>
    <row r="3988" spans="1:17" x14ac:dyDescent="0.3">
      <c r="A3988" t="s">
        <v>17</v>
      </c>
      <c r="B3988" t="str">
        <f>"688193"</f>
        <v>688193</v>
      </c>
      <c r="C3988" t="s">
        <v>8325</v>
      </c>
      <c r="F3988">
        <v>54443114</v>
      </c>
      <c r="G3988">
        <v>92608184</v>
      </c>
      <c r="H3988">
        <v>13665197</v>
      </c>
      <c r="I3988">
        <v>-2374337</v>
      </c>
      <c r="P3988">
        <v>2</v>
      </c>
      <c r="Q3988" t="s">
        <v>8326</v>
      </c>
    </row>
    <row r="3989" spans="1:17" x14ac:dyDescent="0.3">
      <c r="A3989" t="s">
        <v>59</v>
      </c>
      <c r="B3989" t="str">
        <f>"300097"</f>
        <v>300097</v>
      </c>
      <c r="C3989" t="s">
        <v>8327</v>
      </c>
      <c r="D3989" t="s">
        <v>4218</v>
      </c>
      <c r="F3989">
        <v>-76288231</v>
      </c>
      <c r="G3989">
        <v>190881392</v>
      </c>
      <c r="H3989">
        <v>13623911</v>
      </c>
      <c r="I3989">
        <v>46885005</v>
      </c>
      <c r="J3989">
        <v>-48172748</v>
      </c>
      <c r="K3989">
        <v>-141504808</v>
      </c>
      <c r="L3989">
        <v>44336506</v>
      </c>
      <c r="M3989">
        <v>-15649902</v>
      </c>
      <c r="N3989">
        <v>8485177</v>
      </c>
      <c r="O3989">
        <v>37294345</v>
      </c>
      <c r="P3989">
        <v>203</v>
      </c>
      <c r="Q3989" t="s">
        <v>8328</v>
      </c>
    </row>
    <row r="3990" spans="1:17" x14ac:dyDescent="0.3">
      <c r="A3990" t="s">
        <v>59</v>
      </c>
      <c r="B3990" t="str">
        <f>"002086"</f>
        <v>002086</v>
      </c>
      <c r="C3990" t="s">
        <v>8329</v>
      </c>
      <c r="D3990" t="s">
        <v>2932</v>
      </c>
      <c r="F3990">
        <v>27791662</v>
      </c>
      <c r="G3990">
        <v>256011162</v>
      </c>
      <c r="H3990">
        <v>13485806</v>
      </c>
      <c r="I3990">
        <v>-850450977</v>
      </c>
      <c r="J3990">
        <v>59547179</v>
      </c>
      <c r="K3990">
        <v>117442445</v>
      </c>
      <c r="L3990">
        <v>79646018</v>
      </c>
      <c r="M3990">
        <v>-43541084</v>
      </c>
      <c r="N3990">
        <v>35177752</v>
      </c>
      <c r="O3990">
        <v>116264972</v>
      </c>
      <c r="P3990">
        <v>70</v>
      </c>
      <c r="Q3990" t="s">
        <v>8330</v>
      </c>
    </row>
    <row r="3991" spans="1:17" x14ac:dyDescent="0.3">
      <c r="A3991" t="s">
        <v>17</v>
      </c>
      <c r="B3991" t="str">
        <f>"600385"</f>
        <v>600385</v>
      </c>
      <c r="C3991" t="s">
        <v>8331</v>
      </c>
      <c r="D3991" t="s">
        <v>592</v>
      </c>
      <c r="F3991">
        <v>25933363</v>
      </c>
      <c r="G3991">
        <v>3473093</v>
      </c>
      <c r="H3991">
        <v>13261947</v>
      </c>
      <c r="I3991">
        <v>-6111060</v>
      </c>
      <c r="J3991">
        <v>-3366328</v>
      </c>
      <c r="K3991">
        <v>-1144881</v>
      </c>
      <c r="L3991">
        <v>149482152</v>
      </c>
      <c r="M3991">
        <v>-14688876</v>
      </c>
      <c r="N3991">
        <v>-46280811</v>
      </c>
      <c r="O3991">
        <v>-1257901</v>
      </c>
      <c r="P3991">
        <v>51</v>
      </c>
      <c r="Q3991" t="s">
        <v>8332</v>
      </c>
    </row>
    <row r="3992" spans="1:17" x14ac:dyDescent="0.3">
      <c r="A3992" t="s">
        <v>17</v>
      </c>
      <c r="B3992" t="str">
        <f>"688786"</f>
        <v>688786</v>
      </c>
      <c r="C3992" t="s">
        <v>8333</v>
      </c>
      <c r="D3992" t="s">
        <v>2129</v>
      </c>
      <c r="F3992">
        <v>94162495</v>
      </c>
      <c r="G3992">
        <v>-17676676</v>
      </c>
      <c r="H3992">
        <v>13193590</v>
      </c>
      <c r="I3992">
        <v>43259247</v>
      </c>
      <c r="J3992">
        <v>23383644</v>
      </c>
      <c r="P3992">
        <v>31</v>
      </c>
      <c r="Q3992" t="s">
        <v>8334</v>
      </c>
    </row>
    <row r="3993" spans="1:17" x14ac:dyDescent="0.3">
      <c r="A3993" t="s">
        <v>59</v>
      </c>
      <c r="B3993" t="str">
        <f>"002827"</f>
        <v>002827</v>
      </c>
      <c r="C3993" t="s">
        <v>8335</v>
      </c>
      <c r="D3993" t="s">
        <v>1986</v>
      </c>
      <c r="F3993">
        <v>-6611169</v>
      </c>
      <c r="G3993">
        <v>113777247</v>
      </c>
      <c r="H3993">
        <v>12992703</v>
      </c>
      <c r="I3993">
        <v>84239014</v>
      </c>
      <c r="J3993">
        <v>112327617</v>
      </c>
      <c r="K3993">
        <v>154873261</v>
      </c>
      <c r="L3993">
        <v>112933146</v>
      </c>
      <c r="M3993">
        <v>37855090</v>
      </c>
      <c r="N3993">
        <v>64439586</v>
      </c>
      <c r="P3993">
        <v>89</v>
      </c>
      <c r="Q3993" t="s">
        <v>8336</v>
      </c>
    </row>
    <row r="3994" spans="1:17" x14ac:dyDescent="0.3">
      <c r="A3994" t="s">
        <v>59</v>
      </c>
      <c r="B3994" t="str">
        <f>"002181"</f>
        <v>002181</v>
      </c>
      <c r="C3994" t="s">
        <v>8337</v>
      </c>
      <c r="D3994" t="s">
        <v>914</v>
      </c>
      <c r="F3994">
        <v>-483814900</v>
      </c>
      <c r="G3994">
        <v>86412995</v>
      </c>
      <c r="H3994">
        <v>12976027</v>
      </c>
      <c r="I3994">
        <v>22688978</v>
      </c>
      <c r="J3994">
        <v>-16474517</v>
      </c>
      <c r="K3994">
        <v>349876302</v>
      </c>
      <c r="L3994">
        <v>79237596</v>
      </c>
      <c r="M3994">
        <v>196757838</v>
      </c>
      <c r="N3994">
        <v>236503808</v>
      </c>
      <c r="O3994">
        <v>303840623</v>
      </c>
      <c r="P3994">
        <v>107</v>
      </c>
      <c r="Q3994" t="s">
        <v>8338</v>
      </c>
    </row>
    <row r="3995" spans="1:17" x14ac:dyDescent="0.3">
      <c r="A3995" t="s">
        <v>59</v>
      </c>
      <c r="B3995" t="str">
        <f>"002198"</f>
        <v>002198</v>
      </c>
      <c r="C3995" t="s">
        <v>8339</v>
      </c>
      <c r="D3995" t="s">
        <v>455</v>
      </c>
      <c r="F3995">
        <v>51800132</v>
      </c>
      <c r="G3995">
        <v>96873551</v>
      </c>
      <c r="H3995">
        <v>12963921</v>
      </c>
      <c r="I3995">
        <v>62102738</v>
      </c>
      <c r="J3995">
        <v>30631918</v>
      </c>
      <c r="K3995">
        <v>53126869</v>
      </c>
      <c r="L3995">
        <v>42312922</v>
      </c>
      <c r="M3995">
        <v>103362813</v>
      </c>
      <c r="N3995">
        <v>19461599</v>
      </c>
      <c r="O3995">
        <v>5271570</v>
      </c>
      <c r="P3995">
        <v>120</v>
      </c>
      <c r="Q3995" t="s">
        <v>8340</v>
      </c>
    </row>
    <row r="3996" spans="1:17" x14ac:dyDescent="0.3">
      <c r="A3996" t="s">
        <v>17</v>
      </c>
      <c r="B3996" t="str">
        <f>"603215"</f>
        <v>603215</v>
      </c>
      <c r="C3996" t="s">
        <v>8341</v>
      </c>
      <c r="F3996">
        <v>-35672874</v>
      </c>
      <c r="G3996">
        <v>109735184</v>
      </c>
      <c r="H3996">
        <v>12923400</v>
      </c>
      <c r="I3996">
        <v>126429279</v>
      </c>
      <c r="P3996">
        <v>13</v>
      </c>
      <c r="Q3996" t="s">
        <v>8342</v>
      </c>
    </row>
    <row r="3997" spans="1:17" x14ac:dyDescent="0.3">
      <c r="A3997" t="s">
        <v>59</v>
      </c>
      <c r="B3997" t="str">
        <f>"300402"</f>
        <v>300402</v>
      </c>
      <c r="C3997" t="s">
        <v>8343</v>
      </c>
      <c r="D3997" t="s">
        <v>637</v>
      </c>
      <c r="F3997">
        <v>32062271</v>
      </c>
      <c r="G3997">
        <v>54961493</v>
      </c>
      <c r="H3997">
        <v>12888400</v>
      </c>
      <c r="I3997">
        <v>-7310123</v>
      </c>
      <c r="J3997">
        <v>36293905</v>
      </c>
      <c r="K3997">
        <v>-66453821</v>
      </c>
      <c r="L3997">
        <v>55647749</v>
      </c>
      <c r="M3997">
        <v>77002689</v>
      </c>
      <c r="N3997">
        <v>5770752</v>
      </c>
      <c r="O3997">
        <v>-1211528</v>
      </c>
      <c r="P3997">
        <v>101</v>
      </c>
      <c r="Q3997" t="s">
        <v>8344</v>
      </c>
    </row>
    <row r="3998" spans="1:17" x14ac:dyDescent="0.3">
      <c r="A3998" t="s">
        <v>59</v>
      </c>
      <c r="B3998" t="str">
        <f>"000565"</f>
        <v>000565</v>
      </c>
      <c r="C3998" t="s">
        <v>8345</v>
      </c>
      <c r="D3998" t="s">
        <v>4667</v>
      </c>
      <c r="F3998">
        <v>-6945325</v>
      </c>
      <c r="G3998">
        <v>45311223</v>
      </c>
      <c r="H3998">
        <v>12879721</v>
      </c>
      <c r="I3998">
        <v>24940323</v>
      </c>
      <c r="J3998">
        <v>54088320</v>
      </c>
      <c r="K3998">
        <v>82233734</v>
      </c>
      <c r="L3998">
        <v>15911673</v>
      </c>
      <c r="M3998">
        <v>30095632</v>
      </c>
      <c r="N3998">
        <v>11002560</v>
      </c>
      <c r="O3998">
        <v>64300972</v>
      </c>
      <c r="P3998">
        <v>79</v>
      </c>
      <c r="Q3998" t="s">
        <v>8346</v>
      </c>
    </row>
    <row r="3999" spans="1:17" x14ac:dyDescent="0.3">
      <c r="A3999" t="s">
        <v>59</v>
      </c>
      <c r="B3999" t="str">
        <f>"300087"</f>
        <v>300087</v>
      </c>
      <c r="C3999" t="s">
        <v>8347</v>
      </c>
      <c r="D3999" t="s">
        <v>4417</v>
      </c>
      <c r="F3999">
        <v>435451714</v>
      </c>
      <c r="G3999">
        <v>-64974818</v>
      </c>
      <c r="H3999">
        <v>12805286</v>
      </c>
      <c r="I3999">
        <v>145675506</v>
      </c>
      <c r="J3999">
        <v>135745442</v>
      </c>
      <c r="K3999">
        <v>181248247</v>
      </c>
      <c r="L3999">
        <v>98905731</v>
      </c>
      <c r="M3999">
        <v>97235184</v>
      </c>
      <c r="N3999">
        <v>10295898</v>
      </c>
      <c r="O3999">
        <v>50463408</v>
      </c>
      <c r="P3999">
        <v>231</v>
      </c>
      <c r="Q3999" t="s">
        <v>8348</v>
      </c>
    </row>
    <row r="4000" spans="1:17" x14ac:dyDescent="0.3">
      <c r="A4000" t="s">
        <v>59</v>
      </c>
      <c r="B4000" t="str">
        <f>"000530"</f>
        <v>000530</v>
      </c>
      <c r="C4000" t="s">
        <v>8349</v>
      </c>
      <c r="D4000" t="s">
        <v>3158</v>
      </c>
      <c r="F4000">
        <v>1518218</v>
      </c>
      <c r="G4000">
        <v>-13142427</v>
      </c>
      <c r="H4000">
        <v>12695072</v>
      </c>
      <c r="I4000">
        <v>-119657886</v>
      </c>
      <c r="J4000">
        <v>-207225851</v>
      </c>
      <c r="K4000">
        <v>-7706320</v>
      </c>
      <c r="L4000">
        <v>-50568474</v>
      </c>
      <c r="M4000">
        <v>28495772</v>
      </c>
      <c r="N4000">
        <v>7630456</v>
      </c>
      <c r="O4000">
        <v>-66860886</v>
      </c>
      <c r="P4000">
        <v>129</v>
      </c>
      <c r="Q4000" t="s">
        <v>8350</v>
      </c>
    </row>
    <row r="4001" spans="1:17" x14ac:dyDescent="0.3">
      <c r="A4001" t="s">
        <v>17</v>
      </c>
      <c r="B4001" t="str">
        <f>"600241"</f>
        <v>600241</v>
      </c>
      <c r="C4001" t="s">
        <v>8351</v>
      </c>
      <c r="D4001" t="s">
        <v>1107</v>
      </c>
      <c r="F4001">
        <v>278043738</v>
      </c>
      <c r="G4001">
        <v>-49083750</v>
      </c>
      <c r="H4001">
        <v>12603534</v>
      </c>
      <c r="I4001">
        <v>-180459098</v>
      </c>
      <c r="J4001">
        <v>-65471113</v>
      </c>
      <c r="K4001">
        <v>-3003980</v>
      </c>
      <c r="L4001">
        <v>16910399</v>
      </c>
      <c r="M4001">
        <v>-21353413</v>
      </c>
      <c r="N4001">
        <v>51249269</v>
      </c>
      <c r="O4001">
        <v>204163563</v>
      </c>
      <c r="P4001">
        <v>51</v>
      </c>
      <c r="Q4001" t="s">
        <v>8352</v>
      </c>
    </row>
    <row r="4002" spans="1:17" x14ac:dyDescent="0.3">
      <c r="A4002" t="s">
        <v>17</v>
      </c>
      <c r="B4002" t="str">
        <f>"603516"</f>
        <v>603516</v>
      </c>
      <c r="C4002" t="s">
        <v>8353</v>
      </c>
      <c r="D4002" t="s">
        <v>707</v>
      </c>
      <c r="F4002">
        <v>100141702</v>
      </c>
      <c r="G4002">
        <v>144603807</v>
      </c>
      <c r="H4002">
        <v>12551349</v>
      </c>
      <c r="I4002">
        <v>59790170</v>
      </c>
      <c r="J4002">
        <v>50370810</v>
      </c>
      <c r="K4002">
        <v>49095809</v>
      </c>
      <c r="L4002">
        <v>66668166</v>
      </c>
      <c r="M4002">
        <v>70024288</v>
      </c>
      <c r="P4002">
        <v>202</v>
      </c>
      <c r="Q4002" t="s">
        <v>8354</v>
      </c>
    </row>
    <row r="4003" spans="1:17" x14ac:dyDescent="0.3">
      <c r="A4003" t="s">
        <v>59</v>
      </c>
      <c r="B4003" t="str">
        <f>"300486"</f>
        <v>300486</v>
      </c>
      <c r="C4003" t="s">
        <v>8355</v>
      </c>
      <c r="D4003" t="s">
        <v>4218</v>
      </c>
      <c r="F4003">
        <v>104464938</v>
      </c>
      <c r="G4003">
        <v>55613359</v>
      </c>
      <c r="H4003">
        <v>12516080</v>
      </c>
      <c r="I4003">
        <v>8914274</v>
      </c>
      <c r="J4003">
        <v>103962646</v>
      </c>
      <c r="K4003">
        <v>37624189</v>
      </c>
      <c r="L4003">
        <v>-71449203</v>
      </c>
      <c r="M4003">
        <v>6885377</v>
      </c>
      <c r="N4003">
        <v>14021419</v>
      </c>
      <c r="O4003">
        <v>10872569</v>
      </c>
      <c r="P4003">
        <v>74</v>
      </c>
      <c r="Q4003" t="s">
        <v>8356</v>
      </c>
    </row>
    <row r="4004" spans="1:17" x14ac:dyDescent="0.3">
      <c r="A4004" t="s">
        <v>59</v>
      </c>
      <c r="B4004" t="str">
        <f>"002447"</f>
        <v>002447</v>
      </c>
      <c r="C4004" t="s">
        <v>8357</v>
      </c>
      <c r="D4004" t="s">
        <v>689</v>
      </c>
      <c r="F4004">
        <v>-516956</v>
      </c>
      <c r="G4004">
        <v>-15789557</v>
      </c>
      <c r="H4004">
        <v>12447679</v>
      </c>
      <c r="I4004">
        <v>-38405721</v>
      </c>
      <c r="J4004">
        <v>252766508</v>
      </c>
      <c r="K4004">
        <v>417967538</v>
      </c>
      <c r="L4004">
        <v>378265238</v>
      </c>
      <c r="M4004">
        <v>258183199</v>
      </c>
      <c r="N4004">
        <v>328072233</v>
      </c>
      <c r="O4004">
        <v>109010737</v>
      </c>
      <c r="P4004">
        <v>92</v>
      </c>
      <c r="Q4004" t="s">
        <v>8358</v>
      </c>
    </row>
    <row r="4005" spans="1:17" x14ac:dyDescent="0.3">
      <c r="A4005" t="s">
        <v>59</v>
      </c>
      <c r="B4005" t="str">
        <f>"300854"</f>
        <v>300854</v>
      </c>
      <c r="C4005" t="s">
        <v>8359</v>
      </c>
      <c r="D4005" t="s">
        <v>894</v>
      </c>
      <c r="F4005">
        <v>-46968125</v>
      </c>
      <c r="G4005">
        <v>77988246</v>
      </c>
      <c r="H4005">
        <v>12412524</v>
      </c>
      <c r="I4005">
        <v>43681586</v>
      </c>
      <c r="J4005">
        <v>-47672738</v>
      </c>
      <c r="P4005">
        <v>19</v>
      </c>
      <c r="Q4005" t="s">
        <v>8360</v>
      </c>
    </row>
    <row r="4006" spans="1:17" x14ac:dyDescent="0.3">
      <c r="A4006" t="s">
        <v>59</v>
      </c>
      <c r="B4006" t="str">
        <f>"000005"</f>
        <v>000005</v>
      </c>
      <c r="C4006" t="s">
        <v>8361</v>
      </c>
      <c r="D4006" t="s">
        <v>2700</v>
      </c>
      <c r="F4006">
        <v>279093997</v>
      </c>
      <c r="G4006">
        <v>116373610</v>
      </c>
      <c r="H4006">
        <v>12284797</v>
      </c>
      <c r="I4006">
        <v>-94794815</v>
      </c>
      <c r="J4006">
        <v>-243303474</v>
      </c>
      <c r="K4006">
        <v>-185863030</v>
      </c>
      <c r="L4006">
        <v>15794820</v>
      </c>
      <c r="M4006">
        <v>-9177753</v>
      </c>
      <c r="N4006">
        <v>-111718142</v>
      </c>
      <c r="O4006">
        <v>179474907</v>
      </c>
      <c r="P4006">
        <v>87</v>
      </c>
      <c r="Q4006" t="s">
        <v>8362</v>
      </c>
    </row>
    <row r="4007" spans="1:17" x14ac:dyDescent="0.3">
      <c r="A4007" t="s">
        <v>17</v>
      </c>
      <c r="B4007" t="str">
        <f>"688037"</f>
        <v>688037</v>
      </c>
      <c r="C4007" t="s">
        <v>8363</v>
      </c>
      <c r="D4007" t="s">
        <v>5407</v>
      </c>
      <c r="F4007">
        <v>-218325430</v>
      </c>
      <c r="G4007">
        <v>-72389945</v>
      </c>
      <c r="H4007">
        <v>12234953</v>
      </c>
      <c r="I4007">
        <v>-28315547</v>
      </c>
      <c r="J4007">
        <v>42464041</v>
      </c>
      <c r="K4007">
        <v>66871818</v>
      </c>
      <c r="P4007">
        <v>168</v>
      </c>
      <c r="Q4007" t="s">
        <v>8364</v>
      </c>
    </row>
    <row r="4008" spans="1:17" x14ac:dyDescent="0.3">
      <c r="A4008" t="s">
        <v>59</v>
      </c>
      <c r="B4008" t="str">
        <f>"002178"</f>
        <v>002178</v>
      </c>
      <c r="C4008" t="s">
        <v>8365</v>
      </c>
      <c r="D4008" t="s">
        <v>1528</v>
      </c>
      <c r="F4008">
        <v>43883388</v>
      </c>
      <c r="G4008">
        <v>31049349</v>
      </c>
      <c r="H4008">
        <v>12172308</v>
      </c>
      <c r="I4008">
        <v>37180086</v>
      </c>
      <c r="J4008">
        <v>79466871</v>
      </c>
      <c r="K4008">
        <v>-26576819</v>
      </c>
      <c r="L4008">
        <v>80048571</v>
      </c>
      <c r="M4008">
        <v>79704058</v>
      </c>
      <c r="N4008">
        <v>16571823</v>
      </c>
      <c r="O4008">
        <v>54390197</v>
      </c>
      <c r="P4008">
        <v>89</v>
      </c>
      <c r="Q4008" t="s">
        <v>8366</v>
      </c>
    </row>
    <row r="4009" spans="1:17" x14ac:dyDescent="0.3">
      <c r="A4009" t="s">
        <v>59</v>
      </c>
      <c r="B4009" t="str">
        <f>"300828"</f>
        <v>300828</v>
      </c>
      <c r="C4009" t="s">
        <v>8367</v>
      </c>
      <c r="D4009" t="s">
        <v>637</v>
      </c>
      <c r="F4009">
        <v>6968889</v>
      </c>
      <c r="G4009">
        <v>69533789</v>
      </c>
      <c r="H4009">
        <v>12076577</v>
      </c>
      <c r="I4009">
        <v>33747826</v>
      </c>
      <c r="J4009">
        <v>43957993</v>
      </c>
      <c r="P4009">
        <v>91</v>
      </c>
      <c r="Q4009" t="s">
        <v>8368</v>
      </c>
    </row>
    <row r="4010" spans="1:17" x14ac:dyDescent="0.3">
      <c r="A4010" t="s">
        <v>17</v>
      </c>
      <c r="B4010" t="str">
        <f>"688283"</f>
        <v>688283</v>
      </c>
      <c r="C4010" t="s">
        <v>8369</v>
      </c>
      <c r="F4010">
        <v>18480887</v>
      </c>
      <c r="G4010">
        <v>23158068</v>
      </c>
      <c r="H4010">
        <v>11989783</v>
      </c>
      <c r="I4010">
        <v>802533</v>
      </c>
      <c r="P4010">
        <v>17</v>
      </c>
      <c r="Q4010" t="s">
        <v>8370</v>
      </c>
    </row>
    <row r="4011" spans="1:17" x14ac:dyDescent="0.3">
      <c r="A4011" t="s">
        <v>59</v>
      </c>
      <c r="B4011" t="str">
        <f>"002723"</f>
        <v>002723</v>
      </c>
      <c r="C4011" t="s">
        <v>8371</v>
      </c>
      <c r="D4011" t="s">
        <v>1626</v>
      </c>
      <c r="F4011">
        <v>-88255488</v>
      </c>
      <c r="G4011">
        <v>60193864</v>
      </c>
      <c r="H4011">
        <v>11973338</v>
      </c>
      <c r="I4011">
        <v>-50769327</v>
      </c>
      <c r="J4011">
        <v>61019045</v>
      </c>
      <c r="K4011">
        <v>93357421</v>
      </c>
      <c r="L4011">
        <v>-4725257</v>
      </c>
      <c r="M4011">
        <v>68682837</v>
      </c>
      <c r="N4011">
        <v>49668396</v>
      </c>
      <c r="O4011">
        <v>67257142</v>
      </c>
      <c r="P4011">
        <v>92</v>
      </c>
      <c r="Q4011" t="s">
        <v>8372</v>
      </c>
    </row>
    <row r="4012" spans="1:17" x14ac:dyDescent="0.3">
      <c r="A4012" t="s">
        <v>59</v>
      </c>
      <c r="B4012" t="str">
        <f>"300706"</f>
        <v>300706</v>
      </c>
      <c r="C4012" t="s">
        <v>8373</v>
      </c>
      <c r="D4012" t="s">
        <v>874</v>
      </c>
      <c r="F4012">
        <v>31818192</v>
      </c>
      <c r="G4012">
        <v>13817921</v>
      </c>
      <c r="H4012">
        <v>11787934</v>
      </c>
      <c r="I4012">
        <v>18189322</v>
      </c>
      <c r="J4012">
        <v>8281099</v>
      </c>
      <c r="K4012">
        <v>16575581</v>
      </c>
      <c r="L4012">
        <v>31336603</v>
      </c>
      <c r="M4012">
        <v>-4783931</v>
      </c>
      <c r="P4012">
        <v>178</v>
      </c>
      <c r="Q4012" t="s">
        <v>8374</v>
      </c>
    </row>
    <row r="4013" spans="1:17" x14ac:dyDescent="0.3">
      <c r="A4013" t="s">
        <v>59</v>
      </c>
      <c r="B4013" t="str">
        <f>"002552"</f>
        <v>002552</v>
      </c>
      <c r="C4013" t="s">
        <v>8375</v>
      </c>
      <c r="D4013" t="s">
        <v>637</v>
      </c>
      <c r="F4013">
        <v>49875653</v>
      </c>
      <c r="G4013">
        <v>50346380</v>
      </c>
      <c r="H4013">
        <v>11713611</v>
      </c>
      <c r="I4013">
        <v>33527035</v>
      </c>
      <c r="J4013">
        <v>62149095</v>
      </c>
      <c r="K4013">
        <v>93185710</v>
      </c>
      <c r="L4013">
        <v>36893584</v>
      </c>
      <c r="M4013">
        <v>13834718</v>
      </c>
      <c r="N4013">
        <v>-1457907</v>
      </c>
      <c r="O4013">
        <v>81108532</v>
      </c>
      <c r="P4013">
        <v>83</v>
      </c>
      <c r="Q4013" t="s">
        <v>8376</v>
      </c>
    </row>
    <row r="4014" spans="1:17" x14ac:dyDescent="0.3">
      <c r="A4014" t="s">
        <v>59</v>
      </c>
      <c r="B4014" t="str">
        <f>"300273"</f>
        <v>300273</v>
      </c>
      <c r="C4014" t="s">
        <v>8377</v>
      </c>
      <c r="D4014" t="s">
        <v>485</v>
      </c>
      <c r="F4014">
        <v>250346487</v>
      </c>
      <c r="G4014">
        <v>118037040</v>
      </c>
      <c r="H4014">
        <v>11688897</v>
      </c>
      <c r="I4014">
        <v>-592325988</v>
      </c>
      <c r="J4014">
        <v>-588915946</v>
      </c>
      <c r="K4014">
        <v>-409868079</v>
      </c>
      <c r="L4014">
        <v>-796838728</v>
      </c>
      <c r="M4014">
        <v>-351544263</v>
      </c>
      <c r="N4014">
        <v>-205735647</v>
      </c>
      <c r="O4014">
        <v>14731946</v>
      </c>
      <c r="P4014">
        <v>143</v>
      </c>
      <c r="Q4014" t="s">
        <v>8378</v>
      </c>
    </row>
    <row r="4015" spans="1:17" x14ac:dyDescent="0.3">
      <c r="A4015" t="s">
        <v>17</v>
      </c>
      <c r="B4015" t="str">
        <f>"688217"</f>
        <v>688217</v>
      </c>
      <c r="C4015" t="s">
        <v>8379</v>
      </c>
      <c r="D4015" t="s">
        <v>1953</v>
      </c>
      <c r="F4015">
        <v>77966980</v>
      </c>
      <c r="G4015">
        <v>70111642</v>
      </c>
      <c r="H4015">
        <v>11680357</v>
      </c>
      <c r="I4015">
        <v>-293604</v>
      </c>
      <c r="J4015">
        <v>9439063</v>
      </c>
      <c r="P4015">
        <v>31</v>
      </c>
      <c r="Q4015" t="s">
        <v>8380</v>
      </c>
    </row>
    <row r="4016" spans="1:17" x14ac:dyDescent="0.3">
      <c r="A4016" t="s">
        <v>59</v>
      </c>
      <c r="B4016" t="str">
        <f>"002277"</f>
        <v>002277</v>
      </c>
      <c r="C4016" t="s">
        <v>8381</v>
      </c>
      <c r="D4016" t="s">
        <v>1361</v>
      </c>
      <c r="F4016">
        <v>567826827</v>
      </c>
      <c r="G4016">
        <v>128901028</v>
      </c>
      <c r="H4016">
        <v>11615376</v>
      </c>
      <c r="I4016">
        <v>107523346</v>
      </c>
      <c r="J4016">
        <v>621209884</v>
      </c>
      <c r="K4016">
        <v>532541290</v>
      </c>
      <c r="L4016">
        <v>-907868591</v>
      </c>
      <c r="M4016">
        <v>-225497600</v>
      </c>
      <c r="N4016">
        <v>385779994</v>
      </c>
      <c r="O4016">
        <v>594969240</v>
      </c>
      <c r="P4016">
        <v>145</v>
      </c>
      <c r="Q4016" t="s">
        <v>8382</v>
      </c>
    </row>
    <row r="4017" spans="1:17" x14ac:dyDescent="0.3">
      <c r="A4017" t="s">
        <v>59</v>
      </c>
      <c r="B4017" t="str">
        <f>"002575"</f>
        <v>002575</v>
      </c>
      <c r="C4017" t="s">
        <v>8383</v>
      </c>
      <c r="D4017" t="s">
        <v>4437</v>
      </c>
      <c r="F4017">
        <v>-20494833</v>
      </c>
      <c r="G4017">
        <v>17143769</v>
      </c>
      <c r="H4017">
        <v>11484936</v>
      </c>
      <c r="I4017">
        <v>18892112</v>
      </c>
      <c r="J4017">
        <v>46943359</v>
      </c>
      <c r="K4017">
        <v>53232313</v>
      </c>
      <c r="L4017">
        <v>100640652</v>
      </c>
      <c r="M4017">
        <v>-6097696</v>
      </c>
      <c r="N4017">
        <v>71867491</v>
      </c>
      <c r="O4017">
        <v>22284765</v>
      </c>
      <c r="P4017">
        <v>57</v>
      </c>
      <c r="Q4017" t="s">
        <v>8384</v>
      </c>
    </row>
    <row r="4018" spans="1:17" x14ac:dyDescent="0.3">
      <c r="A4018" t="s">
        <v>59</v>
      </c>
      <c r="B4018" t="str">
        <f>"002502"</f>
        <v>002502</v>
      </c>
      <c r="C4018" t="s">
        <v>8385</v>
      </c>
      <c r="D4018" t="s">
        <v>1059</v>
      </c>
      <c r="F4018">
        <v>-106434740</v>
      </c>
      <c r="G4018">
        <v>160919706</v>
      </c>
      <c r="H4018">
        <v>11444184</v>
      </c>
      <c r="I4018">
        <v>-112400101</v>
      </c>
      <c r="J4018">
        <v>97098060</v>
      </c>
      <c r="K4018">
        <v>296069548</v>
      </c>
      <c r="L4018">
        <v>184765064</v>
      </c>
      <c r="M4018">
        <v>49439811</v>
      </c>
      <c r="N4018">
        <v>6888294</v>
      </c>
      <c r="O4018">
        <v>13148448</v>
      </c>
      <c r="P4018">
        <v>117</v>
      </c>
      <c r="Q4018" t="s">
        <v>8386</v>
      </c>
    </row>
    <row r="4019" spans="1:17" x14ac:dyDescent="0.3">
      <c r="A4019" t="s">
        <v>17</v>
      </c>
      <c r="B4019" t="str">
        <f>"688579"</f>
        <v>688579</v>
      </c>
      <c r="C4019" t="s">
        <v>8387</v>
      </c>
      <c r="D4019" t="s">
        <v>1528</v>
      </c>
      <c r="F4019">
        <v>95414884</v>
      </c>
      <c r="G4019">
        <v>127944609</v>
      </c>
      <c r="H4019">
        <v>11374168</v>
      </c>
      <c r="I4019">
        <v>78662407</v>
      </c>
      <c r="J4019">
        <v>84890514</v>
      </c>
      <c r="K4019">
        <v>12878236</v>
      </c>
      <c r="P4019">
        <v>34</v>
      </c>
      <c r="Q4019" t="s">
        <v>8388</v>
      </c>
    </row>
    <row r="4020" spans="1:17" x14ac:dyDescent="0.3">
      <c r="A4020" t="s">
        <v>17</v>
      </c>
      <c r="B4020" t="str">
        <f>"605198"</f>
        <v>605198</v>
      </c>
      <c r="C4020" t="s">
        <v>8389</v>
      </c>
      <c r="D4020" t="s">
        <v>1518</v>
      </c>
      <c r="F4020">
        <v>194021077</v>
      </c>
      <c r="G4020">
        <v>211246862</v>
      </c>
      <c r="H4020">
        <v>11358184</v>
      </c>
      <c r="I4020">
        <v>447564249</v>
      </c>
      <c r="J4020">
        <v>135756037</v>
      </c>
      <c r="K4020">
        <v>194903209</v>
      </c>
      <c r="P4020">
        <v>47</v>
      </c>
      <c r="Q4020" t="s">
        <v>8390</v>
      </c>
    </row>
    <row r="4021" spans="1:17" x14ac:dyDescent="0.3">
      <c r="A4021" t="s">
        <v>59</v>
      </c>
      <c r="B4021" t="str">
        <f>"002199"</f>
        <v>002199</v>
      </c>
      <c r="C4021" t="s">
        <v>8391</v>
      </c>
      <c r="D4021" t="s">
        <v>1180</v>
      </c>
      <c r="F4021">
        <v>44632926</v>
      </c>
      <c r="G4021">
        <v>24481418</v>
      </c>
      <c r="H4021">
        <v>11197146</v>
      </c>
      <c r="I4021">
        <v>18288646</v>
      </c>
      <c r="J4021">
        <v>24134341</v>
      </c>
      <c r="K4021">
        <v>24896812</v>
      </c>
      <c r="L4021">
        <v>-38143893</v>
      </c>
      <c r="M4021">
        <v>-88727356</v>
      </c>
      <c r="N4021">
        <v>-3376031</v>
      </c>
      <c r="O4021">
        <v>31070448</v>
      </c>
      <c r="P4021">
        <v>111</v>
      </c>
      <c r="Q4021" t="s">
        <v>8392</v>
      </c>
    </row>
    <row r="4022" spans="1:17" x14ac:dyDescent="0.3">
      <c r="A4022" t="s">
        <v>59</v>
      </c>
      <c r="B4022" t="str">
        <f>"300035"</f>
        <v>300035</v>
      </c>
      <c r="C4022" t="s">
        <v>8393</v>
      </c>
      <c r="D4022" t="s">
        <v>1444</v>
      </c>
      <c r="F4022">
        <v>-862231602</v>
      </c>
      <c r="G4022">
        <v>116966108</v>
      </c>
      <c r="H4022">
        <v>11171253</v>
      </c>
      <c r="I4022">
        <v>-127756019</v>
      </c>
      <c r="J4022">
        <v>3379261</v>
      </c>
      <c r="K4022">
        <v>51908932</v>
      </c>
      <c r="L4022">
        <v>25336026</v>
      </c>
      <c r="M4022">
        <v>7136144</v>
      </c>
      <c r="N4022">
        <v>14314297</v>
      </c>
      <c r="O4022">
        <v>32782930</v>
      </c>
      <c r="P4022">
        <v>272</v>
      </c>
      <c r="Q4022" t="s">
        <v>8394</v>
      </c>
    </row>
    <row r="4023" spans="1:17" x14ac:dyDescent="0.3">
      <c r="A4023" t="s">
        <v>17</v>
      </c>
      <c r="B4023" t="str">
        <f>"603839"</f>
        <v>603839</v>
      </c>
      <c r="C4023" t="s">
        <v>8395</v>
      </c>
      <c r="D4023" t="s">
        <v>646</v>
      </c>
      <c r="F4023">
        <v>540165921</v>
      </c>
      <c r="G4023">
        <v>368838893</v>
      </c>
      <c r="H4023">
        <v>11008665</v>
      </c>
      <c r="I4023">
        <v>95095142</v>
      </c>
      <c r="J4023">
        <v>317423534</v>
      </c>
      <c r="K4023">
        <v>339479935</v>
      </c>
      <c r="L4023">
        <v>264846328</v>
      </c>
      <c r="M4023">
        <v>213402705</v>
      </c>
      <c r="N4023">
        <v>357592295</v>
      </c>
      <c r="P4023">
        <v>136</v>
      </c>
      <c r="Q4023" t="s">
        <v>8396</v>
      </c>
    </row>
    <row r="4024" spans="1:17" x14ac:dyDescent="0.3">
      <c r="A4024" t="s">
        <v>17</v>
      </c>
      <c r="B4024" t="str">
        <f>"600543"</f>
        <v>600543</v>
      </c>
      <c r="C4024" t="s">
        <v>8397</v>
      </c>
      <c r="D4024" t="s">
        <v>1964</v>
      </c>
      <c r="F4024">
        <v>29559091</v>
      </c>
      <c r="G4024">
        <v>-15946818</v>
      </c>
      <c r="H4024">
        <v>10970173</v>
      </c>
      <c r="I4024">
        <v>10280595</v>
      </c>
      <c r="J4024">
        <v>60273930</v>
      </c>
      <c r="K4024">
        <v>42746133</v>
      </c>
      <c r="L4024">
        <v>26922832</v>
      </c>
      <c r="M4024">
        <v>129859341</v>
      </c>
      <c r="N4024">
        <v>71318694</v>
      </c>
      <c r="O4024">
        <v>86665575</v>
      </c>
      <c r="P4024">
        <v>150</v>
      </c>
      <c r="Q4024" t="s">
        <v>8398</v>
      </c>
    </row>
    <row r="4025" spans="1:17" x14ac:dyDescent="0.3">
      <c r="A4025" t="s">
        <v>59</v>
      </c>
      <c r="B4025" t="str">
        <f>"002897"</f>
        <v>002897</v>
      </c>
      <c r="C4025" t="s">
        <v>8399</v>
      </c>
      <c r="D4025" t="s">
        <v>352</v>
      </c>
      <c r="F4025">
        <v>-419536285</v>
      </c>
      <c r="G4025">
        <v>277440031</v>
      </c>
      <c r="H4025">
        <v>10915136</v>
      </c>
      <c r="I4025">
        <v>114511417</v>
      </c>
      <c r="J4025">
        <v>84025595</v>
      </c>
      <c r="K4025">
        <v>117960717</v>
      </c>
      <c r="L4025">
        <v>166872879</v>
      </c>
      <c r="M4025">
        <v>91111373</v>
      </c>
      <c r="P4025">
        <v>234</v>
      </c>
      <c r="Q4025" t="s">
        <v>8400</v>
      </c>
    </row>
    <row r="4026" spans="1:17" x14ac:dyDescent="0.3">
      <c r="A4026" t="s">
        <v>59</v>
      </c>
      <c r="B4026" t="str">
        <f>"000595"</f>
        <v>000595</v>
      </c>
      <c r="C4026" t="s">
        <v>8401</v>
      </c>
      <c r="D4026" t="s">
        <v>637</v>
      </c>
      <c r="F4026">
        <v>-50285783</v>
      </c>
      <c r="G4026">
        <v>-194183612</v>
      </c>
      <c r="H4026">
        <v>10694161</v>
      </c>
      <c r="I4026">
        <v>28770727</v>
      </c>
      <c r="J4026">
        <v>-978362</v>
      </c>
      <c r="K4026">
        <v>-44034149</v>
      </c>
      <c r="L4026">
        <v>-62126275</v>
      </c>
      <c r="M4026">
        <v>-40739451</v>
      </c>
      <c r="N4026">
        <v>-9536013</v>
      </c>
      <c r="O4026">
        <v>37617246</v>
      </c>
      <c r="P4026">
        <v>98</v>
      </c>
      <c r="Q4026" t="s">
        <v>8402</v>
      </c>
    </row>
    <row r="4027" spans="1:17" x14ac:dyDescent="0.3">
      <c r="A4027" t="s">
        <v>59</v>
      </c>
      <c r="B4027" t="str">
        <f>"300091"</f>
        <v>300091</v>
      </c>
      <c r="C4027" t="s">
        <v>8403</v>
      </c>
      <c r="D4027" t="s">
        <v>1838</v>
      </c>
      <c r="F4027">
        <v>-133850029</v>
      </c>
      <c r="G4027">
        <v>-46045139</v>
      </c>
      <c r="H4027">
        <v>10655563</v>
      </c>
      <c r="I4027">
        <v>-35553257</v>
      </c>
      <c r="J4027">
        <v>-277132818</v>
      </c>
      <c r="K4027">
        <v>15115326</v>
      </c>
      <c r="L4027">
        <v>57315480</v>
      </c>
      <c r="M4027">
        <v>-7788567</v>
      </c>
      <c r="N4027">
        <v>-36672262</v>
      </c>
      <c r="O4027">
        <v>-43987327</v>
      </c>
      <c r="P4027">
        <v>101</v>
      </c>
      <c r="Q4027" t="s">
        <v>8404</v>
      </c>
    </row>
    <row r="4028" spans="1:17" x14ac:dyDescent="0.3">
      <c r="A4028" t="s">
        <v>17</v>
      </c>
      <c r="B4028" t="str">
        <f>"688737"</f>
        <v>688737</v>
      </c>
      <c r="C4028" t="s">
        <v>8405</v>
      </c>
      <c r="D4028" t="s">
        <v>1226</v>
      </c>
      <c r="F4028">
        <v>207274391</v>
      </c>
      <c r="G4028">
        <v>-306301496</v>
      </c>
      <c r="H4028">
        <v>10409587</v>
      </c>
      <c r="I4028">
        <v>-58537433</v>
      </c>
      <c r="J4028">
        <v>327763</v>
      </c>
      <c r="P4028">
        <v>15</v>
      </c>
      <c r="Q4028" t="s">
        <v>8406</v>
      </c>
    </row>
    <row r="4029" spans="1:17" x14ac:dyDescent="0.3">
      <c r="A4029" t="s">
        <v>59</v>
      </c>
      <c r="B4029" t="str">
        <f>"300509"</f>
        <v>300509</v>
      </c>
      <c r="C4029" t="s">
        <v>8407</v>
      </c>
      <c r="D4029" t="s">
        <v>3768</v>
      </c>
      <c r="F4029">
        <v>31714722</v>
      </c>
      <c r="G4029">
        <v>205335063</v>
      </c>
      <c r="H4029">
        <v>10388871</v>
      </c>
      <c r="I4029">
        <v>47906241</v>
      </c>
      <c r="J4029">
        <v>85978604</v>
      </c>
      <c r="K4029">
        <v>13894063</v>
      </c>
      <c r="L4029">
        <v>73838342</v>
      </c>
      <c r="M4029">
        <v>5048045</v>
      </c>
      <c r="N4029">
        <v>90014898</v>
      </c>
      <c r="P4029">
        <v>64</v>
      </c>
      <c r="Q4029" t="s">
        <v>8408</v>
      </c>
    </row>
    <row r="4030" spans="1:17" x14ac:dyDescent="0.3">
      <c r="A4030" t="s">
        <v>59</v>
      </c>
      <c r="B4030" t="str">
        <f>"300810"</f>
        <v>300810</v>
      </c>
      <c r="C4030" t="s">
        <v>8409</v>
      </c>
      <c r="D4030" t="s">
        <v>614</v>
      </c>
      <c r="F4030">
        <v>-93522296</v>
      </c>
      <c r="G4030">
        <v>-59512862</v>
      </c>
      <c r="H4030">
        <v>9974087</v>
      </c>
      <c r="I4030">
        <v>45924756</v>
      </c>
      <c r="J4030">
        <v>56986145</v>
      </c>
      <c r="K4030">
        <v>-30787171</v>
      </c>
      <c r="P4030">
        <v>57</v>
      </c>
      <c r="Q4030" t="s">
        <v>8410</v>
      </c>
    </row>
    <row r="4031" spans="1:17" x14ac:dyDescent="0.3">
      <c r="A4031" t="s">
        <v>17</v>
      </c>
      <c r="B4031" t="str">
        <f>"600880"</f>
        <v>600880</v>
      </c>
      <c r="C4031" t="s">
        <v>8411</v>
      </c>
      <c r="D4031" t="s">
        <v>8121</v>
      </c>
      <c r="F4031">
        <v>78022098</v>
      </c>
      <c r="G4031">
        <v>96074240</v>
      </c>
      <c r="H4031">
        <v>9948793</v>
      </c>
      <c r="I4031">
        <v>-72975306</v>
      </c>
      <c r="J4031">
        <v>-180040310</v>
      </c>
      <c r="K4031">
        <v>144628270</v>
      </c>
      <c r="L4031">
        <v>323636625</v>
      </c>
      <c r="M4031">
        <v>531196934</v>
      </c>
      <c r="N4031">
        <v>311090388</v>
      </c>
      <c r="O4031">
        <v>-78661844</v>
      </c>
      <c r="P4031">
        <v>314</v>
      </c>
      <c r="Q4031" t="s">
        <v>8412</v>
      </c>
    </row>
    <row r="4032" spans="1:17" x14ac:dyDescent="0.3">
      <c r="A4032" t="s">
        <v>59</v>
      </c>
      <c r="B4032" t="str">
        <f>"301036"</f>
        <v>301036</v>
      </c>
      <c r="C4032" t="s">
        <v>8413</v>
      </c>
      <c r="D4032" t="s">
        <v>4667</v>
      </c>
      <c r="F4032">
        <v>-106388843</v>
      </c>
      <c r="G4032">
        <v>99076784</v>
      </c>
      <c r="H4032">
        <v>9877545</v>
      </c>
      <c r="I4032">
        <v>-10995250</v>
      </c>
      <c r="J4032">
        <v>-69454586</v>
      </c>
      <c r="P4032">
        <v>20</v>
      </c>
      <c r="Q4032" t="s">
        <v>8414</v>
      </c>
    </row>
    <row r="4033" spans="1:17" x14ac:dyDescent="0.3">
      <c r="A4033" t="s">
        <v>59</v>
      </c>
      <c r="B4033" t="str">
        <f>"301065"</f>
        <v>301065</v>
      </c>
      <c r="C4033" t="s">
        <v>8415</v>
      </c>
      <c r="D4033" t="s">
        <v>1252</v>
      </c>
      <c r="F4033">
        <v>36016521</v>
      </c>
      <c r="G4033">
        <v>98364350</v>
      </c>
      <c r="H4033">
        <v>9668232</v>
      </c>
      <c r="I4033">
        <v>58374865</v>
      </c>
      <c r="J4033">
        <v>17923125</v>
      </c>
      <c r="P4033">
        <v>12</v>
      </c>
      <c r="Q4033" t="s">
        <v>8416</v>
      </c>
    </row>
    <row r="4034" spans="1:17" x14ac:dyDescent="0.3">
      <c r="A4034" t="s">
        <v>59</v>
      </c>
      <c r="B4034" t="str">
        <f>"301166"</f>
        <v>301166</v>
      </c>
      <c r="C4034" t="s">
        <v>8417</v>
      </c>
      <c r="D4034" t="s">
        <v>1062</v>
      </c>
      <c r="F4034">
        <v>59022956</v>
      </c>
      <c r="G4034">
        <v>92227783</v>
      </c>
      <c r="H4034">
        <v>9633235</v>
      </c>
      <c r="I4034">
        <v>26817579</v>
      </c>
      <c r="J4034">
        <v>20920093</v>
      </c>
      <c r="P4034">
        <v>21</v>
      </c>
      <c r="Q4034" t="s">
        <v>8418</v>
      </c>
    </row>
    <row r="4035" spans="1:17" x14ac:dyDescent="0.3">
      <c r="A4035" t="s">
        <v>59</v>
      </c>
      <c r="B4035" t="str">
        <f>"000856"</f>
        <v>000856</v>
      </c>
      <c r="C4035" t="s">
        <v>8419</v>
      </c>
      <c r="D4035" t="s">
        <v>1351</v>
      </c>
      <c r="F4035">
        <v>-9131119</v>
      </c>
      <c r="G4035">
        <v>152970039</v>
      </c>
      <c r="H4035">
        <v>9507729</v>
      </c>
      <c r="I4035">
        <v>90929020</v>
      </c>
      <c r="J4035">
        <v>76027410</v>
      </c>
      <c r="K4035">
        <v>5852045</v>
      </c>
      <c r="L4035">
        <v>-40649438</v>
      </c>
      <c r="M4035">
        <v>21930981</v>
      </c>
      <c r="N4035">
        <v>-13934750</v>
      </c>
      <c r="O4035">
        <v>8980626</v>
      </c>
      <c r="P4035">
        <v>101</v>
      </c>
      <c r="Q4035" t="s">
        <v>8420</v>
      </c>
    </row>
    <row r="4036" spans="1:17" x14ac:dyDescent="0.3">
      <c r="A4036" t="s">
        <v>59</v>
      </c>
      <c r="B4036" t="str">
        <f>"002417"</f>
        <v>002417</v>
      </c>
      <c r="C4036" t="s">
        <v>8421</v>
      </c>
      <c r="D4036" t="s">
        <v>1189</v>
      </c>
      <c r="F4036">
        <v>-16575573</v>
      </c>
      <c r="G4036">
        <v>22854469</v>
      </c>
      <c r="H4036">
        <v>9493048</v>
      </c>
      <c r="I4036">
        <v>136625422</v>
      </c>
      <c r="J4036">
        <v>94300901</v>
      </c>
      <c r="K4036">
        <v>71442547</v>
      </c>
      <c r="L4036">
        <v>-72526739</v>
      </c>
      <c r="M4036">
        <v>-8817628</v>
      </c>
      <c r="N4036">
        <v>-36958037</v>
      </c>
      <c r="O4036">
        <v>-182885366</v>
      </c>
      <c r="P4036">
        <v>140</v>
      </c>
      <c r="Q4036" t="s">
        <v>8422</v>
      </c>
    </row>
    <row r="4037" spans="1:17" x14ac:dyDescent="0.3">
      <c r="A4037" t="s">
        <v>17</v>
      </c>
      <c r="B4037" t="str">
        <f>"600818"</f>
        <v>600818</v>
      </c>
      <c r="C4037" t="s">
        <v>8423</v>
      </c>
      <c r="D4037" t="s">
        <v>1639</v>
      </c>
      <c r="F4037">
        <v>-33865850</v>
      </c>
      <c r="G4037">
        <v>10797380</v>
      </c>
      <c r="H4037">
        <v>9360718</v>
      </c>
      <c r="I4037">
        <v>9963476</v>
      </c>
      <c r="J4037">
        <v>-45510657</v>
      </c>
      <c r="K4037">
        <v>159736541</v>
      </c>
      <c r="L4037">
        <v>106105922</v>
      </c>
      <c r="M4037">
        <v>487521</v>
      </c>
      <c r="N4037">
        <v>10108438</v>
      </c>
      <c r="O4037">
        <v>3926881</v>
      </c>
      <c r="P4037">
        <v>82</v>
      </c>
      <c r="Q4037" t="s">
        <v>8424</v>
      </c>
    </row>
    <row r="4038" spans="1:17" x14ac:dyDescent="0.3">
      <c r="A4038" t="s">
        <v>59</v>
      </c>
      <c r="B4038" t="str">
        <f>"301012"</f>
        <v>301012</v>
      </c>
      <c r="C4038" t="s">
        <v>8425</v>
      </c>
      <c r="D4038" t="s">
        <v>560</v>
      </c>
      <c r="F4038">
        <v>-97206925</v>
      </c>
      <c r="G4038">
        <v>41788850</v>
      </c>
      <c r="H4038">
        <v>9308995</v>
      </c>
      <c r="I4038">
        <v>-16642472</v>
      </c>
      <c r="J4038">
        <v>34272142</v>
      </c>
      <c r="P4038">
        <v>23</v>
      </c>
      <c r="Q4038" t="s">
        <v>8426</v>
      </c>
    </row>
    <row r="4039" spans="1:17" x14ac:dyDescent="0.3">
      <c r="A4039" t="s">
        <v>17</v>
      </c>
      <c r="B4039" t="str">
        <f>"688011"</f>
        <v>688011</v>
      </c>
      <c r="C4039" t="s">
        <v>8427</v>
      </c>
      <c r="D4039" t="s">
        <v>1983</v>
      </c>
      <c r="F4039">
        <v>-22294675</v>
      </c>
      <c r="G4039">
        <v>15161142</v>
      </c>
      <c r="H4039">
        <v>9305793</v>
      </c>
      <c r="I4039">
        <v>20659643</v>
      </c>
      <c r="J4039">
        <v>-74315495</v>
      </c>
      <c r="K4039">
        <v>34579420</v>
      </c>
      <c r="P4039">
        <v>88</v>
      </c>
      <c r="Q4039" t="s">
        <v>8428</v>
      </c>
    </row>
    <row r="4040" spans="1:17" x14ac:dyDescent="0.3">
      <c r="A4040" t="s">
        <v>59</v>
      </c>
      <c r="B4040" t="str">
        <f>"001288"</f>
        <v>001288</v>
      </c>
      <c r="C4040" t="s">
        <v>8429</v>
      </c>
      <c r="D4040" t="s">
        <v>741</v>
      </c>
      <c r="F4040">
        <v>71998775</v>
      </c>
      <c r="G4040">
        <v>103144564</v>
      </c>
      <c r="H4040">
        <v>9300588</v>
      </c>
      <c r="I4040">
        <v>146323981</v>
      </c>
      <c r="J4040">
        <v>162567581</v>
      </c>
      <c r="P4040">
        <v>14</v>
      </c>
      <c r="Q4040" t="s">
        <v>8430</v>
      </c>
    </row>
    <row r="4041" spans="1:17" x14ac:dyDescent="0.3">
      <c r="A4041" t="s">
        <v>17</v>
      </c>
      <c r="B4041" t="str">
        <f>"900906"</f>
        <v>900906</v>
      </c>
      <c r="C4041" t="s">
        <v>8431</v>
      </c>
      <c r="G4041">
        <v>357877.29200000002</v>
      </c>
      <c r="H4041">
        <v>9252104.2019999996</v>
      </c>
      <c r="I4041">
        <v>-1076602.8134000001</v>
      </c>
      <c r="J4041">
        <v>-16215772.1088</v>
      </c>
      <c r="K4041">
        <v>3556139.3280000002</v>
      </c>
      <c r="L4041">
        <v>-15471917.384</v>
      </c>
      <c r="M4041">
        <v>-3933589.0203999998</v>
      </c>
      <c r="N4041">
        <v>-4826183.1968</v>
      </c>
      <c r="O4041">
        <v>-4446006.1665000003</v>
      </c>
      <c r="P4041">
        <v>4</v>
      </c>
      <c r="Q4041" t="s">
        <v>8432</v>
      </c>
    </row>
    <row r="4042" spans="1:17" x14ac:dyDescent="0.3">
      <c r="A4042" t="s">
        <v>59</v>
      </c>
      <c r="B4042" t="str">
        <f>"000737"</f>
        <v>000737</v>
      </c>
      <c r="C4042" t="s">
        <v>8433</v>
      </c>
      <c r="D4042" t="s">
        <v>1241</v>
      </c>
      <c r="F4042">
        <v>694696698</v>
      </c>
      <c r="G4042">
        <v>-990307</v>
      </c>
      <c r="H4042">
        <v>9180339</v>
      </c>
      <c r="I4042">
        <v>-210896845</v>
      </c>
      <c r="J4042">
        <v>-146947568</v>
      </c>
      <c r="K4042">
        <v>46572270</v>
      </c>
      <c r="L4042">
        <v>288879831</v>
      </c>
      <c r="M4042">
        <v>117979065</v>
      </c>
      <c r="N4042">
        <v>-232801495</v>
      </c>
      <c r="O4042">
        <v>30571915</v>
      </c>
      <c r="P4042">
        <v>83</v>
      </c>
      <c r="Q4042" t="s">
        <v>8434</v>
      </c>
    </row>
    <row r="4043" spans="1:17" x14ac:dyDescent="0.3">
      <c r="A4043" t="s">
        <v>59</v>
      </c>
      <c r="B4043" t="str">
        <f>"300521"</f>
        <v>300521</v>
      </c>
      <c r="C4043" t="s">
        <v>8435</v>
      </c>
      <c r="D4043" t="s">
        <v>3768</v>
      </c>
      <c r="F4043">
        <v>34707692</v>
      </c>
      <c r="G4043">
        <v>22596745</v>
      </c>
      <c r="H4043">
        <v>8982243</v>
      </c>
      <c r="I4043">
        <v>31584343</v>
      </c>
      <c r="J4043">
        <v>34515028</v>
      </c>
      <c r="K4043">
        <v>31455082</v>
      </c>
      <c r="L4043">
        <v>30417151</v>
      </c>
      <c r="M4043">
        <v>12998594</v>
      </c>
      <c r="N4043">
        <v>14034479</v>
      </c>
      <c r="P4043">
        <v>57</v>
      </c>
      <c r="Q4043" t="s">
        <v>8436</v>
      </c>
    </row>
    <row r="4044" spans="1:17" x14ac:dyDescent="0.3">
      <c r="A4044" t="s">
        <v>59</v>
      </c>
      <c r="B4044" t="str">
        <f>"002667"</f>
        <v>002667</v>
      </c>
      <c r="C4044" t="s">
        <v>8437</v>
      </c>
      <c r="D4044" t="s">
        <v>741</v>
      </c>
      <c r="F4044">
        <v>-146089104</v>
      </c>
      <c r="G4044">
        <v>20960880</v>
      </c>
      <c r="H4044">
        <v>8926145</v>
      </c>
      <c r="I4044">
        <v>10866627</v>
      </c>
      <c r="J4044">
        <v>26265343</v>
      </c>
      <c r="K4044">
        <v>43059620</v>
      </c>
      <c r="L4044">
        <v>27313754</v>
      </c>
      <c r="M4044">
        <v>547091</v>
      </c>
      <c r="N4044">
        <v>23060681</v>
      </c>
      <c r="O4044">
        <v>-7582993</v>
      </c>
      <c r="P4044">
        <v>73</v>
      </c>
      <c r="Q4044" t="s">
        <v>8438</v>
      </c>
    </row>
    <row r="4045" spans="1:17" x14ac:dyDescent="0.3">
      <c r="A4045" t="s">
        <v>59</v>
      </c>
      <c r="B4045" t="str">
        <f>"300909"</f>
        <v>300909</v>
      </c>
      <c r="C4045" t="s">
        <v>8439</v>
      </c>
      <c r="D4045" t="s">
        <v>139</v>
      </c>
      <c r="F4045">
        <v>46447318</v>
      </c>
      <c r="G4045">
        <v>106522454</v>
      </c>
      <c r="H4045">
        <v>8875987</v>
      </c>
      <c r="I4045">
        <v>49831987</v>
      </c>
      <c r="J4045">
        <v>28402158</v>
      </c>
      <c r="K4045">
        <v>10343553</v>
      </c>
      <c r="P4045">
        <v>65</v>
      </c>
      <c r="Q4045" t="s">
        <v>8440</v>
      </c>
    </row>
    <row r="4046" spans="1:17" x14ac:dyDescent="0.3">
      <c r="A4046" t="s">
        <v>59</v>
      </c>
      <c r="B4046" t="str">
        <f>"300698"</f>
        <v>300698</v>
      </c>
      <c r="C4046" t="s">
        <v>8441</v>
      </c>
      <c r="D4046" t="s">
        <v>352</v>
      </c>
      <c r="F4046">
        <v>1802843</v>
      </c>
      <c r="G4046">
        <v>-15349732</v>
      </c>
      <c r="H4046">
        <v>8811020</v>
      </c>
      <c r="I4046">
        <v>15394298</v>
      </c>
      <c r="J4046">
        <v>-52533596</v>
      </c>
      <c r="K4046">
        <v>16012106</v>
      </c>
      <c r="L4046">
        <v>103347860</v>
      </c>
      <c r="M4046">
        <v>14403394</v>
      </c>
      <c r="P4046">
        <v>121</v>
      </c>
      <c r="Q4046" t="s">
        <v>8442</v>
      </c>
    </row>
    <row r="4047" spans="1:17" x14ac:dyDescent="0.3">
      <c r="A4047" t="s">
        <v>59</v>
      </c>
      <c r="B4047" t="str">
        <f>"002295"</f>
        <v>002295</v>
      </c>
      <c r="C4047" t="s">
        <v>8443</v>
      </c>
      <c r="D4047" t="s">
        <v>259</v>
      </c>
      <c r="F4047">
        <v>39142814</v>
      </c>
      <c r="G4047">
        <v>8630951</v>
      </c>
      <c r="H4047">
        <v>8657517</v>
      </c>
      <c r="I4047">
        <v>-19706463</v>
      </c>
      <c r="J4047">
        <v>-315498066</v>
      </c>
      <c r="K4047">
        <v>20388419</v>
      </c>
      <c r="L4047">
        <v>180844714</v>
      </c>
      <c r="M4047">
        <v>61803319</v>
      </c>
      <c r="N4047">
        <v>-183641992</v>
      </c>
      <c r="O4047">
        <v>322502175</v>
      </c>
      <c r="P4047">
        <v>56</v>
      </c>
      <c r="Q4047" t="s">
        <v>8444</v>
      </c>
    </row>
    <row r="4048" spans="1:17" x14ac:dyDescent="0.3">
      <c r="A4048" t="s">
        <v>17</v>
      </c>
      <c r="B4048" t="str">
        <f>"600698"</f>
        <v>600698</v>
      </c>
      <c r="C4048" t="s">
        <v>8445</v>
      </c>
      <c r="D4048" t="s">
        <v>156</v>
      </c>
      <c r="F4048">
        <v>44104889</v>
      </c>
      <c r="G4048">
        <v>21190990</v>
      </c>
      <c r="H4048">
        <v>8631057</v>
      </c>
      <c r="I4048">
        <v>-11960454</v>
      </c>
      <c r="J4048">
        <v>-8226095</v>
      </c>
      <c r="K4048">
        <v>3309512</v>
      </c>
      <c r="L4048">
        <v>-3139460</v>
      </c>
      <c r="M4048">
        <v>65176135</v>
      </c>
      <c r="N4048">
        <v>17596802</v>
      </c>
      <c r="O4048">
        <v>179998418</v>
      </c>
      <c r="P4048">
        <v>93</v>
      </c>
      <c r="Q4048" t="s">
        <v>8446</v>
      </c>
    </row>
    <row r="4049" spans="1:17" x14ac:dyDescent="0.3">
      <c r="A4049" t="s">
        <v>59</v>
      </c>
      <c r="B4049" t="str">
        <f>"002348"</f>
        <v>002348</v>
      </c>
      <c r="C4049" t="s">
        <v>8447</v>
      </c>
      <c r="D4049" t="s">
        <v>4437</v>
      </c>
      <c r="F4049">
        <v>38750029</v>
      </c>
      <c r="G4049">
        <v>44111729</v>
      </c>
      <c r="H4049">
        <v>8594457</v>
      </c>
      <c r="I4049">
        <v>21048874</v>
      </c>
      <c r="J4049">
        <v>-71166726</v>
      </c>
      <c r="K4049">
        <v>91919164</v>
      </c>
      <c r="L4049">
        <v>52712659</v>
      </c>
      <c r="M4049">
        <v>69860895</v>
      </c>
      <c r="N4049">
        <v>41051310</v>
      </c>
      <c r="O4049">
        <v>9106409</v>
      </c>
      <c r="P4049">
        <v>112</v>
      </c>
      <c r="Q4049" t="s">
        <v>8448</v>
      </c>
    </row>
    <row r="4050" spans="1:17" x14ac:dyDescent="0.3">
      <c r="A4050" t="s">
        <v>59</v>
      </c>
      <c r="B4050" t="str">
        <f>"300966"</f>
        <v>300966</v>
      </c>
      <c r="C4050" t="s">
        <v>8449</v>
      </c>
      <c r="D4050" t="s">
        <v>984</v>
      </c>
      <c r="F4050">
        <v>58004300</v>
      </c>
      <c r="G4050">
        <v>13474988</v>
      </c>
      <c r="H4050">
        <v>8502367</v>
      </c>
      <c r="I4050">
        <v>-47892814</v>
      </c>
      <c r="J4050">
        <v>-22059686</v>
      </c>
      <c r="P4050">
        <v>32</v>
      </c>
      <c r="Q4050" t="s">
        <v>8450</v>
      </c>
    </row>
    <row r="4051" spans="1:17" x14ac:dyDescent="0.3">
      <c r="A4051" t="s">
        <v>17</v>
      </c>
      <c r="B4051" t="str">
        <f>"688359"</f>
        <v>688359</v>
      </c>
      <c r="C4051" t="s">
        <v>8451</v>
      </c>
      <c r="D4051" t="s">
        <v>2111</v>
      </c>
      <c r="F4051">
        <v>-27350948</v>
      </c>
      <c r="G4051">
        <v>32505070</v>
      </c>
      <c r="H4051">
        <v>8500928</v>
      </c>
      <c r="I4051">
        <v>8463681</v>
      </c>
      <c r="J4051">
        <v>-1482200</v>
      </c>
      <c r="P4051">
        <v>23</v>
      </c>
      <c r="Q4051" t="s">
        <v>8452</v>
      </c>
    </row>
    <row r="4052" spans="1:17" x14ac:dyDescent="0.3">
      <c r="A4052" t="s">
        <v>17</v>
      </c>
      <c r="B4052" t="str">
        <f>"688052"</f>
        <v>688052</v>
      </c>
      <c r="C4052" t="s">
        <v>8453</v>
      </c>
      <c r="F4052">
        <v>100590490</v>
      </c>
      <c r="G4052">
        <v>-40561584</v>
      </c>
      <c r="H4052">
        <v>8412575</v>
      </c>
      <c r="I4052">
        <v>2917759</v>
      </c>
      <c r="P4052">
        <v>11</v>
      </c>
      <c r="Q4052" t="s">
        <v>8454</v>
      </c>
    </row>
    <row r="4053" spans="1:17" x14ac:dyDescent="0.3">
      <c r="A4053" t="s">
        <v>17</v>
      </c>
      <c r="B4053" t="str">
        <f>"603618"</f>
        <v>603618</v>
      </c>
      <c r="C4053" t="s">
        <v>8455</v>
      </c>
      <c r="D4053" t="s">
        <v>1065</v>
      </c>
      <c r="F4053">
        <v>-777243827</v>
      </c>
      <c r="G4053">
        <v>-65438309</v>
      </c>
      <c r="H4053">
        <v>8289532</v>
      </c>
      <c r="I4053">
        <v>-706013139</v>
      </c>
      <c r="J4053">
        <v>207815843</v>
      </c>
      <c r="K4053">
        <v>-220190615</v>
      </c>
      <c r="L4053">
        <v>-52173057</v>
      </c>
      <c r="M4053">
        <v>36756044</v>
      </c>
      <c r="N4053">
        <v>51674635</v>
      </c>
      <c r="O4053">
        <v>76817459</v>
      </c>
      <c r="P4053">
        <v>169</v>
      </c>
      <c r="Q4053" t="s">
        <v>8456</v>
      </c>
    </row>
    <row r="4054" spans="1:17" x14ac:dyDescent="0.3">
      <c r="A4054" t="s">
        <v>17</v>
      </c>
      <c r="B4054" t="str">
        <f>"688272"</f>
        <v>688272</v>
      </c>
      <c r="C4054" t="s">
        <v>8457</v>
      </c>
      <c r="D4054" t="s">
        <v>1983</v>
      </c>
      <c r="F4054">
        <v>-86239617</v>
      </c>
      <c r="G4054">
        <v>46979465</v>
      </c>
      <c r="H4054">
        <v>8262404</v>
      </c>
      <c r="I4054">
        <v>4844368</v>
      </c>
      <c r="J4054">
        <v>-8058572</v>
      </c>
      <c r="P4054">
        <v>11</v>
      </c>
      <c r="Q4054" t="s">
        <v>8458</v>
      </c>
    </row>
    <row r="4055" spans="1:17" x14ac:dyDescent="0.3">
      <c r="A4055" t="s">
        <v>17</v>
      </c>
      <c r="B4055" t="str">
        <f>"688325"</f>
        <v>688325</v>
      </c>
      <c r="C4055" t="s">
        <v>8459</v>
      </c>
      <c r="F4055">
        <v>130109765</v>
      </c>
      <c r="G4055">
        <v>39476826</v>
      </c>
      <c r="H4055">
        <v>8096707</v>
      </c>
      <c r="I4055">
        <v>501250</v>
      </c>
      <c r="P4055">
        <v>3</v>
      </c>
      <c r="Q4055" t="s">
        <v>8460</v>
      </c>
    </row>
    <row r="4056" spans="1:17" x14ac:dyDescent="0.3">
      <c r="A4056" t="s">
        <v>59</v>
      </c>
      <c r="B4056" t="str">
        <f>"300333"</f>
        <v>300333</v>
      </c>
      <c r="C4056" t="s">
        <v>8461</v>
      </c>
      <c r="D4056" t="s">
        <v>707</v>
      </c>
      <c r="F4056">
        <v>-29702322</v>
      </c>
      <c r="G4056">
        <v>20153614</v>
      </c>
      <c r="H4056">
        <v>8044858</v>
      </c>
      <c r="I4056">
        <v>45269307</v>
      </c>
      <c r="J4056">
        <v>27884913</v>
      </c>
      <c r="K4056">
        <v>33910079</v>
      </c>
      <c r="L4056">
        <v>44587384</v>
      </c>
      <c r="M4056">
        <v>29745394</v>
      </c>
      <c r="N4056">
        <v>54274937</v>
      </c>
      <c r="O4056">
        <v>98244094</v>
      </c>
      <c r="P4056">
        <v>94</v>
      </c>
      <c r="Q4056" t="s">
        <v>8462</v>
      </c>
    </row>
    <row r="4057" spans="1:17" x14ac:dyDescent="0.3">
      <c r="A4057" t="s">
        <v>17</v>
      </c>
      <c r="B4057" t="str">
        <f>"603666"</f>
        <v>603666</v>
      </c>
      <c r="C4057" t="s">
        <v>8463</v>
      </c>
      <c r="D4057" t="s">
        <v>3323</v>
      </c>
      <c r="F4057">
        <v>-10710546</v>
      </c>
      <c r="G4057">
        <v>66909323</v>
      </c>
      <c r="H4057">
        <v>7797615</v>
      </c>
      <c r="I4057">
        <v>153805096</v>
      </c>
      <c r="J4057">
        <v>23673341</v>
      </c>
      <c r="K4057">
        <v>87857393</v>
      </c>
      <c r="L4057">
        <v>61611530</v>
      </c>
      <c r="P4057">
        <v>449</v>
      </c>
      <c r="Q4057" t="s">
        <v>8464</v>
      </c>
    </row>
    <row r="4058" spans="1:17" x14ac:dyDescent="0.3">
      <c r="A4058" t="s">
        <v>59</v>
      </c>
      <c r="B4058" t="str">
        <f>"002883"</f>
        <v>002883</v>
      </c>
      <c r="C4058" t="s">
        <v>8465</v>
      </c>
      <c r="D4058" t="s">
        <v>2254</v>
      </c>
      <c r="F4058">
        <v>26227344</v>
      </c>
      <c r="G4058">
        <v>100744669</v>
      </c>
      <c r="H4058">
        <v>7490420</v>
      </c>
      <c r="I4058">
        <v>-32178342</v>
      </c>
      <c r="J4058">
        <v>16776652</v>
      </c>
      <c r="K4058">
        <v>-9301457</v>
      </c>
      <c r="L4058">
        <v>-6086235</v>
      </c>
      <c r="M4058">
        <v>16387218</v>
      </c>
      <c r="P4058">
        <v>102</v>
      </c>
      <c r="Q4058" t="s">
        <v>8466</v>
      </c>
    </row>
    <row r="4059" spans="1:17" x14ac:dyDescent="0.3">
      <c r="A4059" t="s">
        <v>17</v>
      </c>
      <c r="B4059" t="str">
        <f>"603963"</f>
        <v>603963</v>
      </c>
      <c r="C4059" t="s">
        <v>8467</v>
      </c>
      <c r="D4059" t="s">
        <v>455</v>
      </c>
      <c r="F4059">
        <v>10509275</v>
      </c>
      <c r="G4059">
        <v>-6355917</v>
      </c>
      <c r="H4059">
        <v>7328804</v>
      </c>
      <c r="I4059">
        <v>78115467</v>
      </c>
      <c r="J4059">
        <v>26916671</v>
      </c>
      <c r="K4059">
        <v>88682707</v>
      </c>
      <c r="L4059">
        <v>114864830</v>
      </c>
      <c r="M4059">
        <v>95854270</v>
      </c>
      <c r="P4059">
        <v>109</v>
      </c>
      <c r="Q4059" t="s">
        <v>8468</v>
      </c>
    </row>
    <row r="4060" spans="1:17" x14ac:dyDescent="0.3">
      <c r="A4060" t="s">
        <v>17</v>
      </c>
      <c r="B4060" t="str">
        <f>"688500"</f>
        <v>688500</v>
      </c>
      <c r="C4060" t="s">
        <v>8469</v>
      </c>
      <c r="D4060" t="s">
        <v>1189</v>
      </c>
      <c r="F4060">
        <v>-18558195</v>
      </c>
      <c r="G4060">
        <v>34771396</v>
      </c>
      <c r="H4060">
        <v>7270925</v>
      </c>
      <c r="I4060">
        <v>9313006</v>
      </c>
      <c r="J4060">
        <v>10301662</v>
      </c>
      <c r="K4060">
        <v>9819381</v>
      </c>
      <c r="P4060">
        <v>26</v>
      </c>
      <c r="Q4060" t="s">
        <v>8470</v>
      </c>
    </row>
    <row r="4061" spans="1:17" x14ac:dyDescent="0.3">
      <c r="A4061" t="s">
        <v>17</v>
      </c>
      <c r="B4061" t="str">
        <f>"600844"</f>
        <v>600844</v>
      </c>
      <c r="C4061" t="s">
        <v>8471</v>
      </c>
      <c r="D4061" t="s">
        <v>611</v>
      </c>
      <c r="F4061">
        <v>180712018</v>
      </c>
      <c r="G4061">
        <v>-38275187</v>
      </c>
      <c r="H4061">
        <v>7218629</v>
      </c>
      <c r="I4061">
        <v>370233193</v>
      </c>
      <c r="J4061">
        <v>381550066</v>
      </c>
      <c r="K4061">
        <v>62721294</v>
      </c>
      <c r="L4061">
        <v>227562827</v>
      </c>
      <c r="M4061">
        <v>330425866</v>
      </c>
      <c r="N4061">
        <v>237821783</v>
      </c>
      <c r="O4061">
        <v>349265440</v>
      </c>
      <c r="P4061">
        <v>106</v>
      </c>
      <c r="Q4061" t="s">
        <v>8472</v>
      </c>
    </row>
    <row r="4062" spans="1:17" x14ac:dyDescent="0.3">
      <c r="A4062" t="s">
        <v>59</v>
      </c>
      <c r="B4062" t="str">
        <f>"300163"</f>
        <v>300163</v>
      </c>
      <c r="C4062" t="s">
        <v>8473</v>
      </c>
      <c r="D4062" t="s">
        <v>1252</v>
      </c>
      <c r="F4062">
        <v>21653213</v>
      </c>
      <c r="G4062">
        <v>80035668</v>
      </c>
      <c r="H4062">
        <v>7212237</v>
      </c>
      <c r="I4062">
        <v>-57155523</v>
      </c>
      <c r="J4062">
        <v>10731776</v>
      </c>
      <c r="K4062">
        <v>146550634</v>
      </c>
      <c r="L4062">
        <v>44064105</v>
      </c>
      <c r="M4062">
        <v>82220786</v>
      </c>
      <c r="N4062">
        <v>55433806</v>
      </c>
      <c r="O4062">
        <v>16672464</v>
      </c>
      <c r="P4062">
        <v>75</v>
      </c>
      <c r="Q4062" t="s">
        <v>8474</v>
      </c>
    </row>
    <row r="4063" spans="1:17" x14ac:dyDescent="0.3">
      <c r="A4063" t="s">
        <v>59</v>
      </c>
      <c r="B4063" t="str">
        <f>"300024"</f>
        <v>300024</v>
      </c>
      <c r="C4063" t="s">
        <v>3323</v>
      </c>
      <c r="D4063" t="s">
        <v>3323</v>
      </c>
      <c r="F4063">
        <v>99889279</v>
      </c>
      <c r="G4063">
        <v>237373366</v>
      </c>
      <c r="H4063">
        <v>6607428</v>
      </c>
      <c r="I4063">
        <v>54627448</v>
      </c>
      <c r="J4063">
        <v>-386017758</v>
      </c>
      <c r="K4063">
        <v>-156903170</v>
      </c>
      <c r="L4063">
        <v>-119021041</v>
      </c>
      <c r="M4063">
        <v>92016578</v>
      </c>
      <c r="N4063">
        <v>-27279590</v>
      </c>
      <c r="O4063">
        <v>123033558</v>
      </c>
      <c r="P4063">
        <v>547</v>
      </c>
      <c r="Q4063" t="s">
        <v>8475</v>
      </c>
    </row>
    <row r="4064" spans="1:17" x14ac:dyDescent="0.3">
      <c r="A4064" t="s">
        <v>59</v>
      </c>
      <c r="B4064" t="str">
        <f>"000760"</f>
        <v>000760</v>
      </c>
      <c r="C4064" t="s">
        <v>8476</v>
      </c>
      <c r="G4064">
        <v>-58213</v>
      </c>
      <c r="H4064">
        <v>6486786</v>
      </c>
      <c r="I4064">
        <v>-302651391</v>
      </c>
      <c r="J4064">
        <v>-349491480</v>
      </c>
      <c r="K4064">
        <v>46128798</v>
      </c>
      <c r="L4064">
        <v>-157615727</v>
      </c>
      <c r="M4064">
        <v>-77149128</v>
      </c>
      <c r="N4064">
        <v>-13182776</v>
      </c>
      <c r="O4064">
        <v>-66912730</v>
      </c>
      <c r="P4064">
        <v>59</v>
      </c>
      <c r="Q4064" t="s">
        <v>8477</v>
      </c>
    </row>
    <row r="4065" spans="1:17" x14ac:dyDescent="0.3">
      <c r="A4065" t="s">
        <v>59</v>
      </c>
      <c r="B4065" t="str">
        <f>"003040"</f>
        <v>003040</v>
      </c>
      <c r="C4065" t="s">
        <v>8478</v>
      </c>
      <c r="D4065" t="s">
        <v>1650</v>
      </c>
      <c r="F4065">
        <v>90195729</v>
      </c>
      <c r="G4065">
        <v>349039668</v>
      </c>
      <c r="H4065">
        <v>6476976</v>
      </c>
      <c r="I4065">
        <v>105216898</v>
      </c>
      <c r="J4065">
        <v>246416847</v>
      </c>
      <c r="P4065">
        <v>61</v>
      </c>
      <c r="Q4065" t="s">
        <v>8479</v>
      </c>
    </row>
    <row r="4066" spans="1:17" x14ac:dyDescent="0.3">
      <c r="A4066" t="s">
        <v>17</v>
      </c>
      <c r="B4066" t="str">
        <f>"900957"</f>
        <v>900957</v>
      </c>
      <c r="C4066" t="s">
        <v>8480</v>
      </c>
      <c r="F4066">
        <v>3382649.6864</v>
      </c>
      <c r="G4066">
        <v>8540309.4417000003</v>
      </c>
      <c r="H4066">
        <v>6415144.0379999997</v>
      </c>
      <c r="I4066">
        <v>5811176.9365999997</v>
      </c>
      <c r="J4066">
        <v>20563458.048</v>
      </c>
      <c r="K4066">
        <v>1916330.2560000001</v>
      </c>
      <c r="L4066">
        <v>4979221.4780000001</v>
      </c>
      <c r="M4066">
        <v>-7550511.9248000002</v>
      </c>
      <c r="N4066">
        <v>-2518461.2796</v>
      </c>
      <c r="O4066">
        <v>-1562011.3589999999</v>
      </c>
      <c r="P4066">
        <v>2</v>
      </c>
      <c r="Q4066" t="s">
        <v>8481</v>
      </c>
    </row>
    <row r="4067" spans="1:17" x14ac:dyDescent="0.3">
      <c r="A4067" t="s">
        <v>59</v>
      </c>
      <c r="B4067" t="str">
        <f>"000611"</f>
        <v>000611</v>
      </c>
      <c r="C4067" t="s">
        <v>8482</v>
      </c>
      <c r="D4067" t="s">
        <v>54</v>
      </c>
      <c r="F4067">
        <v>13121712</v>
      </c>
      <c r="G4067">
        <v>-43035854</v>
      </c>
      <c r="H4067">
        <v>6359985</v>
      </c>
      <c r="I4067">
        <v>-7050013</v>
      </c>
      <c r="J4067">
        <v>-15942162</v>
      </c>
      <c r="K4067">
        <v>48390001</v>
      </c>
      <c r="L4067">
        <v>2239943</v>
      </c>
      <c r="M4067">
        <v>128608369</v>
      </c>
      <c r="N4067">
        <v>-42629161</v>
      </c>
      <c r="O4067">
        <v>-157684891</v>
      </c>
      <c r="P4067">
        <v>68</v>
      </c>
      <c r="Q4067" t="s">
        <v>8483</v>
      </c>
    </row>
    <row r="4068" spans="1:17" x14ac:dyDescent="0.3">
      <c r="A4068" t="s">
        <v>17</v>
      </c>
      <c r="B4068" t="str">
        <f>"688103"</f>
        <v>688103</v>
      </c>
      <c r="C4068" t="s">
        <v>8484</v>
      </c>
      <c r="D4068" t="s">
        <v>595</v>
      </c>
      <c r="F4068">
        <v>40882214</v>
      </c>
      <c r="G4068">
        <v>25446241</v>
      </c>
      <c r="H4068">
        <v>6350862</v>
      </c>
      <c r="I4068">
        <v>26648639</v>
      </c>
      <c r="J4068">
        <v>34304055</v>
      </c>
      <c r="P4068">
        <v>13</v>
      </c>
      <c r="Q4068" t="s">
        <v>8485</v>
      </c>
    </row>
    <row r="4069" spans="1:17" x14ac:dyDescent="0.3">
      <c r="A4069" t="s">
        <v>17</v>
      </c>
      <c r="B4069" t="str">
        <f>"688711"</f>
        <v>688711</v>
      </c>
      <c r="C4069" t="s">
        <v>8486</v>
      </c>
      <c r="D4069" t="s">
        <v>3230</v>
      </c>
      <c r="F4069">
        <v>-74074929</v>
      </c>
      <c r="G4069">
        <v>4370518</v>
      </c>
      <c r="H4069">
        <v>6268717</v>
      </c>
      <c r="I4069">
        <v>9906470</v>
      </c>
      <c r="J4069">
        <v>12449942</v>
      </c>
      <c r="P4069">
        <v>38</v>
      </c>
      <c r="Q4069" t="s">
        <v>8487</v>
      </c>
    </row>
    <row r="4070" spans="1:17" x14ac:dyDescent="0.3">
      <c r="A4070" t="s">
        <v>59</v>
      </c>
      <c r="B4070" t="str">
        <f>"200168"</f>
        <v>200168</v>
      </c>
      <c r="C4070" t="s">
        <v>8488</v>
      </c>
      <c r="G4070">
        <v>18568177.257599998</v>
      </c>
      <c r="H4070">
        <v>6214382.6445000004</v>
      </c>
      <c r="I4070">
        <v>-97717033.754999995</v>
      </c>
      <c r="J4070">
        <v>-10382084.059</v>
      </c>
      <c r="K4070">
        <v>-184716425.3186</v>
      </c>
      <c r="L4070">
        <v>32893359.653700002</v>
      </c>
      <c r="M4070">
        <v>-99606695.195999995</v>
      </c>
      <c r="N4070">
        <v>83727189.641900003</v>
      </c>
      <c r="O4070">
        <v>67308032.7192</v>
      </c>
      <c r="P4070">
        <v>3</v>
      </c>
      <c r="Q4070" t="s">
        <v>8489</v>
      </c>
    </row>
    <row r="4071" spans="1:17" x14ac:dyDescent="0.3">
      <c r="A4071" t="s">
        <v>17</v>
      </c>
      <c r="B4071" t="str">
        <f>"603021"</f>
        <v>603021</v>
      </c>
      <c r="C4071" t="s">
        <v>8490</v>
      </c>
      <c r="D4071" t="s">
        <v>923</v>
      </c>
      <c r="F4071">
        <v>-82243603</v>
      </c>
      <c r="G4071">
        <v>-51723158</v>
      </c>
      <c r="H4071">
        <v>6154587</v>
      </c>
      <c r="I4071">
        <v>75994000</v>
      </c>
      <c r="J4071">
        <v>61574141</v>
      </c>
      <c r="K4071">
        <v>109767237</v>
      </c>
      <c r="L4071">
        <v>96586022</v>
      </c>
      <c r="M4071">
        <v>123236957</v>
      </c>
      <c r="N4071">
        <v>151161797</v>
      </c>
      <c r="O4071">
        <v>83397999</v>
      </c>
      <c r="P4071">
        <v>59</v>
      </c>
      <c r="Q4071" t="s">
        <v>8491</v>
      </c>
    </row>
    <row r="4072" spans="1:17" x14ac:dyDescent="0.3">
      <c r="A4072" t="s">
        <v>17</v>
      </c>
      <c r="B4072" t="str">
        <f>"600421"</f>
        <v>600421</v>
      </c>
      <c r="C4072" t="s">
        <v>8492</v>
      </c>
      <c r="D4072" t="s">
        <v>637</v>
      </c>
      <c r="F4072">
        <v>-6119029</v>
      </c>
      <c r="G4072">
        <v>-31692195</v>
      </c>
      <c r="H4072">
        <v>6097925</v>
      </c>
      <c r="I4072">
        <v>-54325</v>
      </c>
      <c r="J4072">
        <v>-2649979</v>
      </c>
      <c r="K4072">
        <v>-1665158</v>
      </c>
      <c r="L4072">
        <v>-3712043</v>
      </c>
      <c r="M4072">
        <v>1966646</v>
      </c>
      <c r="N4072">
        <v>-1391151</v>
      </c>
      <c r="O4072">
        <v>69315048</v>
      </c>
      <c r="P4072">
        <v>44</v>
      </c>
      <c r="Q4072" t="s">
        <v>8493</v>
      </c>
    </row>
    <row r="4073" spans="1:17" x14ac:dyDescent="0.3">
      <c r="A4073" t="s">
        <v>59</v>
      </c>
      <c r="B4073" t="str">
        <f>"002220"</f>
        <v>002220</v>
      </c>
      <c r="C4073" t="s">
        <v>8494</v>
      </c>
      <c r="H4073">
        <v>5965804</v>
      </c>
      <c r="I4073">
        <v>101095845</v>
      </c>
      <c r="J4073">
        <v>-290978118</v>
      </c>
      <c r="K4073">
        <v>242219115</v>
      </c>
      <c r="L4073">
        <v>147299436</v>
      </c>
      <c r="M4073">
        <v>-43373739</v>
      </c>
      <c r="N4073">
        <v>207442103</v>
      </c>
      <c r="O4073">
        <v>255138265</v>
      </c>
      <c r="P4073">
        <v>51</v>
      </c>
      <c r="Q4073" t="s">
        <v>8495</v>
      </c>
    </row>
    <row r="4074" spans="1:17" x14ac:dyDescent="0.3">
      <c r="A4074" t="s">
        <v>17</v>
      </c>
      <c r="B4074" t="str">
        <f>"688190"</f>
        <v>688190</v>
      </c>
      <c r="C4074" t="s">
        <v>8496</v>
      </c>
      <c r="D4074" t="s">
        <v>2129</v>
      </c>
      <c r="F4074">
        <v>66137807</v>
      </c>
      <c r="G4074">
        <v>89606608</v>
      </c>
      <c r="H4074">
        <v>5899150</v>
      </c>
      <c r="I4074">
        <v>63116542</v>
      </c>
      <c r="P4074">
        <v>15</v>
      </c>
      <c r="Q4074" t="s">
        <v>8497</v>
      </c>
    </row>
    <row r="4075" spans="1:17" x14ac:dyDescent="0.3">
      <c r="A4075" t="s">
        <v>17</v>
      </c>
      <c r="B4075" t="str">
        <f>"900924"</f>
        <v>900924</v>
      </c>
      <c r="C4075" t="s">
        <v>8498</v>
      </c>
      <c r="G4075">
        <v>48924561.871100001</v>
      </c>
      <c r="H4075">
        <v>5855883.068</v>
      </c>
      <c r="I4075">
        <v>11567132.8434</v>
      </c>
      <c r="J4075">
        <v>18022789.478399999</v>
      </c>
      <c r="K4075">
        <v>14264195.328</v>
      </c>
      <c r="L4075">
        <v>7836577.0559999999</v>
      </c>
      <c r="M4075">
        <v>16378558.352</v>
      </c>
      <c r="N4075">
        <v>11532054.945599999</v>
      </c>
      <c r="O4075">
        <v>22257570.866999999</v>
      </c>
      <c r="P4075">
        <v>11</v>
      </c>
      <c r="Q4075" t="s">
        <v>8499</v>
      </c>
    </row>
    <row r="4076" spans="1:17" x14ac:dyDescent="0.3">
      <c r="A4076" t="s">
        <v>17</v>
      </c>
      <c r="B4076" t="str">
        <f>"603261"</f>
        <v>603261</v>
      </c>
      <c r="C4076" t="s">
        <v>8500</v>
      </c>
      <c r="F4076">
        <v>32752278</v>
      </c>
      <c r="G4076">
        <v>62959083</v>
      </c>
      <c r="H4076">
        <v>5812450</v>
      </c>
      <c r="I4076">
        <v>53696605</v>
      </c>
      <c r="J4076">
        <v>-5815800</v>
      </c>
      <c r="P4076">
        <v>7</v>
      </c>
      <c r="Q4076" t="s">
        <v>8501</v>
      </c>
    </row>
    <row r="4077" spans="1:17" x14ac:dyDescent="0.3">
      <c r="A4077" t="s">
        <v>17</v>
      </c>
      <c r="B4077" t="str">
        <f>"688601"</f>
        <v>688601</v>
      </c>
      <c r="C4077" t="s">
        <v>8502</v>
      </c>
      <c r="D4077" t="s">
        <v>759</v>
      </c>
      <c r="F4077">
        <v>82734946</v>
      </c>
      <c r="G4077">
        <v>56671838</v>
      </c>
      <c r="H4077">
        <v>5771078</v>
      </c>
      <c r="I4077">
        <v>42588890</v>
      </c>
      <c r="J4077">
        <v>7212452</v>
      </c>
      <c r="P4077">
        <v>57</v>
      </c>
      <c r="Q4077" t="s">
        <v>8503</v>
      </c>
    </row>
    <row r="4078" spans="1:17" x14ac:dyDescent="0.3">
      <c r="A4078" t="s">
        <v>59</v>
      </c>
      <c r="B4078" t="str">
        <f>"300419"</f>
        <v>300419</v>
      </c>
      <c r="C4078" t="s">
        <v>8504</v>
      </c>
      <c r="D4078" t="s">
        <v>1189</v>
      </c>
      <c r="F4078">
        <v>-156387695</v>
      </c>
      <c r="G4078">
        <v>144416343</v>
      </c>
      <c r="H4078">
        <v>5740463</v>
      </c>
      <c r="I4078">
        <v>22551539</v>
      </c>
      <c r="J4078">
        <v>104409559</v>
      </c>
      <c r="K4078">
        <v>38968601</v>
      </c>
      <c r="L4078">
        <v>-2109873</v>
      </c>
      <c r="M4078">
        <v>8865147</v>
      </c>
      <c r="N4078">
        <v>31760521</v>
      </c>
      <c r="O4078">
        <v>54878453</v>
      </c>
      <c r="P4078">
        <v>89</v>
      </c>
      <c r="Q4078" t="s">
        <v>8505</v>
      </c>
    </row>
    <row r="4079" spans="1:17" x14ac:dyDescent="0.3">
      <c r="A4079" t="s">
        <v>17</v>
      </c>
      <c r="B4079" t="str">
        <f>"900941"</f>
        <v>900941</v>
      </c>
      <c r="C4079" t="s">
        <v>8506</v>
      </c>
      <c r="G4079">
        <v>4768724.5038999999</v>
      </c>
      <c r="H4079">
        <v>5621556.7315999996</v>
      </c>
      <c r="I4079">
        <v>-4944661.5653999997</v>
      </c>
      <c r="J4079">
        <v>-10540169.932800001</v>
      </c>
      <c r="K4079">
        <v>-8433747.3599999994</v>
      </c>
      <c r="L4079">
        <v>-1664233.8019999999</v>
      </c>
      <c r="M4079">
        <v>11986072.2644</v>
      </c>
      <c r="N4079">
        <v>-31320031.5988</v>
      </c>
      <c r="O4079">
        <v>-8499189.3855000008</v>
      </c>
      <c r="P4079">
        <v>8</v>
      </c>
      <c r="Q4079" t="s">
        <v>8507</v>
      </c>
    </row>
    <row r="4080" spans="1:17" x14ac:dyDescent="0.3">
      <c r="A4080" t="s">
        <v>59</v>
      </c>
      <c r="B4080" t="str">
        <f>"002076"</f>
        <v>002076</v>
      </c>
      <c r="C4080" t="s">
        <v>8508</v>
      </c>
      <c r="D4080" t="s">
        <v>1626</v>
      </c>
      <c r="F4080">
        <v>-10987092</v>
      </c>
      <c r="G4080">
        <v>17617410</v>
      </c>
      <c r="H4080">
        <v>5551515</v>
      </c>
      <c r="I4080">
        <v>-6026316</v>
      </c>
      <c r="J4080">
        <v>-468776080</v>
      </c>
      <c r="K4080">
        <v>3732185</v>
      </c>
      <c r="L4080">
        <v>196995733</v>
      </c>
      <c r="M4080">
        <v>4124923</v>
      </c>
      <c r="N4080">
        <v>106978290</v>
      </c>
      <c r="O4080">
        <v>22301222</v>
      </c>
      <c r="P4080">
        <v>100</v>
      </c>
      <c r="Q4080" t="s">
        <v>8509</v>
      </c>
    </row>
    <row r="4081" spans="1:17" x14ac:dyDescent="0.3">
      <c r="A4081" t="s">
        <v>17</v>
      </c>
      <c r="B4081" t="str">
        <f>"688038"</f>
        <v>688038</v>
      </c>
      <c r="C4081" t="s">
        <v>8510</v>
      </c>
      <c r="D4081" t="s">
        <v>1528</v>
      </c>
      <c r="F4081">
        <v>-112415195</v>
      </c>
      <c r="G4081">
        <v>-169958651</v>
      </c>
      <c r="H4081">
        <v>5521621</v>
      </c>
      <c r="I4081">
        <v>-37902293</v>
      </c>
      <c r="J4081">
        <v>-11775231</v>
      </c>
      <c r="P4081">
        <v>17</v>
      </c>
      <c r="Q4081" t="s">
        <v>8511</v>
      </c>
    </row>
    <row r="4082" spans="1:17" x14ac:dyDescent="0.3">
      <c r="A4082" t="s">
        <v>17</v>
      </c>
      <c r="B4082" t="str">
        <f>"900907"</f>
        <v>900907</v>
      </c>
      <c r="C4082" t="s">
        <v>8512</v>
      </c>
      <c r="G4082">
        <v>-1400769.6709</v>
      </c>
      <c r="H4082">
        <v>5508255.4699999997</v>
      </c>
      <c r="I4082">
        <v>-14101262.77</v>
      </c>
      <c r="J4082">
        <v>-9756641.7408000007</v>
      </c>
      <c r="K4082">
        <v>78794663.760000005</v>
      </c>
      <c r="L4082">
        <v>-44198064.833999999</v>
      </c>
      <c r="M4082">
        <v>-39351235.9604</v>
      </c>
      <c r="N4082">
        <v>24692798.519200001</v>
      </c>
      <c r="O4082">
        <v>-11271223.4055</v>
      </c>
      <c r="P4082">
        <v>4</v>
      </c>
      <c r="Q4082" t="s">
        <v>8513</v>
      </c>
    </row>
    <row r="4083" spans="1:17" x14ac:dyDescent="0.3">
      <c r="A4083" t="s">
        <v>59</v>
      </c>
      <c r="B4083" t="str">
        <f>"000008"</f>
        <v>000008</v>
      </c>
      <c r="C4083" t="s">
        <v>8514</v>
      </c>
      <c r="D4083" t="s">
        <v>165</v>
      </c>
      <c r="F4083">
        <v>458771832</v>
      </c>
      <c r="G4083">
        <v>520039173</v>
      </c>
      <c r="H4083">
        <v>5319280</v>
      </c>
      <c r="I4083">
        <v>-590569355</v>
      </c>
      <c r="J4083">
        <v>-52959020</v>
      </c>
      <c r="K4083">
        <v>-56126569</v>
      </c>
      <c r="L4083">
        <v>-72462380</v>
      </c>
      <c r="M4083">
        <v>68698054</v>
      </c>
      <c r="N4083">
        <v>66779806</v>
      </c>
      <c r="O4083">
        <v>86665538</v>
      </c>
      <c r="P4083">
        <v>301</v>
      </c>
      <c r="Q4083" t="s">
        <v>8515</v>
      </c>
    </row>
    <row r="4084" spans="1:17" x14ac:dyDescent="0.3">
      <c r="A4084" t="s">
        <v>59</v>
      </c>
      <c r="B4084" t="str">
        <f>"200613"</f>
        <v>200613</v>
      </c>
      <c r="C4084" t="s">
        <v>8516</v>
      </c>
      <c r="F4084">
        <v>16159948.861199999</v>
      </c>
      <c r="G4084">
        <v>-7981584.7747999998</v>
      </c>
      <c r="H4084">
        <v>5272230.9469999997</v>
      </c>
      <c r="I4084">
        <v>7723462.1804999998</v>
      </c>
      <c r="J4084">
        <v>6153771.0575999999</v>
      </c>
      <c r="K4084">
        <v>3087824.4264000002</v>
      </c>
      <c r="L4084">
        <v>-2083634.3862000001</v>
      </c>
      <c r="M4084">
        <v>3041057.8272000002</v>
      </c>
      <c r="N4084">
        <v>3352118.4473000001</v>
      </c>
      <c r="O4084">
        <v>1733112.9676000001</v>
      </c>
      <c r="P4084">
        <v>4</v>
      </c>
      <c r="Q4084" t="s">
        <v>8517</v>
      </c>
    </row>
    <row r="4085" spans="1:17" x14ac:dyDescent="0.3">
      <c r="A4085" t="s">
        <v>59</v>
      </c>
      <c r="B4085" t="str">
        <f>"300460"</f>
        <v>300460</v>
      </c>
      <c r="C4085" t="s">
        <v>8518</v>
      </c>
      <c r="D4085" t="s">
        <v>1180</v>
      </c>
      <c r="F4085">
        <v>132474977</v>
      </c>
      <c r="G4085">
        <v>76755826</v>
      </c>
      <c r="H4085">
        <v>5267506</v>
      </c>
      <c r="I4085">
        <v>68080635</v>
      </c>
      <c r="J4085">
        <v>106199259</v>
      </c>
      <c r="K4085">
        <v>48621137</v>
      </c>
      <c r="L4085">
        <v>61540246</v>
      </c>
      <c r="M4085">
        <v>117867338</v>
      </c>
      <c r="N4085">
        <v>72095162</v>
      </c>
      <c r="O4085">
        <v>101294684</v>
      </c>
      <c r="P4085">
        <v>154</v>
      </c>
      <c r="Q4085" t="s">
        <v>8519</v>
      </c>
    </row>
    <row r="4086" spans="1:17" x14ac:dyDescent="0.3">
      <c r="A4086" t="s">
        <v>17</v>
      </c>
      <c r="B4086" t="str">
        <f>"688136"</f>
        <v>688136</v>
      </c>
      <c r="C4086" t="s">
        <v>8520</v>
      </c>
      <c r="D4086" t="s">
        <v>1062</v>
      </c>
      <c r="F4086">
        <v>94012823</v>
      </c>
      <c r="G4086">
        <v>105930615</v>
      </c>
      <c r="H4086">
        <v>5254056</v>
      </c>
      <c r="I4086">
        <v>63437403</v>
      </c>
      <c r="J4086">
        <v>64810283</v>
      </c>
      <c r="P4086">
        <v>66</v>
      </c>
      <c r="Q4086" t="s">
        <v>8521</v>
      </c>
    </row>
    <row r="4087" spans="1:17" x14ac:dyDescent="0.3">
      <c r="A4087" t="s">
        <v>17</v>
      </c>
      <c r="B4087" t="str">
        <f>"688048"</f>
        <v>688048</v>
      </c>
      <c r="C4087" t="s">
        <v>8522</v>
      </c>
      <c r="F4087">
        <v>21164870</v>
      </c>
      <c r="G4087">
        <v>-19113110</v>
      </c>
      <c r="H4087">
        <v>5252895</v>
      </c>
      <c r="I4087">
        <v>-24682015</v>
      </c>
      <c r="P4087">
        <v>12</v>
      </c>
      <c r="Q4087" t="s">
        <v>8523</v>
      </c>
    </row>
    <row r="4088" spans="1:17" x14ac:dyDescent="0.3">
      <c r="A4088" t="s">
        <v>17</v>
      </c>
      <c r="B4088" t="str">
        <f>"600857"</f>
        <v>600857</v>
      </c>
      <c r="C4088" t="s">
        <v>8524</v>
      </c>
      <c r="D4088" t="s">
        <v>1361</v>
      </c>
      <c r="F4088">
        <v>16273537</v>
      </c>
      <c r="G4088">
        <v>-149125607</v>
      </c>
      <c r="H4088">
        <v>5188873</v>
      </c>
      <c r="I4088">
        <v>7810261</v>
      </c>
      <c r="J4088">
        <v>12215056</v>
      </c>
      <c r="K4088">
        <v>37806570</v>
      </c>
      <c r="L4088">
        <v>28241007</v>
      </c>
      <c r="M4088">
        <v>25513981</v>
      </c>
      <c r="N4088">
        <v>48458271</v>
      </c>
      <c r="O4088">
        <v>32104762</v>
      </c>
      <c r="P4088">
        <v>74</v>
      </c>
      <c r="Q4088" t="s">
        <v>8525</v>
      </c>
    </row>
    <row r="4089" spans="1:17" x14ac:dyDescent="0.3">
      <c r="A4089" t="s">
        <v>59</v>
      </c>
      <c r="B4089" t="str">
        <f>"301068"</f>
        <v>301068</v>
      </c>
      <c r="C4089" t="s">
        <v>8526</v>
      </c>
      <c r="D4089" t="s">
        <v>894</v>
      </c>
      <c r="F4089">
        <v>76966555</v>
      </c>
      <c r="G4089">
        <v>19732205</v>
      </c>
      <c r="H4089">
        <v>5062585</v>
      </c>
      <c r="I4089">
        <v>114631210</v>
      </c>
      <c r="J4089">
        <v>24126566</v>
      </c>
      <c r="P4089">
        <v>14</v>
      </c>
      <c r="Q4089" t="s">
        <v>8527</v>
      </c>
    </row>
    <row r="4090" spans="1:17" x14ac:dyDescent="0.3">
      <c r="A4090" t="s">
        <v>59</v>
      </c>
      <c r="B4090" t="str">
        <f>"002259"</f>
        <v>002259</v>
      </c>
      <c r="C4090" t="s">
        <v>8528</v>
      </c>
      <c r="D4090" t="s">
        <v>883</v>
      </c>
      <c r="F4090">
        <v>87698647</v>
      </c>
      <c r="G4090">
        <v>151028598</v>
      </c>
      <c r="H4090">
        <v>5011180</v>
      </c>
      <c r="I4090">
        <v>-41765657</v>
      </c>
      <c r="J4090">
        <v>16369263</v>
      </c>
      <c r="K4090">
        <v>95911211</v>
      </c>
      <c r="L4090">
        <v>189108218</v>
      </c>
      <c r="M4090">
        <v>43867101</v>
      </c>
      <c r="N4090">
        <v>159705580</v>
      </c>
      <c r="O4090">
        <v>162386984</v>
      </c>
      <c r="P4090">
        <v>59</v>
      </c>
      <c r="Q4090" t="s">
        <v>8529</v>
      </c>
    </row>
    <row r="4091" spans="1:17" x14ac:dyDescent="0.3">
      <c r="A4091" t="s">
        <v>17</v>
      </c>
      <c r="B4091" t="str">
        <f>"688162"</f>
        <v>688162</v>
      </c>
      <c r="C4091" t="s">
        <v>8530</v>
      </c>
      <c r="D4091" t="s">
        <v>156</v>
      </c>
      <c r="F4091">
        <v>-99453751</v>
      </c>
      <c r="G4091">
        <v>-85897174</v>
      </c>
      <c r="H4091">
        <v>4827696</v>
      </c>
      <c r="I4091">
        <v>245249130</v>
      </c>
      <c r="J4091">
        <v>-28721183</v>
      </c>
      <c r="P4091">
        <v>31</v>
      </c>
      <c r="Q4091" t="s">
        <v>8531</v>
      </c>
    </row>
    <row r="4092" spans="1:17" x14ac:dyDescent="0.3">
      <c r="A4092" t="s">
        <v>59</v>
      </c>
      <c r="B4092" t="str">
        <f>"000613"</f>
        <v>000613</v>
      </c>
      <c r="C4092" t="s">
        <v>8532</v>
      </c>
      <c r="D4092" t="s">
        <v>824</v>
      </c>
      <c r="F4092">
        <v>13215529</v>
      </c>
      <c r="G4092">
        <v>-6729268</v>
      </c>
      <c r="H4092">
        <v>4713662</v>
      </c>
      <c r="I4092">
        <v>6783893</v>
      </c>
      <c r="J4092">
        <v>5127288</v>
      </c>
      <c r="K4092">
        <v>2766372</v>
      </c>
      <c r="L4092">
        <v>-1745526</v>
      </c>
      <c r="M4092">
        <v>2432068</v>
      </c>
      <c r="N4092">
        <v>2615369</v>
      </c>
      <c r="O4092">
        <v>1392506</v>
      </c>
      <c r="P4092">
        <v>100</v>
      </c>
      <c r="Q4092" t="s">
        <v>8533</v>
      </c>
    </row>
    <row r="4093" spans="1:17" x14ac:dyDescent="0.3">
      <c r="A4093" t="s">
        <v>59</v>
      </c>
      <c r="B4093" t="str">
        <f>"300936"</f>
        <v>300936</v>
      </c>
      <c r="C4093" t="s">
        <v>8534</v>
      </c>
      <c r="D4093" t="s">
        <v>539</v>
      </c>
      <c r="F4093">
        <v>64655607</v>
      </c>
      <c r="G4093">
        <v>2305778</v>
      </c>
      <c r="H4093">
        <v>4699403</v>
      </c>
      <c r="I4093">
        <v>52756956</v>
      </c>
      <c r="J4093">
        <v>37590103</v>
      </c>
      <c r="K4093">
        <v>40953026</v>
      </c>
      <c r="P4093">
        <v>54</v>
      </c>
      <c r="Q4093" t="s">
        <v>8535</v>
      </c>
    </row>
    <row r="4094" spans="1:17" x14ac:dyDescent="0.3">
      <c r="A4094" t="s">
        <v>59</v>
      </c>
      <c r="B4094" t="str">
        <f>"002323"</f>
        <v>002323</v>
      </c>
      <c r="C4094" t="s">
        <v>8536</v>
      </c>
      <c r="D4094" t="s">
        <v>1041</v>
      </c>
      <c r="F4094">
        <v>-102400613</v>
      </c>
      <c r="G4094">
        <v>1512102</v>
      </c>
      <c r="H4094">
        <v>4392027</v>
      </c>
      <c r="I4094">
        <v>224566883</v>
      </c>
      <c r="J4094">
        <v>-523282959</v>
      </c>
      <c r="K4094">
        <v>-216239278</v>
      </c>
      <c r="L4094">
        <v>-18871386</v>
      </c>
      <c r="M4094">
        <v>-2917952</v>
      </c>
      <c r="N4094">
        <v>-14296419</v>
      </c>
      <c r="O4094">
        <v>3656829</v>
      </c>
      <c r="P4094">
        <v>78</v>
      </c>
      <c r="Q4094" t="s">
        <v>8537</v>
      </c>
    </row>
    <row r="4095" spans="1:17" x14ac:dyDescent="0.3">
      <c r="A4095" t="s">
        <v>59</v>
      </c>
      <c r="B4095" t="str">
        <f>"000638"</f>
        <v>000638</v>
      </c>
      <c r="C4095" t="s">
        <v>8538</v>
      </c>
      <c r="D4095" t="s">
        <v>1189</v>
      </c>
      <c r="F4095">
        <v>-52777081</v>
      </c>
      <c r="G4095">
        <v>-1739422</v>
      </c>
      <c r="H4095">
        <v>4391017</v>
      </c>
      <c r="I4095">
        <v>-67888803</v>
      </c>
      <c r="J4095">
        <v>84411465</v>
      </c>
      <c r="K4095">
        <v>710642294</v>
      </c>
      <c r="L4095">
        <v>-719598735</v>
      </c>
      <c r="M4095">
        <v>-269908429</v>
      </c>
      <c r="N4095">
        <v>-196162249</v>
      </c>
      <c r="O4095">
        <v>-20912644</v>
      </c>
      <c r="P4095">
        <v>87</v>
      </c>
      <c r="Q4095" t="s">
        <v>8539</v>
      </c>
    </row>
    <row r="4096" spans="1:17" x14ac:dyDescent="0.3">
      <c r="A4096" t="s">
        <v>59</v>
      </c>
      <c r="B4096" t="str">
        <f>"002767"</f>
        <v>002767</v>
      </c>
      <c r="C4096" t="s">
        <v>8540</v>
      </c>
      <c r="D4096" t="s">
        <v>2382</v>
      </c>
      <c r="F4096">
        <v>-35732436</v>
      </c>
      <c r="G4096">
        <v>17340720</v>
      </c>
      <c r="H4096">
        <v>4335816</v>
      </c>
      <c r="I4096">
        <v>12684206</v>
      </c>
      <c r="J4096">
        <v>6720987</v>
      </c>
      <c r="K4096">
        <v>41113304</v>
      </c>
      <c r="L4096">
        <v>35623583</v>
      </c>
      <c r="M4096">
        <v>47810527</v>
      </c>
      <c r="N4096">
        <v>48606983</v>
      </c>
      <c r="O4096">
        <v>51529064</v>
      </c>
      <c r="P4096">
        <v>73</v>
      </c>
      <c r="Q4096" t="s">
        <v>8541</v>
      </c>
    </row>
    <row r="4097" spans="1:17" x14ac:dyDescent="0.3">
      <c r="A4097" t="s">
        <v>59</v>
      </c>
      <c r="B4097" t="str">
        <f>"300013"</f>
        <v>300013</v>
      </c>
      <c r="C4097" t="s">
        <v>8542</v>
      </c>
      <c r="D4097" t="s">
        <v>838</v>
      </c>
      <c r="F4097">
        <v>146023976</v>
      </c>
      <c r="G4097">
        <v>-5945621</v>
      </c>
      <c r="H4097">
        <v>4061674</v>
      </c>
      <c r="I4097">
        <v>77039878</v>
      </c>
      <c r="J4097">
        <v>-11245431</v>
      </c>
      <c r="K4097">
        <v>34027440</v>
      </c>
      <c r="L4097">
        <v>-29915032</v>
      </c>
      <c r="M4097">
        <v>14169251</v>
      </c>
      <c r="N4097">
        <v>25689873</v>
      </c>
      <c r="O4097">
        <v>32643415</v>
      </c>
      <c r="P4097">
        <v>70</v>
      </c>
      <c r="Q4097" t="s">
        <v>8543</v>
      </c>
    </row>
    <row r="4098" spans="1:17" x14ac:dyDescent="0.3">
      <c r="A4098" t="s">
        <v>59</v>
      </c>
      <c r="B4098" t="str">
        <f>"002750"</f>
        <v>002750</v>
      </c>
      <c r="C4098" t="s">
        <v>8544</v>
      </c>
      <c r="D4098" t="s">
        <v>455</v>
      </c>
      <c r="F4098">
        <v>-14804223</v>
      </c>
      <c r="G4098">
        <v>-6776929</v>
      </c>
      <c r="H4098">
        <v>4043279</v>
      </c>
      <c r="I4098">
        <v>31698797</v>
      </c>
      <c r="J4098">
        <v>58057429</v>
      </c>
      <c r="K4098">
        <v>104238688</v>
      </c>
      <c r="L4098">
        <v>70185159</v>
      </c>
      <c r="M4098">
        <v>70162987</v>
      </c>
      <c r="N4098">
        <v>106458243</v>
      </c>
      <c r="O4098">
        <v>91163318</v>
      </c>
      <c r="P4098">
        <v>142</v>
      </c>
      <c r="Q4098" t="s">
        <v>8545</v>
      </c>
    </row>
    <row r="4099" spans="1:17" x14ac:dyDescent="0.3">
      <c r="A4099" t="s">
        <v>17</v>
      </c>
      <c r="B4099" t="str">
        <f>"600476"</f>
        <v>600476</v>
      </c>
      <c r="C4099" t="s">
        <v>8546</v>
      </c>
      <c r="D4099" t="s">
        <v>1189</v>
      </c>
      <c r="F4099">
        <v>16987073</v>
      </c>
      <c r="G4099">
        <v>72333797</v>
      </c>
      <c r="H4099">
        <v>4026946</v>
      </c>
      <c r="I4099">
        <v>-4609014</v>
      </c>
      <c r="J4099">
        <v>-51125861</v>
      </c>
      <c r="K4099">
        <v>-31113426</v>
      </c>
      <c r="L4099">
        <v>-20177551</v>
      </c>
      <c r="M4099">
        <v>-4955869</v>
      </c>
      <c r="N4099">
        <v>-42536980</v>
      </c>
      <c r="O4099">
        <v>-14062006</v>
      </c>
      <c r="P4099">
        <v>85</v>
      </c>
      <c r="Q4099" t="s">
        <v>8547</v>
      </c>
    </row>
    <row r="4100" spans="1:17" x14ac:dyDescent="0.3">
      <c r="A4100" t="s">
        <v>59</v>
      </c>
      <c r="B4100" t="str">
        <f>"300078"</f>
        <v>300078</v>
      </c>
      <c r="C4100" t="s">
        <v>8548</v>
      </c>
      <c r="D4100" t="s">
        <v>1189</v>
      </c>
      <c r="F4100">
        <v>134041274</v>
      </c>
      <c r="G4100">
        <v>-13707363</v>
      </c>
      <c r="H4100">
        <v>4016052</v>
      </c>
      <c r="I4100">
        <v>-2250477</v>
      </c>
      <c r="J4100">
        <v>183688718</v>
      </c>
      <c r="K4100">
        <v>134616318</v>
      </c>
      <c r="L4100">
        <v>162868032</v>
      </c>
      <c r="M4100">
        <v>49348261</v>
      </c>
      <c r="N4100">
        <v>29115394</v>
      </c>
      <c r="O4100">
        <v>51595175</v>
      </c>
      <c r="P4100">
        <v>296</v>
      </c>
      <c r="Q4100" t="s">
        <v>8549</v>
      </c>
    </row>
    <row r="4101" spans="1:17" x14ac:dyDescent="0.3">
      <c r="A4101" t="s">
        <v>59</v>
      </c>
      <c r="B4101" t="str">
        <f>"301218"</f>
        <v>301218</v>
      </c>
      <c r="C4101" t="s">
        <v>8550</v>
      </c>
      <c r="F4101">
        <v>15140362</v>
      </c>
      <c r="G4101">
        <v>31886865</v>
      </c>
      <c r="H4101">
        <v>3928554</v>
      </c>
      <c r="I4101">
        <v>40491758</v>
      </c>
      <c r="J4101">
        <v>-5687020</v>
      </c>
      <c r="P4101">
        <v>8</v>
      </c>
      <c r="Q4101" t="s">
        <v>8551</v>
      </c>
    </row>
    <row r="4102" spans="1:17" x14ac:dyDescent="0.3">
      <c r="A4102" t="s">
        <v>59</v>
      </c>
      <c r="B4102" t="str">
        <f>"002774"</f>
        <v>002774</v>
      </c>
      <c r="C4102" t="s">
        <v>8552</v>
      </c>
      <c r="D4102" t="s">
        <v>3004</v>
      </c>
      <c r="F4102">
        <v>669241955</v>
      </c>
      <c r="G4102">
        <v>100503466</v>
      </c>
      <c r="H4102">
        <v>3718836</v>
      </c>
      <c r="I4102">
        <v>-55646739</v>
      </c>
      <c r="J4102">
        <v>84670805</v>
      </c>
      <c r="K4102">
        <v>64691004</v>
      </c>
      <c r="L4102">
        <v>71577957</v>
      </c>
      <c r="M4102">
        <v>54540943</v>
      </c>
      <c r="P4102">
        <v>77</v>
      </c>
      <c r="Q4102" t="s">
        <v>8553</v>
      </c>
    </row>
    <row r="4103" spans="1:17" x14ac:dyDescent="0.3">
      <c r="A4103" t="s">
        <v>59</v>
      </c>
      <c r="B4103" t="str">
        <f>"300311"</f>
        <v>300311</v>
      </c>
      <c r="C4103" t="s">
        <v>8554</v>
      </c>
      <c r="D4103" t="s">
        <v>789</v>
      </c>
      <c r="F4103">
        <v>-48743324</v>
      </c>
      <c r="G4103">
        <v>191401516</v>
      </c>
      <c r="H4103">
        <v>3546220</v>
      </c>
      <c r="I4103">
        <v>-69870627</v>
      </c>
      <c r="J4103">
        <v>201622734</v>
      </c>
      <c r="K4103">
        <v>91701033</v>
      </c>
      <c r="L4103">
        <v>75167993</v>
      </c>
      <c r="M4103">
        <v>31302728</v>
      </c>
      <c r="N4103">
        <v>35821430</v>
      </c>
      <c r="O4103">
        <v>75195020</v>
      </c>
      <c r="P4103">
        <v>161</v>
      </c>
      <c r="Q4103" t="s">
        <v>8555</v>
      </c>
    </row>
    <row r="4104" spans="1:17" x14ac:dyDescent="0.3">
      <c r="A4104" t="s">
        <v>59</v>
      </c>
      <c r="B4104" t="str">
        <f>"301082"</f>
        <v>301082</v>
      </c>
      <c r="C4104" t="s">
        <v>8556</v>
      </c>
      <c r="D4104" t="s">
        <v>1065</v>
      </c>
      <c r="F4104">
        <v>-388856053</v>
      </c>
      <c r="G4104">
        <v>37340407</v>
      </c>
      <c r="H4104">
        <v>3481079</v>
      </c>
      <c r="I4104">
        <v>34964308</v>
      </c>
      <c r="J4104">
        <v>10808907</v>
      </c>
      <c r="P4104">
        <v>17</v>
      </c>
      <c r="Q4104" t="s">
        <v>8557</v>
      </c>
    </row>
    <row r="4105" spans="1:17" x14ac:dyDescent="0.3">
      <c r="A4105" t="s">
        <v>59</v>
      </c>
      <c r="B4105" t="str">
        <f>"000585"</f>
        <v>000585</v>
      </c>
      <c r="C4105" t="s">
        <v>8558</v>
      </c>
      <c r="D4105" t="s">
        <v>560</v>
      </c>
      <c r="F4105">
        <v>5433992</v>
      </c>
      <c r="G4105">
        <v>-76154097</v>
      </c>
      <c r="H4105">
        <v>3336820</v>
      </c>
      <c r="I4105">
        <v>-4595466</v>
      </c>
      <c r="J4105">
        <v>45961817</v>
      </c>
      <c r="K4105">
        <v>-29891483</v>
      </c>
      <c r="L4105">
        <v>-18237185</v>
      </c>
      <c r="M4105">
        <v>26805591</v>
      </c>
      <c r="N4105">
        <v>31448167</v>
      </c>
      <c r="O4105">
        <v>-3353696</v>
      </c>
      <c r="P4105">
        <v>73</v>
      </c>
      <c r="Q4105" t="s">
        <v>8559</v>
      </c>
    </row>
    <row r="4106" spans="1:17" x14ac:dyDescent="0.3">
      <c r="A4106" t="s">
        <v>59</v>
      </c>
      <c r="B4106" t="str">
        <f>"002785"</f>
        <v>002785</v>
      </c>
      <c r="C4106" t="s">
        <v>8560</v>
      </c>
      <c r="D4106" t="s">
        <v>1041</v>
      </c>
      <c r="F4106">
        <v>-22446128</v>
      </c>
      <c r="G4106">
        <v>27260021</v>
      </c>
      <c r="H4106">
        <v>3274809</v>
      </c>
      <c r="I4106">
        <v>44722942</v>
      </c>
      <c r="J4106">
        <v>-16759757</v>
      </c>
      <c r="K4106">
        <v>-38273318</v>
      </c>
      <c r="L4106">
        <v>19112779</v>
      </c>
      <c r="M4106">
        <v>-3425510</v>
      </c>
      <c r="N4106">
        <v>37682006</v>
      </c>
      <c r="O4106">
        <v>-11037718</v>
      </c>
      <c r="P4106">
        <v>57</v>
      </c>
      <c r="Q4106" t="s">
        <v>8561</v>
      </c>
    </row>
    <row r="4107" spans="1:17" x14ac:dyDescent="0.3">
      <c r="A4107" t="s">
        <v>17</v>
      </c>
      <c r="B4107" t="str">
        <f>"600355"</f>
        <v>600355</v>
      </c>
      <c r="C4107" t="s">
        <v>8562</v>
      </c>
      <c r="D4107" t="s">
        <v>1650</v>
      </c>
      <c r="F4107">
        <v>-6212870</v>
      </c>
      <c r="G4107">
        <v>-42809384</v>
      </c>
      <c r="H4107">
        <v>3210616</v>
      </c>
      <c r="I4107">
        <v>30066009</v>
      </c>
      <c r="J4107">
        <v>-43866852</v>
      </c>
      <c r="K4107">
        <v>35404464</v>
      </c>
      <c r="L4107">
        <v>26000897</v>
      </c>
      <c r="M4107">
        <v>-16658554</v>
      </c>
      <c r="N4107">
        <v>-27406052</v>
      </c>
      <c r="O4107">
        <v>-43234321</v>
      </c>
      <c r="P4107">
        <v>109</v>
      </c>
      <c r="Q4107" t="s">
        <v>8563</v>
      </c>
    </row>
    <row r="4108" spans="1:17" x14ac:dyDescent="0.3">
      <c r="A4108" t="s">
        <v>17</v>
      </c>
      <c r="B4108" t="str">
        <f>"900916"</f>
        <v>900916</v>
      </c>
      <c r="C4108" t="s">
        <v>8564</v>
      </c>
      <c r="G4108">
        <v>18737380.690000001</v>
      </c>
      <c r="H4108">
        <v>3147331.46</v>
      </c>
      <c r="I4108">
        <v>-3744330.3311999999</v>
      </c>
      <c r="J4108">
        <v>6167516.9280000003</v>
      </c>
      <c r="K4108">
        <v>4612567.824</v>
      </c>
      <c r="L4108">
        <v>4589527.7120000003</v>
      </c>
      <c r="M4108">
        <v>17404399.526799999</v>
      </c>
      <c r="N4108">
        <v>2432146.9227999998</v>
      </c>
      <c r="O4108">
        <v>-2892895.4955000002</v>
      </c>
      <c r="P4108">
        <v>7</v>
      </c>
      <c r="Q4108" t="s">
        <v>8565</v>
      </c>
    </row>
    <row r="4109" spans="1:17" x14ac:dyDescent="0.3">
      <c r="A4109" t="s">
        <v>59</v>
      </c>
      <c r="B4109" t="str">
        <f>"300052"</f>
        <v>300052</v>
      </c>
      <c r="C4109" t="s">
        <v>8566</v>
      </c>
      <c r="D4109" t="s">
        <v>689</v>
      </c>
      <c r="F4109">
        <v>67359813</v>
      </c>
      <c r="G4109">
        <v>36168560</v>
      </c>
      <c r="H4109">
        <v>3072912</v>
      </c>
      <c r="I4109">
        <v>-5467977</v>
      </c>
      <c r="J4109">
        <v>106706030</v>
      </c>
      <c r="K4109">
        <v>92282870</v>
      </c>
      <c r="L4109">
        <v>171142604</v>
      </c>
      <c r="M4109">
        <v>-26048840</v>
      </c>
      <c r="N4109">
        <v>108201664</v>
      </c>
      <c r="O4109">
        <v>15177950</v>
      </c>
      <c r="P4109">
        <v>219</v>
      </c>
      <c r="Q4109" t="s">
        <v>8567</v>
      </c>
    </row>
    <row r="4110" spans="1:17" x14ac:dyDescent="0.3">
      <c r="A4110" t="s">
        <v>17</v>
      </c>
      <c r="B4110" t="str">
        <f>"900943"</f>
        <v>900943</v>
      </c>
      <c r="C4110" t="s">
        <v>8568</v>
      </c>
      <c r="G4110">
        <v>12486579.833900001</v>
      </c>
      <c r="H4110">
        <v>2976549.7031999999</v>
      </c>
      <c r="I4110">
        <v>4663695.9852</v>
      </c>
      <c r="J4110">
        <v>11158618.368000001</v>
      </c>
      <c r="K4110">
        <v>1622954.304</v>
      </c>
      <c r="L4110">
        <v>1874194.784</v>
      </c>
      <c r="M4110">
        <v>4441216.5252</v>
      </c>
      <c r="N4110">
        <v>2377496.1195999999</v>
      </c>
      <c r="O4110">
        <v>3728840.4855</v>
      </c>
      <c r="P4110">
        <v>3</v>
      </c>
      <c r="Q4110" t="s">
        <v>8569</v>
      </c>
    </row>
    <row r="4111" spans="1:17" x14ac:dyDescent="0.3">
      <c r="A4111" t="s">
        <v>17</v>
      </c>
      <c r="B4111" t="str">
        <f>"600462"</f>
        <v>600462</v>
      </c>
      <c r="C4111" t="s">
        <v>8570</v>
      </c>
      <c r="D4111" t="s">
        <v>1650</v>
      </c>
      <c r="F4111">
        <v>-68847786</v>
      </c>
      <c r="G4111">
        <v>-66330342</v>
      </c>
      <c r="H4111">
        <v>2893796</v>
      </c>
      <c r="I4111">
        <v>4751758</v>
      </c>
      <c r="J4111">
        <v>130765599</v>
      </c>
      <c r="K4111">
        <v>-183913349</v>
      </c>
      <c r="L4111">
        <v>-9889380</v>
      </c>
      <c r="M4111">
        <v>-24183239</v>
      </c>
      <c r="N4111">
        <v>-221909139</v>
      </c>
      <c r="O4111">
        <v>-98678664</v>
      </c>
      <c r="P4111">
        <v>51</v>
      </c>
      <c r="Q4111" t="s">
        <v>8571</v>
      </c>
    </row>
    <row r="4112" spans="1:17" x14ac:dyDescent="0.3">
      <c r="A4112" t="s">
        <v>59</v>
      </c>
      <c r="B4112" t="str">
        <f>"002175"</f>
        <v>002175</v>
      </c>
      <c r="C4112" t="s">
        <v>8572</v>
      </c>
      <c r="D4112" t="s">
        <v>672</v>
      </c>
      <c r="F4112">
        <v>-10929702</v>
      </c>
      <c r="G4112">
        <v>39198520</v>
      </c>
      <c r="H4112">
        <v>2877965</v>
      </c>
      <c r="I4112">
        <v>47926756</v>
      </c>
      <c r="J4112">
        <v>198698961</v>
      </c>
      <c r="K4112">
        <v>73915413</v>
      </c>
      <c r="L4112">
        <v>-10338625</v>
      </c>
      <c r="M4112">
        <v>29100198</v>
      </c>
      <c r="N4112">
        <v>10257400</v>
      </c>
      <c r="O4112">
        <v>12804668</v>
      </c>
      <c r="P4112">
        <v>79</v>
      </c>
      <c r="Q4112" t="s">
        <v>8573</v>
      </c>
    </row>
    <row r="4113" spans="1:17" x14ac:dyDescent="0.3">
      <c r="A4113" t="s">
        <v>17</v>
      </c>
      <c r="B4113" t="str">
        <f>"688569"</f>
        <v>688569</v>
      </c>
      <c r="C4113" t="s">
        <v>8574</v>
      </c>
      <c r="D4113" t="s">
        <v>165</v>
      </c>
      <c r="F4113">
        <v>239955174</v>
      </c>
      <c r="G4113">
        <v>255018200</v>
      </c>
      <c r="H4113">
        <v>2672922</v>
      </c>
      <c r="I4113">
        <v>79661295</v>
      </c>
      <c r="J4113">
        <v>48791456</v>
      </c>
      <c r="K4113">
        <v>-74387637</v>
      </c>
      <c r="P4113">
        <v>31</v>
      </c>
      <c r="Q4113" t="s">
        <v>8575</v>
      </c>
    </row>
    <row r="4114" spans="1:17" x14ac:dyDescent="0.3">
      <c r="A4114" t="s">
        <v>59</v>
      </c>
      <c r="B4114" t="str">
        <f>"301026"</f>
        <v>301026</v>
      </c>
      <c r="C4114" t="s">
        <v>8576</v>
      </c>
      <c r="D4114" t="s">
        <v>987</v>
      </c>
      <c r="F4114">
        <v>100556346</v>
      </c>
      <c r="G4114">
        <v>25226311</v>
      </c>
      <c r="H4114">
        <v>2502922</v>
      </c>
      <c r="I4114">
        <v>-108599705</v>
      </c>
      <c r="J4114">
        <v>67472161</v>
      </c>
      <c r="K4114">
        <v>-36558194</v>
      </c>
      <c r="P4114">
        <v>41</v>
      </c>
      <c r="Q4114" t="s">
        <v>8577</v>
      </c>
    </row>
    <row r="4115" spans="1:17" x14ac:dyDescent="0.3">
      <c r="A4115" t="s">
        <v>17</v>
      </c>
      <c r="B4115" t="str">
        <f>"688210"</f>
        <v>688210</v>
      </c>
      <c r="C4115" t="s">
        <v>8578</v>
      </c>
      <c r="D4115" t="s">
        <v>349</v>
      </c>
      <c r="F4115">
        <v>79107473</v>
      </c>
      <c r="G4115">
        <v>32959442</v>
      </c>
      <c r="H4115">
        <v>2346389</v>
      </c>
      <c r="I4115">
        <v>8027511</v>
      </c>
      <c r="J4115">
        <v>-11325973</v>
      </c>
      <c r="P4115">
        <v>9</v>
      </c>
      <c r="Q4115" t="s">
        <v>8579</v>
      </c>
    </row>
    <row r="4116" spans="1:17" x14ac:dyDescent="0.3">
      <c r="A4116" t="s">
        <v>17</v>
      </c>
      <c r="B4116" t="str">
        <f>"600539"</f>
        <v>600539</v>
      </c>
      <c r="C4116" t="s">
        <v>8580</v>
      </c>
      <c r="D4116" t="s">
        <v>672</v>
      </c>
      <c r="F4116">
        <v>-13870658</v>
      </c>
      <c r="G4116">
        <v>33532062</v>
      </c>
      <c r="H4116">
        <v>2303548</v>
      </c>
      <c r="I4116">
        <v>8482101</v>
      </c>
      <c r="J4116">
        <v>9184848</v>
      </c>
      <c r="K4116">
        <v>-61894487</v>
      </c>
      <c r="L4116">
        <v>75838147</v>
      </c>
      <c r="M4116">
        <v>-32394476</v>
      </c>
      <c r="N4116">
        <v>2385583</v>
      </c>
      <c r="O4116">
        <v>-25430457</v>
      </c>
      <c r="P4116">
        <v>51</v>
      </c>
      <c r="Q4116" t="s">
        <v>8581</v>
      </c>
    </row>
    <row r="4117" spans="1:17" x14ac:dyDescent="0.3">
      <c r="A4117" t="s">
        <v>59</v>
      </c>
      <c r="B4117" t="str">
        <f>"000692"</f>
        <v>000692</v>
      </c>
      <c r="C4117" t="s">
        <v>8582</v>
      </c>
      <c r="D4117" t="s">
        <v>1238</v>
      </c>
      <c r="F4117">
        <v>-311988735</v>
      </c>
      <c r="G4117">
        <v>376630853</v>
      </c>
      <c r="H4117">
        <v>2148302</v>
      </c>
      <c r="I4117">
        <v>-7651666</v>
      </c>
      <c r="J4117">
        <v>116547174</v>
      </c>
      <c r="K4117">
        <v>-169523189</v>
      </c>
      <c r="L4117">
        <v>176069113</v>
      </c>
      <c r="M4117">
        <v>148691732</v>
      </c>
      <c r="N4117">
        <v>44487802</v>
      </c>
      <c r="O4117">
        <v>168822668</v>
      </c>
      <c r="P4117">
        <v>77</v>
      </c>
      <c r="Q4117" t="s">
        <v>8583</v>
      </c>
    </row>
    <row r="4118" spans="1:17" x14ac:dyDescent="0.3">
      <c r="A4118" t="s">
        <v>59</v>
      </c>
      <c r="B4118" t="str">
        <f>"300216"</f>
        <v>300216</v>
      </c>
      <c r="C4118" t="s">
        <v>8584</v>
      </c>
      <c r="H4118">
        <v>2007920</v>
      </c>
      <c r="I4118">
        <v>81919707</v>
      </c>
      <c r="J4118">
        <v>-1483145770</v>
      </c>
      <c r="K4118">
        <v>-96631296</v>
      </c>
      <c r="L4118">
        <v>107105632</v>
      </c>
      <c r="M4118">
        <v>5610946</v>
      </c>
      <c r="N4118">
        <v>101474460</v>
      </c>
      <c r="O4118">
        <v>-45029698</v>
      </c>
      <c r="P4118">
        <v>53</v>
      </c>
      <c r="Q4118" t="s">
        <v>8585</v>
      </c>
    </row>
    <row r="4119" spans="1:17" x14ac:dyDescent="0.3">
      <c r="A4119" t="s">
        <v>17</v>
      </c>
      <c r="B4119" t="str">
        <f>"600560"</f>
        <v>600560</v>
      </c>
      <c r="C4119" t="s">
        <v>8586</v>
      </c>
      <c r="D4119" t="s">
        <v>741</v>
      </c>
      <c r="F4119">
        <v>99576060</v>
      </c>
      <c r="G4119">
        <v>-69672202</v>
      </c>
      <c r="H4119">
        <v>1927112</v>
      </c>
      <c r="I4119">
        <v>37420953</v>
      </c>
      <c r="J4119">
        <v>-30977809</v>
      </c>
      <c r="K4119">
        <v>-65145817</v>
      </c>
      <c r="L4119">
        <v>22299807</v>
      </c>
      <c r="M4119">
        <v>-140889927</v>
      </c>
      <c r="N4119">
        <v>106493954</v>
      </c>
      <c r="O4119">
        <v>179764946</v>
      </c>
      <c r="P4119">
        <v>78</v>
      </c>
      <c r="Q4119" t="s">
        <v>8587</v>
      </c>
    </row>
    <row r="4120" spans="1:17" x14ac:dyDescent="0.3">
      <c r="A4120" t="s">
        <v>17</v>
      </c>
      <c r="B4120" t="str">
        <f>"600247"</f>
        <v>600247</v>
      </c>
      <c r="C4120" t="s">
        <v>8588</v>
      </c>
      <c r="H4120">
        <v>1729857</v>
      </c>
      <c r="I4120">
        <v>533432462</v>
      </c>
      <c r="J4120">
        <v>340061454</v>
      </c>
      <c r="K4120">
        <v>-635225</v>
      </c>
      <c r="L4120">
        <v>3897823</v>
      </c>
      <c r="M4120">
        <v>2233949</v>
      </c>
      <c r="N4120">
        <v>79038943</v>
      </c>
      <c r="O4120">
        <v>-113375938</v>
      </c>
      <c r="P4120">
        <v>29</v>
      </c>
      <c r="Q4120" t="s">
        <v>8589</v>
      </c>
    </row>
    <row r="4121" spans="1:17" x14ac:dyDescent="0.3">
      <c r="A4121" t="s">
        <v>59</v>
      </c>
      <c r="B4121" t="str">
        <f>"301259"</f>
        <v>301259</v>
      </c>
      <c r="C4121" t="s">
        <v>8590</v>
      </c>
      <c r="F4121">
        <v>46648930</v>
      </c>
      <c r="G4121">
        <v>40806549</v>
      </c>
      <c r="H4121">
        <v>1515200</v>
      </c>
      <c r="I4121">
        <v>71193149</v>
      </c>
      <c r="J4121">
        <v>662</v>
      </c>
      <c r="P4121">
        <v>0</v>
      </c>
      <c r="Q4121" t="s">
        <v>8591</v>
      </c>
    </row>
    <row r="4122" spans="1:17" x14ac:dyDescent="0.3">
      <c r="A4122" t="s">
        <v>17</v>
      </c>
      <c r="B4122" t="str">
        <f>"900915"</f>
        <v>900915</v>
      </c>
      <c r="C4122" t="s">
        <v>8592</v>
      </c>
      <c r="G4122">
        <v>1651027.3758</v>
      </c>
      <c r="H4122">
        <v>1344199.1048000001</v>
      </c>
      <c r="I4122">
        <v>1448689.4103999999</v>
      </c>
      <c r="J4122">
        <v>-6990436.9151999997</v>
      </c>
      <c r="K4122">
        <v>23002061.903999999</v>
      </c>
      <c r="L4122">
        <v>16340311.988</v>
      </c>
      <c r="M4122">
        <v>78588.385200000004</v>
      </c>
      <c r="N4122">
        <v>1669913.9576000001</v>
      </c>
      <c r="O4122">
        <v>630264.40049999999</v>
      </c>
      <c r="P4122">
        <v>6</v>
      </c>
      <c r="Q4122" t="s">
        <v>8593</v>
      </c>
    </row>
    <row r="4123" spans="1:17" x14ac:dyDescent="0.3">
      <c r="A4123" t="s">
        <v>17</v>
      </c>
      <c r="B4123" t="str">
        <f>"900946"</f>
        <v>900946</v>
      </c>
      <c r="C4123" t="s">
        <v>8594</v>
      </c>
      <c r="G4123">
        <v>3240314.2809000001</v>
      </c>
      <c r="H4123">
        <v>1239419.7852</v>
      </c>
      <c r="I4123">
        <v>-1739050.0116000001</v>
      </c>
      <c r="J4123">
        <v>-1263528.192</v>
      </c>
      <c r="K4123">
        <v>476569.728</v>
      </c>
      <c r="L4123">
        <v>-483476.84</v>
      </c>
      <c r="M4123">
        <v>10506392.961999999</v>
      </c>
      <c r="N4123">
        <v>2906991.6904000002</v>
      </c>
      <c r="O4123">
        <v>28889746.089000002</v>
      </c>
      <c r="P4123">
        <v>3</v>
      </c>
      <c r="Q4123" t="s">
        <v>8595</v>
      </c>
    </row>
    <row r="4124" spans="1:17" x14ac:dyDescent="0.3">
      <c r="A4124" t="s">
        <v>17</v>
      </c>
      <c r="B4124" t="str">
        <f>"900921"</f>
        <v>900921</v>
      </c>
      <c r="C4124" t="s">
        <v>8596</v>
      </c>
      <c r="G4124">
        <v>-5852658.8442000002</v>
      </c>
      <c r="H4124">
        <v>1036595.1244</v>
      </c>
      <c r="I4124">
        <v>53831906.262199998</v>
      </c>
      <c r="J4124">
        <v>58606090.137599997</v>
      </c>
      <c r="K4124">
        <v>9031866.3359999992</v>
      </c>
      <c r="L4124">
        <v>35044675.358000003</v>
      </c>
      <c r="M4124">
        <v>53264649.599200003</v>
      </c>
      <c r="N4124">
        <v>39288158.551600002</v>
      </c>
      <c r="O4124">
        <v>56057103.119999997</v>
      </c>
      <c r="P4124">
        <v>6</v>
      </c>
      <c r="Q4124" t="s">
        <v>8597</v>
      </c>
    </row>
    <row r="4125" spans="1:17" x14ac:dyDescent="0.3">
      <c r="A4125" t="s">
        <v>59</v>
      </c>
      <c r="B4125" t="str">
        <f>"002148"</f>
        <v>002148</v>
      </c>
      <c r="C4125" t="s">
        <v>8598</v>
      </c>
      <c r="D4125" t="s">
        <v>4468</v>
      </c>
      <c r="F4125">
        <v>31892637</v>
      </c>
      <c r="G4125">
        <v>7555741</v>
      </c>
      <c r="H4125">
        <v>976388</v>
      </c>
      <c r="I4125">
        <v>29213307</v>
      </c>
      <c r="J4125">
        <v>196681569</v>
      </c>
      <c r="K4125">
        <v>43059617</v>
      </c>
      <c r="L4125">
        <v>4188636</v>
      </c>
      <c r="M4125">
        <v>-19899385</v>
      </c>
      <c r="N4125">
        <v>63007346</v>
      </c>
      <c r="O4125">
        <v>41844981</v>
      </c>
      <c r="P4125">
        <v>103</v>
      </c>
      <c r="Q4125" t="s">
        <v>8599</v>
      </c>
    </row>
    <row r="4126" spans="1:17" x14ac:dyDescent="0.3">
      <c r="A4126" t="s">
        <v>17</v>
      </c>
      <c r="B4126" t="str">
        <f>"900939"</f>
        <v>900939</v>
      </c>
      <c r="C4126" t="s">
        <v>8600</v>
      </c>
      <c r="F4126">
        <v>2254959.0441999999</v>
      </c>
      <c r="G4126">
        <v>1619354.8217</v>
      </c>
      <c r="H4126">
        <v>965388.91040000005</v>
      </c>
      <c r="I4126">
        <v>1236662.3322000001</v>
      </c>
      <c r="J4126">
        <v>910106.88</v>
      </c>
      <c r="K4126">
        <v>438343.77600000001</v>
      </c>
      <c r="L4126">
        <v>388925.76799999998</v>
      </c>
      <c r="M4126">
        <v>460165.87239999999</v>
      </c>
      <c r="N4126">
        <v>305353.69760000001</v>
      </c>
      <c r="O4126">
        <v>1434270.5325</v>
      </c>
      <c r="P4126">
        <v>7</v>
      </c>
      <c r="Q4126" t="s">
        <v>8601</v>
      </c>
    </row>
    <row r="4127" spans="1:17" x14ac:dyDescent="0.3">
      <c r="A4127" t="s">
        <v>17</v>
      </c>
      <c r="B4127" t="str">
        <f>"688609"</f>
        <v>688609</v>
      </c>
      <c r="C4127" t="s">
        <v>8602</v>
      </c>
      <c r="D4127" t="s">
        <v>3070</v>
      </c>
      <c r="F4127">
        <v>-107035420</v>
      </c>
      <c r="G4127">
        <v>147771490</v>
      </c>
      <c r="H4127">
        <v>846757</v>
      </c>
      <c r="I4127">
        <v>60817178</v>
      </c>
      <c r="J4127">
        <v>-119068805</v>
      </c>
      <c r="P4127">
        <v>31</v>
      </c>
      <c r="Q4127" t="s">
        <v>8603</v>
      </c>
    </row>
    <row r="4128" spans="1:17" x14ac:dyDescent="0.3">
      <c r="A4128" t="s">
        <v>59</v>
      </c>
      <c r="B4128" t="str">
        <f>"300074"</f>
        <v>300074</v>
      </c>
      <c r="C4128" t="s">
        <v>8604</v>
      </c>
      <c r="D4128" t="s">
        <v>1528</v>
      </c>
      <c r="F4128">
        <v>37349543</v>
      </c>
      <c r="G4128">
        <v>94912802</v>
      </c>
      <c r="H4128">
        <v>648116</v>
      </c>
      <c r="I4128">
        <v>-38296713</v>
      </c>
      <c r="J4128">
        <v>43120328</v>
      </c>
      <c r="K4128">
        <v>18841494</v>
      </c>
      <c r="L4128">
        <v>28469495</v>
      </c>
      <c r="M4128">
        <v>20554653</v>
      </c>
      <c r="N4128">
        <v>107878446</v>
      </c>
      <c r="O4128">
        <v>-17964282</v>
      </c>
      <c r="P4128">
        <v>162</v>
      </c>
      <c r="Q4128" t="s">
        <v>8605</v>
      </c>
    </row>
    <row r="4129" spans="1:17" x14ac:dyDescent="0.3">
      <c r="A4129" t="s">
        <v>17</v>
      </c>
      <c r="B4129" t="str">
        <f>"600359"</f>
        <v>600359</v>
      </c>
      <c r="C4129" t="s">
        <v>8606</v>
      </c>
      <c r="D4129" t="s">
        <v>1831</v>
      </c>
      <c r="F4129">
        <v>86835965</v>
      </c>
      <c r="G4129">
        <v>81179775</v>
      </c>
      <c r="H4129">
        <v>562307</v>
      </c>
      <c r="I4129">
        <v>25360643</v>
      </c>
      <c r="J4129">
        <v>-65783145</v>
      </c>
      <c r="K4129">
        <v>46974358</v>
      </c>
      <c r="L4129">
        <v>82513747</v>
      </c>
      <c r="M4129">
        <v>-34201496</v>
      </c>
      <c r="N4129">
        <v>73058581</v>
      </c>
      <c r="O4129">
        <v>40027445</v>
      </c>
      <c r="P4129">
        <v>111</v>
      </c>
      <c r="Q4129" t="s">
        <v>8607</v>
      </c>
    </row>
    <row r="4130" spans="1:17" x14ac:dyDescent="0.3">
      <c r="A4130" t="s">
        <v>17</v>
      </c>
      <c r="B4130" t="str">
        <f>"688032"</f>
        <v>688032</v>
      </c>
      <c r="C4130" t="s">
        <v>8608</v>
      </c>
      <c r="D4130" t="s">
        <v>868</v>
      </c>
      <c r="F4130">
        <v>149992677</v>
      </c>
      <c r="G4130">
        <v>93784110</v>
      </c>
      <c r="H4130">
        <v>557144</v>
      </c>
      <c r="I4130">
        <v>74214805</v>
      </c>
      <c r="J4130">
        <v>-59402114</v>
      </c>
      <c r="P4130">
        <v>31</v>
      </c>
      <c r="Q4130" t="s">
        <v>8609</v>
      </c>
    </row>
    <row r="4131" spans="1:17" x14ac:dyDescent="0.3">
      <c r="A4131" t="s">
        <v>59</v>
      </c>
      <c r="B4131" t="str">
        <f>"300953"</f>
        <v>300953</v>
      </c>
      <c r="C4131" t="s">
        <v>8610</v>
      </c>
      <c r="D4131" t="s">
        <v>637</v>
      </c>
      <c r="F4131">
        <v>-315687420</v>
      </c>
      <c r="G4131">
        <v>-79282663</v>
      </c>
      <c r="H4131">
        <v>497714</v>
      </c>
      <c r="I4131">
        <v>31855093</v>
      </c>
      <c r="J4131">
        <v>-13482278</v>
      </c>
      <c r="K4131">
        <v>18070204</v>
      </c>
      <c r="P4131">
        <v>84</v>
      </c>
      <c r="Q4131" t="s">
        <v>8611</v>
      </c>
    </row>
    <row r="4132" spans="1:17" x14ac:dyDescent="0.3">
      <c r="A4132" t="s">
        <v>59</v>
      </c>
      <c r="B4132" t="str">
        <f>"002072"</f>
        <v>002072</v>
      </c>
      <c r="C4132" t="s">
        <v>8612</v>
      </c>
      <c r="D4132" t="s">
        <v>672</v>
      </c>
      <c r="F4132">
        <v>-89784067</v>
      </c>
      <c r="G4132">
        <v>6300200</v>
      </c>
      <c r="H4132">
        <v>338873</v>
      </c>
      <c r="I4132">
        <v>-6624519</v>
      </c>
      <c r="J4132">
        <v>12042388</v>
      </c>
      <c r="K4132">
        <v>-5796921</v>
      </c>
      <c r="L4132">
        <v>-20560130</v>
      </c>
      <c r="M4132">
        <v>-35488503</v>
      </c>
      <c r="N4132">
        <v>44643185</v>
      </c>
      <c r="O4132">
        <v>115028597</v>
      </c>
      <c r="P4132">
        <v>64</v>
      </c>
      <c r="Q4132" t="s">
        <v>8613</v>
      </c>
    </row>
    <row r="4133" spans="1:17" x14ac:dyDescent="0.3">
      <c r="A4133" t="s">
        <v>59</v>
      </c>
      <c r="B4133" t="str">
        <f>"301178"</f>
        <v>301178</v>
      </c>
      <c r="C4133" t="s">
        <v>8614</v>
      </c>
      <c r="D4133" t="s">
        <v>1189</v>
      </c>
      <c r="F4133">
        <v>-33654601</v>
      </c>
      <c r="G4133">
        <v>93325632</v>
      </c>
      <c r="H4133">
        <v>310055</v>
      </c>
      <c r="I4133">
        <v>35044357</v>
      </c>
      <c r="J4133">
        <v>5562004</v>
      </c>
      <c r="P4133">
        <v>15</v>
      </c>
      <c r="Q4133" t="s">
        <v>8615</v>
      </c>
    </row>
    <row r="4134" spans="1:17" x14ac:dyDescent="0.3">
      <c r="A4134" t="s">
        <v>59</v>
      </c>
      <c r="B4134" t="str">
        <f>"300404"</f>
        <v>300404</v>
      </c>
      <c r="C4134" t="s">
        <v>8616</v>
      </c>
      <c r="D4134" t="s">
        <v>751</v>
      </c>
      <c r="F4134">
        <v>30101747</v>
      </c>
      <c r="G4134">
        <v>97067618</v>
      </c>
      <c r="H4134">
        <v>85875</v>
      </c>
      <c r="I4134">
        <v>27059864</v>
      </c>
      <c r="J4134">
        <v>26219595</v>
      </c>
      <c r="K4134">
        <v>-34237315</v>
      </c>
      <c r="L4134">
        <v>1925986</v>
      </c>
      <c r="M4134">
        <v>25687786</v>
      </c>
      <c r="N4134">
        <v>43481060</v>
      </c>
      <c r="O4134">
        <v>41400586</v>
      </c>
      <c r="P4134">
        <v>150</v>
      </c>
      <c r="Q4134" t="s">
        <v>8617</v>
      </c>
    </row>
    <row r="4135" spans="1:17" x14ac:dyDescent="0.3">
      <c r="A4135" t="s">
        <v>17</v>
      </c>
      <c r="B4135" t="str">
        <f>"600145"</f>
        <v>600145</v>
      </c>
      <c r="C4135" t="s">
        <v>8618</v>
      </c>
      <c r="D4135" t="s">
        <v>659</v>
      </c>
      <c r="G4135">
        <v>34989638</v>
      </c>
      <c r="H4135">
        <v>17705</v>
      </c>
      <c r="I4135">
        <v>-823705</v>
      </c>
      <c r="J4135">
        <v>-344181468</v>
      </c>
      <c r="K4135">
        <v>-315964358</v>
      </c>
      <c r="L4135">
        <v>-5099721</v>
      </c>
      <c r="M4135">
        <v>-321015</v>
      </c>
      <c r="N4135">
        <v>-14451623</v>
      </c>
      <c r="O4135">
        <v>-21291017</v>
      </c>
      <c r="P4135">
        <v>46</v>
      </c>
      <c r="Q4135" t="s">
        <v>8619</v>
      </c>
    </row>
    <row r="4136" spans="1:17" x14ac:dyDescent="0.3">
      <c r="A4136" t="s">
        <v>59</v>
      </c>
      <c r="B4136" t="str">
        <f>"301050"</f>
        <v>301050</v>
      </c>
      <c r="C4136" t="s">
        <v>8620</v>
      </c>
      <c r="D4136" t="s">
        <v>1983</v>
      </c>
      <c r="F4136">
        <v>91412373</v>
      </c>
      <c r="G4136">
        <v>-44064679</v>
      </c>
      <c r="H4136">
        <v>-338920</v>
      </c>
      <c r="I4136">
        <v>-42947075</v>
      </c>
      <c r="J4136">
        <v>-40027079</v>
      </c>
      <c r="P4136">
        <v>31</v>
      </c>
      <c r="Q4136" t="s">
        <v>8621</v>
      </c>
    </row>
    <row r="4137" spans="1:17" x14ac:dyDescent="0.3">
      <c r="A4137" t="s">
        <v>17</v>
      </c>
      <c r="B4137" t="str">
        <f>"603969"</f>
        <v>603969</v>
      </c>
      <c r="C4137" t="s">
        <v>8622</v>
      </c>
      <c r="D4137" t="s">
        <v>637</v>
      </c>
      <c r="F4137">
        <v>-70280267</v>
      </c>
      <c r="G4137">
        <v>270588551</v>
      </c>
      <c r="H4137">
        <v>-353802</v>
      </c>
      <c r="I4137">
        <v>256898546</v>
      </c>
      <c r="J4137">
        <v>-34372269</v>
      </c>
      <c r="K4137">
        <v>-86388886</v>
      </c>
      <c r="L4137">
        <v>212247572</v>
      </c>
      <c r="M4137">
        <v>155008403</v>
      </c>
      <c r="N4137">
        <v>68996762</v>
      </c>
      <c r="O4137">
        <v>10576305</v>
      </c>
      <c r="P4137">
        <v>94</v>
      </c>
      <c r="Q4137" t="s">
        <v>8623</v>
      </c>
    </row>
    <row r="4138" spans="1:17" x14ac:dyDescent="0.3">
      <c r="A4138" t="s">
        <v>59</v>
      </c>
      <c r="B4138" t="str">
        <f>"300116"</f>
        <v>300116</v>
      </c>
      <c r="C4138" t="s">
        <v>8624</v>
      </c>
      <c r="D4138" t="s">
        <v>232</v>
      </c>
      <c r="F4138">
        <v>12737460</v>
      </c>
      <c r="G4138">
        <v>-352205284</v>
      </c>
      <c r="H4138">
        <v>-615627</v>
      </c>
      <c r="I4138">
        <v>289826762</v>
      </c>
      <c r="J4138">
        <v>-2009464170</v>
      </c>
      <c r="K4138">
        <v>-2153775695</v>
      </c>
      <c r="L4138">
        <v>-4002138</v>
      </c>
      <c r="M4138">
        <v>17151633</v>
      </c>
      <c r="N4138">
        <v>-10269993</v>
      </c>
      <c r="O4138">
        <v>-46763259</v>
      </c>
      <c r="P4138">
        <v>173</v>
      </c>
      <c r="Q4138" t="s">
        <v>8625</v>
      </c>
    </row>
    <row r="4139" spans="1:17" x14ac:dyDescent="0.3">
      <c r="A4139" t="s">
        <v>17</v>
      </c>
      <c r="B4139" t="str">
        <f>"600095"</f>
        <v>600095</v>
      </c>
      <c r="C4139" t="s">
        <v>8626</v>
      </c>
      <c r="D4139" t="s">
        <v>75</v>
      </c>
      <c r="F4139">
        <v>-348622639</v>
      </c>
      <c r="G4139">
        <v>254972482</v>
      </c>
      <c r="H4139">
        <v>-816184</v>
      </c>
      <c r="I4139">
        <v>30833741</v>
      </c>
      <c r="J4139">
        <v>59561726</v>
      </c>
      <c r="K4139">
        <v>124911091</v>
      </c>
      <c r="L4139">
        <v>215875890</v>
      </c>
      <c r="M4139">
        <v>30696506</v>
      </c>
      <c r="N4139">
        <v>137398768</v>
      </c>
      <c r="O4139">
        <v>51088661</v>
      </c>
      <c r="P4139">
        <v>330</v>
      </c>
      <c r="Q4139" t="s">
        <v>8627</v>
      </c>
    </row>
    <row r="4140" spans="1:17" x14ac:dyDescent="0.3">
      <c r="A4140" t="s">
        <v>17</v>
      </c>
      <c r="B4140" t="str">
        <f>"688118"</f>
        <v>688118</v>
      </c>
      <c r="C4140" t="s">
        <v>8628</v>
      </c>
      <c r="D4140" t="s">
        <v>1528</v>
      </c>
      <c r="F4140">
        <v>66794049</v>
      </c>
      <c r="G4140">
        <v>18447430</v>
      </c>
      <c r="H4140">
        <v>-1029710</v>
      </c>
      <c r="I4140">
        <v>19931062</v>
      </c>
      <c r="J4140">
        <v>30498560</v>
      </c>
      <c r="K4140">
        <v>48099184</v>
      </c>
      <c r="P4140">
        <v>71</v>
      </c>
      <c r="Q4140" t="s">
        <v>8629</v>
      </c>
    </row>
    <row r="4141" spans="1:17" x14ac:dyDescent="0.3">
      <c r="A4141" t="s">
        <v>17</v>
      </c>
      <c r="B4141" t="str">
        <f>"900919"</f>
        <v>900919</v>
      </c>
      <c r="C4141" t="s">
        <v>8630</v>
      </c>
      <c r="G4141">
        <v>-7263227.1407000003</v>
      </c>
      <c r="H4141">
        <v>-1182994.6063999999</v>
      </c>
      <c r="I4141">
        <v>-372285.35879999999</v>
      </c>
      <c r="J4141">
        <v>4542381.9264000002</v>
      </c>
      <c r="K4141">
        <v>-5338062.2879999997</v>
      </c>
      <c r="L4141">
        <v>-17479958.804000001</v>
      </c>
      <c r="M4141">
        <v>-17453987.709600002</v>
      </c>
      <c r="N4141">
        <v>-5909364.0788000003</v>
      </c>
      <c r="O4141">
        <v>-18247405.5</v>
      </c>
      <c r="P4141">
        <v>5</v>
      </c>
      <c r="Q4141" t="s">
        <v>8631</v>
      </c>
    </row>
    <row r="4142" spans="1:17" x14ac:dyDescent="0.3">
      <c r="A4142" t="s">
        <v>59</v>
      </c>
      <c r="B4142" t="str">
        <f>"301168"</f>
        <v>301168</v>
      </c>
      <c r="C4142" t="s">
        <v>8632</v>
      </c>
      <c r="D4142" t="s">
        <v>1340</v>
      </c>
      <c r="F4142">
        <v>203173745</v>
      </c>
      <c r="G4142">
        <v>11243445</v>
      </c>
      <c r="H4142">
        <v>-1257914</v>
      </c>
      <c r="I4142">
        <v>175789280</v>
      </c>
      <c r="J4142">
        <v>-86262537</v>
      </c>
      <c r="P4142">
        <v>14</v>
      </c>
      <c r="Q4142" t="s">
        <v>8633</v>
      </c>
    </row>
    <row r="4143" spans="1:17" x14ac:dyDescent="0.3">
      <c r="A4143" t="s">
        <v>17</v>
      </c>
      <c r="B4143" t="str">
        <f>"600747"</f>
        <v>600747</v>
      </c>
      <c r="C4143" t="s">
        <v>8634</v>
      </c>
      <c r="H4143">
        <v>-1345413</v>
      </c>
      <c r="I4143">
        <v>-57102337</v>
      </c>
      <c r="J4143">
        <v>4875940</v>
      </c>
      <c r="K4143">
        <v>-136132324</v>
      </c>
      <c r="L4143">
        <v>-339658228</v>
      </c>
      <c r="M4143">
        <v>-796582008</v>
      </c>
      <c r="N4143">
        <v>-235499417</v>
      </c>
      <c r="O4143">
        <v>14314778</v>
      </c>
      <c r="P4143">
        <v>21</v>
      </c>
      <c r="Q4143" t="s">
        <v>8635</v>
      </c>
    </row>
    <row r="4144" spans="1:17" x14ac:dyDescent="0.3">
      <c r="A4144" t="s">
        <v>17</v>
      </c>
      <c r="B4144" t="str">
        <f>"688296"</f>
        <v>688296</v>
      </c>
      <c r="C4144" t="s">
        <v>8636</v>
      </c>
      <c r="D4144" t="s">
        <v>1528</v>
      </c>
      <c r="F4144">
        <v>4452393</v>
      </c>
      <c r="G4144">
        <v>52424179</v>
      </c>
      <c r="H4144">
        <v>-1400482</v>
      </c>
      <c r="I4144">
        <v>15227225</v>
      </c>
      <c r="J4144">
        <v>19825169</v>
      </c>
      <c r="P4144">
        <v>24</v>
      </c>
      <c r="Q4144" t="s">
        <v>8637</v>
      </c>
    </row>
    <row r="4145" spans="1:17" x14ac:dyDescent="0.3">
      <c r="A4145" t="s">
        <v>59</v>
      </c>
      <c r="B4145" t="str">
        <f>"002574"</f>
        <v>002574</v>
      </c>
      <c r="C4145" t="s">
        <v>8638</v>
      </c>
      <c r="D4145" t="s">
        <v>2025</v>
      </c>
      <c r="F4145">
        <v>119370582</v>
      </c>
      <c r="G4145">
        <v>112076451</v>
      </c>
      <c r="H4145">
        <v>-1785810</v>
      </c>
      <c r="I4145">
        <v>24649032</v>
      </c>
      <c r="J4145">
        <v>188244319</v>
      </c>
      <c r="K4145">
        <v>258789615</v>
      </c>
      <c r="L4145">
        <v>345828729</v>
      </c>
      <c r="M4145">
        <v>371296052</v>
      </c>
      <c r="N4145">
        <v>853052568</v>
      </c>
      <c r="O4145">
        <v>91447881</v>
      </c>
      <c r="P4145">
        <v>105</v>
      </c>
      <c r="Q4145" t="s">
        <v>8639</v>
      </c>
    </row>
    <row r="4146" spans="1:17" x14ac:dyDescent="0.3">
      <c r="A4146" t="s">
        <v>17</v>
      </c>
      <c r="B4146" t="str">
        <f>"600769"</f>
        <v>600769</v>
      </c>
      <c r="C4146" t="s">
        <v>8640</v>
      </c>
      <c r="D4146" t="s">
        <v>669</v>
      </c>
      <c r="F4146">
        <v>30850999</v>
      </c>
      <c r="G4146">
        <v>19195763</v>
      </c>
      <c r="H4146">
        <v>-1799902</v>
      </c>
      <c r="I4146">
        <v>4389749</v>
      </c>
      <c r="J4146">
        <v>-2156970</v>
      </c>
      <c r="K4146">
        <v>-555099</v>
      </c>
      <c r="L4146">
        <v>-11578297</v>
      </c>
      <c r="M4146">
        <v>-2440328</v>
      </c>
      <c r="N4146">
        <v>-455268364</v>
      </c>
      <c r="O4146">
        <v>-145484854</v>
      </c>
      <c r="P4146">
        <v>65</v>
      </c>
      <c r="Q4146" t="s">
        <v>8641</v>
      </c>
    </row>
    <row r="4147" spans="1:17" x14ac:dyDescent="0.3">
      <c r="A4147" t="s">
        <v>17</v>
      </c>
      <c r="B4147" t="str">
        <f>"600212"</f>
        <v>600212</v>
      </c>
      <c r="C4147" t="s">
        <v>8642</v>
      </c>
      <c r="D4147" t="s">
        <v>672</v>
      </c>
      <c r="F4147">
        <v>-28223632</v>
      </c>
      <c r="G4147">
        <v>20396201</v>
      </c>
      <c r="H4147">
        <v>-1815123</v>
      </c>
      <c r="I4147">
        <v>-10963055</v>
      </c>
      <c r="J4147">
        <v>-4518503</v>
      </c>
      <c r="K4147">
        <v>5192921</v>
      </c>
      <c r="L4147">
        <v>21370370</v>
      </c>
      <c r="M4147">
        <v>-67963175</v>
      </c>
      <c r="N4147">
        <v>118978937</v>
      </c>
      <c r="O4147">
        <v>72987491</v>
      </c>
      <c r="P4147">
        <v>56</v>
      </c>
      <c r="Q4147" t="s">
        <v>8643</v>
      </c>
    </row>
    <row r="4148" spans="1:17" x14ac:dyDescent="0.3">
      <c r="A4148" t="s">
        <v>17</v>
      </c>
      <c r="B4148" t="str">
        <f>"688159"</f>
        <v>688159</v>
      </c>
      <c r="C4148" t="s">
        <v>8644</v>
      </c>
      <c r="D4148" t="s">
        <v>1650</v>
      </c>
      <c r="F4148">
        <v>-86718471</v>
      </c>
      <c r="G4148">
        <v>-91943278</v>
      </c>
      <c r="H4148">
        <v>-2037099</v>
      </c>
      <c r="I4148">
        <v>-77362678</v>
      </c>
      <c r="J4148">
        <v>-63291135</v>
      </c>
      <c r="K4148">
        <v>-36097076</v>
      </c>
      <c r="P4148">
        <v>94</v>
      </c>
      <c r="Q4148" t="s">
        <v>8645</v>
      </c>
    </row>
    <row r="4149" spans="1:17" x14ac:dyDescent="0.3">
      <c r="A4149" t="s">
        <v>59</v>
      </c>
      <c r="B4149" t="str">
        <f>"000545"</f>
        <v>000545</v>
      </c>
      <c r="C4149" t="s">
        <v>8646</v>
      </c>
      <c r="D4149" t="s">
        <v>1029</v>
      </c>
      <c r="F4149">
        <v>115347514</v>
      </c>
      <c r="G4149">
        <v>177693817</v>
      </c>
      <c r="H4149">
        <v>-2103663</v>
      </c>
      <c r="I4149">
        <v>-350960514</v>
      </c>
      <c r="J4149">
        <v>256582724</v>
      </c>
      <c r="K4149">
        <v>-129397711</v>
      </c>
      <c r="L4149">
        <v>67372273</v>
      </c>
      <c r="M4149">
        <v>79132972</v>
      </c>
      <c r="N4149">
        <v>164953098</v>
      </c>
      <c r="O4149">
        <v>7842274</v>
      </c>
      <c r="P4149">
        <v>106</v>
      </c>
      <c r="Q4149" t="s">
        <v>8647</v>
      </c>
    </row>
    <row r="4150" spans="1:17" x14ac:dyDescent="0.3">
      <c r="A4150" t="s">
        <v>17</v>
      </c>
      <c r="B4150" t="str">
        <f>"688595"</f>
        <v>688595</v>
      </c>
      <c r="C4150" t="s">
        <v>8648</v>
      </c>
      <c r="D4150" t="s">
        <v>759</v>
      </c>
      <c r="F4150">
        <v>122227789</v>
      </c>
      <c r="G4150">
        <v>50191628</v>
      </c>
      <c r="H4150">
        <v>-2336332</v>
      </c>
      <c r="I4150">
        <v>8548946</v>
      </c>
      <c r="J4150">
        <v>23388957</v>
      </c>
      <c r="K4150">
        <v>12287443</v>
      </c>
      <c r="P4150">
        <v>128</v>
      </c>
      <c r="Q4150" t="s">
        <v>8649</v>
      </c>
    </row>
    <row r="4151" spans="1:17" x14ac:dyDescent="0.3">
      <c r="A4151" t="s">
        <v>59</v>
      </c>
      <c r="B4151" t="str">
        <f>"000886"</f>
        <v>000886</v>
      </c>
      <c r="C4151" t="s">
        <v>8650</v>
      </c>
      <c r="D4151" t="s">
        <v>406</v>
      </c>
      <c r="F4151">
        <v>-161574950</v>
      </c>
      <c r="G4151">
        <v>-157067510</v>
      </c>
      <c r="H4151">
        <v>-2418556</v>
      </c>
      <c r="I4151">
        <v>224686444</v>
      </c>
      <c r="J4151">
        <v>371524898</v>
      </c>
      <c r="K4151">
        <v>93598460</v>
      </c>
      <c r="L4151">
        <v>-38400725</v>
      </c>
      <c r="M4151">
        <v>-98567926</v>
      </c>
      <c r="N4151">
        <v>65078774</v>
      </c>
      <c r="O4151">
        <v>325758544</v>
      </c>
      <c r="P4151">
        <v>130</v>
      </c>
      <c r="Q4151" t="s">
        <v>8651</v>
      </c>
    </row>
    <row r="4152" spans="1:17" x14ac:dyDescent="0.3">
      <c r="A4152" t="s">
        <v>17</v>
      </c>
      <c r="B4152" t="str">
        <f>"600615"</f>
        <v>600615</v>
      </c>
      <c r="C4152" t="s">
        <v>8652</v>
      </c>
      <c r="D4152" t="s">
        <v>987</v>
      </c>
      <c r="F4152">
        <v>-56652393</v>
      </c>
      <c r="G4152">
        <v>-15689001</v>
      </c>
      <c r="H4152">
        <v>-2459556</v>
      </c>
      <c r="I4152">
        <v>4527608</v>
      </c>
      <c r="J4152">
        <v>51846322</v>
      </c>
      <c r="K4152">
        <v>1513401</v>
      </c>
      <c r="L4152">
        <v>-19127360</v>
      </c>
      <c r="M4152">
        <v>-23421503</v>
      </c>
      <c r="N4152">
        <v>693982</v>
      </c>
      <c r="O4152">
        <v>-9471054</v>
      </c>
      <c r="P4152">
        <v>66</v>
      </c>
      <c r="Q4152" t="s">
        <v>8653</v>
      </c>
    </row>
    <row r="4153" spans="1:17" x14ac:dyDescent="0.3">
      <c r="A4153" t="s">
        <v>59</v>
      </c>
      <c r="B4153" t="str">
        <f>"301213"</f>
        <v>301213</v>
      </c>
      <c r="C4153" t="s">
        <v>8654</v>
      </c>
      <c r="D4153" t="s">
        <v>1983</v>
      </c>
      <c r="F4153">
        <v>-19797815</v>
      </c>
      <c r="G4153">
        <v>3455105</v>
      </c>
      <c r="H4153">
        <v>-2593799</v>
      </c>
      <c r="I4153">
        <v>5724301</v>
      </c>
      <c r="J4153">
        <v>8246507</v>
      </c>
      <c r="P4153">
        <v>16</v>
      </c>
      <c r="Q4153" t="s">
        <v>8655</v>
      </c>
    </row>
    <row r="4154" spans="1:17" x14ac:dyDescent="0.3">
      <c r="A4154" t="s">
        <v>17</v>
      </c>
      <c r="B4154" t="str">
        <f>"600086"</f>
        <v>600086</v>
      </c>
      <c r="C4154" t="s">
        <v>8656</v>
      </c>
      <c r="H4154">
        <v>-2692359</v>
      </c>
      <c r="I4154">
        <v>-146911164</v>
      </c>
      <c r="J4154">
        <v>-1780883995</v>
      </c>
      <c r="K4154">
        <v>-1089365285</v>
      </c>
      <c r="L4154">
        <v>-1680379865</v>
      </c>
      <c r="M4154">
        <v>-339930111</v>
      </c>
      <c r="N4154">
        <v>-318855604</v>
      </c>
      <c r="O4154">
        <v>339681049</v>
      </c>
      <c r="P4154">
        <v>73</v>
      </c>
      <c r="Q4154" t="s">
        <v>8657</v>
      </c>
    </row>
    <row r="4155" spans="1:17" x14ac:dyDescent="0.3">
      <c r="A4155" t="s">
        <v>59</v>
      </c>
      <c r="B4155" t="str">
        <f>"002977"</f>
        <v>002977</v>
      </c>
      <c r="C4155" t="s">
        <v>8658</v>
      </c>
      <c r="D4155" t="s">
        <v>1983</v>
      </c>
      <c r="F4155">
        <v>4438228</v>
      </c>
      <c r="G4155">
        <v>27892068</v>
      </c>
      <c r="H4155">
        <v>-2741062</v>
      </c>
      <c r="I4155">
        <v>60596359</v>
      </c>
      <c r="J4155">
        <v>46831197</v>
      </c>
      <c r="P4155">
        <v>126</v>
      </c>
      <c r="Q4155" t="s">
        <v>8659</v>
      </c>
    </row>
    <row r="4156" spans="1:17" x14ac:dyDescent="0.3">
      <c r="A4156" t="s">
        <v>17</v>
      </c>
      <c r="B4156" t="str">
        <f>"600354"</f>
        <v>600354</v>
      </c>
      <c r="C4156" t="s">
        <v>8660</v>
      </c>
      <c r="D4156" t="s">
        <v>4417</v>
      </c>
      <c r="F4156">
        <v>111667158</v>
      </c>
      <c r="G4156">
        <v>118617084</v>
      </c>
      <c r="H4156">
        <v>-2746985</v>
      </c>
      <c r="I4156">
        <v>-82786226</v>
      </c>
      <c r="J4156">
        <v>-261711450</v>
      </c>
      <c r="K4156">
        <v>-287835391</v>
      </c>
      <c r="L4156">
        <v>307415663</v>
      </c>
      <c r="M4156">
        <v>472165582</v>
      </c>
      <c r="N4156">
        <v>205683275</v>
      </c>
      <c r="O4156">
        <v>491635386</v>
      </c>
      <c r="P4156">
        <v>121</v>
      </c>
      <c r="Q4156" t="s">
        <v>8661</v>
      </c>
    </row>
    <row r="4157" spans="1:17" x14ac:dyDescent="0.3">
      <c r="A4157" t="s">
        <v>17</v>
      </c>
      <c r="B4157" t="str">
        <f>"600520"</f>
        <v>600520</v>
      </c>
      <c r="C4157" t="s">
        <v>8662</v>
      </c>
      <c r="D4157" t="s">
        <v>1351</v>
      </c>
      <c r="F4157">
        <v>18605908</v>
      </c>
      <c r="G4157">
        <v>53320626</v>
      </c>
      <c r="H4157">
        <v>-2826219</v>
      </c>
      <c r="I4157">
        <v>8070416</v>
      </c>
      <c r="J4157">
        <v>7294621</v>
      </c>
      <c r="K4157">
        <v>10544292</v>
      </c>
      <c r="L4157">
        <v>-5238869</v>
      </c>
      <c r="M4157">
        <v>-92429103</v>
      </c>
      <c r="N4157">
        <v>23317545</v>
      </c>
      <c r="O4157">
        <v>-8662998</v>
      </c>
      <c r="P4157">
        <v>73</v>
      </c>
      <c r="Q4157" t="s">
        <v>8663</v>
      </c>
    </row>
    <row r="4158" spans="1:17" x14ac:dyDescent="0.3">
      <c r="A4158" t="s">
        <v>59</v>
      </c>
      <c r="B4158" t="str">
        <f>"002018"</f>
        <v>002018</v>
      </c>
      <c r="C4158" t="s">
        <v>8664</v>
      </c>
      <c r="H4158">
        <v>-2998241</v>
      </c>
      <c r="I4158">
        <v>-119263936</v>
      </c>
      <c r="J4158">
        <v>470726172</v>
      </c>
      <c r="K4158">
        <v>-1932045948</v>
      </c>
      <c r="L4158">
        <v>32027705</v>
      </c>
      <c r="M4158">
        <v>-794546089</v>
      </c>
      <c r="N4158">
        <v>-283566156</v>
      </c>
      <c r="O4158">
        <v>88894709</v>
      </c>
      <c r="P4158">
        <v>40</v>
      </c>
      <c r="Q4158" t="s">
        <v>8665</v>
      </c>
    </row>
    <row r="4159" spans="1:17" x14ac:dyDescent="0.3">
      <c r="A4159" t="s">
        <v>59</v>
      </c>
      <c r="B4159" t="str">
        <f>"300028"</f>
        <v>300028</v>
      </c>
      <c r="C4159" t="s">
        <v>8666</v>
      </c>
      <c r="H4159">
        <v>-3036214</v>
      </c>
      <c r="I4159">
        <v>-26410265</v>
      </c>
      <c r="J4159">
        <v>-33014165</v>
      </c>
      <c r="K4159">
        <v>37046313</v>
      </c>
      <c r="L4159">
        <v>174730853</v>
      </c>
      <c r="M4159">
        <v>204025814</v>
      </c>
      <c r="N4159">
        <v>-39926742</v>
      </c>
      <c r="O4159">
        <v>11680155</v>
      </c>
      <c r="P4159">
        <v>31</v>
      </c>
      <c r="Q4159" t="s">
        <v>8667</v>
      </c>
    </row>
    <row r="4160" spans="1:17" x14ac:dyDescent="0.3">
      <c r="A4160" t="s">
        <v>59</v>
      </c>
      <c r="B4160" t="str">
        <f>"002699"</f>
        <v>002699</v>
      </c>
      <c r="C4160" t="s">
        <v>8668</v>
      </c>
      <c r="D4160" t="s">
        <v>1059</v>
      </c>
      <c r="F4160">
        <v>69695943</v>
      </c>
      <c r="G4160">
        <v>190942289</v>
      </c>
      <c r="H4160">
        <v>-3153863</v>
      </c>
      <c r="I4160">
        <v>136570391</v>
      </c>
      <c r="J4160">
        <v>199216807</v>
      </c>
      <c r="K4160">
        <v>38327490</v>
      </c>
      <c r="L4160">
        <v>51647399</v>
      </c>
      <c r="M4160">
        <v>-22495807</v>
      </c>
      <c r="N4160">
        <v>49718270</v>
      </c>
      <c r="O4160">
        <v>64977252</v>
      </c>
      <c r="P4160">
        <v>157</v>
      </c>
      <c r="Q4160" t="s">
        <v>8669</v>
      </c>
    </row>
    <row r="4161" spans="1:17" x14ac:dyDescent="0.3">
      <c r="A4161" t="s">
        <v>17</v>
      </c>
      <c r="B4161" t="str">
        <f>"688655"</f>
        <v>688655</v>
      </c>
      <c r="C4161" t="s">
        <v>8670</v>
      </c>
      <c r="D4161" t="s">
        <v>539</v>
      </c>
      <c r="F4161">
        <v>85349442</v>
      </c>
      <c r="G4161">
        <v>54408356</v>
      </c>
      <c r="H4161">
        <v>-3211178</v>
      </c>
      <c r="I4161">
        <v>23996355</v>
      </c>
      <c r="J4161">
        <v>-28005656</v>
      </c>
      <c r="P4161">
        <v>21</v>
      </c>
      <c r="Q4161" t="s">
        <v>8671</v>
      </c>
    </row>
    <row r="4162" spans="1:17" x14ac:dyDescent="0.3">
      <c r="A4162" t="s">
        <v>17</v>
      </c>
      <c r="B4162" t="str">
        <f>"603066"</f>
        <v>603066</v>
      </c>
      <c r="C4162" t="s">
        <v>8672</v>
      </c>
      <c r="D4162" t="s">
        <v>301</v>
      </c>
      <c r="F4162">
        <v>84154820</v>
      </c>
      <c r="G4162">
        <v>128633433</v>
      </c>
      <c r="H4162">
        <v>-3223565</v>
      </c>
      <c r="I4162">
        <v>50779406</v>
      </c>
      <c r="J4162">
        <v>42714104</v>
      </c>
      <c r="K4162">
        <v>41678322</v>
      </c>
      <c r="L4162">
        <v>114612621</v>
      </c>
      <c r="M4162">
        <v>60337987</v>
      </c>
      <c r="N4162">
        <v>35520368</v>
      </c>
      <c r="O4162">
        <v>51058523</v>
      </c>
      <c r="P4162">
        <v>116</v>
      </c>
      <c r="Q4162" t="s">
        <v>8673</v>
      </c>
    </row>
    <row r="4163" spans="1:17" x14ac:dyDescent="0.3">
      <c r="A4163" t="s">
        <v>59</v>
      </c>
      <c r="B4163" t="str">
        <f>"000576"</f>
        <v>000576</v>
      </c>
      <c r="C4163" t="s">
        <v>8674</v>
      </c>
      <c r="D4163" t="s">
        <v>606</v>
      </c>
      <c r="F4163">
        <v>120384563</v>
      </c>
      <c r="G4163">
        <v>-163912</v>
      </c>
      <c r="H4163">
        <v>-3295348</v>
      </c>
      <c r="I4163">
        <v>328310335</v>
      </c>
      <c r="J4163">
        <v>-5296897</v>
      </c>
      <c r="K4163">
        <v>1262514</v>
      </c>
      <c r="L4163">
        <v>-68728410</v>
      </c>
      <c r="M4163">
        <v>-36186150</v>
      </c>
      <c r="N4163">
        <v>-80078330</v>
      </c>
      <c r="O4163">
        <v>-94199182</v>
      </c>
      <c r="P4163">
        <v>161</v>
      </c>
      <c r="Q4163" t="s">
        <v>8675</v>
      </c>
    </row>
    <row r="4164" spans="1:17" x14ac:dyDescent="0.3">
      <c r="A4164" t="s">
        <v>17</v>
      </c>
      <c r="B4164" t="str">
        <f>"603557"</f>
        <v>603557</v>
      </c>
      <c r="C4164" t="s">
        <v>8676</v>
      </c>
      <c r="D4164" t="s">
        <v>3416</v>
      </c>
      <c r="F4164">
        <v>-603976134</v>
      </c>
      <c r="G4164">
        <v>-88100177</v>
      </c>
      <c r="H4164">
        <v>-3393417</v>
      </c>
      <c r="I4164">
        <v>63564550</v>
      </c>
      <c r="J4164">
        <v>136763607</v>
      </c>
      <c r="K4164">
        <v>99668388</v>
      </c>
      <c r="L4164">
        <v>16425390</v>
      </c>
      <c r="M4164">
        <v>-16453662</v>
      </c>
      <c r="P4164">
        <v>118</v>
      </c>
      <c r="Q4164" t="s">
        <v>8677</v>
      </c>
    </row>
    <row r="4165" spans="1:17" x14ac:dyDescent="0.3">
      <c r="A4165" t="s">
        <v>17</v>
      </c>
      <c r="B4165" t="str">
        <f>"688568"</f>
        <v>688568</v>
      </c>
      <c r="C4165" t="s">
        <v>8678</v>
      </c>
      <c r="D4165" t="s">
        <v>1189</v>
      </c>
      <c r="F4165">
        <v>166951628</v>
      </c>
      <c r="G4165">
        <v>79453332</v>
      </c>
      <c r="H4165">
        <v>-3435825</v>
      </c>
      <c r="I4165">
        <v>17599520</v>
      </c>
      <c r="J4165">
        <v>5556650</v>
      </c>
      <c r="K4165">
        <v>-10987505</v>
      </c>
      <c r="P4165">
        <v>98</v>
      </c>
      <c r="Q4165" t="s">
        <v>8679</v>
      </c>
    </row>
    <row r="4166" spans="1:17" x14ac:dyDescent="0.3">
      <c r="A4166" t="s">
        <v>59</v>
      </c>
      <c r="B4166" t="str">
        <f>"000995"</f>
        <v>000995</v>
      </c>
      <c r="C4166" t="s">
        <v>8680</v>
      </c>
      <c r="D4166" t="s">
        <v>67</v>
      </c>
      <c r="F4166">
        <v>-2064303</v>
      </c>
      <c r="G4166">
        <v>-990563</v>
      </c>
      <c r="H4166">
        <v>-3526091</v>
      </c>
      <c r="I4166">
        <v>-2986446</v>
      </c>
      <c r="J4166">
        <v>-25957203</v>
      </c>
      <c r="K4166">
        <v>17681817</v>
      </c>
      <c r="L4166">
        <v>-98599180</v>
      </c>
      <c r="M4166">
        <v>-49197567</v>
      </c>
      <c r="N4166">
        <v>-10495907</v>
      </c>
      <c r="O4166">
        <v>22147506</v>
      </c>
      <c r="P4166">
        <v>175</v>
      </c>
      <c r="Q4166" t="s">
        <v>8681</v>
      </c>
    </row>
    <row r="4167" spans="1:17" x14ac:dyDescent="0.3">
      <c r="A4167" t="s">
        <v>17</v>
      </c>
      <c r="B4167" t="str">
        <f>"900922"</f>
        <v>900922</v>
      </c>
      <c r="C4167" t="s">
        <v>8682</v>
      </c>
      <c r="G4167">
        <v>5783590.3146000002</v>
      </c>
      <c r="H4167">
        <v>-3650858.6852000002</v>
      </c>
      <c r="I4167">
        <v>1021497.6674</v>
      </c>
      <c r="J4167">
        <v>660179.09759999998</v>
      </c>
      <c r="K4167">
        <v>2813593.5359999998</v>
      </c>
      <c r="L4167">
        <v>6285.2020000000002</v>
      </c>
      <c r="M4167">
        <v>-960790.36560000002</v>
      </c>
      <c r="N4167">
        <v>-22627142.344799999</v>
      </c>
      <c r="O4167">
        <v>-9020317.7984999996</v>
      </c>
      <c r="P4167">
        <v>9</v>
      </c>
      <c r="Q4167" t="s">
        <v>8683</v>
      </c>
    </row>
    <row r="4168" spans="1:17" x14ac:dyDescent="0.3">
      <c r="A4168" t="s">
        <v>17</v>
      </c>
      <c r="B4168" t="str">
        <f>"900917"</f>
        <v>900917</v>
      </c>
      <c r="C4168" t="s">
        <v>8684</v>
      </c>
      <c r="G4168">
        <v>18731327.4419</v>
      </c>
      <c r="H4168">
        <v>-3735812.7324000001</v>
      </c>
      <c r="I4168">
        <v>8070271.5674000001</v>
      </c>
      <c r="J4168">
        <v>2044874.0352</v>
      </c>
      <c r="K4168">
        <v>-2857175.28</v>
      </c>
      <c r="L4168">
        <v>-18153606.239999998</v>
      </c>
      <c r="M4168">
        <v>5051256.9692000002</v>
      </c>
      <c r="N4168">
        <v>-5873307.6919999998</v>
      </c>
      <c r="O4168">
        <v>5457026.9639999997</v>
      </c>
      <c r="P4168">
        <v>12</v>
      </c>
      <c r="Q4168" t="s">
        <v>8685</v>
      </c>
    </row>
    <row r="4169" spans="1:17" x14ac:dyDescent="0.3">
      <c r="A4169" t="s">
        <v>17</v>
      </c>
      <c r="B4169" t="str">
        <f>"900955"</f>
        <v>900955</v>
      </c>
      <c r="C4169" t="s">
        <v>8686</v>
      </c>
      <c r="G4169">
        <v>-4014837.2239999999</v>
      </c>
      <c r="H4169">
        <v>-3965048.3051999998</v>
      </c>
      <c r="I4169">
        <v>-16672787.104800001</v>
      </c>
      <c r="J4169">
        <v>-18740955.187199999</v>
      </c>
      <c r="K4169">
        <v>-23106133.008000001</v>
      </c>
      <c r="L4169">
        <v>-34078046.156000003</v>
      </c>
      <c r="M4169">
        <v>-41491192.397200003</v>
      </c>
      <c r="N4169">
        <v>5897091.8663999997</v>
      </c>
      <c r="O4169">
        <v>-11971808.794500001</v>
      </c>
      <c r="P4169">
        <v>4</v>
      </c>
      <c r="Q4169" t="s">
        <v>8687</v>
      </c>
    </row>
    <row r="4170" spans="1:17" x14ac:dyDescent="0.3">
      <c r="A4170" t="s">
        <v>17</v>
      </c>
      <c r="B4170" t="str">
        <f>"600766"</f>
        <v>600766</v>
      </c>
      <c r="C4170" t="s">
        <v>8688</v>
      </c>
      <c r="D4170" t="s">
        <v>530</v>
      </c>
      <c r="F4170">
        <v>6876121</v>
      </c>
      <c r="G4170">
        <v>-5174467</v>
      </c>
      <c r="H4170">
        <v>-4007888</v>
      </c>
      <c r="I4170">
        <v>1768427</v>
      </c>
      <c r="J4170">
        <v>6360084</v>
      </c>
      <c r="K4170">
        <v>5646363</v>
      </c>
      <c r="L4170">
        <v>18347010</v>
      </c>
      <c r="M4170">
        <v>29016095</v>
      </c>
      <c r="N4170">
        <v>20493287</v>
      </c>
      <c r="O4170">
        <v>42641969</v>
      </c>
      <c r="P4170">
        <v>79</v>
      </c>
      <c r="Q4170" t="s">
        <v>8689</v>
      </c>
    </row>
    <row r="4171" spans="1:17" x14ac:dyDescent="0.3">
      <c r="A4171" t="s">
        <v>59</v>
      </c>
      <c r="B4171" t="str">
        <f>"301235"</f>
        <v>301235</v>
      </c>
      <c r="C4171" t="s">
        <v>8690</v>
      </c>
      <c r="F4171">
        <v>44592690</v>
      </c>
      <c r="G4171">
        <v>84648728</v>
      </c>
      <c r="H4171">
        <v>-4128823</v>
      </c>
      <c r="I4171">
        <v>-61521365</v>
      </c>
      <c r="J4171">
        <v>-50659891</v>
      </c>
      <c r="P4171">
        <v>11</v>
      </c>
      <c r="Q4171" t="s">
        <v>8691</v>
      </c>
    </row>
    <row r="4172" spans="1:17" x14ac:dyDescent="0.3">
      <c r="A4172" t="s">
        <v>59</v>
      </c>
      <c r="B4172" t="str">
        <f>"000798"</f>
        <v>000798</v>
      </c>
      <c r="C4172" t="s">
        <v>8692</v>
      </c>
      <c r="D4172" t="s">
        <v>4538</v>
      </c>
      <c r="F4172">
        <v>89061330</v>
      </c>
      <c r="G4172">
        <v>-62889408</v>
      </c>
      <c r="H4172">
        <v>-4220888</v>
      </c>
      <c r="I4172">
        <v>12594931</v>
      </c>
      <c r="J4172">
        <v>148715129</v>
      </c>
      <c r="K4172">
        <v>30318856</v>
      </c>
      <c r="L4172">
        <v>64273380</v>
      </c>
      <c r="M4172">
        <v>-15662680</v>
      </c>
      <c r="N4172">
        <v>93147017</v>
      </c>
      <c r="O4172">
        <v>14214823</v>
      </c>
      <c r="P4172">
        <v>83</v>
      </c>
      <c r="Q4172" t="s">
        <v>8693</v>
      </c>
    </row>
    <row r="4173" spans="1:17" x14ac:dyDescent="0.3">
      <c r="A4173" t="s">
        <v>17</v>
      </c>
      <c r="B4173" t="str">
        <f>"600506"</f>
        <v>600506</v>
      </c>
      <c r="C4173" t="s">
        <v>8694</v>
      </c>
      <c r="D4173" t="s">
        <v>1831</v>
      </c>
      <c r="F4173">
        <v>-7968032</v>
      </c>
      <c r="G4173">
        <v>-5548082</v>
      </c>
      <c r="H4173">
        <v>-4285563</v>
      </c>
      <c r="I4173">
        <v>14746859</v>
      </c>
      <c r="J4173">
        <v>3803347</v>
      </c>
      <c r="K4173">
        <v>-21690697</v>
      </c>
      <c r="L4173">
        <v>14242530</v>
      </c>
      <c r="M4173">
        <v>2894139</v>
      </c>
      <c r="N4173">
        <v>-50266</v>
      </c>
      <c r="O4173">
        <v>-45123228</v>
      </c>
      <c r="P4173">
        <v>67</v>
      </c>
      <c r="Q4173" t="s">
        <v>8695</v>
      </c>
    </row>
    <row r="4174" spans="1:17" x14ac:dyDescent="0.3">
      <c r="A4174" t="s">
        <v>17</v>
      </c>
      <c r="B4174" t="str">
        <f>"600099"</f>
        <v>600099</v>
      </c>
      <c r="C4174" t="s">
        <v>8696</v>
      </c>
      <c r="D4174" t="s">
        <v>1391</v>
      </c>
      <c r="F4174">
        <v>-6717193</v>
      </c>
      <c r="G4174">
        <v>33787783</v>
      </c>
      <c r="H4174">
        <v>-4531283</v>
      </c>
      <c r="I4174">
        <v>-19680</v>
      </c>
      <c r="J4174">
        <v>-14547930</v>
      </c>
      <c r="K4174">
        <v>-7154693</v>
      </c>
      <c r="L4174">
        <v>19933731</v>
      </c>
      <c r="M4174">
        <v>-22643758</v>
      </c>
      <c r="N4174">
        <v>-24214849</v>
      </c>
      <c r="O4174">
        <v>638852</v>
      </c>
      <c r="P4174">
        <v>74</v>
      </c>
      <c r="Q4174" t="s">
        <v>8697</v>
      </c>
    </row>
    <row r="4175" spans="1:17" x14ac:dyDescent="0.3">
      <c r="A4175" t="s">
        <v>59</v>
      </c>
      <c r="B4175" t="str">
        <f>"002509"</f>
        <v>002509</v>
      </c>
      <c r="C4175" t="s">
        <v>8698</v>
      </c>
      <c r="H4175">
        <v>-4620185</v>
      </c>
      <c r="I4175">
        <v>-160329302</v>
      </c>
      <c r="J4175">
        <v>-561804599</v>
      </c>
      <c r="K4175">
        <v>-386429129</v>
      </c>
      <c r="L4175">
        <v>70039993</v>
      </c>
      <c r="M4175">
        <v>-15218628</v>
      </c>
      <c r="N4175">
        <v>16444846</v>
      </c>
      <c r="O4175">
        <v>63480554</v>
      </c>
      <c r="P4175">
        <v>60</v>
      </c>
      <c r="Q4175" t="s">
        <v>8699</v>
      </c>
    </row>
    <row r="4176" spans="1:17" x14ac:dyDescent="0.3">
      <c r="A4176" t="s">
        <v>17</v>
      </c>
      <c r="B4176" t="str">
        <f>"688039"</f>
        <v>688039</v>
      </c>
      <c r="C4176" t="s">
        <v>8700</v>
      </c>
      <c r="D4176" t="s">
        <v>1189</v>
      </c>
      <c r="F4176">
        <v>-45201615</v>
      </c>
      <c r="G4176">
        <v>28660068</v>
      </c>
      <c r="H4176">
        <v>-4630273</v>
      </c>
      <c r="I4176">
        <v>6205538</v>
      </c>
      <c r="J4176">
        <v>14410495</v>
      </c>
      <c r="K4176">
        <v>5251426</v>
      </c>
      <c r="P4176">
        <v>155</v>
      </c>
      <c r="Q4176" t="s">
        <v>8701</v>
      </c>
    </row>
    <row r="4177" spans="1:17" x14ac:dyDescent="0.3">
      <c r="A4177" t="s">
        <v>59</v>
      </c>
      <c r="B4177" t="str">
        <f>"300719"</f>
        <v>300719</v>
      </c>
      <c r="C4177" t="s">
        <v>8702</v>
      </c>
      <c r="D4177" t="s">
        <v>448</v>
      </c>
      <c r="F4177">
        <v>133920423</v>
      </c>
      <c r="G4177">
        <v>-16323362</v>
      </c>
      <c r="H4177">
        <v>-4823977</v>
      </c>
      <c r="I4177">
        <v>-100509321</v>
      </c>
      <c r="J4177">
        <v>-143897656</v>
      </c>
      <c r="K4177">
        <v>114417522</v>
      </c>
      <c r="L4177">
        <v>74962890</v>
      </c>
      <c r="M4177">
        <v>18629035</v>
      </c>
      <c r="P4177">
        <v>93</v>
      </c>
      <c r="Q4177" t="s">
        <v>8703</v>
      </c>
    </row>
    <row r="4178" spans="1:17" x14ac:dyDescent="0.3">
      <c r="A4178" t="s">
        <v>59</v>
      </c>
      <c r="B4178" t="str">
        <f>"300678"</f>
        <v>300678</v>
      </c>
      <c r="C4178" t="s">
        <v>8704</v>
      </c>
      <c r="D4178" t="s">
        <v>1189</v>
      </c>
      <c r="F4178">
        <v>27956229</v>
      </c>
      <c r="G4178">
        <v>-18999474</v>
      </c>
      <c r="H4178">
        <v>-4971602</v>
      </c>
      <c r="I4178">
        <v>-12732925</v>
      </c>
      <c r="J4178">
        <v>12052327</v>
      </c>
      <c r="K4178">
        <v>-20974759</v>
      </c>
      <c r="L4178">
        <v>7486047</v>
      </c>
      <c r="M4178">
        <v>-6174154</v>
      </c>
      <c r="P4178">
        <v>105</v>
      </c>
      <c r="Q4178" t="s">
        <v>8705</v>
      </c>
    </row>
    <row r="4179" spans="1:17" x14ac:dyDescent="0.3">
      <c r="A4179" t="s">
        <v>59</v>
      </c>
      <c r="B4179" t="str">
        <f>"000055"</f>
        <v>000055</v>
      </c>
      <c r="C4179" t="s">
        <v>8706</v>
      </c>
      <c r="D4179" t="s">
        <v>1041</v>
      </c>
      <c r="F4179">
        <v>-63425296</v>
      </c>
      <c r="G4179">
        <v>548709786</v>
      </c>
      <c r="H4179">
        <v>-5284831</v>
      </c>
      <c r="I4179">
        <v>387102720</v>
      </c>
      <c r="J4179">
        <v>557833146</v>
      </c>
      <c r="K4179">
        <v>465717075</v>
      </c>
      <c r="L4179">
        <v>-360115114</v>
      </c>
      <c r="M4179">
        <v>-557893929</v>
      </c>
      <c r="N4179">
        <v>156544620</v>
      </c>
      <c r="O4179">
        <v>59262071</v>
      </c>
      <c r="P4179">
        <v>318</v>
      </c>
      <c r="Q4179" t="s">
        <v>8707</v>
      </c>
    </row>
    <row r="4180" spans="1:17" x14ac:dyDescent="0.3">
      <c r="A4180" t="s">
        <v>17</v>
      </c>
      <c r="B4180" t="str">
        <f>"688536"</f>
        <v>688536</v>
      </c>
      <c r="C4180" t="s">
        <v>8708</v>
      </c>
      <c r="D4180" t="s">
        <v>759</v>
      </c>
      <c r="F4180">
        <v>241741018</v>
      </c>
      <c r="G4180">
        <v>226399944</v>
      </c>
      <c r="H4180">
        <v>-5317130</v>
      </c>
      <c r="I4180">
        <v>-4367363</v>
      </c>
      <c r="J4180">
        <v>17582367</v>
      </c>
      <c r="P4180">
        <v>199</v>
      </c>
      <c r="Q4180" t="s">
        <v>8709</v>
      </c>
    </row>
    <row r="4181" spans="1:17" x14ac:dyDescent="0.3">
      <c r="A4181" t="s">
        <v>59</v>
      </c>
      <c r="B4181" t="str">
        <f>"300959"</f>
        <v>300959</v>
      </c>
      <c r="C4181" t="s">
        <v>8710</v>
      </c>
      <c r="D4181" t="s">
        <v>4468</v>
      </c>
      <c r="F4181">
        <v>62408841</v>
      </c>
      <c r="G4181">
        <v>6007384</v>
      </c>
      <c r="H4181">
        <v>-5426355</v>
      </c>
      <c r="I4181">
        <v>-42297661</v>
      </c>
      <c r="J4181">
        <v>7652652</v>
      </c>
      <c r="K4181">
        <v>10333711</v>
      </c>
      <c r="P4181">
        <v>31</v>
      </c>
      <c r="Q4181" t="s">
        <v>8711</v>
      </c>
    </row>
    <row r="4182" spans="1:17" x14ac:dyDescent="0.3">
      <c r="A4182" t="s">
        <v>17</v>
      </c>
      <c r="B4182" t="str">
        <f>"600538"</f>
        <v>600538</v>
      </c>
      <c r="C4182" t="s">
        <v>8712</v>
      </c>
      <c r="D4182" t="s">
        <v>396</v>
      </c>
      <c r="F4182">
        <v>-6338055</v>
      </c>
      <c r="G4182">
        <v>26844786</v>
      </c>
      <c r="H4182">
        <v>-5442980</v>
      </c>
      <c r="I4182">
        <v>-33751596</v>
      </c>
      <c r="J4182">
        <v>36120222</v>
      </c>
      <c r="K4182">
        <v>-18593188</v>
      </c>
      <c r="L4182">
        <v>-6536685</v>
      </c>
      <c r="M4182">
        <v>-41047746</v>
      </c>
      <c r="N4182">
        <v>-4948439</v>
      </c>
      <c r="O4182">
        <v>-24086550</v>
      </c>
      <c r="P4182">
        <v>69</v>
      </c>
      <c r="Q4182" t="s">
        <v>8713</v>
      </c>
    </row>
    <row r="4183" spans="1:17" x14ac:dyDescent="0.3">
      <c r="A4183" t="s">
        <v>59</v>
      </c>
      <c r="B4183" t="str">
        <f>"300548"</f>
        <v>300548</v>
      </c>
      <c r="C4183" t="s">
        <v>8714</v>
      </c>
      <c r="D4183" t="s">
        <v>352</v>
      </c>
      <c r="F4183">
        <v>96467955</v>
      </c>
      <c r="G4183">
        <v>-52436927</v>
      </c>
      <c r="H4183">
        <v>-5683443</v>
      </c>
      <c r="I4183">
        <v>90314713</v>
      </c>
      <c r="J4183">
        <v>74062770</v>
      </c>
      <c r="K4183">
        <v>66346786</v>
      </c>
      <c r="L4183">
        <v>12638478</v>
      </c>
      <c r="M4183">
        <v>32622672</v>
      </c>
      <c r="N4183">
        <v>66282069</v>
      </c>
      <c r="P4183">
        <v>289</v>
      </c>
      <c r="Q4183" t="s">
        <v>8715</v>
      </c>
    </row>
    <row r="4184" spans="1:17" x14ac:dyDescent="0.3">
      <c r="A4184" t="s">
        <v>59</v>
      </c>
      <c r="B4184" t="str">
        <f>"000788"</f>
        <v>000788</v>
      </c>
      <c r="C4184" t="s">
        <v>8716</v>
      </c>
      <c r="D4184" t="s">
        <v>592</v>
      </c>
      <c r="F4184">
        <v>59142996</v>
      </c>
      <c r="G4184">
        <v>-68141310</v>
      </c>
      <c r="H4184">
        <v>-5782069</v>
      </c>
      <c r="I4184">
        <v>204374334</v>
      </c>
      <c r="J4184">
        <v>-26337118</v>
      </c>
      <c r="K4184">
        <v>-116935479</v>
      </c>
      <c r="L4184">
        <v>408667748</v>
      </c>
      <c r="M4184">
        <v>165991410</v>
      </c>
      <c r="N4184">
        <v>89074893</v>
      </c>
      <c r="O4184">
        <v>96188344</v>
      </c>
      <c r="P4184">
        <v>137</v>
      </c>
      <c r="Q4184" t="s">
        <v>8717</v>
      </c>
    </row>
    <row r="4185" spans="1:17" x14ac:dyDescent="0.3">
      <c r="A4185" t="s">
        <v>59</v>
      </c>
      <c r="B4185" t="str">
        <f>"300762"</f>
        <v>300762</v>
      </c>
      <c r="C4185" t="s">
        <v>8718</v>
      </c>
      <c r="D4185" t="s">
        <v>1983</v>
      </c>
      <c r="F4185">
        <v>222424607</v>
      </c>
      <c r="G4185">
        <v>75789689</v>
      </c>
      <c r="H4185">
        <v>-5897511</v>
      </c>
      <c r="I4185">
        <v>-40127206</v>
      </c>
      <c r="J4185">
        <v>-47037305</v>
      </c>
      <c r="K4185">
        <v>-87343569</v>
      </c>
      <c r="P4185">
        <v>181</v>
      </c>
      <c r="Q4185" t="s">
        <v>8719</v>
      </c>
    </row>
    <row r="4186" spans="1:17" x14ac:dyDescent="0.3">
      <c r="A4186" t="s">
        <v>59</v>
      </c>
      <c r="B4186" t="str">
        <f>"200055"</f>
        <v>200055</v>
      </c>
      <c r="C4186" t="s">
        <v>8720</v>
      </c>
      <c r="F4186">
        <v>-77556451.948799998</v>
      </c>
      <c r="G4186">
        <v>650824677.17460001</v>
      </c>
      <c r="H4186">
        <v>-5911083.4735000003</v>
      </c>
      <c r="I4186">
        <v>440716446.72000003</v>
      </c>
      <c r="J4186">
        <v>669511341.82920003</v>
      </c>
      <c r="K4186">
        <v>519833399.11500001</v>
      </c>
      <c r="L4186">
        <v>-429869411.58179998</v>
      </c>
      <c r="M4186">
        <v>-697590568.82159996</v>
      </c>
      <c r="N4186">
        <v>200643239.454</v>
      </c>
      <c r="O4186">
        <v>73757573.566599995</v>
      </c>
      <c r="P4186">
        <v>71</v>
      </c>
      <c r="Q4186" t="s">
        <v>8721</v>
      </c>
    </row>
    <row r="4187" spans="1:17" x14ac:dyDescent="0.3">
      <c r="A4187" t="s">
        <v>17</v>
      </c>
      <c r="B4187" t="str">
        <f>"688598"</f>
        <v>688598</v>
      </c>
      <c r="C4187" t="s">
        <v>8722</v>
      </c>
      <c r="D4187" t="s">
        <v>1340</v>
      </c>
      <c r="F4187">
        <v>66805489</v>
      </c>
      <c r="G4187">
        <v>41241154</v>
      </c>
      <c r="H4187">
        <v>-6143815</v>
      </c>
      <c r="I4187">
        <v>32341259</v>
      </c>
      <c r="J4187">
        <v>5899229</v>
      </c>
      <c r="K4187">
        <v>25507103</v>
      </c>
      <c r="P4187">
        <v>262</v>
      </c>
      <c r="Q4187" t="s">
        <v>8723</v>
      </c>
    </row>
    <row r="4188" spans="1:17" x14ac:dyDescent="0.3">
      <c r="A4188" t="s">
        <v>17</v>
      </c>
      <c r="B4188" t="str">
        <f>"688227"</f>
        <v>688227</v>
      </c>
      <c r="C4188" t="s">
        <v>8724</v>
      </c>
      <c r="D4188" t="s">
        <v>1189</v>
      </c>
      <c r="F4188">
        <v>64502839</v>
      </c>
      <c r="G4188">
        <v>47785041</v>
      </c>
      <c r="H4188">
        <v>-6191991</v>
      </c>
      <c r="I4188">
        <v>9279096</v>
      </c>
      <c r="J4188">
        <v>15773154</v>
      </c>
      <c r="P4188">
        <v>13</v>
      </c>
      <c r="Q4188" t="s">
        <v>8725</v>
      </c>
    </row>
    <row r="4189" spans="1:17" x14ac:dyDescent="0.3">
      <c r="A4189" t="s">
        <v>59</v>
      </c>
      <c r="B4189" t="str">
        <f>"000509"</f>
        <v>000509</v>
      </c>
      <c r="C4189" t="s">
        <v>8726</v>
      </c>
      <c r="D4189" t="s">
        <v>999</v>
      </c>
      <c r="F4189">
        <v>-141614921</v>
      </c>
      <c r="G4189">
        <v>-95345542</v>
      </c>
      <c r="H4189">
        <v>-6361382</v>
      </c>
      <c r="I4189">
        <v>-91968763</v>
      </c>
      <c r="J4189">
        <v>-47815141</v>
      </c>
      <c r="K4189">
        <v>-69396568</v>
      </c>
      <c r="L4189">
        <v>-9284009</v>
      </c>
      <c r="M4189">
        <v>-57194216</v>
      </c>
      <c r="N4189">
        <v>-29313449</v>
      </c>
      <c r="O4189">
        <v>26628707</v>
      </c>
      <c r="P4189">
        <v>84</v>
      </c>
      <c r="Q4189" t="s">
        <v>8727</v>
      </c>
    </row>
    <row r="4190" spans="1:17" x14ac:dyDescent="0.3">
      <c r="A4190" t="s">
        <v>59</v>
      </c>
      <c r="B4190" t="str">
        <f>"000691"</f>
        <v>000691</v>
      </c>
      <c r="C4190" t="s">
        <v>8728</v>
      </c>
      <c r="D4190" t="s">
        <v>61</v>
      </c>
      <c r="F4190">
        <v>66129660</v>
      </c>
      <c r="G4190">
        <v>-72413717</v>
      </c>
      <c r="H4190">
        <v>-6471871</v>
      </c>
      <c r="I4190">
        <v>9249396</v>
      </c>
      <c r="J4190">
        <v>14767153</v>
      </c>
      <c r="K4190">
        <v>9391233</v>
      </c>
      <c r="L4190">
        <v>-34910068</v>
      </c>
      <c r="M4190">
        <v>-6746686</v>
      </c>
      <c r="N4190">
        <v>2200086</v>
      </c>
      <c r="O4190">
        <v>-711337</v>
      </c>
      <c r="P4190">
        <v>91</v>
      </c>
      <c r="Q4190" t="s">
        <v>8729</v>
      </c>
    </row>
    <row r="4191" spans="1:17" x14ac:dyDescent="0.3">
      <c r="A4191" t="s">
        <v>17</v>
      </c>
      <c r="B4191" t="str">
        <f>"600647"</f>
        <v>600647</v>
      </c>
      <c r="C4191" t="s">
        <v>8730</v>
      </c>
      <c r="D4191" t="s">
        <v>672</v>
      </c>
      <c r="F4191">
        <v>70835172</v>
      </c>
      <c r="G4191">
        <v>-19681086</v>
      </c>
      <c r="H4191">
        <v>-6654089</v>
      </c>
      <c r="I4191">
        <v>-5728125</v>
      </c>
      <c r="J4191">
        <v>-15006669</v>
      </c>
      <c r="K4191">
        <v>7613906</v>
      </c>
      <c r="L4191">
        <v>11554618</v>
      </c>
      <c r="M4191">
        <v>-35106332</v>
      </c>
      <c r="N4191">
        <v>81128239</v>
      </c>
      <c r="O4191">
        <v>44971530</v>
      </c>
      <c r="P4191">
        <v>75</v>
      </c>
      <c r="Q4191" t="s">
        <v>8731</v>
      </c>
    </row>
    <row r="4192" spans="1:17" x14ac:dyDescent="0.3">
      <c r="A4192" t="s">
        <v>17</v>
      </c>
      <c r="B4192" t="str">
        <f>"600870"</f>
        <v>600870</v>
      </c>
      <c r="C4192" t="s">
        <v>8732</v>
      </c>
      <c r="D4192" t="s">
        <v>659</v>
      </c>
      <c r="F4192">
        <v>-75662604</v>
      </c>
      <c r="G4192">
        <v>-4433531</v>
      </c>
      <c r="H4192">
        <v>-6702276</v>
      </c>
      <c r="I4192">
        <v>8522227</v>
      </c>
      <c r="J4192">
        <v>-36331843</v>
      </c>
      <c r="K4192">
        <v>-4353574</v>
      </c>
      <c r="L4192">
        <v>40144926</v>
      </c>
      <c r="M4192">
        <v>-112689191</v>
      </c>
      <c r="N4192">
        <v>-83284320</v>
      </c>
      <c r="O4192">
        <v>-206174180</v>
      </c>
      <c r="P4192">
        <v>55</v>
      </c>
      <c r="Q4192" t="s">
        <v>8733</v>
      </c>
    </row>
    <row r="4193" spans="1:17" x14ac:dyDescent="0.3">
      <c r="A4193" t="s">
        <v>17</v>
      </c>
      <c r="B4193" t="str">
        <f>"600721"</f>
        <v>600721</v>
      </c>
      <c r="C4193" t="s">
        <v>8734</v>
      </c>
      <c r="D4193" t="s">
        <v>751</v>
      </c>
      <c r="F4193">
        <v>34721683</v>
      </c>
      <c r="G4193">
        <v>-23281214</v>
      </c>
      <c r="H4193">
        <v>-6795414</v>
      </c>
      <c r="I4193">
        <v>80553717</v>
      </c>
      <c r="J4193">
        <v>-50260023</v>
      </c>
      <c r="K4193">
        <v>-108315499</v>
      </c>
      <c r="L4193">
        <v>423580952</v>
      </c>
      <c r="M4193">
        <v>202160849</v>
      </c>
      <c r="N4193">
        <v>6631615</v>
      </c>
      <c r="O4193">
        <v>342002940</v>
      </c>
      <c r="P4193">
        <v>78</v>
      </c>
      <c r="Q4193" t="s">
        <v>8735</v>
      </c>
    </row>
    <row r="4194" spans="1:17" x14ac:dyDescent="0.3">
      <c r="A4194" t="s">
        <v>59</v>
      </c>
      <c r="B4194" t="str">
        <f>"002058"</f>
        <v>002058</v>
      </c>
      <c r="C4194" t="s">
        <v>8736</v>
      </c>
      <c r="D4194" t="s">
        <v>1828</v>
      </c>
      <c r="F4194">
        <v>623008</v>
      </c>
      <c r="G4194">
        <v>17319775</v>
      </c>
      <c r="H4194">
        <v>-7023433</v>
      </c>
      <c r="I4194">
        <v>-235778</v>
      </c>
      <c r="J4194">
        <v>4850480</v>
      </c>
      <c r="K4194">
        <v>13598750</v>
      </c>
      <c r="L4194">
        <v>1205206</v>
      </c>
      <c r="M4194">
        <v>8680353</v>
      </c>
      <c r="N4194">
        <v>14250024</v>
      </c>
      <c r="O4194">
        <v>-2335299</v>
      </c>
      <c r="P4194">
        <v>55</v>
      </c>
      <c r="Q4194" t="s">
        <v>8737</v>
      </c>
    </row>
    <row r="4195" spans="1:17" x14ac:dyDescent="0.3">
      <c r="A4195" t="s">
        <v>17</v>
      </c>
      <c r="B4195" t="str">
        <f>"600883"</f>
        <v>600883</v>
      </c>
      <c r="C4195" t="s">
        <v>8738</v>
      </c>
      <c r="D4195" t="s">
        <v>78</v>
      </c>
      <c r="F4195">
        <v>-6394818</v>
      </c>
      <c r="G4195">
        <v>-17413789</v>
      </c>
      <c r="H4195">
        <v>-7121014</v>
      </c>
      <c r="I4195">
        <v>-24698117</v>
      </c>
      <c r="J4195">
        <v>-19241577</v>
      </c>
      <c r="K4195">
        <v>-43807460</v>
      </c>
      <c r="L4195">
        <v>-24210793</v>
      </c>
      <c r="M4195">
        <v>-1506604</v>
      </c>
      <c r="N4195">
        <v>-3079447</v>
      </c>
      <c r="O4195">
        <v>605783</v>
      </c>
      <c r="P4195">
        <v>78</v>
      </c>
      <c r="Q4195" t="s">
        <v>8739</v>
      </c>
    </row>
    <row r="4196" spans="1:17" x14ac:dyDescent="0.3">
      <c r="A4196" t="s">
        <v>59</v>
      </c>
      <c r="B4196" t="str">
        <f>"300161"</f>
        <v>300161</v>
      </c>
      <c r="C4196" t="s">
        <v>8740</v>
      </c>
      <c r="D4196" t="s">
        <v>2705</v>
      </c>
      <c r="F4196">
        <v>215367434</v>
      </c>
      <c r="G4196">
        <v>66949343</v>
      </c>
      <c r="H4196">
        <v>-7706529</v>
      </c>
      <c r="I4196">
        <v>133781404</v>
      </c>
      <c r="J4196">
        <v>-156320029</v>
      </c>
      <c r="K4196">
        <v>-5735381</v>
      </c>
      <c r="L4196">
        <v>-158775170</v>
      </c>
      <c r="M4196">
        <v>32774302</v>
      </c>
      <c r="N4196">
        <v>74570370</v>
      </c>
      <c r="O4196">
        <v>-29226586</v>
      </c>
      <c r="P4196">
        <v>159</v>
      </c>
      <c r="Q4196" t="s">
        <v>8741</v>
      </c>
    </row>
    <row r="4197" spans="1:17" x14ac:dyDescent="0.3">
      <c r="A4197" t="s">
        <v>59</v>
      </c>
      <c r="B4197" t="str">
        <f>"300900"</f>
        <v>300900</v>
      </c>
      <c r="C4197" t="s">
        <v>8742</v>
      </c>
      <c r="D4197" t="s">
        <v>448</v>
      </c>
      <c r="F4197">
        <v>-36420529</v>
      </c>
      <c r="G4197">
        <v>-23389028</v>
      </c>
      <c r="H4197">
        <v>-7727911</v>
      </c>
      <c r="I4197">
        <v>-9534654</v>
      </c>
      <c r="J4197">
        <v>12809421</v>
      </c>
      <c r="K4197">
        <v>14676500</v>
      </c>
      <c r="P4197">
        <v>76</v>
      </c>
      <c r="Q4197" t="s">
        <v>8743</v>
      </c>
    </row>
    <row r="4198" spans="1:17" x14ac:dyDescent="0.3">
      <c r="A4198" t="s">
        <v>59</v>
      </c>
      <c r="B4198" t="str">
        <f>"300295"</f>
        <v>300295</v>
      </c>
      <c r="C4198" t="s">
        <v>8744</v>
      </c>
      <c r="D4198" t="s">
        <v>2530</v>
      </c>
      <c r="F4198">
        <v>16055995</v>
      </c>
      <c r="G4198">
        <v>-65030346</v>
      </c>
      <c r="H4198">
        <v>-7730212</v>
      </c>
      <c r="I4198">
        <v>6574200</v>
      </c>
      <c r="J4198">
        <v>-444911559</v>
      </c>
      <c r="K4198">
        <v>-330690847</v>
      </c>
      <c r="L4198">
        <v>144498064</v>
      </c>
      <c r="M4198">
        <v>138976705</v>
      </c>
      <c r="N4198">
        <v>153594370</v>
      </c>
      <c r="O4198">
        <v>109087581</v>
      </c>
      <c r="P4198">
        <v>100</v>
      </c>
      <c r="Q4198" t="s">
        <v>8745</v>
      </c>
    </row>
    <row r="4199" spans="1:17" x14ac:dyDescent="0.3">
      <c r="A4199" t="s">
        <v>59</v>
      </c>
      <c r="B4199" t="str">
        <f>"002188"</f>
        <v>002188</v>
      </c>
      <c r="C4199" t="s">
        <v>8746</v>
      </c>
      <c r="D4199" t="s">
        <v>1889</v>
      </c>
      <c r="F4199">
        <v>68114968</v>
      </c>
      <c r="G4199">
        <v>-15566228</v>
      </c>
      <c r="H4199">
        <v>-7856626</v>
      </c>
      <c r="I4199">
        <v>-105232770</v>
      </c>
      <c r="J4199">
        <v>-12077261</v>
      </c>
      <c r="K4199">
        <v>-40056005</v>
      </c>
      <c r="L4199">
        <v>-28147112</v>
      </c>
      <c r="M4199">
        <v>-18154475</v>
      </c>
      <c r="N4199">
        <v>-13100754</v>
      </c>
      <c r="O4199">
        <v>42142105</v>
      </c>
      <c r="P4199">
        <v>69</v>
      </c>
      <c r="Q4199" t="s">
        <v>8747</v>
      </c>
    </row>
    <row r="4200" spans="1:17" x14ac:dyDescent="0.3">
      <c r="A4200" t="s">
        <v>59</v>
      </c>
      <c r="B4200" t="str">
        <f>"000679"</f>
        <v>000679</v>
      </c>
      <c r="C4200" t="s">
        <v>8748</v>
      </c>
      <c r="D4200" t="s">
        <v>829</v>
      </c>
      <c r="F4200">
        <v>-14078991</v>
      </c>
      <c r="G4200">
        <v>-48234565</v>
      </c>
      <c r="H4200">
        <v>-7928331</v>
      </c>
      <c r="I4200">
        <v>57430687</v>
      </c>
      <c r="J4200">
        <v>58405700</v>
      </c>
      <c r="K4200">
        <v>209685813</v>
      </c>
      <c r="L4200">
        <v>65604114</v>
      </c>
      <c r="M4200">
        <v>375797107</v>
      </c>
      <c r="N4200">
        <v>-518389728</v>
      </c>
      <c r="O4200">
        <v>109633852</v>
      </c>
      <c r="P4200">
        <v>83</v>
      </c>
      <c r="Q4200" t="s">
        <v>8749</v>
      </c>
    </row>
    <row r="4201" spans="1:17" x14ac:dyDescent="0.3">
      <c r="A4201" t="s">
        <v>59</v>
      </c>
      <c r="B4201" t="str">
        <f>"300176"</f>
        <v>300176</v>
      </c>
      <c r="C4201" t="s">
        <v>8750</v>
      </c>
      <c r="D4201" t="s">
        <v>156</v>
      </c>
      <c r="F4201">
        <v>64334556</v>
      </c>
      <c r="G4201">
        <v>118690084</v>
      </c>
      <c r="H4201">
        <v>-8164289</v>
      </c>
      <c r="I4201">
        <v>237486990</v>
      </c>
      <c r="J4201">
        <v>984340155</v>
      </c>
      <c r="K4201">
        <v>253216271</v>
      </c>
      <c r="L4201">
        <v>267906339</v>
      </c>
      <c r="M4201">
        <v>57791937</v>
      </c>
      <c r="N4201">
        <v>186846936</v>
      </c>
      <c r="O4201">
        <v>94973363</v>
      </c>
      <c r="P4201">
        <v>151</v>
      </c>
      <c r="Q4201" t="s">
        <v>8751</v>
      </c>
    </row>
    <row r="4202" spans="1:17" x14ac:dyDescent="0.3">
      <c r="A4202" t="s">
        <v>17</v>
      </c>
      <c r="B4202" t="str">
        <f>"600695"</f>
        <v>600695</v>
      </c>
      <c r="C4202" t="s">
        <v>8752</v>
      </c>
      <c r="D4202" t="s">
        <v>3832</v>
      </c>
      <c r="F4202">
        <v>21393479</v>
      </c>
      <c r="G4202">
        <v>-47500014</v>
      </c>
      <c r="H4202">
        <v>-8238124</v>
      </c>
      <c r="I4202">
        <v>-2560422</v>
      </c>
      <c r="J4202">
        <v>29572799</v>
      </c>
      <c r="K4202">
        <v>-37069877</v>
      </c>
      <c r="L4202">
        <v>-113506226</v>
      </c>
      <c r="M4202">
        <v>-108275358</v>
      </c>
      <c r="N4202">
        <v>-35770969</v>
      </c>
      <c r="O4202">
        <v>-113691000</v>
      </c>
      <c r="P4202">
        <v>74</v>
      </c>
      <c r="Q4202" t="s">
        <v>8753</v>
      </c>
    </row>
    <row r="4203" spans="1:17" x14ac:dyDescent="0.3">
      <c r="A4203" t="s">
        <v>59</v>
      </c>
      <c r="B4203" t="str">
        <f>"300830"</f>
        <v>300830</v>
      </c>
      <c r="C4203" t="s">
        <v>8754</v>
      </c>
      <c r="D4203" t="s">
        <v>1528</v>
      </c>
      <c r="F4203">
        <v>58751270</v>
      </c>
      <c r="G4203">
        <v>-54798885</v>
      </c>
      <c r="H4203">
        <v>-8400183</v>
      </c>
      <c r="I4203">
        <v>62430722</v>
      </c>
      <c r="J4203">
        <v>5679574</v>
      </c>
      <c r="K4203">
        <v>8751463</v>
      </c>
      <c r="P4203">
        <v>74</v>
      </c>
      <c r="Q4203" t="s">
        <v>8755</v>
      </c>
    </row>
    <row r="4204" spans="1:17" x14ac:dyDescent="0.3">
      <c r="A4204" t="s">
        <v>59</v>
      </c>
      <c r="B4204" t="str">
        <f>"002119"</f>
        <v>002119</v>
      </c>
      <c r="C4204" t="s">
        <v>8756</v>
      </c>
      <c r="D4204" t="s">
        <v>874</v>
      </c>
      <c r="F4204">
        <v>112458426</v>
      </c>
      <c r="G4204">
        <v>160491983</v>
      </c>
      <c r="H4204">
        <v>-8410488</v>
      </c>
      <c r="I4204">
        <v>180666067</v>
      </c>
      <c r="J4204">
        <v>15657671</v>
      </c>
      <c r="K4204">
        <v>156375238</v>
      </c>
      <c r="L4204">
        <v>152260863</v>
      </c>
      <c r="M4204">
        <v>246882783</v>
      </c>
      <c r="N4204">
        <v>132824942</v>
      </c>
      <c r="O4204">
        <v>-54654778</v>
      </c>
      <c r="P4204">
        <v>214</v>
      </c>
      <c r="Q4204" t="s">
        <v>8757</v>
      </c>
    </row>
    <row r="4205" spans="1:17" x14ac:dyDescent="0.3">
      <c r="A4205" t="s">
        <v>59</v>
      </c>
      <c r="B4205" t="str">
        <f>"300362"</f>
        <v>300362</v>
      </c>
      <c r="C4205" t="s">
        <v>8758</v>
      </c>
      <c r="G4205">
        <v>20360875</v>
      </c>
      <c r="H4205">
        <v>-8974300</v>
      </c>
      <c r="I4205">
        <v>17322629</v>
      </c>
      <c r="J4205">
        <v>29345505</v>
      </c>
      <c r="K4205">
        <v>35352973</v>
      </c>
      <c r="L4205">
        <v>-27846294</v>
      </c>
      <c r="M4205">
        <v>-68468923</v>
      </c>
      <c r="N4205">
        <v>-32839351</v>
      </c>
      <c r="O4205">
        <v>-51968172</v>
      </c>
      <c r="P4205">
        <v>87</v>
      </c>
      <c r="Q4205" t="s">
        <v>8759</v>
      </c>
    </row>
    <row r="4206" spans="1:17" x14ac:dyDescent="0.3">
      <c r="A4206" t="s">
        <v>17</v>
      </c>
      <c r="B4206" t="str">
        <f>"600838"</f>
        <v>600838</v>
      </c>
      <c r="C4206" t="s">
        <v>8760</v>
      </c>
      <c r="D4206" t="s">
        <v>829</v>
      </c>
      <c r="F4206">
        <v>6128211</v>
      </c>
      <c r="G4206">
        <v>-1502234</v>
      </c>
      <c r="H4206">
        <v>-9127145</v>
      </c>
      <c r="I4206">
        <v>-11727323</v>
      </c>
      <c r="J4206">
        <v>-14160508</v>
      </c>
      <c r="K4206">
        <v>-5655700</v>
      </c>
      <c r="L4206">
        <v>-6740944</v>
      </c>
      <c r="M4206">
        <v>-3016525</v>
      </c>
      <c r="N4206">
        <v>5400366</v>
      </c>
      <c r="O4206">
        <v>-46993697</v>
      </c>
      <c r="P4206">
        <v>79</v>
      </c>
      <c r="Q4206" t="s">
        <v>8761</v>
      </c>
    </row>
    <row r="4207" spans="1:17" x14ac:dyDescent="0.3">
      <c r="A4207" t="s">
        <v>59</v>
      </c>
      <c r="B4207" t="str">
        <f>"000835"</f>
        <v>000835</v>
      </c>
      <c r="C4207" t="s">
        <v>8762</v>
      </c>
      <c r="D4207" t="s">
        <v>689</v>
      </c>
      <c r="F4207">
        <v>175255</v>
      </c>
      <c r="G4207">
        <v>-3502655</v>
      </c>
      <c r="H4207">
        <v>-9148416</v>
      </c>
      <c r="I4207">
        <v>-6736671</v>
      </c>
      <c r="J4207">
        <v>192884001</v>
      </c>
      <c r="K4207">
        <v>62540050</v>
      </c>
      <c r="L4207">
        <v>89121954</v>
      </c>
      <c r="M4207">
        <v>51824018</v>
      </c>
      <c r="N4207">
        <v>-73599180</v>
      </c>
      <c r="O4207">
        <v>60030203</v>
      </c>
      <c r="P4207">
        <v>69</v>
      </c>
      <c r="Q4207" t="s">
        <v>8763</v>
      </c>
    </row>
    <row r="4208" spans="1:17" x14ac:dyDescent="0.3">
      <c r="A4208" t="s">
        <v>59</v>
      </c>
      <c r="B4208" t="str">
        <f>"300449"</f>
        <v>300449</v>
      </c>
      <c r="C4208" t="s">
        <v>8764</v>
      </c>
      <c r="D4208" t="s">
        <v>344</v>
      </c>
      <c r="F4208">
        <v>20306982</v>
      </c>
      <c r="G4208">
        <v>154338306</v>
      </c>
      <c r="H4208">
        <v>-9202379</v>
      </c>
      <c r="I4208">
        <v>78967952</v>
      </c>
      <c r="J4208">
        <v>-203317572</v>
      </c>
      <c r="K4208">
        <v>-152026550</v>
      </c>
      <c r="L4208">
        <v>-167052343</v>
      </c>
      <c r="M4208">
        <v>53710259</v>
      </c>
      <c r="N4208">
        <v>20939074</v>
      </c>
      <c r="O4208">
        <v>43153164</v>
      </c>
      <c r="P4208">
        <v>85</v>
      </c>
      <c r="Q4208" t="s">
        <v>8765</v>
      </c>
    </row>
    <row r="4209" spans="1:17" x14ac:dyDescent="0.3">
      <c r="A4209" t="s">
        <v>17</v>
      </c>
      <c r="B4209" t="str">
        <f>"688003"</f>
        <v>688003</v>
      </c>
      <c r="C4209" t="s">
        <v>8766</v>
      </c>
      <c r="D4209" t="s">
        <v>4218</v>
      </c>
      <c r="F4209">
        <v>-164003618</v>
      </c>
      <c r="G4209">
        <v>51617989</v>
      </c>
      <c r="H4209">
        <v>-9533726</v>
      </c>
      <c r="I4209">
        <v>98292112</v>
      </c>
      <c r="J4209">
        <v>51551239</v>
      </c>
      <c r="K4209">
        <v>15572011</v>
      </c>
      <c r="P4209">
        <v>141</v>
      </c>
      <c r="Q4209" t="s">
        <v>8767</v>
      </c>
    </row>
    <row r="4210" spans="1:17" x14ac:dyDescent="0.3">
      <c r="A4210" t="s">
        <v>17</v>
      </c>
      <c r="B4210" t="str">
        <f>"688529"</f>
        <v>688529</v>
      </c>
      <c r="C4210" t="s">
        <v>8768</v>
      </c>
      <c r="D4210" t="s">
        <v>1351</v>
      </c>
      <c r="F4210">
        <v>-133558585</v>
      </c>
      <c r="G4210">
        <v>104399267</v>
      </c>
      <c r="H4210">
        <v>-9695717</v>
      </c>
      <c r="I4210">
        <v>-86491202</v>
      </c>
      <c r="J4210">
        <v>103394037</v>
      </c>
      <c r="P4210">
        <v>33</v>
      </c>
      <c r="Q4210" t="s">
        <v>8769</v>
      </c>
    </row>
    <row r="4211" spans="1:17" x14ac:dyDescent="0.3">
      <c r="A4211" t="s">
        <v>17</v>
      </c>
      <c r="B4211" t="str">
        <f>"688456"</f>
        <v>688456</v>
      </c>
      <c r="C4211" t="s">
        <v>8770</v>
      </c>
      <c r="D4211" t="s">
        <v>259</v>
      </c>
      <c r="F4211">
        <v>-35676586</v>
      </c>
      <c r="G4211">
        <v>7191975</v>
      </c>
      <c r="H4211">
        <v>-9721219</v>
      </c>
      <c r="I4211">
        <v>82330934</v>
      </c>
      <c r="J4211">
        <v>26529455</v>
      </c>
      <c r="P4211">
        <v>28</v>
      </c>
      <c r="Q4211" t="s">
        <v>8771</v>
      </c>
    </row>
    <row r="4212" spans="1:17" x14ac:dyDescent="0.3">
      <c r="A4212" t="s">
        <v>59</v>
      </c>
      <c r="B4212" t="str">
        <f>"300234"</f>
        <v>300234</v>
      </c>
      <c r="C4212" t="s">
        <v>8772</v>
      </c>
      <c r="D4212" t="s">
        <v>1041</v>
      </c>
      <c r="F4212">
        <v>38374934</v>
      </c>
      <c r="G4212">
        <v>44408026</v>
      </c>
      <c r="H4212">
        <v>-9806739</v>
      </c>
      <c r="I4212">
        <v>10460795</v>
      </c>
      <c r="J4212">
        <v>52854162</v>
      </c>
      <c r="K4212">
        <v>56935661</v>
      </c>
      <c r="L4212">
        <v>17039771</v>
      </c>
      <c r="M4212">
        <v>60018950</v>
      </c>
      <c r="N4212">
        <v>-23178768</v>
      </c>
      <c r="O4212">
        <v>-12636523</v>
      </c>
      <c r="P4212">
        <v>111</v>
      </c>
      <c r="Q4212" t="s">
        <v>8773</v>
      </c>
    </row>
    <row r="4213" spans="1:17" x14ac:dyDescent="0.3">
      <c r="A4213" t="s">
        <v>59</v>
      </c>
      <c r="B4213" t="str">
        <f>"300491"</f>
        <v>300491</v>
      </c>
      <c r="C4213" t="s">
        <v>8774</v>
      </c>
      <c r="D4213" t="s">
        <v>1746</v>
      </c>
      <c r="F4213">
        <v>1943084</v>
      </c>
      <c r="G4213">
        <v>-5024178</v>
      </c>
      <c r="H4213">
        <v>-9861596</v>
      </c>
      <c r="I4213">
        <v>-34509914</v>
      </c>
      <c r="J4213">
        <v>15556482</v>
      </c>
      <c r="K4213">
        <v>15480581</v>
      </c>
      <c r="L4213">
        <v>28605880</v>
      </c>
      <c r="M4213">
        <v>27445348</v>
      </c>
      <c r="N4213">
        <v>26110426</v>
      </c>
      <c r="O4213">
        <v>29150320</v>
      </c>
      <c r="P4213">
        <v>94</v>
      </c>
      <c r="Q4213" t="s">
        <v>8775</v>
      </c>
    </row>
    <row r="4214" spans="1:17" x14ac:dyDescent="0.3">
      <c r="A4214" t="s">
        <v>17</v>
      </c>
      <c r="B4214" t="str">
        <f>"600513"</f>
        <v>600513</v>
      </c>
      <c r="C4214" t="s">
        <v>8776</v>
      </c>
      <c r="D4214" t="s">
        <v>592</v>
      </c>
      <c r="F4214">
        <v>138344527</v>
      </c>
      <c r="G4214">
        <v>91936548</v>
      </c>
      <c r="H4214">
        <v>-9869830</v>
      </c>
      <c r="I4214">
        <v>-92000172</v>
      </c>
      <c r="J4214">
        <v>3635698</v>
      </c>
      <c r="K4214">
        <v>70285068</v>
      </c>
      <c r="L4214">
        <v>62117304</v>
      </c>
      <c r="M4214">
        <v>69500069</v>
      </c>
      <c r="N4214">
        <v>37173079</v>
      </c>
      <c r="O4214">
        <v>16941252</v>
      </c>
      <c r="P4214">
        <v>144</v>
      </c>
      <c r="Q4214" t="s">
        <v>8777</v>
      </c>
    </row>
    <row r="4215" spans="1:17" x14ac:dyDescent="0.3">
      <c r="A4215" t="s">
        <v>59</v>
      </c>
      <c r="B4215" t="str">
        <f>"000892"</f>
        <v>000892</v>
      </c>
      <c r="C4215" t="s">
        <v>8778</v>
      </c>
      <c r="D4215" t="s">
        <v>1059</v>
      </c>
      <c r="F4215">
        <v>-273378507</v>
      </c>
      <c r="G4215">
        <v>276500168</v>
      </c>
      <c r="H4215">
        <v>-10196282</v>
      </c>
      <c r="I4215">
        <v>-648767107</v>
      </c>
      <c r="J4215">
        <v>-432361082</v>
      </c>
      <c r="K4215">
        <v>40578211</v>
      </c>
      <c r="L4215">
        <v>-927062</v>
      </c>
      <c r="M4215">
        <v>-2737492</v>
      </c>
      <c r="N4215">
        <v>-1000429</v>
      </c>
      <c r="O4215">
        <v>151834</v>
      </c>
      <c r="P4215">
        <v>109</v>
      </c>
      <c r="Q4215" t="s">
        <v>8779</v>
      </c>
    </row>
    <row r="4216" spans="1:17" x14ac:dyDescent="0.3">
      <c r="A4216" t="s">
        <v>17</v>
      </c>
      <c r="B4216" t="str">
        <f>"603577"</f>
        <v>603577</v>
      </c>
      <c r="C4216" t="s">
        <v>8780</v>
      </c>
      <c r="D4216" t="s">
        <v>1065</v>
      </c>
      <c r="F4216">
        <v>-312960732</v>
      </c>
      <c r="G4216">
        <v>-64378138</v>
      </c>
      <c r="H4216">
        <v>-10270082</v>
      </c>
      <c r="I4216">
        <v>-83967020</v>
      </c>
      <c r="J4216">
        <v>-281883358</v>
      </c>
      <c r="K4216">
        <v>-55390522</v>
      </c>
      <c r="L4216">
        <v>14772231</v>
      </c>
      <c r="M4216">
        <v>10760581</v>
      </c>
      <c r="N4216">
        <v>92139116</v>
      </c>
      <c r="P4216">
        <v>90</v>
      </c>
      <c r="Q4216" t="s">
        <v>8781</v>
      </c>
    </row>
    <row r="4217" spans="1:17" x14ac:dyDescent="0.3">
      <c r="A4217" t="s">
        <v>17</v>
      </c>
      <c r="B4217" t="str">
        <f>"688680"</f>
        <v>688680</v>
      </c>
      <c r="C4217" t="s">
        <v>8782</v>
      </c>
      <c r="D4217" t="s">
        <v>1340</v>
      </c>
      <c r="F4217">
        <v>-1401972789</v>
      </c>
      <c r="G4217">
        <v>-165788027</v>
      </c>
      <c r="H4217">
        <v>-10291959</v>
      </c>
      <c r="I4217">
        <v>-117213425</v>
      </c>
      <c r="J4217">
        <v>-98925151</v>
      </c>
      <c r="P4217">
        <v>79</v>
      </c>
      <c r="Q4217" t="s">
        <v>8783</v>
      </c>
    </row>
    <row r="4218" spans="1:17" x14ac:dyDescent="0.3">
      <c r="A4218" t="s">
        <v>59</v>
      </c>
      <c r="B4218" t="str">
        <f>"002679"</f>
        <v>002679</v>
      </c>
      <c r="C4218" t="s">
        <v>8784</v>
      </c>
      <c r="D4218" t="s">
        <v>3314</v>
      </c>
      <c r="F4218">
        <v>83030411</v>
      </c>
      <c r="G4218">
        <v>9608192</v>
      </c>
      <c r="H4218">
        <v>-10298860</v>
      </c>
      <c r="I4218">
        <v>93804884</v>
      </c>
      <c r="J4218">
        <v>76800069</v>
      </c>
      <c r="K4218">
        <v>-14248853</v>
      </c>
      <c r="L4218">
        <v>-56199657</v>
      </c>
      <c r="M4218">
        <v>-2862853</v>
      </c>
      <c r="N4218">
        <v>-534580516</v>
      </c>
      <c r="O4218">
        <v>-133723940</v>
      </c>
      <c r="P4218">
        <v>95</v>
      </c>
      <c r="Q4218" t="s">
        <v>8785</v>
      </c>
    </row>
    <row r="4219" spans="1:17" x14ac:dyDescent="0.3">
      <c r="A4219" t="s">
        <v>17</v>
      </c>
      <c r="B4219" t="str">
        <f>"688209"</f>
        <v>688209</v>
      </c>
      <c r="C4219" t="s">
        <v>8786</v>
      </c>
      <c r="F4219">
        <v>193567541</v>
      </c>
      <c r="G4219">
        <v>-21668355</v>
      </c>
      <c r="H4219">
        <v>-10478211</v>
      </c>
      <c r="I4219">
        <v>11149889</v>
      </c>
      <c r="P4219">
        <v>5</v>
      </c>
      <c r="Q4219" t="s">
        <v>8787</v>
      </c>
    </row>
    <row r="4220" spans="1:17" x14ac:dyDescent="0.3">
      <c r="A4220" t="s">
        <v>59</v>
      </c>
      <c r="B4220" t="str">
        <f>"300766"</f>
        <v>300766</v>
      </c>
      <c r="C4220" t="s">
        <v>8788</v>
      </c>
      <c r="D4220" t="s">
        <v>789</v>
      </c>
      <c r="F4220">
        <v>249873642</v>
      </c>
      <c r="G4220">
        <v>44925383</v>
      </c>
      <c r="H4220">
        <v>-10826271</v>
      </c>
      <c r="I4220">
        <v>219056297</v>
      </c>
      <c r="J4220">
        <v>121767442</v>
      </c>
      <c r="K4220">
        <v>53162698</v>
      </c>
      <c r="P4220">
        <v>140</v>
      </c>
      <c r="Q4220" t="s">
        <v>8789</v>
      </c>
    </row>
    <row r="4221" spans="1:17" x14ac:dyDescent="0.3">
      <c r="A4221" t="s">
        <v>59</v>
      </c>
      <c r="B4221" t="str">
        <f>"300076"</f>
        <v>300076</v>
      </c>
      <c r="C4221" t="s">
        <v>8790</v>
      </c>
      <c r="D4221" t="s">
        <v>139</v>
      </c>
      <c r="F4221">
        <v>-41192875</v>
      </c>
      <c r="G4221">
        <v>-61752751</v>
      </c>
      <c r="H4221">
        <v>-10935884</v>
      </c>
      <c r="I4221">
        <v>10905552</v>
      </c>
      <c r="J4221">
        <v>44093079</v>
      </c>
      <c r="K4221">
        <v>25747132</v>
      </c>
      <c r="L4221">
        <v>-1573657</v>
      </c>
      <c r="M4221">
        <v>34880546</v>
      </c>
      <c r="N4221">
        <v>-1158396</v>
      </c>
      <c r="O4221">
        <v>17058999</v>
      </c>
      <c r="P4221">
        <v>93</v>
      </c>
      <c r="Q4221" t="s">
        <v>8791</v>
      </c>
    </row>
    <row r="4222" spans="1:17" x14ac:dyDescent="0.3">
      <c r="A4222" t="s">
        <v>17</v>
      </c>
      <c r="B4222" t="str">
        <f>"600191"</f>
        <v>600191</v>
      </c>
      <c r="C4222" t="s">
        <v>8792</v>
      </c>
      <c r="D4222" t="s">
        <v>623</v>
      </c>
      <c r="F4222">
        <v>-17713787</v>
      </c>
      <c r="G4222">
        <v>-7907286</v>
      </c>
      <c r="H4222">
        <v>-11029243</v>
      </c>
      <c r="I4222">
        <v>-43051685</v>
      </c>
      <c r="J4222">
        <v>-34116450</v>
      </c>
      <c r="K4222">
        <v>20911552</v>
      </c>
      <c r="L4222">
        <v>-50115761</v>
      </c>
      <c r="M4222">
        <v>-56527876</v>
      </c>
      <c r="N4222">
        <v>-90881453</v>
      </c>
      <c r="O4222">
        <v>-97766431</v>
      </c>
      <c r="P4222">
        <v>121</v>
      </c>
      <c r="Q4222" t="s">
        <v>8793</v>
      </c>
    </row>
    <row r="4223" spans="1:17" x14ac:dyDescent="0.3">
      <c r="A4223" t="s">
        <v>59</v>
      </c>
      <c r="B4223" t="str">
        <f>"000953"</f>
        <v>000953</v>
      </c>
      <c r="C4223" t="s">
        <v>8794</v>
      </c>
      <c r="D4223" t="s">
        <v>2751</v>
      </c>
      <c r="F4223">
        <v>6710749</v>
      </c>
      <c r="G4223">
        <v>67130814</v>
      </c>
      <c r="H4223">
        <v>-11114589</v>
      </c>
      <c r="I4223">
        <v>-52463485</v>
      </c>
      <c r="J4223">
        <v>-333003552</v>
      </c>
      <c r="K4223">
        <v>107092250</v>
      </c>
      <c r="L4223">
        <v>-70612968</v>
      </c>
      <c r="M4223">
        <v>-215633043</v>
      </c>
      <c r="N4223">
        <v>8925819</v>
      </c>
      <c r="O4223">
        <v>14671303</v>
      </c>
      <c r="P4223">
        <v>90</v>
      </c>
      <c r="Q4223" t="s">
        <v>8795</v>
      </c>
    </row>
    <row r="4224" spans="1:17" x14ac:dyDescent="0.3">
      <c r="A4224" t="s">
        <v>17</v>
      </c>
      <c r="B4224" t="str">
        <f>"688022"</f>
        <v>688022</v>
      </c>
      <c r="C4224" t="s">
        <v>8796</v>
      </c>
      <c r="D4224" t="s">
        <v>1351</v>
      </c>
      <c r="F4224">
        <v>-197504183</v>
      </c>
      <c r="G4224">
        <v>-112340728</v>
      </c>
      <c r="H4224">
        <v>-11137847</v>
      </c>
      <c r="I4224">
        <v>60172412</v>
      </c>
      <c r="J4224">
        <v>21955956</v>
      </c>
      <c r="K4224">
        <v>-15064176</v>
      </c>
      <c r="P4224">
        <v>164</v>
      </c>
      <c r="Q4224" t="s">
        <v>8797</v>
      </c>
    </row>
    <row r="4225" spans="1:17" x14ac:dyDescent="0.3">
      <c r="A4225" t="s">
        <v>17</v>
      </c>
      <c r="B4225" t="str">
        <f>"600149"</f>
        <v>600149</v>
      </c>
      <c r="C4225" t="s">
        <v>8798</v>
      </c>
      <c r="D4225" t="s">
        <v>1238</v>
      </c>
      <c r="F4225">
        <v>31912790</v>
      </c>
      <c r="G4225">
        <v>24524867</v>
      </c>
      <c r="H4225">
        <v>-11144424</v>
      </c>
      <c r="I4225">
        <v>1599527</v>
      </c>
      <c r="J4225">
        <v>22760819</v>
      </c>
      <c r="K4225">
        <v>25215082</v>
      </c>
      <c r="L4225">
        <v>-31079177</v>
      </c>
      <c r="M4225">
        <v>5758494</v>
      </c>
      <c r="N4225">
        <v>-1942264</v>
      </c>
      <c r="O4225">
        <v>-14388034</v>
      </c>
      <c r="P4225">
        <v>44</v>
      </c>
      <c r="Q4225" t="s">
        <v>8799</v>
      </c>
    </row>
    <row r="4226" spans="1:17" x14ac:dyDescent="0.3">
      <c r="A4226" t="s">
        <v>59</v>
      </c>
      <c r="B4226" t="str">
        <f>"300836"</f>
        <v>300836</v>
      </c>
      <c r="C4226" t="s">
        <v>8800</v>
      </c>
      <c r="D4226" t="s">
        <v>1351</v>
      </c>
      <c r="F4226">
        <v>-90568680</v>
      </c>
      <c r="G4226">
        <v>-20520688</v>
      </c>
      <c r="H4226">
        <v>-11324675</v>
      </c>
      <c r="I4226">
        <v>49188360</v>
      </c>
      <c r="J4226">
        <v>-22913480</v>
      </c>
      <c r="P4226">
        <v>61</v>
      </c>
      <c r="Q4226" t="s">
        <v>8801</v>
      </c>
    </row>
    <row r="4227" spans="1:17" x14ac:dyDescent="0.3">
      <c r="A4227" t="s">
        <v>59</v>
      </c>
      <c r="B4227" t="str">
        <f>"300029"</f>
        <v>300029</v>
      </c>
      <c r="C4227" t="s">
        <v>8802</v>
      </c>
      <c r="D4227" t="s">
        <v>2062</v>
      </c>
      <c r="F4227">
        <v>-15207219</v>
      </c>
      <c r="G4227">
        <v>-27509988</v>
      </c>
      <c r="H4227">
        <v>-11354958</v>
      </c>
      <c r="I4227">
        <v>-30462027</v>
      </c>
      <c r="J4227">
        <v>10750506</v>
      </c>
      <c r="K4227">
        <v>27468680</v>
      </c>
      <c r="L4227">
        <v>8004966</v>
      </c>
      <c r="M4227">
        <v>40514717</v>
      </c>
      <c r="N4227">
        <v>-137928841</v>
      </c>
      <c r="O4227">
        <v>-176183276</v>
      </c>
      <c r="P4227">
        <v>66</v>
      </c>
      <c r="Q4227" t="s">
        <v>8803</v>
      </c>
    </row>
    <row r="4228" spans="1:17" x14ac:dyDescent="0.3">
      <c r="A4228" t="s">
        <v>17</v>
      </c>
      <c r="B4228" t="str">
        <f>"900929"</f>
        <v>900929</v>
      </c>
      <c r="C4228" t="s">
        <v>8804</v>
      </c>
      <c r="F4228">
        <v>-5608034.9768000003</v>
      </c>
      <c r="G4228">
        <v>-7963862.5957000004</v>
      </c>
      <c r="H4228">
        <v>-11521576.121200001</v>
      </c>
      <c r="I4228">
        <v>-10573469.824999999</v>
      </c>
      <c r="J4228">
        <v>-8207895.2448000005</v>
      </c>
      <c r="K4228">
        <v>-9331540.8479999993</v>
      </c>
      <c r="L4228">
        <v>-4705249.318</v>
      </c>
      <c r="M4228">
        <v>-4462250.0624000002</v>
      </c>
      <c r="N4228">
        <v>2737830.69</v>
      </c>
      <c r="O4228">
        <v>-3610993.8420000002</v>
      </c>
      <c r="P4228">
        <v>11</v>
      </c>
      <c r="Q4228" t="s">
        <v>8805</v>
      </c>
    </row>
    <row r="4229" spans="1:17" x14ac:dyDescent="0.3">
      <c r="A4229" t="s">
        <v>59</v>
      </c>
      <c r="B4229" t="str">
        <f>"000502"</f>
        <v>000502</v>
      </c>
      <c r="C4229" t="s">
        <v>8806</v>
      </c>
      <c r="D4229" t="s">
        <v>3284</v>
      </c>
      <c r="F4229">
        <v>-8402528</v>
      </c>
      <c r="G4229">
        <v>-15228665</v>
      </c>
      <c r="H4229">
        <v>-11656245</v>
      </c>
      <c r="I4229">
        <v>-14784145</v>
      </c>
      <c r="J4229">
        <v>-128936825</v>
      </c>
      <c r="K4229">
        <v>203759699</v>
      </c>
      <c r="L4229">
        <v>-24892663</v>
      </c>
      <c r="M4229">
        <v>15381529</v>
      </c>
      <c r="N4229">
        <v>7842053</v>
      </c>
      <c r="O4229">
        <v>-130242253</v>
      </c>
      <c r="P4229">
        <v>85</v>
      </c>
      <c r="Q4229" t="s">
        <v>8807</v>
      </c>
    </row>
    <row r="4230" spans="1:17" x14ac:dyDescent="0.3">
      <c r="A4230" t="s">
        <v>59</v>
      </c>
      <c r="B4230" t="str">
        <f>"002213"</f>
        <v>002213</v>
      </c>
      <c r="C4230" t="s">
        <v>8808</v>
      </c>
      <c r="D4230" t="s">
        <v>156</v>
      </c>
      <c r="F4230">
        <v>11845553</v>
      </c>
      <c r="G4230">
        <v>-36120708</v>
      </c>
      <c r="H4230">
        <v>-11832636</v>
      </c>
      <c r="I4230">
        <v>25078747</v>
      </c>
      <c r="J4230">
        <v>-5852378</v>
      </c>
      <c r="K4230">
        <v>36696341</v>
      </c>
      <c r="L4230">
        <v>48197237</v>
      </c>
      <c r="M4230">
        <v>14433596</v>
      </c>
      <c r="N4230">
        <v>68167598</v>
      </c>
      <c r="O4230">
        <v>20969973</v>
      </c>
      <c r="P4230">
        <v>90</v>
      </c>
      <c r="Q4230" t="s">
        <v>8809</v>
      </c>
    </row>
    <row r="4231" spans="1:17" x14ac:dyDescent="0.3">
      <c r="A4231" t="s">
        <v>59</v>
      </c>
      <c r="B4231" t="str">
        <f>"002569"</f>
        <v>002569</v>
      </c>
      <c r="C4231" t="s">
        <v>8810</v>
      </c>
      <c r="D4231" t="s">
        <v>646</v>
      </c>
      <c r="F4231">
        <v>-31852225</v>
      </c>
      <c r="G4231">
        <v>-12436783</v>
      </c>
      <c r="H4231">
        <v>-11853424</v>
      </c>
      <c r="I4231">
        <v>-47450463</v>
      </c>
      <c r="J4231">
        <v>-9969221</v>
      </c>
      <c r="K4231">
        <v>13530124</v>
      </c>
      <c r="L4231">
        <v>27513672</v>
      </c>
      <c r="M4231">
        <v>-14935706</v>
      </c>
      <c r="N4231">
        <v>-53338267</v>
      </c>
      <c r="O4231">
        <v>8432220</v>
      </c>
      <c r="P4231">
        <v>59</v>
      </c>
      <c r="Q4231" t="s">
        <v>8811</v>
      </c>
    </row>
    <row r="4232" spans="1:17" x14ac:dyDescent="0.3">
      <c r="A4232" t="s">
        <v>17</v>
      </c>
      <c r="B4232" t="str">
        <f>"600243"</f>
        <v>600243</v>
      </c>
      <c r="C4232" t="s">
        <v>8812</v>
      </c>
      <c r="D4232" t="s">
        <v>1838</v>
      </c>
      <c r="F4232">
        <v>58523060</v>
      </c>
      <c r="G4232">
        <v>-103640837</v>
      </c>
      <c r="H4232">
        <v>-12135079</v>
      </c>
      <c r="I4232">
        <v>51300793</v>
      </c>
      <c r="J4232">
        <v>-73742521</v>
      </c>
      <c r="K4232">
        <v>-323994798</v>
      </c>
      <c r="L4232">
        <v>-56334175</v>
      </c>
      <c r="M4232">
        <v>-60454004</v>
      </c>
      <c r="N4232">
        <v>65319377</v>
      </c>
      <c r="O4232">
        <v>28727211</v>
      </c>
      <c r="P4232">
        <v>72</v>
      </c>
      <c r="Q4232" t="s">
        <v>8813</v>
      </c>
    </row>
    <row r="4233" spans="1:17" x14ac:dyDescent="0.3">
      <c r="A4233" t="s">
        <v>17</v>
      </c>
      <c r="B4233" t="str">
        <f>"603819"</f>
        <v>603819</v>
      </c>
      <c r="C4233" t="s">
        <v>8814</v>
      </c>
      <c r="D4233" t="s">
        <v>1556</v>
      </c>
      <c r="F4233">
        <v>-126523136</v>
      </c>
      <c r="G4233">
        <v>151218810</v>
      </c>
      <c r="H4233">
        <v>-12508186</v>
      </c>
      <c r="I4233">
        <v>-82714215</v>
      </c>
      <c r="J4233">
        <v>-54819335</v>
      </c>
      <c r="K4233">
        <v>-57302165</v>
      </c>
      <c r="L4233">
        <v>77905277</v>
      </c>
      <c r="M4233">
        <v>95376497</v>
      </c>
      <c r="N4233">
        <v>32580598</v>
      </c>
      <c r="P4233">
        <v>74</v>
      </c>
      <c r="Q4233" t="s">
        <v>8815</v>
      </c>
    </row>
    <row r="4234" spans="1:17" x14ac:dyDescent="0.3">
      <c r="A4234" t="s">
        <v>17</v>
      </c>
      <c r="B4234" t="str">
        <f>"600275"</f>
        <v>600275</v>
      </c>
      <c r="C4234" t="s">
        <v>8816</v>
      </c>
      <c r="D4234" t="s">
        <v>2932</v>
      </c>
      <c r="F4234">
        <v>-4579065</v>
      </c>
      <c r="G4234">
        <v>-6882287</v>
      </c>
      <c r="H4234">
        <v>-12575626</v>
      </c>
      <c r="I4234">
        <v>-26446618</v>
      </c>
      <c r="J4234">
        <v>-27765939</v>
      </c>
      <c r="K4234">
        <v>11223670</v>
      </c>
      <c r="L4234">
        <v>-11495297</v>
      </c>
      <c r="M4234">
        <v>188161</v>
      </c>
      <c r="N4234">
        <v>-17039193</v>
      </c>
      <c r="O4234">
        <v>-19292382</v>
      </c>
      <c r="P4234">
        <v>47</v>
      </c>
      <c r="Q4234" t="s">
        <v>8817</v>
      </c>
    </row>
    <row r="4235" spans="1:17" x14ac:dyDescent="0.3">
      <c r="A4235" t="s">
        <v>17</v>
      </c>
      <c r="B4235" t="str">
        <f>"688733"</f>
        <v>688733</v>
      </c>
      <c r="C4235" t="s">
        <v>8818</v>
      </c>
      <c r="D4235" t="s">
        <v>1444</v>
      </c>
      <c r="F4235">
        <v>-34061863</v>
      </c>
      <c r="G4235">
        <v>23651917</v>
      </c>
      <c r="H4235">
        <v>-12697650</v>
      </c>
      <c r="I4235">
        <v>-3191856</v>
      </c>
      <c r="J4235">
        <v>-2053354</v>
      </c>
      <c r="P4235">
        <v>47</v>
      </c>
      <c r="Q4235" t="s">
        <v>8819</v>
      </c>
    </row>
    <row r="4236" spans="1:17" x14ac:dyDescent="0.3">
      <c r="A4236" t="s">
        <v>17</v>
      </c>
      <c r="B4236" t="str">
        <f>"688270"</f>
        <v>688270</v>
      </c>
      <c r="C4236" t="s">
        <v>8820</v>
      </c>
      <c r="F4236">
        <v>4754923</v>
      </c>
      <c r="G4236">
        <v>11088623</v>
      </c>
      <c r="H4236">
        <v>-12728316</v>
      </c>
      <c r="I4236">
        <v>-10816046</v>
      </c>
      <c r="P4236">
        <v>12</v>
      </c>
      <c r="Q4236" t="s">
        <v>8821</v>
      </c>
    </row>
    <row r="4237" spans="1:17" x14ac:dyDescent="0.3">
      <c r="A4237" t="s">
        <v>17</v>
      </c>
      <c r="B4237" t="str">
        <f>"600687"</f>
        <v>600687</v>
      </c>
      <c r="C4237" t="s">
        <v>8822</v>
      </c>
      <c r="H4237">
        <v>-12946896</v>
      </c>
      <c r="I4237">
        <v>-207296050</v>
      </c>
      <c r="J4237">
        <v>-1587349812</v>
      </c>
      <c r="K4237">
        <v>-1484231139</v>
      </c>
      <c r="L4237">
        <v>-510039642</v>
      </c>
      <c r="M4237">
        <v>-1468153514</v>
      </c>
      <c r="N4237">
        <v>-761006819</v>
      </c>
      <c r="O4237">
        <v>-48471645</v>
      </c>
      <c r="P4237">
        <v>58</v>
      </c>
      <c r="Q4237" t="s">
        <v>8823</v>
      </c>
    </row>
    <row r="4238" spans="1:17" x14ac:dyDescent="0.3">
      <c r="A4238" t="s">
        <v>59</v>
      </c>
      <c r="B4238" t="str">
        <f>"300089"</f>
        <v>300089</v>
      </c>
      <c r="C4238" t="s">
        <v>8824</v>
      </c>
      <c r="D4238" t="s">
        <v>871</v>
      </c>
      <c r="F4238">
        <v>14322336</v>
      </c>
      <c r="G4238">
        <v>-16151947</v>
      </c>
      <c r="H4238">
        <v>-13431531</v>
      </c>
      <c r="I4238">
        <v>154398879</v>
      </c>
      <c r="J4238">
        <v>121821980</v>
      </c>
      <c r="K4238">
        <v>152848583</v>
      </c>
      <c r="L4238">
        <v>62285920</v>
      </c>
      <c r="M4238">
        <v>44012834</v>
      </c>
      <c r="N4238">
        <v>8341998</v>
      </c>
      <c r="O4238">
        <v>11636018</v>
      </c>
      <c r="P4238">
        <v>101</v>
      </c>
      <c r="Q4238" t="s">
        <v>8825</v>
      </c>
    </row>
    <row r="4239" spans="1:17" x14ac:dyDescent="0.3">
      <c r="A4239" t="s">
        <v>59</v>
      </c>
      <c r="B4239" t="str">
        <f>"300139"</f>
        <v>300139</v>
      </c>
      <c r="C4239" t="s">
        <v>8826</v>
      </c>
      <c r="D4239" t="s">
        <v>1119</v>
      </c>
      <c r="F4239">
        <v>312953609</v>
      </c>
      <c r="G4239">
        <v>157323584</v>
      </c>
      <c r="H4239">
        <v>-13500364</v>
      </c>
      <c r="I4239">
        <v>41611304</v>
      </c>
      <c r="J4239">
        <v>58896445</v>
      </c>
      <c r="K4239">
        <v>23699023</v>
      </c>
      <c r="L4239">
        <v>11966143</v>
      </c>
      <c r="M4239">
        <v>-25299696</v>
      </c>
      <c r="N4239">
        <v>-13002392</v>
      </c>
      <c r="O4239">
        <v>34400220</v>
      </c>
      <c r="P4239">
        <v>147</v>
      </c>
      <c r="Q4239" t="s">
        <v>8827</v>
      </c>
    </row>
    <row r="4240" spans="1:17" x14ac:dyDescent="0.3">
      <c r="A4240" t="s">
        <v>59</v>
      </c>
      <c r="B4240" t="str">
        <f>"300351"</f>
        <v>300351</v>
      </c>
      <c r="C4240" t="s">
        <v>8828</v>
      </c>
      <c r="D4240" t="s">
        <v>165</v>
      </c>
      <c r="F4240">
        <v>90818158</v>
      </c>
      <c r="G4240">
        <v>109469221</v>
      </c>
      <c r="H4240">
        <v>-13677718</v>
      </c>
      <c r="I4240">
        <v>152809534</v>
      </c>
      <c r="J4240">
        <v>-37218770</v>
      </c>
      <c r="K4240">
        <v>39156131</v>
      </c>
      <c r="L4240">
        <v>55734249</v>
      </c>
      <c r="M4240">
        <v>110778838</v>
      </c>
      <c r="N4240">
        <v>31205338</v>
      </c>
      <c r="O4240">
        <v>19158172</v>
      </c>
      <c r="P4240">
        <v>234</v>
      </c>
      <c r="Q4240" t="s">
        <v>8829</v>
      </c>
    </row>
    <row r="4241" spans="1:17" x14ac:dyDescent="0.3">
      <c r="A4241" t="s">
        <v>59</v>
      </c>
      <c r="B4241" t="str">
        <f>"002122"</f>
        <v>002122</v>
      </c>
      <c r="C4241" t="s">
        <v>8830</v>
      </c>
      <c r="D4241" t="s">
        <v>637</v>
      </c>
      <c r="F4241">
        <v>74504338</v>
      </c>
      <c r="G4241">
        <v>71248353</v>
      </c>
      <c r="H4241">
        <v>-13762335</v>
      </c>
      <c r="I4241">
        <v>-67360799</v>
      </c>
      <c r="J4241">
        <v>80602327</v>
      </c>
      <c r="K4241">
        <v>895164419</v>
      </c>
      <c r="L4241">
        <v>211804633</v>
      </c>
      <c r="M4241">
        <v>133913181</v>
      </c>
      <c r="N4241">
        <v>151982617</v>
      </c>
      <c r="O4241">
        <v>256237203</v>
      </c>
      <c r="P4241">
        <v>69</v>
      </c>
      <c r="Q4241" t="s">
        <v>8831</v>
      </c>
    </row>
    <row r="4242" spans="1:17" x14ac:dyDescent="0.3">
      <c r="A4242" t="s">
        <v>59</v>
      </c>
      <c r="B4242" t="str">
        <f>"000017"</f>
        <v>000017</v>
      </c>
      <c r="C4242" t="s">
        <v>8832</v>
      </c>
      <c r="D4242" t="s">
        <v>1391</v>
      </c>
      <c r="F4242">
        <v>15673933</v>
      </c>
      <c r="G4242">
        <v>3942229</v>
      </c>
      <c r="H4242">
        <v>-13791941</v>
      </c>
      <c r="I4242">
        <v>-9479474</v>
      </c>
      <c r="J4242">
        <v>-3431578</v>
      </c>
      <c r="K4242">
        <v>634446</v>
      </c>
      <c r="L4242">
        <v>-3029024</v>
      </c>
      <c r="M4242">
        <v>3921048</v>
      </c>
      <c r="N4242">
        <v>-28210168</v>
      </c>
      <c r="O4242">
        <v>-7026574</v>
      </c>
      <c r="P4242">
        <v>64</v>
      </c>
      <c r="Q4242" t="s">
        <v>8833</v>
      </c>
    </row>
    <row r="4243" spans="1:17" x14ac:dyDescent="0.3">
      <c r="A4243" t="s">
        <v>59</v>
      </c>
      <c r="B4243" t="str">
        <f>"002759"</f>
        <v>002759</v>
      </c>
      <c r="C4243" t="s">
        <v>8834</v>
      </c>
      <c r="D4243" t="s">
        <v>1444</v>
      </c>
      <c r="F4243">
        <v>685345084</v>
      </c>
      <c r="G4243">
        <v>38737079</v>
      </c>
      <c r="H4243">
        <v>-13953989</v>
      </c>
      <c r="I4243">
        <v>101306395</v>
      </c>
      <c r="J4243">
        <v>-1890103</v>
      </c>
      <c r="K4243">
        <v>63831712</v>
      </c>
      <c r="L4243">
        <v>-39145290</v>
      </c>
      <c r="M4243">
        <v>74948998</v>
      </c>
      <c r="N4243">
        <v>39163413</v>
      </c>
      <c r="O4243">
        <v>70698617</v>
      </c>
      <c r="P4243">
        <v>251</v>
      </c>
      <c r="Q4243" t="s">
        <v>8835</v>
      </c>
    </row>
    <row r="4244" spans="1:17" x14ac:dyDescent="0.3">
      <c r="A4244" t="s">
        <v>17</v>
      </c>
      <c r="B4244" t="str">
        <f>"600768"</f>
        <v>600768</v>
      </c>
      <c r="C4244" t="s">
        <v>8836</v>
      </c>
      <c r="D4244" t="s">
        <v>238</v>
      </c>
      <c r="F4244">
        <v>9589420</v>
      </c>
      <c r="G4244">
        <v>29477351</v>
      </c>
      <c r="H4244">
        <v>-14288036</v>
      </c>
      <c r="I4244">
        <v>-30276743</v>
      </c>
      <c r="J4244">
        <v>5714498</v>
      </c>
      <c r="K4244">
        <v>28631478</v>
      </c>
      <c r="L4244">
        <v>-64133031</v>
      </c>
      <c r="M4244">
        <v>-20094072</v>
      </c>
      <c r="N4244">
        <v>-7754031</v>
      </c>
      <c r="O4244">
        <v>-27189118</v>
      </c>
      <c r="P4244">
        <v>88</v>
      </c>
      <c r="Q4244" t="s">
        <v>8837</v>
      </c>
    </row>
    <row r="4245" spans="1:17" x14ac:dyDescent="0.3">
      <c r="A4245" t="s">
        <v>59</v>
      </c>
      <c r="B4245" t="str">
        <f>"000929"</f>
        <v>000929</v>
      </c>
      <c r="C4245" t="s">
        <v>8838</v>
      </c>
      <c r="D4245" t="s">
        <v>566</v>
      </c>
      <c r="F4245">
        <v>-220499490</v>
      </c>
      <c r="G4245">
        <v>-25939505</v>
      </c>
      <c r="H4245">
        <v>-14325199</v>
      </c>
      <c r="I4245">
        <v>31001351</v>
      </c>
      <c r="J4245">
        <v>27304223</v>
      </c>
      <c r="K4245">
        <v>105483701</v>
      </c>
      <c r="L4245">
        <v>39674384</v>
      </c>
      <c r="M4245">
        <v>123424877</v>
      </c>
      <c r="N4245">
        <v>115937041</v>
      </c>
      <c r="O4245">
        <v>50669987</v>
      </c>
      <c r="P4245">
        <v>144</v>
      </c>
      <c r="Q4245" t="s">
        <v>8839</v>
      </c>
    </row>
    <row r="4246" spans="1:17" x14ac:dyDescent="0.3">
      <c r="A4246" t="s">
        <v>59</v>
      </c>
      <c r="B4246" t="str">
        <f>"000996"</f>
        <v>000996</v>
      </c>
      <c r="C4246" t="s">
        <v>8840</v>
      </c>
      <c r="D4246" t="s">
        <v>337</v>
      </c>
      <c r="F4246">
        <v>-1121488</v>
      </c>
      <c r="G4246">
        <v>-6502199</v>
      </c>
      <c r="H4246">
        <v>-14429789</v>
      </c>
      <c r="I4246">
        <v>-11031364</v>
      </c>
      <c r="J4246">
        <v>-11248389</v>
      </c>
      <c r="K4246">
        <v>7003275</v>
      </c>
      <c r="L4246">
        <v>-11850789</v>
      </c>
      <c r="M4246">
        <v>-5597515</v>
      </c>
      <c r="N4246">
        <v>-1934325</v>
      </c>
      <c r="O4246">
        <v>-2811288</v>
      </c>
      <c r="P4246">
        <v>70</v>
      </c>
      <c r="Q4246" t="s">
        <v>8841</v>
      </c>
    </row>
    <row r="4247" spans="1:17" x14ac:dyDescent="0.3">
      <c r="A4247" t="s">
        <v>59</v>
      </c>
      <c r="B4247" t="str">
        <f>"300730"</f>
        <v>300730</v>
      </c>
      <c r="C4247" t="s">
        <v>8842</v>
      </c>
      <c r="D4247" t="s">
        <v>1528</v>
      </c>
      <c r="F4247">
        <v>-34333307</v>
      </c>
      <c r="G4247">
        <v>11960447</v>
      </c>
      <c r="H4247">
        <v>-14604264</v>
      </c>
      <c r="I4247">
        <v>-19459067</v>
      </c>
      <c r="J4247">
        <v>7462077</v>
      </c>
      <c r="K4247">
        <v>951657</v>
      </c>
      <c r="L4247">
        <v>78309920</v>
      </c>
      <c r="M4247">
        <v>37734472</v>
      </c>
      <c r="P4247">
        <v>98</v>
      </c>
      <c r="Q4247" t="s">
        <v>8843</v>
      </c>
    </row>
    <row r="4248" spans="1:17" x14ac:dyDescent="0.3">
      <c r="A4248" t="s">
        <v>17</v>
      </c>
      <c r="B4248" t="str">
        <f>"600300"</f>
        <v>600300</v>
      </c>
      <c r="C4248" t="s">
        <v>8844</v>
      </c>
      <c r="D4248" t="s">
        <v>1209</v>
      </c>
      <c r="F4248">
        <v>565267485</v>
      </c>
      <c r="G4248">
        <v>896375609</v>
      </c>
      <c r="H4248">
        <v>-14813349</v>
      </c>
      <c r="I4248">
        <v>142058115</v>
      </c>
      <c r="J4248">
        <v>187737547</v>
      </c>
      <c r="K4248">
        <v>101519312</v>
      </c>
      <c r="L4248">
        <v>-27687122</v>
      </c>
      <c r="M4248">
        <v>131186837</v>
      </c>
      <c r="N4248">
        <v>210290843</v>
      </c>
      <c r="O4248">
        <v>-72126786</v>
      </c>
      <c r="P4248">
        <v>209</v>
      </c>
      <c r="Q4248" t="s">
        <v>8845</v>
      </c>
    </row>
    <row r="4249" spans="1:17" x14ac:dyDescent="0.3">
      <c r="A4249" t="s">
        <v>59</v>
      </c>
      <c r="B4249" t="str">
        <f>"000586"</f>
        <v>000586</v>
      </c>
      <c r="C4249" t="s">
        <v>8846</v>
      </c>
      <c r="D4249" t="s">
        <v>754</v>
      </c>
      <c r="F4249">
        <v>-6370610</v>
      </c>
      <c r="G4249">
        <v>797924</v>
      </c>
      <c r="H4249">
        <v>-14837916</v>
      </c>
      <c r="I4249">
        <v>-3957017</v>
      </c>
      <c r="J4249">
        <v>-28309201</v>
      </c>
      <c r="K4249">
        <v>-3398976</v>
      </c>
      <c r="L4249">
        <v>-24857435</v>
      </c>
      <c r="M4249">
        <v>23363079</v>
      </c>
      <c r="N4249">
        <v>15245317</v>
      </c>
      <c r="O4249">
        <v>26294363</v>
      </c>
      <c r="P4249">
        <v>145</v>
      </c>
      <c r="Q4249" t="s">
        <v>8847</v>
      </c>
    </row>
    <row r="4250" spans="1:17" x14ac:dyDescent="0.3">
      <c r="A4250" t="s">
        <v>59</v>
      </c>
      <c r="B4250" t="str">
        <f>"301098"</f>
        <v>301098</v>
      </c>
      <c r="C4250" t="s">
        <v>8848</v>
      </c>
      <c r="D4250" t="s">
        <v>1489</v>
      </c>
      <c r="F4250">
        <v>-142520627</v>
      </c>
      <c r="G4250">
        <v>-52812492</v>
      </c>
      <c r="H4250">
        <v>-15372890</v>
      </c>
      <c r="I4250">
        <v>25516374</v>
      </c>
      <c r="J4250">
        <v>21131093</v>
      </c>
      <c r="K4250">
        <v>12245026</v>
      </c>
      <c r="P4250">
        <v>13</v>
      </c>
      <c r="Q4250" t="s">
        <v>8849</v>
      </c>
    </row>
    <row r="4251" spans="1:17" x14ac:dyDescent="0.3">
      <c r="A4251" t="s">
        <v>59</v>
      </c>
      <c r="B4251" t="str">
        <f>"200017"</f>
        <v>200017</v>
      </c>
      <c r="C4251" t="s">
        <v>8850</v>
      </c>
      <c r="F4251">
        <v>19166085.272399999</v>
      </c>
      <c r="G4251">
        <v>4675877.8169</v>
      </c>
      <c r="H4251">
        <v>-15426286.0085</v>
      </c>
      <c r="I4251">
        <v>-10792381.149</v>
      </c>
      <c r="J4251">
        <v>-4118579.9155999999</v>
      </c>
      <c r="K4251">
        <v>708168.62520000001</v>
      </c>
      <c r="L4251">
        <v>-3615745.9487999999</v>
      </c>
      <c r="M4251">
        <v>4902878.4192000004</v>
      </c>
      <c r="N4251">
        <v>-36156972.325599998</v>
      </c>
      <c r="O4251">
        <v>-8745274.0003999993</v>
      </c>
      <c r="P4251">
        <v>3</v>
      </c>
      <c r="Q4251" t="s">
        <v>8851</v>
      </c>
    </row>
    <row r="4252" spans="1:17" x14ac:dyDescent="0.3">
      <c r="A4252" t="s">
        <v>17</v>
      </c>
      <c r="B4252" t="str">
        <f>"600725"</f>
        <v>600725</v>
      </c>
      <c r="C4252" t="s">
        <v>8852</v>
      </c>
      <c r="D4252" t="s">
        <v>841</v>
      </c>
      <c r="F4252">
        <v>18465011</v>
      </c>
      <c r="G4252">
        <v>20015686</v>
      </c>
      <c r="H4252">
        <v>-15702373</v>
      </c>
      <c r="I4252">
        <v>-41793350</v>
      </c>
      <c r="J4252">
        <v>-139906483</v>
      </c>
      <c r="K4252">
        <v>-366855119</v>
      </c>
      <c r="L4252">
        <v>-101846317</v>
      </c>
      <c r="M4252">
        <v>76920156</v>
      </c>
      <c r="N4252">
        <v>782506778</v>
      </c>
      <c r="O4252">
        <v>-383618280</v>
      </c>
      <c r="P4252">
        <v>69</v>
      </c>
      <c r="Q4252" t="s">
        <v>8853</v>
      </c>
    </row>
    <row r="4253" spans="1:17" x14ac:dyDescent="0.3">
      <c r="A4253" t="s">
        <v>59</v>
      </c>
      <c r="B4253" t="str">
        <f>"000004"</f>
        <v>000004</v>
      </c>
      <c r="C4253" t="s">
        <v>8854</v>
      </c>
      <c r="D4253" t="s">
        <v>789</v>
      </c>
      <c r="F4253">
        <v>3101531</v>
      </c>
      <c r="G4253">
        <v>3973926</v>
      </c>
      <c r="H4253">
        <v>-15870921</v>
      </c>
      <c r="I4253">
        <v>-53310246</v>
      </c>
      <c r="J4253">
        <v>14439484</v>
      </c>
      <c r="K4253">
        <v>147929759</v>
      </c>
      <c r="L4253">
        <v>9261870</v>
      </c>
      <c r="M4253">
        <v>-5534051</v>
      </c>
      <c r="N4253">
        <v>-21042309</v>
      </c>
      <c r="O4253">
        <v>17562721</v>
      </c>
      <c r="P4253">
        <v>187</v>
      </c>
      <c r="Q4253" t="s">
        <v>8855</v>
      </c>
    </row>
    <row r="4254" spans="1:17" x14ac:dyDescent="0.3">
      <c r="A4254" t="s">
        <v>17</v>
      </c>
      <c r="B4254" t="str">
        <f>"688630"</f>
        <v>688630</v>
      </c>
      <c r="C4254" t="s">
        <v>8856</v>
      </c>
      <c r="D4254" t="s">
        <v>1351</v>
      </c>
      <c r="F4254">
        <v>30218721</v>
      </c>
      <c r="G4254">
        <v>-59709626</v>
      </c>
      <c r="H4254">
        <v>-15876305</v>
      </c>
      <c r="I4254">
        <v>1821434</v>
      </c>
      <c r="J4254">
        <v>-37172079</v>
      </c>
      <c r="P4254">
        <v>63</v>
      </c>
      <c r="Q4254" t="s">
        <v>8857</v>
      </c>
    </row>
    <row r="4255" spans="1:17" x14ac:dyDescent="0.3">
      <c r="A4255" t="s">
        <v>59</v>
      </c>
      <c r="B4255" t="str">
        <f>"300302"</f>
        <v>300302</v>
      </c>
      <c r="C4255" t="s">
        <v>8858</v>
      </c>
      <c r="D4255" t="s">
        <v>707</v>
      </c>
      <c r="F4255">
        <v>119476827</v>
      </c>
      <c r="G4255">
        <v>-34326882</v>
      </c>
      <c r="H4255">
        <v>-15897614</v>
      </c>
      <c r="I4255">
        <v>-31076402</v>
      </c>
      <c r="J4255">
        <v>52284624</v>
      </c>
      <c r="K4255">
        <v>-69594349</v>
      </c>
      <c r="L4255">
        <v>280640853</v>
      </c>
      <c r="M4255">
        <v>29946143</v>
      </c>
      <c r="N4255">
        <v>-36357551</v>
      </c>
      <c r="O4255">
        <v>6225061</v>
      </c>
      <c r="P4255">
        <v>146</v>
      </c>
      <c r="Q4255" t="s">
        <v>8859</v>
      </c>
    </row>
    <row r="4256" spans="1:17" x14ac:dyDescent="0.3">
      <c r="A4256" t="s">
        <v>17</v>
      </c>
      <c r="B4256" t="str">
        <f>"688667"</f>
        <v>688667</v>
      </c>
      <c r="C4256" t="s">
        <v>8860</v>
      </c>
      <c r="D4256" t="s">
        <v>575</v>
      </c>
      <c r="F4256">
        <v>41381649</v>
      </c>
      <c r="G4256">
        <v>6208538</v>
      </c>
      <c r="H4256">
        <v>-16374689</v>
      </c>
      <c r="I4256">
        <v>4100801</v>
      </c>
      <c r="J4256">
        <v>2341105</v>
      </c>
      <c r="P4256">
        <v>66</v>
      </c>
      <c r="Q4256" t="s">
        <v>8861</v>
      </c>
    </row>
    <row r="4257" spans="1:17" x14ac:dyDescent="0.3">
      <c r="A4257" t="s">
        <v>17</v>
      </c>
      <c r="B4257" t="str">
        <f>"600620"</f>
        <v>600620</v>
      </c>
      <c r="C4257" t="s">
        <v>8862</v>
      </c>
      <c r="D4257" t="s">
        <v>672</v>
      </c>
      <c r="F4257">
        <v>-211410100</v>
      </c>
      <c r="G4257">
        <v>-42202335</v>
      </c>
      <c r="H4257">
        <v>-16501954</v>
      </c>
      <c r="I4257">
        <v>-9863086</v>
      </c>
      <c r="J4257">
        <v>-16779899</v>
      </c>
      <c r="K4257">
        <v>-4482339</v>
      </c>
      <c r="L4257">
        <v>-6367959</v>
      </c>
      <c r="M4257">
        <v>100746573</v>
      </c>
      <c r="N4257">
        <v>-30350894</v>
      </c>
      <c r="O4257">
        <v>22339437</v>
      </c>
      <c r="P4257">
        <v>66</v>
      </c>
      <c r="Q4257" t="s">
        <v>8863</v>
      </c>
    </row>
    <row r="4258" spans="1:17" x14ac:dyDescent="0.3">
      <c r="A4258" t="s">
        <v>59</v>
      </c>
      <c r="B4258" t="str">
        <f>"300292"</f>
        <v>300292</v>
      </c>
      <c r="C4258" t="s">
        <v>8864</v>
      </c>
      <c r="D4258" t="s">
        <v>4468</v>
      </c>
      <c r="F4258">
        <v>141937822</v>
      </c>
      <c r="G4258">
        <v>-10228641</v>
      </c>
      <c r="H4258">
        <v>-16541248</v>
      </c>
      <c r="I4258">
        <v>119579512</v>
      </c>
      <c r="J4258">
        <v>82926330</v>
      </c>
      <c r="K4258">
        <v>174820539</v>
      </c>
      <c r="L4258">
        <v>123958792</v>
      </c>
      <c r="M4258">
        <v>124910162</v>
      </c>
      <c r="N4258">
        <v>6964223</v>
      </c>
      <c r="O4258">
        <v>-34424958</v>
      </c>
      <c r="P4258">
        <v>205</v>
      </c>
      <c r="Q4258" t="s">
        <v>8865</v>
      </c>
    </row>
    <row r="4259" spans="1:17" x14ac:dyDescent="0.3">
      <c r="A4259" t="s">
        <v>17</v>
      </c>
      <c r="B4259" t="str">
        <f>"688590"</f>
        <v>688590</v>
      </c>
      <c r="C4259" t="s">
        <v>8866</v>
      </c>
      <c r="D4259" t="s">
        <v>1528</v>
      </c>
      <c r="F4259">
        <v>-10609034</v>
      </c>
      <c r="G4259">
        <v>29603983</v>
      </c>
      <c r="H4259">
        <v>-16596365</v>
      </c>
      <c r="I4259">
        <v>31684788</v>
      </c>
      <c r="J4259">
        <v>-43537496</v>
      </c>
      <c r="K4259">
        <v>16507352</v>
      </c>
      <c r="P4259">
        <v>29</v>
      </c>
      <c r="Q4259" t="s">
        <v>8867</v>
      </c>
    </row>
    <row r="4260" spans="1:17" x14ac:dyDescent="0.3">
      <c r="A4260" t="s">
        <v>59</v>
      </c>
      <c r="B4260" t="str">
        <f>"002306"</f>
        <v>002306</v>
      </c>
      <c r="C4260" t="s">
        <v>8868</v>
      </c>
      <c r="D4260" t="s">
        <v>3991</v>
      </c>
      <c r="F4260">
        <v>-39161758</v>
      </c>
      <c r="G4260">
        <v>14674780</v>
      </c>
      <c r="H4260">
        <v>-16921006</v>
      </c>
      <c r="I4260">
        <v>18860437</v>
      </c>
      <c r="J4260">
        <v>-10044520</v>
      </c>
      <c r="K4260">
        <v>-18149257</v>
      </c>
      <c r="L4260">
        <v>-39614059</v>
      </c>
      <c r="M4260">
        <v>-74532757</v>
      </c>
      <c r="N4260">
        <v>-178540242</v>
      </c>
      <c r="O4260">
        <v>159291170</v>
      </c>
      <c r="P4260">
        <v>68</v>
      </c>
      <c r="Q4260" t="s">
        <v>8869</v>
      </c>
    </row>
    <row r="4261" spans="1:17" x14ac:dyDescent="0.3">
      <c r="A4261" t="s">
        <v>17</v>
      </c>
      <c r="B4261" t="str">
        <f>"688071"</f>
        <v>688071</v>
      </c>
      <c r="C4261" t="s">
        <v>8870</v>
      </c>
      <c r="D4261" t="s">
        <v>1351</v>
      </c>
      <c r="F4261">
        <v>-52701978</v>
      </c>
      <c r="G4261">
        <v>62616112</v>
      </c>
      <c r="H4261">
        <v>-17046598</v>
      </c>
      <c r="I4261">
        <v>10550593</v>
      </c>
      <c r="J4261">
        <v>-44067578</v>
      </c>
      <c r="P4261">
        <v>28</v>
      </c>
      <c r="Q4261" t="s">
        <v>8871</v>
      </c>
    </row>
    <row r="4262" spans="1:17" x14ac:dyDescent="0.3">
      <c r="A4262" t="s">
        <v>59</v>
      </c>
      <c r="B4262" t="str">
        <f>"300530"</f>
        <v>300530</v>
      </c>
      <c r="C4262" t="s">
        <v>8872</v>
      </c>
      <c r="D4262" t="s">
        <v>1252</v>
      </c>
      <c r="F4262">
        <v>-16604063</v>
      </c>
      <c r="G4262">
        <v>-1482910</v>
      </c>
      <c r="H4262">
        <v>-17523992</v>
      </c>
      <c r="I4262">
        <v>30888097</v>
      </c>
      <c r="J4262">
        <v>29993869</v>
      </c>
      <c r="K4262">
        <v>43671920</v>
      </c>
      <c r="L4262">
        <v>61303701</v>
      </c>
      <c r="M4262">
        <v>39477200</v>
      </c>
      <c r="N4262">
        <v>27428692</v>
      </c>
      <c r="P4262">
        <v>64</v>
      </c>
      <c r="Q4262" t="s">
        <v>8873</v>
      </c>
    </row>
    <row r="4263" spans="1:17" x14ac:dyDescent="0.3">
      <c r="A4263" t="s">
        <v>59</v>
      </c>
      <c r="B4263" t="str">
        <f>"000695"</f>
        <v>000695</v>
      </c>
      <c r="C4263" t="s">
        <v>8874</v>
      </c>
      <c r="D4263" t="s">
        <v>2995</v>
      </c>
      <c r="F4263">
        <v>-25815237</v>
      </c>
      <c r="G4263">
        <v>-64263003</v>
      </c>
      <c r="H4263">
        <v>-17688803</v>
      </c>
      <c r="I4263">
        <v>134735266</v>
      </c>
      <c r="J4263">
        <v>20235386</v>
      </c>
      <c r="K4263">
        <v>85368320</v>
      </c>
      <c r="L4263">
        <v>73308637</v>
      </c>
      <c r="M4263">
        <v>87401219</v>
      </c>
      <c r="N4263">
        <v>68459877</v>
      </c>
      <c r="O4263">
        <v>193866631</v>
      </c>
      <c r="P4263">
        <v>82</v>
      </c>
      <c r="Q4263" t="s">
        <v>8875</v>
      </c>
    </row>
    <row r="4264" spans="1:17" x14ac:dyDescent="0.3">
      <c r="A4264" t="s">
        <v>59</v>
      </c>
      <c r="B4264" t="str">
        <f>"300278"</f>
        <v>300278</v>
      </c>
      <c r="C4264" t="s">
        <v>8876</v>
      </c>
      <c r="D4264" t="s">
        <v>1426</v>
      </c>
      <c r="F4264">
        <v>-37522122</v>
      </c>
      <c r="G4264">
        <v>186380916</v>
      </c>
      <c r="H4264">
        <v>-17752684</v>
      </c>
      <c r="I4264">
        <v>101753737</v>
      </c>
      <c r="J4264">
        <v>32383230</v>
      </c>
      <c r="K4264">
        <v>-85951606</v>
      </c>
      <c r="L4264">
        <v>-29973373</v>
      </c>
      <c r="M4264">
        <v>-21618431</v>
      </c>
      <c r="N4264">
        <v>-20698443</v>
      </c>
      <c r="O4264">
        <v>-111550143</v>
      </c>
      <c r="P4264">
        <v>98</v>
      </c>
      <c r="Q4264" t="s">
        <v>8877</v>
      </c>
    </row>
    <row r="4265" spans="1:17" x14ac:dyDescent="0.3">
      <c r="A4265" t="s">
        <v>59</v>
      </c>
      <c r="B4265" t="str">
        <f>"300589"</f>
        <v>300589</v>
      </c>
      <c r="C4265" t="s">
        <v>8878</v>
      </c>
      <c r="D4265" t="s">
        <v>614</v>
      </c>
      <c r="F4265">
        <v>100862374</v>
      </c>
      <c r="G4265">
        <v>30301721</v>
      </c>
      <c r="H4265">
        <v>-17782214</v>
      </c>
      <c r="I4265">
        <v>174305771</v>
      </c>
      <c r="J4265">
        <v>-56277640</v>
      </c>
      <c r="K4265">
        <v>18248907</v>
      </c>
      <c r="L4265">
        <v>71608920</v>
      </c>
      <c r="M4265">
        <v>6171112</v>
      </c>
      <c r="N4265">
        <v>-53143246</v>
      </c>
      <c r="P4265">
        <v>87</v>
      </c>
      <c r="Q4265" t="s">
        <v>8879</v>
      </c>
    </row>
    <row r="4266" spans="1:17" x14ac:dyDescent="0.3">
      <c r="A4266" t="s">
        <v>59</v>
      </c>
      <c r="B4266" t="str">
        <f>"300222"</f>
        <v>300222</v>
      </c>
      <c r="C4266" t="s">
        <v>8880</v>
      </c>
      <c r="D4266" t="s">
        <v>494</v>
      </c>
      <c r="F4266">
        <v>-20281843</v>
      </c>
      <c r="G4266">
        <v>-57228602</v>
      </c>
      <c r="H4266">
        <v>-18167884</v>
      </c>
      <c r="I4266">
        <v>-279386146</v>
      </c>
      <c r="J4266">
        <v>-61079094</v>
      </c>
      <c r="K4266">
        <v>58145975</v>
      </c>
      <c r="L4266">
        <v>161417432</v>
      </c>
      <c r="M4266">
        <v>46843929</v>
      </c>
      <c r="N4266">
        <v>-1417644</v>
      </c>
      <c r="O4266">
        <v>-7823853</v>
      </c>
      <c r="P4266">
        <v>221</v>
      </c>
      <c r="Q4266" t="s">
        <v>8881</v>
      </c>
    </row>
    <row r="4267" spans="1:17" x14ac:dyDescent="0.3">
      <c r="A4267" t="s">
        <v>59</v>
      </c>
      <c r="B4267" t="str">
        <f>"002260"</f>
        <v>002260</v>
      </c>
      <c r="C4267" t="s">
        <v>8882</v>
      </c>
      <c r="D4267" t="s">
        <v>1173</v>
      </c>
      <c r="F4267">
        <v>-86827692</v>
      </c>
      <c r="G4267">
        <v>-96518681</v>
      </c>
      <c r="H4267">
        <v>-18319443</v>
      </c>
      <c r="I4267">
        <v>54957471</v>
      </c>
      <c r="J4267">
        <v>-73266244</v>
      </c>
      <c r="K4267">
        <v>43351419</v>
      </c>
      <c r="L4267">
        <v>-10707545</v>
      </c>
      <c r="M4267">
        <v>25827112</v>
      </c>
      <c r="N4267">
        <v>29625244</v>
      </c>
      <c r="O4267">
        <v>-39178806</v>
      </c>
      <c r="P4267">
        <v>57</v>
      </c>
      <c r="Q4267" t="s">
        <v>8883</v>
      </c>
    </row>
    <row r="4268" spans="1:17" x14ac:dyDescent="0.3">
      <c r="A4268" t="s">
        <v>59</v>
      </c>
      <c r="B4268" t="str">
        <f>"300565"</f>
        <v>300565</v>
      </c>
      <c r="C4268" t="s">
        <v>8884</v>
      </c>
      <c r="D4268" t="s">
        <v>352</v>
      </c>
      <c r="F4268">
        <v>-140058949</v>
      </c>
      <c r="G4268">
        <v>-30883531</v>
      </c>
      <c r="H4268">
        <v>-18328379</v>
      </c>
      <c r="I4268">
        <v>18386294</v>
      </c>
      <c r="J4268">
        <v>169368716</v>
      </c>
      <c r="K4268">
        <v>19184942</v>
      </c>
      <c r="L4268">
        <v>8193208</v>
      </c>
      <c r="M4268">
        <v>48422208</v>
      </c>
      <c r="N4268">
        <v>27619161</v>
      </c>
      <c r="P4268">
        <v>113</v>
      </c>
      <c r="Q4268" t="s">
        <v>8885</v>
      </c>
    </row>
    <row r="4269" spans="1:17" x14ac:dyDescent="0.3">
      <c r="A4269" t="s">
        <v>59</v>
      </c>
      <c r="B4269" t="str">
        <f>"002709"</f>
        <v>002709</v>
      </c>
      <c r="C4269" t="s">
        <v>8886</v>
      </c>
      <c r="D4269" t="s">
        <v>1444</v>
      </c>
      <c r="F4269">
        <v>2046599672</v>
      </c>
      <c r="G4269">
        <v>632457692</v>
      </c>
      <c r="H4269">
        <v>-18408020</v>
      </c>
      <c r="I4269">
        <v>-318250631</v>
      </c>
      <c r="J4269">
        <v>-79342286</v>
      </c>
      <c r="K4269">
        <v>233715236</v>
      </c>
      <c r="L4269">
        <v>90183403</v>
      </c>
      <c r="M4269">
        <v>68967564</v>
      </c>
      <c r="N4269">
        <v>82446345</v>
      </c>
      <c r="O4269">
        <v>126039181</v>
      </c>
      <c r="P4269">
        <v>1069</v>
      </c>
      <c r="Q4269" t="s">
        <v>8887</v>
      </c>
    </row>
    <row r="4270" spans="1:17" x14ac:dyDescent="0.3">
      <c r="A4270" t="s">
        <v>17</v>
      </c>
      <c r="B4270" t="str">
        <f>"603698"</f>
        <v>603698</v>
      </c>
      <c r="C4270" t="s">
        <v>8888</v>
      </c>
      <c r="D4270" t="s">
        <v>741</v>
      </c>
      <c r="F4270">
        <v>298638293</v>
      </c>
      <c r="G4270">
        <v>280496259</v>
      </c>
      <c r="H4270">
        <v>-18648159</v>
      </c>
      <c r="I4270">
        <v>53185815</v>
      </c>
      <c r="J4270">
        <v>729881352</v>
      </c>
      <c r="K4270">
        <v>-210769783</v>
      </c>
      <c r="L4270">
        <v>-372363226</v>
      </c>
      <c r="M4270">
        <v>487633891</v>
      </c>
      <c r="N4270">
        <v>223110531</v>
      </c>
      <c r="O4270">
        <v>311791896</v>
      </c>
      <c r="P4270">
        <v>108</v>
      </c>
      <c r="Q4270" t="s">
        <v>8889</v>
      </c>
    </row>
    <row r="4271" spans="1:17" x14ac:dyDescent="0.3">
      <c r="A4271" t="s">
        <v>17</v>
      </c>
      <c r="B4271" t="str">
        <f>"600692"</f>
        <v>600692</v>
      </c>
      <c r="C4271" t="s">
        <v>8890</v>
      </c>
      <c r="D4271" t="s">
        <v>61</v>
      </c>
      <c r="F4271">
        <v>-166013209</v>
      </c>
      <c r="G4271">
        <v>710976812</v>
      </c>
      <c r="H4271">
        <v>-18669098</v>
      </c>
      <c r="I4271">
        <v>-291464390</v>
      </c>
      <c r="J4271">
        <v>-217530718</v>
      </c>
      <c r="K4271">
        <v>189631417</v>
      </c>
      <c r="L4271">
        <v>638736456</v>
      </c>
      <c r="M4271">
        <v>-544189863</v>
      </c>
      <c r="N4271">
        <v>255969285</v>
      </c>
      <c r="O4271">
        <v>36235365</v>
      </c>
      <c r="P4271">
        <v>76</v>
      </c>
      <c r="Q4271" t="s">
        <v>8891</v>
      </c>
    </row>
    <row r="4272" spans="1:17" x14ac:dyDescent="0.3">
      <c r="A4272" t="s">
        <v>17</v>
      </c>
      <c r="B4272" t="str">
        <f>"600218"</f>
        <v>600218</v>
      </c>
      <c r="C4272" t="s">
        <v>8892</v>
      </c>
      <c r="D4272" t="s">
        <v>156</v>
      </c>
      <c r="F4272">
        <v>259700896</v>
      </c>
      <c r="G4272">
        <v>433957095</v>
      </c>
      <c r="H4272">
        <v>-18740549</v>
      </c>
      <c r="I4272">
        <v>-2981883</v>
      </c>
      <c r="J4272">
        <v>-141774803</v>
      </c>
      <c r="K4272">
        <v>506262427</v>
      </c>
      <c r="L4272">
        <v>138351919</v>
      </c>
      <c r="M4272">
        <v>37689678</v>
      </c>
      <c r="N4272">
        <v>40854811</v>
      </c>
      <c r="O4272">
        <v>-6578125</v>
      </c>
      <c r="P4272">
        <v>166</v>
      </c>
      <c r="Q4272" t="s">
        <v>8893</v>
      </c>
    </row>
    <row r="4273" spans="1:17" x14ac:dyDescent="0.3">
      <c r="A4273" t="s">
        <v>59</v>
      </c>
      <c r="B4273" t="str">
        <f>"002702"</f>
        <v>002702</v>
      </c>
      <c r="C4273" t="s">
        <v>8894</v>
      </c>
      <c r="D4273" t="s">
        <v>2504</v>
      </c>
      <c r="F4273">
        <v>-47914233</v>
      </c>
      <c r="G4273">
        <v>119401513</v>
      </c>
      <c r="H4273">
        <v>-18927823</v>
      </c>
      <c r="I4273">
        <v>76927877</v>
      </c>
      <c r="J4273">
        <v>9464786</v>
      </c>
      <c r="K4273">
        <v>83337925</v>
      </c>
      <c r="L4273">
        <v>19832380</v>
      </c>
      <c r="M4273">
        <v>-13143450</v>
      </c>
      <c r="N4273">
        <v>60050749</v>
      </c>
      <c r="O4273">
        <v>65130483</v>
      </c>
      <c r="P4273">
        <v>186</v>
      </c>
      <c r="Q4273" t="s">
        <v>8895</v>
      </c>
    </row>
    <row r="4274" spans="1:17" x14ac:dyDescent="0.3">
      <c r="A4274" t="s">
        <v>17</v>
      </c>
      <c r="B4274" t="str">
        <f>"600209"</f>
        <v>600209</v>
      </c>
      <c r="C4274" t="s">
        <v>8896</v>
      </c>
      <c r="D4274" t="s">
        <v>1150</v>
      </c>
      <c r="F4274">
        <v>17818694</v>
      </c>
      <c r="G4274">
        <v>-32263391</v>
      </c>
      <c r="H4274">
        <v>-18969238</v>
      </c>
      <c r="I4274">
        <v>-8332832</v>
      </c>
      <c r="J4274">
        <v>-15194670</v>
      </c>
      <c r="K4274">
        <v>-23613970</v>
      </c>
      <c r="L4274">
        <v>-22087202</v>
      </c>
      <c r="M4274">
        <v>-156146951</v>
      </c>
      <c r="N4274">
        <v>-27801697</v>
      </c>
      <c r="O4274">
        <v>102455841</v>
      </c>
      <c r="P4274">
        <v>49</v>
      </c>
      <c r="Q4274" t="s">
        <v>8897</v>
      </c>
    </row>
    <row r="4275" spans="1:17" x14ac:dyDescent="0.3">
      <c r="A4275" t="s">
        <v>17</v>
      </c>
      <c r="B4275" t="str">
        <f>"688707"</f>
        <v>688707</v>
      </c>
      <c r="C4275" t="s">
        <v>8898</v>
      </c>
      <c r="D4275" t="s">
        <v>1444</v>
      </c>
      <c r="F4275">
        <v>95813841</v>
      </c>
      <c r="G4275">
        <v>-190940397</v>
      </c>
      <c r="H4275">
        <v>-19067140</v>
      </c>
      <c r="I4275">
        <v>-225153560</v>
      </c>
      <c r="J4275">
        <v>41160854</v>
      </c>
      <c r="P4275">
        <v>31</v>
      </c>
      <c r="Q4275" t="s">
        <v>8899</v>
      </c>
    </row>
    <row r="4276" spans="1:17" x14ac:dyDescent="0.3">
      <c r="A4276" t="s">
        <v>17</v>
      </c>
      <c r="B4276" t="str">
        <f>"600265"</f>
        <v>600265</v>
      </c>
      <c r="C4276" t="s">
        <v>8900</v>
      </c>
      <c r="D4276" t="s">
        <v>3314</v>
      </c>
      <c r="F4276">
        <v>-49362859</v>
      </c>
      <c r="G4276">
        <v>31553943</v>
      </c>
      <c r="H4276">
        <v>-19170001</v>
      </c>
      <c r="I4276">
        <v>9946554</v>
      </c>
      <c r="J4276">
        <v>-38152682</v>
      </c>
      <c r="K4276">
        <v>-31951558</v>
      </c>
      <c r="L4276">
        <v>12299794</v>
      </c>
      <c r="M4276">
        <v>33266055</v>
      </c>
      <c r="N4276">
        <v>87139297</v>
      </c>
      <c r="O4276">
        <v>-31686890</v>
      </c>
      <c r="P4276">
        <v>46</v>
      </c>
      <c r="Q4276" t="s">
        <v>8901</v>
      </c>
    </row>
    <row r="4277" spans="1:17" x14ac:dyDescent="0.3">
      <c r="A4277" t="s">
        <v>59</v>
      </c>
      <c r="B4277" t="str">
        <f>"300598"</f>
        <v>300598</v>
      </c>
      <c r="C4277" t="s">
        <v>8902</v>
      </c>
      <c r="D4277" t="s">
        <v>1528</v>
      </c>
      <c r="F4277">
        <v>19353990</v>
      </c>
      <c r="G4277">
        <v>58909532</v>
      </c>
      <c r="H4277">
        <v>-19701327</v>
      </c>
      <c r="I4277">
        <v>-58277101</v>
      </c>
      <c r="J4277">
        <v>18078495</v>
      </c>
      <c r="K4277">
        <v>52197070</v>
      </c>
      <c r="L4277">
        <v>46591872</v>
      </c>
      <c r="M4277">
        <v>-5201189</v>
      </c>
      <c r="N4277">
        <v>57551939</v>
      </c>
      <c r="P4277">
        <v>319</v>
      </c>
      <c r="Q4277" t="s">
        <v>8903</v>
      </c>
    </row>
    <row r="4278" spans="1:17" x14ac:dyDescent="0.3">
      <c r="A4278" t="s">
        <v>59</v>
      </c>
      <c r="B4278" t="str">
        <f>"000570"</f>
        <v>000570</v>
      </c>
      <c r="C4278" t="s">
        <v>8904</v>
      </c>
      <c r="D4278" t="s">
        <v>156</v>
      </c>
      <c r="F4278">
        <v>-266323779</v>
      </c>
      <c r="G4278">
        <v>251796655</v>
      </c>
      <c r="H4278">
        <v>-20325190</v>
      </c>
      <c r="I4278">
        <v>274514946</v>
      </c>
      <c r="J4278">
        <v>-121111914</v>
      </c>
      <c r="K4278">
        <v>99473944</v>
      </c>
      <c r="L4278">
        <v>127926883</v>
      </c>
      <c r="M4278">
        <v>-51507356</v>
      </c>
      <c r="N4278">
        <v>31406848</v>
      </c>
      <c r="O4278">
        <v>305344710</v>
      </c>
      <c r="P4278">
        <v>81</v>
      </c>
      <c r="Q4278" t="s">
        <v>8905</v>
      </c>
    </row>
    <row r="4279" spans="1:17" x14ac:dyDescent="0.3">
      <c r="A4279" t="s">
        <v>17</v>
      </c>
      <c r="B4279" t="str">
        <f>"603389"</f>
        <v>603389</v>
      </c>
      <c r="C4279" t="s">
        <v>8906</v>
      </c>
      <c r="D4279" t="s">
        <v>972</v>
      </c>
      <c r="F4279">
        <v>-27419014</v>
      </c>
      <c r="G4279">
        <v>42002827</v>
      </c>
      <c r="H4279">
        <v>-20518084</v>
      </c>
      <c r="I4279">
        <v>-79395934</v>
      </c>
      <c r="J4279">
        <v>39094973</v>
      </c>
      <c r="K4279">
        <v>128592594</v>
      </c>
      <c r="L4279">
        <v>71084232</v>
      </c>
      <c r="M4279">
        <v>72807958</v>
      </c>
      <c r="N4279">
        <v>106645165</v>
      </c>
      <c r="P4279">
        <v>80</v>
      </c>
      <c r="Q4279" t="s">
        <v>8907</v>
      </c>
    </row>
    <row r="4280" spans="1:17" x14ac:dyDescent="0.3">
      <c r="A4280" t="s">
        <v>17</v>
      </c>
      <c r="B4280" t="str">
        <f>"603918"</f>
        <v>603918</v>
      </c>
      <c r="C4280" t="s">
        <v>8908</v>
      </c>
      <c r="D4280" t="s">
        <v>1189</v>
      </c>
      <c r="F4280">
        <v>119746458</v>
      </c>
      <c r="G4280">
        <v>116401138</v>
      </c>
      <c r="H4280">
        <v>-20769628</v>
      </c>
      <c r="I4280">
        <v>-9334883</v>
      </c>
      <c r="J4280">
        <v>77182299</v>
      </c>
      <c r="K4280">
        <v>36778075</v>
      </c>
      <c r="L4280">
        <v>34317332</v>
      </c>
      <c r="M4280">
        <v>68160826</v>
      </c>
      <c r="N4280">
        <v>32131408</v>
      </c>
      <c r="O4280">
        <v>13666392</v>
      </c>
      <c r="P4280">
        <v>142</v>
      </c>
      <c r="Q4280" t="s">
        <v>8909</v>
      </c>
    </row>
    <row r="4281" spans="1:17" x14ac:dyDescent="0.3">
      <c r="A4281" t="s">
        <v>59</v>
      </c>
      <c r="B4281" t="str">
        <f>"300872"</f>
        <v>300872</v>
      </c>
      <c r="C4281" t="s">
        <v>8910</v>
      </c>
      <c r="D4281" t="s">
        <v>1189</v>
      </c>
      <c r="F4281">
        <v>-231372952</v>
      </c>
      <c r="G4281">
        <v>-194178927</v>
      </c>
      <c r="H4281">
        <v>-20838328</v>
      </c>
      <c r="I4281">
        <v>-44868746</v>
      </c>
      <c r="J4281">
        <v>-152469086</v>
      </c>
      <c r="P4281">
        <v>74</v>
      </c>
      <c r="Q4281" t="s">
        <v>8911</v>
      </c>
    </row>
    <row r="4282" spans="1:17" x14ac:dyDescent="0.3">
      <c r="A4282" t="s">
        <v>17</v>
      </c>
      <c r="B4282" t="str">
        <f>"600784"</f>
        <v>600784</v>
      </c>
      <c r="C4282" t="s">
        <v>8912</v>
      </c>
      <c r="D4282" t="s">
        <v>672</v>
      </c>
      <c r="F4282">
        <v>273698261</v>
      </c>
      <c r="G4282">
        <v>265954557</v>
      </c>
      <c r="H4282">
        <v>-21091027</v>
      </c>
      <c r="I4282">
        <v>523662742</v>
      </c>
      <c r="J4282">
        <v>111728115</v>
      </c>
      <c r="K4282">
        <v>525068873</v>
      </c>
      <c r="L4282">
        <v>98352142</v>
      </c>
      <c r="M4282">
        <v>-97570739</v>
      </c>
      <c r="N4282">
        <v>-550201594</v>
      </c>
      <c r="O4282">
        <v>-485514609</v>
      </c>
      <c r="P4282">
        <v>75</v>
      </c>
      <c r="Q4282" t="s">
        <v>8913</v>
      </c>
    </row>
    <row r="4283" spans="1:17" x14ac:dyDescent="0.3">
      <c r="A4283" t="s">
        <v>59</v>
      </c>
      <c r="B4283" t="str">
        <f>"300560"</f>
        <v>300560</v>
      </c>
      <c r="C4283" t="s">
        <v>8914</v>
      </c>
      <c r="D4283" t="s">
        <v>2057</v>
      </c>
      <c r="F4283">
        <v>53007372</v>
      </c>
      <c r="G4283">
        <v>45227904</v>
      </c>
      <c r="H4283">
        <v>-21139058</v>
      </c>
      <c r="I4283">
        <v>60762214</v>
      </c>
      <c r="J4283">
        <v>-17337584</v>
      </c>
      <c r="K4283">
        <v>5890315</v>
      </c>
      <c r="L4283">
        <v>14610104</v>
      </c>
      <c r="M4283">
        <v>6409090</v>
      </c>
      <c r="N4283">
        <v>11321917</v>
      </c>
      <c r="P4283">
        <v>192</v>
      </c>
      <c r="Q4283" t="s">
        <v>8915</v>
      </c>
    </row>
    <row r="4284" spans="1:17" x14ac:dyDescent="0.3">
      <c r="A4284" t="s">
        <v>59</v>
      </c>
      <c r="B4284" t="str">
        <f>"002006"</f>
        <v>002006</v>
      </c>
      <c r="C4284" t="s">
        <v>8916</v>
      </c>
      <c r="D4284" t="s">
        <v>1351</v>
      </c>
      <c r="F4284">
        <v>149634359</v>
      </c>
      <c r="G4284">
        <v>206089771</v>
      </c>
      <c r="H4284">
        <v>-21197954</v>
      </c>
      <c r="I4284">
        <v>-74297788</v>
      </c>
      <c r="J4284">
        <v>-56035018</v>
      </c>
      <c r="K4284">
        <v>185626611</v>
      </c>
      <c r="L4284">
        <v>173204896</v>
      </c>
      <c r="M4284">
        <v>56363689</v>
      </c>
      <c r="N4284">
        <v>33388210</v>
      </c>
      <c r="O4284">
        <v>-325272077</v>
      </c>
      <c r="P4284">
        <v>127</v>
      </c>
      <c r="Q4284" t="s">
        <v>8917</v>
      </c>
    </row>
    <row r="4285" spans="1:17" x14ac:dyDescent="0.3">
      <c r="A4285" t="s">
        <v>59</v>
      </c>
      <c r="B4285" t="str">
        <f>"002161"</f>
        <v>002161</v>
      </c>
      <c r="C4285" t="s">
        <v>8918</v>
      </c>
      <c r="D4285" t="s">
        <v>595</v>
      </c>
      <c r="F4285">
        <v>101031122</v>
      </c>
      <c r="G4285">
        <v>-33764819</v>
      </c>
      <c r="H4285">
        <v>-21430599</v>
      </c>
      <c r="I4285">
        <v>-72145368</v>
      </c>
      <c r="J4285">
        <v>-18284428</v>
      </c>
      <c r="K4285">
        <v>-16564702</v>
      </c>
      <c r="L4285">
        <v>42051679</v>
      </c>
      <c r="M4285">
        <v>27603265</v>
      </c>
      <c r="N4285">
        <v>57651548</v>
      </c>
      <c r="O4285">
        <v>83272347</v>
      </c>
      <c r="P4285">
        <v>211</v>
      </c>
      <c r="Q4285" t="s">
        <v>8919</v>
      </c>
    </row>
    <row r="4286" spans="1:17" x14ac:dyDescent="0.3">
      <c r="A4286" t="s">
        <v>17</v>
      </c>
      <c r="B4286" t="str">
        <f>"900951"</f>
        <v>900951</v>
      </c>
      <c r="C4286" t="s">
        <v>8920</v>
      </c>
      <c r="H4286">
        <v>-21753395.0568</v>
      </c>
      <c r="I4286">
        <v>-8184187.96</v>
      </c>
      <c r="J4286">
        <v>9170060.8511999995</v>
      </c>
      <c r="K4286">
        <v>-16522486.415999999</v>
      </c>
      <c r="L4286">
        <v>6987222.1327</v>
      </c>
      <c r="M4286">
        <v>-300883.13520000002</v>
      </c>
      <c r="N4286">
        <v>49717256.676799998</v>
      </c>
      <c r="O4286">
        <v>18438399.768100001</v>
      </c>
      <c r="P4286">
        <v>2</v>
      </c>
      <c r="Q4286" t="s">
        <v>8921</v>
      </c>
    </row>
    <row r="4287" spans="1:17" x14ac:dyDescent="0.3">
      <c r="A4287" t="s">
        <v>17</v>
      </c>
      <c r="B4287" t="str">
        <f>"688072"</f>
        <v>688072</v>
      </c>
      <c r="C4287" t="s">
        <v>8922</v>
      </c>
      <c r="F4287">
        <v>137480580</v>
      </c>
      <c r="G4287">
        <v>308912705</v>
      </c>
      <c r="H4287">
        <v>-21756053</v>
      </c>
      <c r="I4287">
        <v>-128015166</v>
      </c>
      <c r="P4287">
        <v>5</v>
      </c>
      <c r="Q4287" t="s">
        <v>8923</v>
      </c>
    </row>
    <row r="4288" spans="1:17" x14ac:dyDescent="0.3">
      <c r="A4288" t="s">
        <v>59</v>
      </c>
      <c r="B4288" t="str">
        <f>"300399"</f>
        <v>300399</v>
      </c>
      <c r="C4288" t="s">
        <v>8924</v>
      </c>
      <c r="D4288" t="s">
        <v>1189</v>
      </c>
      <c r="F4288">
        <v>-64260193</v>
      </c>
      <c r="G4288">
        <v>4747197</v>
      </c>
      <c r="H4288">
        <v>-21882723</v>
      </c>
      <c r="I4288">
        <v>-14541047</v>
      </c>
      <c r="J4288">
        <v>326189</v>
      </c>
      <c r="K4288">
        <v>31935828</v>
      </c>
      <c r="L4288">
        <v>33129808</v>
      </c>
      <c r="M4288">
        <v>71533460</v>
      </c>
      <c r="N4288">
        <v>13354065</v>
      </c>
      <c r="O4288">
        <v>66121008</v>
      </c>
      <c r="P4288">
        <v>80</v>
      </c>
      <c r="Q4288" t="s">
        <v>8925</v>
      </c>
    </row>
    <row r="4289" spans="1:17" x14ac:dyDescent="0.3">
      <c r="A4289" t="s">
        <v>59</v>
      </c>
      <c r="B4289" t="str">
        <f>"300834"</f>
        <v>300834</v>
      </c>
      <c r="C4289" t="s">
        <v>8926</v>
      </c>
      <c r="D4289" t="s">
        <v>2385</v>
      </c>
      <c r="F4289">
        <v>241577359</v>
      </c>
      <c r="G4289">
        <v>237180525</v>
      </c>
      <c r="H4289">
        <v>-21991072</v>
      </c>
      <c r="I4289">
        <v>208429128</v>
      </c>
      <c r="J4289">
        <v>16136825</v>
      </c>
      <c r="P4289">
        <v>19</v>
      </c>
      <c r="Q4289" t="s">
        <v>8927</v>
      </c>
    </row>
    <row r="4290" spans="1:17" x14ac:dyDescent="0.3">
      <c r="A4290" t="s">
        <v>17</v>
      </c>
      <c r="B4290" t="str">
        <f>"600083"</f>
        <v>600083</v>
      </c>
      <c r="C4290" t="s">
        <v>8928</v>
      </c>
      <c r="D4290" t="s">
        <v>672</v>
      </c>
      <c r="F4290">
        <v>121742373</v>
      </c>
      <c r="G4290">
        <v>27642836</v>
      </c>
      <c r="H4290">
        <v>-22651086</v>
      </c>
      <c r="I4290">
        <v>-160148695</v>
      </c>
      <c r="J4290">
        <v>8699763</v>
      </c>
      <c r="K4290">
        <v>18707927</v>
      </c>
      <c r="L4290">
        <v>-77452870</v>
      </c>
      <c r="M4290">
        <v>61333947</v>
      </c>
      <c r="N4290">
        <v>11555075</v>
      </c>
      <c r="O4290">
        <v>8096142</v>
      </c>
      <c r="P4290">
        <v>83</v>
      </c>
      <c r="Q4290" t="s">
        <v>8929</v>
      </c>
    </row>
    <row r="4291" spans="1:17" x14ac:dyDescent="0.3">
      <c r="A4291" t="s">
        <v>59</v>
      </c>
      <c r="B4291" t="str">
        <f>"200570"</f>
        <v>200570</v>
      </c>
      <c r="C4291" t="s">
        <v>8930</v>
      </c>
      <c r="F4291">
        <v>-325660716.9612</v>
      </c>
      <c r="G4291">
        <v>298656012.49550003</v>
      </c>
      <c r="H4291">
        <v>-22733725.015000001</v>
      </c>
      <c r="I4291">
        <v>312535266.02100003</v>
      </c>
      <c r="J4291">
        <v>-145358519.18279999</v>
      </c>
      <c r="K4291">
        <v>111032816.29279999</v>
      </c>
      <c r="L4291">
        <v>152706320.23710001</v>
      </c>
      <c r="M4291">
        <v>-64404797.942400001</v>
      </c>
      <c r="N4291">
        <v>40254157.081600003</v>
      </c>
      <c r="O4291">
        <v>380032026.06599998</v>
      </c>
      <c r="P4291">
        <v>10</v>
      </c>
      <c r="Q4291" t="s">
        <v>8931</v>
      </c>
    </row>
    <row r="4292" spans="1:17" x14ac:dyDescent="0.3">
      <c r="A4292" t="s">
        <v>17</v>
      </c>
      <c r="B4292" t="str">
        <f>"603269"</f>
        <v>603269</v>
      </c>
      <c r="C4292" t="s">
        <v>8932</v>
      </c>
      <c r="D4292" t="s">
        <v>1838</v>
      </c>
      <c r="F4292">
        <v>-24615676</v>
      </c>
      <c r="G4292">
        <v>25168913</v>
      </c>
      <c r="H4292">
        <v>-22876166</v>
      </c>
      <c r="I4292">
        <v>-7490824</v>
      </c>
      <c r="J4292">
        <v>43111807</v>
      </c>
      <c r="K4292">
        <v>53336133</v>
      </c>
      <c r="L4292">
        <v>14412196</v>
      </c>
      <c r="M4292">
        <v>10449521</v>
      </c>
      <c r="P4292">
        <v>63</v>
      </c>
      <c r="Q4292" t="s">
        <v>8933</v>
      </c>
    </row>
    <row r="4293" spans="1:17" x14ac:dyDescent="0.3">
      <c r="A4293" t="s">
        <v>17</v>
      </c>
      <c r="B4293" t="str">
        <f>"600793"</f>
        <v>600793</v>
      </c>
      <c r="C4293" t="s">
        <v>8934</v>
      </c>
      <c r="D4293" t="s">
        <v>2856</v>
      </c>
      <c r="F4293">
        <v>266965309</v>
      </c>
      <c r="G4293">
        <v>239362349</v>
      </c>
      <c r="H4293">
        <v>-22916021</v>
      </c>
      <c r="I4293">
        <v>142718076</v>
      </c>
      <c r="J4293">
        <v>-157071734</v>
      </c>
      <c r="K4293">
        <v>-18625674</v>
      </c>
      <c r="L4293">
        <v>25267153</v>
      </c>
      <c r="M4293">
        <v>24532046</v>
      </c>
      <c r="N4293">
        <v>-7981682</v>
      </c>
      <c r="O4293">
        <v>-30144315</v>
      </c>
      <c r="P4293">
        <v>109</v>
      </c>
      <c r="Q4293" t="s">
        <v>8935</v>
      </c>
    </row>
    <row r="4294" spans="1:17" x14ac:dyDescent="0.3">
      <c r="A4294" t="s">
        <v>59</v>
      </c>
      <c r="B4294" t="str">
        <f>"300293"</f>
        <v>300293</v>
      </c>
      <c r="C4294" t="s">
        <v>8936</v>
      </c>
      <c r="D4294" t="s">
        <v>1351</v>
      </c>
      <c r="F4294">
        <v>-56493720</v>
      </c>
      <c r="G4294">
        <v>54066164</v>
      </c>
      <c r="H4294">
        <v>-22948472</v>
      </c>
      <c r="I4294">
        <v>277552469</v>
      </c>
      <c r="J4294">
        <v>-83996789</v>
      </c>
      <c r="K4294">
        <v>288614783</v>
      </c>
      <c r="L4294">
        <v>42805753</v>
      </c>
      <c r="M4294">
        <v>98361052</v>
      </c>
      <c r="N4294">
        <v>-278334307</v>
      </c>
      <c r="O4294">
        <v>-370855774</v>
      </c>
      <c r="P4294">
        <v>112</v>
      </c>
      <c r="Q4294" t="s">
        <v>8937</v>
      </c>
    </row>
    <row r="4295" spans="1:17" x14ac:dyDescent="0.3">
      <c r="A4295" t="s">
        <v>59</v>
      </c>
      <c r="B4295" t="str">
        <f>"002943"</f>
        <v>002943</v>
      </c>
      <c r="C4295" t="s">
        <v>8938</v>
      </c>
      <c r="D4295" t="s">
        <v>2705</v>
      </c>
      <c r="F4295">
        <v>-46334103</v>
      </c>
      <c r="G4295">
        <v>-27828293</v>
      </c>
      <c r="H4295">
        <v>-23081425</v>
      </c>
      <c r="I4295">
        <v>71254016</v>
      </c>
      <c r="J4295">
        <v>105982847</v>
      </c>
      <c r="K4295">
        <v>9298527</v>
      </c>
      <c r="L4295">
        <v>14194999</v>
      </c>
      <c r="P4295">
        <v>74</v>
      </c>
      <c r="Q4295" t="s">
        <v>8939</v>
      </c>
    </row>
    <row r="4296" spans="1:17" x14ac:dyDescent="0.3">
      <c r="A4296" t="s">
        <v>17</v>
      </c>
      <c r="B4296" t="str">
        <f>"688238"</f>
        <v>688238</v>
      </c>
      <c r="C4296" t="s">
        <v>8940</v>
      </c>
      <c r="F4296">
        <v>109308474</v>
      </c>
      <c r="G4296">
        <v>62318989</v>
      </c>
      <c r="H4296">
        <v>-23221970</v>
      </c>
      <c r="I4296">
        <v>-632611</v>
      </c>
      <c r="P4296">
        <v>7</v>
      </c>
      <c r="Q4296" t="s">
        <v>8941</v>
      </c>
    </row>
    <row r="4297" spans="1:17" x14ac:dyDescent="0.3">
      <c r="A4297" t="s">
        <v>59</v>
      </c>
      <c r="B4297" t="str">
        <f>"300663"</f>
        <v>300663</v>
      </c>
      <c r="C4297" t="s">
        <v>8942</v>
      </c>
      <c r="D4297" t="s">
        <v>1528</v>
      </c>
      <c r="F4297">
        <v>-74814143</v>
      </c>
      <c r="G4297">
        <v>-72628018</v>
      </c>
      <c r="H4297">
        <v>-23628851</v>
      </c>
      <c r="I4297">
        <v>-50006058</v>
      </c>
      <c r="J4297">
        <v>-28472239</v>
      </c>
      <c r="K4297">
        <v>-8583279</v>
      </c>
      <c r="L4297">
        <v>-101252166</v>
      </c>
      <c r="M4297">
        <v>-20811948</v>
      </c>
      <c r="P4297">
        <v>261</v>
      </c>
      <c r="Q4297" t="s">
        <v>8943</v>
      </c>
    </row>
    <row r="4298" spans="1:17" x14ac:dyDescent="0.3">
      <c r="A4298" t="s">
        <v>17</v>
      </c>
      <c r="B4298" t="str">
        <f>"688186"</f>
        <v>688186</v>
      </c>
      <c r="C4298" t="s">
        <v>8944</v>
      </c>
      <c r="D4298" t="s">
        <v>330</v>
      </c>
      <c r="F4298">
        <v>-696354839</v>
      </c>
      <c r="G4298">
        <v>-162805346</v>
      </c>
      <c r="H4298">
        <v>-23846155</v>
      </c>
      <c r="I4298">
        <v>140572882</v>
      </c>
      <c r="J4298">
        <v>40967191</v>
      </c>
      <c r="K4298">
        <v>52140683</v>
      </c>
      <c r="P4298">
        <v>110</v>
      </c>
      <c r="Q4298" t="s">
        <v>8945</v>
      </c>
    </row>
    <row r="4299" spans="1:17" x14ac:dyDescent="0.3">
      <c r="A4299" t="s">
        <v>17</v>
      </c>
      <c r="B4299" t="str">
        <f>"688091"</f>
        <v>688091</v>
      </c>
      <c r="C4299" t="s">
        <v>8946</v>
      </c>
      <c r="D4299" t="s">
        <v>592</v>
      </c>
      <c r="F4299">
        <v>-48784144</v>
      </c>
      <c r="G4299">
        <v>-20210789</v>
      </c>
      <c r="H4299">
        <v>-23908584</v>
      </c>
      <c r="I4299">
        <v>-10684931</v>
      </c>
      <c r="J4299">
        <v>-11512013</v>
      </c>
      <c r="P4299">
        <v>14</v>
      </c>
      <c r="Q4299" t="s">
        <v>8947</v>
      </c>
    </row>
    <row r="4300" spans="1:17" x14ac:dyDescent="0.3">
      <c r="A4300" t="s">
        <v>59</v>
      </c>
      <c r="B4300" t="str">
        <f>"000409"</f>
        <v>000409</v>
      </c>
      <c r="C4300" t="s">
        <v>8948</v>
      </c>
      <c r="D4300" t="s">
        <v>672</v>
      </c>
      <c r="F4300">
        <v>-18754240</v>
      </c>
      <c r="G4300">
        <v>-155301305</v>
      </c>
      <c r="H4300">
        <v>-23936163</v>
      </c>
      <c r="I4300">
        <v>701615421</v>
      </c>
      <c r="J4300">
        <v>-66505584</v>
      </c>
      <c r="K4300">
        <v>-201147895</v>
      </c>
      <c r="L4300">
        <v>-256104816</v>
      </c>
      <c r="M4300">
        <v>-82545617</v>
      </c>
      <c r="N4300">
        <v>44629972</v>
      </c>
      <c r="O4300">
        <v>72402908</v>
      </c>
      <c r="P4300">
        <v>75</v>
      </c>
      <c r="Q4300" t="s">
        <v>8949</v>
      </c>
    </row>
    <row r="4301" spans="1:17" x14ac:dyDescent="0.3">
      <c r="A4301" t="s">
        <v>17</v>
      </c>
      <c r="B4301" t="str">
        <f>"600730"</f>
        <v>600730</v>
      </c>
      <c r="C4301" t="s">
        <v>8950</v>
      </c>
      <c r="D4301" t="s">
        <v>871</v>
      </c>
      <c r="F4301">
        <v>226441761</v>
      </c>
      <c r="G4301">
        <v>-222565166</v>
      </c>
      <c r="H4301">
        <v>-23936491</v>
      </c>
      <c r="I4301">
        <v>19936847</v>
      </c>
      <c r="J4301">
        <v>-248516970</v>
      </c>
      <c r="K4301">
        <v>188552471</v>
      </c>
      <c r="L4301">
        <v>-331582583</v>
      </c>
      <c r="M4301">
        <v>-153734637</v>
      </c>
      <c r="N4301">
        <v>640751696</v>
      </c>
      <c r="O4301">
        <v>632397634</v>
      </c>
      <c r="P4301">
        <v>99</v>
      </c>
      <c r="Q4301" t="s">
        <v>8951</v>
      </c>
    </row>
    <row r="4302" spans="1:17" x14ac:dyDescent="0.3">
      <c r="A4302" t="s">
        <v>59</v>
      </c>
      <c r="B4302" t="str">
        <f>"300169"</f>
        <v>300169</v>
      </c>
      <c r="C4302" t="s">
        <v>8952</v>
      </c>
      <c r="D4302" t="s">
        <v>1252</v>
      </c>
      <c r="F4302">
        <v>-24966307</v>
      </c>
      <c r="G4302">
        <v>-5204347</v>
      </c>
      <c r="H4302">
        <v>-23953758</v>
      </c>
      <c r="I4302">
        <v>7445143</v>
      </c>
      <c r="J4302">
        <v>11187966</v>
      </c>
      <c r="K4302">
        <v>-18450075</v>
      </c>
      <c r="L4302">
        <v>138267366</v>
      </c>
      <c r="M4302">
        <v>141646220</v>
      </c>
      <c r="N4302">
        <v>-66894762</v>
      </c>
      <c r="O4302">
        <v>-115436099</v>
      </c>
      <c r="P4302">
        <v>68</v>
      </c>
      <c r="Q4302" t="s">
        <v>8953</v>
      </c>
    </row>
    <row r="4303" spans="1:17" x14ac:dyDescent="0.3">
      <c r="A4303" t="s">
        <v>59</v>
      </c>
      <c r="B4303" t="str">
        <f>"300138"</f>
        <v>300138</v>
      </c>
      <c r="C4303" t="s">
        <v>8954</v>
      </c>
      <c r="D4303" t="s">
        <v>623</v>
      </c>
      <c r="F4303">
        <v>63899958</v>
      </c>
      <c r="G4303">
        <v>529412713</v>
      </c>
      <c r="H4303">
        <v>-24346095</v>
      </c>
      <c r="I4303">
        <v>-56182969</v>
      </c>
      <c r="J4303">
        <v>-145946531</v>
      </c>
      <c r="K4303">
        <v>-321620459</v>
      </c>
      <c r="L4303">
        <v>-64657565</v>
      </c>
      <c r="M4303">
        <v>272955411</v>
      </c>
      <c r="N4303">
        <v>-36465182</v>
      </c>
      <c r="O4303">
        <v>-142108311</v>
      </c>
      <c r="P4303">
        <v>264</v>
      </c>
      <c r="Q4303" t="s">
        <v>8955</v>
      </c>
    </row>
    <row r="4304" spans="1:17" x14ac:dyDescent="0.3">
      <c r="A4304" t="s">
        <v>59</v>
      </c>
      <c r="B4304" t="str">
        <f>"002819"</f>
        <v>002819</v>
      </c>
      <c r="C4304" t="s">
        <v>8956</v>
      </c>
      <c r="D4304" t="s">
        <v>2382</v>
      </c>
      <c r="F4304">
        <v>244473998</v>
      </c>
      <c r="G4304">
        <v>90769525</v>
      </c>
      <c r="H4304">
        <v>-24351899</v>
      </c>
      <c r="I4304">
        <v>-136319495</v>
      </c>
      <c r="J4304">
        <v>-46836361</v>
      </c>
      <c r="K4304">
        <v>16526383</v>
      </c>
      <c r="L4304">
        <v>37563413</v>
      </c>
      <c r="M4304">
        <v>40867656</v>
      </c>
      <c r="N4304">
        <v>34313679</v>
      </c>
      <c r="P4304">
        <v>139</v>
      </c>
      <c r="Q4304" t="s">
        <v>8957</v>
      </c>
    </row>
    <row r="4305" spans="1:17" x14ac:dyDescent="0.3">
      <c r="A4305" t="s">
        <v>59</v>
      </c>
      <c r="B4305" t="str">
        <f>"002856"</f>
        <v>002856</v>
      </c>
      <c r="C4305" t="s">
        <v>8958</v>
      </c>
      <c r="D4305" t="s">
        <v>1150</v>
      </c>
      <c r="F4305">
        <v>-55923331</v>
      </c>
      <c r="G4305">
        <v>-65711437</v>
      </c>
      <c r="H4305">
        <v>-24505139</v>
      </c>
      <c r="I4305">
        <v>-272074264</v>
      </c>
      <c r="J4305">
        <v>23198299</v>
      </c>
      <c r="K4305">
        <v>76938665</v>
      </c>
      <c r="L4305">
        <v>8797829</v>
      </c>
      <c r="M4305">
        <v>-107359995</v>
      </c>
      <c r="P4305">
        <v>51</v>
      </c>
      <c r="Q4305" t="s">
        <v>8959</v>
      </c>
    </row>
    <row r="4306" spans="1:17" x14ac:dyDescent="0.3">
      <c r="A4306" t="s">
        <v>17</v>
      </c>
      <c r="B4306" t="str">
        <f>"688321"</f>
        <v>688321</v>
      </c>
      <c r="C4306" t="s">
        <v>8960</v>
      </c>
      <c r="D4306" t="s">
        <v>592</v>
      </c>
      <c r="F4306">
        <v>124783167</v>
      </c>
      <c r="G4306">
        <v>93619222</v>
      </c>
      <c r="H4306">
        <v>-24553118</v>
      </c>
      <c r="I4306">
        <v>23842076</v>
      </c>
      <c r="J4306">
        <v>5100747</v>
      </c>
      <c r="K4306">
        <v>63131121</v>
      </c>
      <c r="P4306">
        <v>157</v>
      </c>
      <c r="Q4306" t="s">
        <v>8961</v>
      </c>
    </row>
    <row r="4307" spans="1:17" x14ac:dyDescent="0.3">
      <c r="A4307" t="s">
        <v>17</v>
      </c>
      <c r="B4307" t="str">
        <f>"688167"</f>
        <v>688167</v>
      </c>
      <c r="C4307" t="s">
        <v>8962</v>
      </c>
      <c r="D4307" t="s">
        <v>975</v>
      </c>
      <c r="F4307">
        <v>41761491</v>
      </c>
      <c r="G4307">
        <v>36993023</v>
      </c>
      <c r="H4307">
        <v>-24582162</v>
      </c>
      <c r="I4307">
        <v>14187230</v>
      </c>
      <c r="J4307">
        <v>-8514633</v>
      </c>
      <c r="P4307">
        <v>32</v>
      </c>
      <c r="Q4307" t="s">
        <v>8963</v>
      </c>
    </row>
    <row r="4308" spans="1:17" x14ac:dyDescent="0.3">
      <c r="A4308" t="s">
        <v>17</v>
      </c>
      <c r="B4308" t="str">
        <f>"601558"</f>
        <v>601558</v>
      </c>
      <c r="C4308" t="s">
        <v>8964</v>
      </c>
      <c r="H4308">
        <v>-24751617</v>
      </c>
      <c r="I4308">
        <v>5721090</v>
      </c>
      <c r="J4308">
        <v>76477726</v>
      </c>
      <c r="K4308">
        <v>-403328663</v>
      </c>
      <c r="L4308">
        <v>900632863</v>
      </c>
      <c r="M4308">
        <v>-601373229</v>
      </c>
      <c r="N4308">
        <v>-2097675262</v>
      </c>
      <c r="O4308">
        <v>-415674001</v>
      </c>
      <c r="P4308">
        <v>47</v>
      </c>
      <c r="Q4308" t="s">
        <v>8965</v>
      </c>
    </row>
    <row r="4309" spans="1:17" x14ac:dyDescent="0.3">
      <c r="A4309" t="s">
        <v>59</v>
      </c>
      <c r="B4309" t="str">
        <f>"002691"</f>
        <v>002691</v>
      </c>
      <c r="C4309" t="s">
        <v>8966</v>
      </c>
      <c r="D4309" t="s">
        <v>741</v>
      </c>
      <c r="F4309">
        <v>748216</v>
      </c>
      <c r="G4309">
        <v>15222010</v>
      </c>
      <c r="H4309">
        <v>-25178774</v>
      </c>
      <c r="I4309">
        <v>50513799</v>
      </c>
      <c r="J4309">
        <v>45699785</v>
      </c>
      <c r="K4309">
        <v>-59573174</v>
      </c>
      <c r="L4309">
        <v>-26009850</v>
      </c>
      <c r="M4309">
        <v>26909878</v>
      </c>
      <c r="N4309">
        <v>-39627012</v>
      </c>
      <c r="O4309">
        <v>5993473</v>
      </c>
      <c r="P4309">
        <v>54</v>
      </c>
      <c r="Q4309" t="s">
        <v>8967</v>
      </c>
    </row>
    <row r="4310" spans="1:17" x14ac:dyDescent="0.3">
      <c r="A4310" t="s">
        <v>17</v>
      </c>
      <c r="B4310" t="str">
        <f>"600689"</f>
        <v>600689</v>
      </c>
      <c r="C4310" t="s">
        <v>8968</v>
      </c>
      <c r="D4310" t="s">
        <v>3101</v>
      </c>
      <c r="F4310">
        <v>-19338331</v>
      </c>
      <c r="G4310">
        <v>37823493</v>
      </c>
      <c r="H4310">
        <v>-25423807</v>
      </c>
      <c r="I4310">
        <v>7025431</v>
      </c>
      <c r="J4310">
        <v>4298041</v>
      </c>
      <c r="K4310">
        <v>19538844</v>
      </c>
      <c r="L4310">
        <v>40813</v>
      </c>
      <c r="M4310">
        <v>-5960238</v>
      </c>
      <c r="N4310">
        <v>-136968174</v>
      </c>
      <c r="O4310">
        <v>-56201357</v>
      </c>
      <c r="P4310">
        <v>74</v>
      </c>
      <c r="Q4310" t="s">
        <v>8969</v>
      </c>
    </row>
    <row r="4311" spans="1:17" x14ac:dyDescent="0.3">
      <c r="A4311" t="s">
        <v>17</v>
      </c>
      <c r="B4311" t="str">
        <f>"688281"</f>
        <v>688281</v>
      </c>
      <c r="C4311" t="s">
        <v>8970</v>
      </c>
      <c r="F4311">
        <v>152543183</v>
      </c>
      <c r="G4311">
        <v>-47360319</v>
      </c>
      <c r="H4311">
        <v>-25627391</v>
      </c>
      <c r="I4311">
        <v>19090496</v>
      </c>
      <c r="P4311">
        <v>13</v>
      </c>
      <c r="Q4311" t="s">
        <v>8971</v>
      </c>
    </row>
    <row r="4312" spans="1:17" x14ac:dyDescent="0.3">
      <c r="A4312" t="s">
        <v>59</v>
      </c>
      <c r="B4312" t="str">
        <f>"300469"</f>
        <v>300469</v>
      </c>
      <c r="C4312" t="s">
        <v>8972</v>
      </c>
      <c r="D4312" t="s">
        <v>1528</v>
      </c>
      <c r="F4312">
        <v>38760521</v>
      </c>
      <c r="G4312">
        <v>24459598</v>
      </c>
      <c r="H4312">
        <v>-25630675</v>
      </c>
      <c r="I4312">
        <v>4012418</v>
      </c>
      <c r="J4312">
        <v>8210200</v>
      </c>
      <c r="K4312">
        <v>-63765893</v>
      </c>
      <c r="L4312">
        <v>-32441522</v>
      </c>
      <c r="M4312">
        <v>9364888</v>
      </c>
      <c r="N4312">
        <v>6833037</v>
      </c>
      <c r="O4312">
        <v>34712228</v>
      </c>
      <c r="P4312">
        <v>96</v>
      </c>
      <c r="Q4312" t="s">
        <v>8973</v>
      </c>
    </row>
    <row r="4313" spans="1:17" x14ac:dyDescent="0.3">
      <c r="A4313" t="s">
        <v>17</v>
      </c>
      <c r="B4313" t="str">
        <f>"603188"</f>
        <v>603188</v>
      </c>
      <c r="C4313" t="s">
        <v>8974</v>
      </c>
      <c r="D4313" t="s">
        <v>372</v>
      </c>
      <c r="F4313">
        <v>-262581230</v>
      </c>
      <c r="G4313">
        <v>-147951452</v>
      </c>
      <c r="H4313">
        <v>-25864310</v>
      </c>
      <c r="I4313">
        <v>579048960</v>
      </c>
      <c r="J4313">
        <v>516296673</v>
      </c>
      <c r="K4313">
        <v>550475669</v>
      </c>
      <c r="L4313">
        <v>361497527</v>
      </c>
      <c r="M4313">
        <v>413037651</v>
      </c>
      <c r="N4313">
        <v>132601389</v>
      </c>
      <c r="O4313">
        <v>91652855</v>
      </c>
      <c r="P4313">
        <v>206</v>
      </c>
      <c r="Q4313" t="s">
        <v>8975</v>
      </c>
    </row>
    <row r="4314" spans="1:17" x14ac:dyDescent="0.3">
      <c r="A4314" t="s">
        <v>59</v>
      </c>
      <c r="B4314" t="str">
        <f>"000670"</f>
        <v>000670</v>
      </c>
      <c r="C4314" t="s">
        <v>8976</v>
      </c>
      <c r="D4314" t="s">
        <v>817</v>
      </c>
      <c r="F4314">
        <v>-134595331</v>
      </c>
      <c r="G4314">
        <v>-99790350</v>
      </c>
      <c r="H4314">
        <v>-26005033</v>
      </c>
      <c r="I4314">
        <v>-16698573</v>
      </c>
      <c r="J4314">
        <v>56802586</v>
      </c>
      <c r="K4314">
        <v>46725671</v>
      </c>
      <c r="L4314">
        <v>17268289</v>
      </c>
      <c r="M4314">
        <v>4746135</v>
      </c>
      <c r="N4314">
        <v>21557361</v>
      </c>
      <c r="O4314">
        <v>-32658758</v>
      </c>
      <c r="P4314">
        <v>116</v>
      </c>
      <c r="Q4314" t="s">
        <v>8977</v>
      </c>
    </row>
    <row r="4315" spans="1:17" x14ac:dyDescent="0.3">
      <c r="A4315" t="s">
        <v>17</v>
      </c>
      <c r="B4315" t="str">
        <f>"600851"</f>
        <v>600851</v>
      </c>
      <c r="C4315" t="s">
        <v>8978</v>
      </c>
      <c r="D4315" t="s">
        <v>592</v>
      </c>
      <c r="F4315">
        <v>219647104</v>
      </c>
      <c r="G4315">
        <v>122499035</v>
      </c>
      <c r="H4315">
        <v>-26015409</v>
      </c>
      <c r="I4315">
        <v>55503931</v>
      </c>
      <c r="J4315">
        <v>13312982</v>
      </c>
      <c r="K4315">
        <v>-19841495</v>
      </c>
      <c r="L4315">
        <v>-117880560</v>
      </c>
      <c r="M4315">
        <v>31335341</v>
      </c>
      <c r="N4315">
        <v>-35552710</v>
      </c>
      <c r="O4315">
        <v>34000168</v>
      </c>
      <c r="P4315">
        <v>98</v>
      </c>
      <c r="Q4315" t="s">
        <v>8979</v>
      </c>
    </row>
    <row r="4316" spans="1:17" x14ac:dyDescent="0.3">
      <c r="A4316" t="s">
        <v>59</v>
      </c>
      <c r="B4316" t="str">
        <f>"300063"</f>
        <v>300063</v>
      </c>
      <c r="C4316" t="s">
        <v>8980</v>
      </c>
      <c r="D4316" t="s">
        <v>1889</v>
      </c>
      <c r="F4316">
        <v>2865039</v>
      </c>
      <c r="G4316">
        <v>82969638</v>
      </c>
      <c r="H4316">
        <v>-26292262</v>
      </c>
      <c r="I4316">
        <v>-77494894</v>
      </c>
      <c r="J4316">
        <v>117275666</v>
      </c>
      <c r="K4316">
        <v>117903180</v>
      </c>
      <c r="L4316">
        <v>10989403</v>
      </c>
      <c r="M4316">
        <v>-79757999</v>
      </c>
      <c r="N4316">
        <v>-63162766</v>
      </c>
      <c r="O4316">
        <v>-49773529</v>
      </c>
      <c r="P4316">
        <v>109</v>
      </c>
      <c r="Q4316" t="s">
        <v>8981</v>
      </c>
    </row>
    <row r="4317" spans="1:17" x14ac:dyDescent="0.3">
      <c r="A4317" t="s">
        <v>17</v>
      </c>
      <c r="B4317" t="str">
        <f>"600696"</f>
        <v>600696</v>
      </c>
      <c r="C4317" t="s">
        <v>8982</v>
      </c>
      <c r="D4317" t="s">
        <v>672</v>
      </c>
      <c r="F4317">
        <v>248962046</v>
      </c>
      <c r="G4317">
        <v>56664550</v>
      </c>
      <c r="H4317">
        <v>-26579866</v>
      </c>
      <c r="I4317">
        <v>381288486</v>
      </c>
      <c r="J4317">
        <v>-460903053</v>
      </c>
      <c r="K4317">
        <v>-359449756</v>
      </c>
      <c r="L4317">
        <v>-218481053</v>
      </c>
      <c r="M4317">
        <v>-131104305</v>
      </c>
      <c r="N4317">
        <v>33772555</v>
      </c>
      <c r="O4317">
        <v>-6227779</v>
      </c>
      <c r="P4317">
        <v>95</v>
      </c>
      <c r="Q4317" t="s">
        <v>8983</v>
      </c>
    </row>
    <row r="4318" spans="1:17" x14ac:dyDescent="0.3">
      <c r="A4318" t="s">
        <v>17</v>
      </c>
      <c r="B4318" t="str">
        <f>"600890"</f>
        <v>600890</v>
      </c>
      <c r="C4318" t="s">
        <v>8984</v>
      </c>
      <c r="D4318" t="s">
        <v>70</v>
      </c>
      <c r="F4318">
        <v>-27201132</v>
      </c>
      <c r="G4318">
        <v>-85976967</v>
      </c>
      <c r="H4318">
        <v>-27048934</v>
      </c>
      <c r="I4318">
        <v>-43638861</v>
      </c>
      <c r="J4318">
        <v>-27318582</v>
      </c>
      <c r="K4318">
        <v>-36953959</v>
      </c>
      <c r="L4318">
        <v>-19029388</v>
      </c>
      <c r="M4318">
        <v>-26328728</v>
      </c>
      <c r="N4318">
        <v>-14185108</v>
      </c>
      <c r="O4318">
        <v>-6396856</v>
      </c>
      <c r="P4318">
        <v>73</v>
      </c>
      <c r="Q4318" t="s">
        <v>8985</v>
      </c>
    </row>
    <row r="4319" spans="1:17" x14ac:dyDescent="0.3">
      <c r="A4319" t="s">
        <v>17</v>
      </c>
      <c r="B4319" t="str">
        <f>"600202"</f>
        <v>600202</v>
      </c>
      <c r="C4319" t="s">
        <v>8986</v>
      </c>
      <c r="D4319" t="s">
        <v>1851</v>
      </c>
      <c r="F4319">
        <v>-64010278</v>
      </c>
      <c r="G4319">
        <v>-86262497</v>
      </c>
      <c r="H4319">
        <v>-27133514</v>
      </c>
      <c r="I4319">
        <v>-4269282</v>
      </c>
      <c r="J4319">
        <v>183109209</v>
      </c>
      <c r="K4319">
        <v>258100981</v>
      </c>
      <c r="L4319">
        <v>-67218351</v>
      </c>
      <c r="M4319">
        <v>264811413</v>
      </c>
      <c r="N4319">
        <v>79162422</v>
      </c>
      <c r="O4319">
        <v>-20060451</v>
      </c>
      <c r="P4319">
        <v>76</v>
      </c>
      <c r="Q4319" t="s">
        <v>8987</v>
      </c>
    </row>
    <row r="4320" spans="1:17" x14ac:dyDescent="0.3">
      <c r="A4320" t="s">
        <v>59</v>
      </c>
      <c r="B4320" t="str">
        <f>"000955"</f>
        <v>000955</v>
      </c>
      <c r="C4320" t="s">
        <v>8988</v>
      </c>
      <c r="D4320" t="s">
        <v>3101</v>
      </c>
      <c r="F4320">
        <v>28286761</v>
      </c>
      <c r="G4320">
        <v>427427801</v>
      </c>
      <c r="H4320">
        <v>-27271011</v>
      </c>
      <c r="I4320">
        <v>-62207069</v>
      </c>
      <c r="J4320">
        <v>-90108316</v>
      </c>
      <c r="K4320">
        <v>-66290104</v>
      </c>
      <c r="L4320">
        <v>-8344412</v>
      </c>
      <c r="M4320">
        <v>1103318</v>
      </c>
      <c r="N4320">
        <v>-29795675</v>
      </c>
      <c r="O4320">
        <v>6326993</v>
      </c>
      <c r="P4320">
        <v>241</v>
      </c>
      <c r="Q4320" t="s">
        <v>8989</v>
      </c>
    </row>
    <row r="4321" spans="1:17" x14ac:dyDescent="0.3">
      <c r="A4321" t="s">
        <v>17</v>
      </c>
      <c r="B4321" t="str">
        <f>"600555"</f>
        <v>600555</v>
      </c>
      <c r="C4321" t="s">
        <v>8990</v>
      </c>
      <c r="D4321" t="s">
        <v>3549</v>
      </c>
      <c r="F4321">
        <v>29073443</v>
      </c>
      <c r="G4321">
        <v>-26256211</v>
      </c>
      <c r="H4321">
        <v>-27611757</v>
      </c>
      <c r="I4321">
        <v>-114668412</v>
      </c>
      <c r="J4321">
        <v>-122011427</v>
      </c>
      <c r="K4321">
        <v>-160459257</v>
      </c>
      <c r="L4321">
        <v>-221286014</v>
      </c>
      <c r="M4321">
        <v>-257389531</v>
      </c>
      <c r="N4321">
        <v>35696682</v>
      </c>
      <c r="O4321">
        <v>-74590709</v>
      </c>
      <c r="P4321">
        <v>76</v>
      </c>
      <c r="Q4321" t="s">
        <v>8991</v>
      </c>
    </row>
    <row r="4322" spans="1:17" x14ac:dyDescent="0.3">
      <c r="A4322" t="s">
        <v>59</v>
      </c>
      <c r="B4322" t="str">
        <f>"002865"</f>
        <v>002865</v>
      </c>
      <c r="C4322" t="s">
        <v>8992</v>
      </c>
      <c r="D4322" t="s">
        <v>289</v>
      </c>
      <c r="F4322">
        <v>580963952</v>
      </c>
      <c r="G4322">
        <v>50447967</v>
      </c>
      <c r="H4322">
        <v>-28023027</v>
      </c>
      <c r="I4322">
        <v>-90912738</v>
      </c>
      <c r="J4322">
        <v>-51585853</v>
      </c>
      <c r="K4322">
        <v>172841968</v>
      </c>
      <c r="L4322">
        <v>118082777</v>
      </c>
      <c r="M4322">
        <v>139396650</v>
      </c>
      <c r="P4322">
        <v>111</v>
      </c>
      <c r="Q4322" t="s">
        <v>8993</v>
      </c>
    </row>
    <row r="4323" spans="1:17" x14ac:dyDescent="0.3">
      <c r="A4323" t="s">
        <v>59</v>
      </c>
      <c r="B4323" t="str">
        <f>"300636"</f>
        <v>300636</v>
      </c>
      <c r="C4323" t="s">
        <v>8994</v>
      </c>
      <c r="D4323" t="s">
        <v>984</v>
      </c>
      <c r="F4323">
        <v>131338816</v>
      </c>
      <c r="G4323">
        <v>80066182</v>
      </c>
      <c r="H4323">
        <v>-28272034</v>
      </c>
      <c r="I4323">
        <v>74932540</v>
      </c>
      <c r="J4323">
        <v>34053905</v>
      </c>
      <c r="K4323">
        <v>60445422</v>
      </c>
      <c r="L4323">
        <v>79422483</v>
      </c>
      <c r="M4323">
        <v>64501990</v>
      </c>
      <c r="P4323">
        <v>136</v>
      </c>
      <c r="Q4323" t="s">
        <v>8995</v>
      </c>
    </row>
    <row r="4324" spans="1:17" x14ac:dyDescent="0.3">
      <c r="A4324" t="s">
        <v>17</v>
      </c>
      <c r="B4324" t="str">
        <f>"688501"</f>
        <v>688501</v>
      </c>
      <c r="C4324" t="s">
        <v>8996</v>
      </c>
      <c r="D4324" t="s">
        <v>1337</v>
      </c>
      <c r="F4324">
        <v>-41791724</v>
      </c>
      <c r="G4324">
        <v>-45084500</v>
      </c>
      <c r="H4324">
        <v>-28468292</v>
      </c>
      <c r="I4324">
        <v>-7664529</v>
      </c>
      <c r="J4324">
        <v>40881183</v>
      </c>
      <c r="P4324">
        <v>24</v>
      </c>
      <c r="Q4324" t="s">
        <v>8997</v>
      </c>
    </row>
    <row r="4325" spans="1:17" x14ac:dyDescent="0.3">
      <c r="A4325" t="s">
        <v>59</v>
      </c>
      <c r="B4325" t="str">
        <f>"300537"</f>
        <v>300537</v>
      </c>
      <c r="C4325" t="s">
        <v>8998</v>
      </c>
      <c r="D4325" t="s">
        <v>2111</v>
      </c>
      <c r="F4325">
        <v>43774597</v>
      </c>
      <c r="G4325">
        <v>87903169</v>
      </c>
      <c r="H4325">
        <v>-28619341</v>
      </c>
      <c r="I4325">
        <v>53835501</v>
      </c>
      <c r="J4325">
        <v>24702342</v>
      </c>
      <c r="K4325">
        <v>41647823</v>
      </c>
      <c r="L4325">
        <v>45259137</v>
      </c>
      <c r="M4325">
        <v>42678542</v>
      </c>
      <c r="N4325">
        <v>34142195</v>
      </c>
      <c r="P4325">
        <v>225</v>
      </c>
      <c r="Q4325" t="s">
        <v>8999</v>
      </c>
    </row>
    <row r="4326" spans="1:17" x14ac:dyDescent="0.3">
      <c r="A4326" t="s">
        <v>59</v>
      </c>
      <c r="B4326" t="str">
        <f>"002192"</f>
        <v>002192</v>
      </c>
      <c r="C4326" t="s">
        <v>9000</v>
      </c>
      <c r="D4326" t="s">
        <v>2601</v>
      </c>
      <c r="F4326">
        <v>120359830</v>
      </c>
      <c r="G4326">
        <v>-14522313</v>
      </c>
      <c r="H4326">
        <v>-28825469</v>
      </c>
      <c r="I4326">
        <v>16469829</v>
      </c>
      <c r="J4326">
        <v>20410996</v>
      </c>
      <c r="K4326">
        <v>-288310</v>
      </c>
      <c r="L4326">
        <v>34442331</v>
      </c>
      <c r="M4326">
        <v>6060396</v>
      </c>
      <c r="N4326">
        <v>-94495989</v>
      </c>
      <c r="O4326">
        <v>53753539</v>
      </c>
      <c r="P4326">
        <v>230</v>
      </c>
      <c r="Q4326" t="s">
        <v>9001</v>
      </c>
    </row>
    <row r="4327" spans="1:17" x14ac:dyDescent="0.3">
      <c r="A4327" t="s">
        <v>17</v>
      </c>
      <c r="B4327" t="str">
        <f>"600562"</f>
        <v>600562</v>
      </c>
      <c r="C4327" t="s">
        <v>9002</v>
      </c>
      <c r="D4327" t="s">
        <v>1983</v>
      </c>
      <c r="F4327">
        <v>26661751</v>
      </c>
      <c r="G4327">
        <v>383992368</v>
      </c>
      <c r="H4327">
        <v>-29476447</v>
      </c>
      <c r="I4327">
        <v>138642078</v>
      </c>
      <c r="J4327">
        <v>231475361</v>
      </c>
      <c r="K4327">
        <v>-46598594</v>
      </c>
      <c r="L4327">
        <v>-8076595</v>
      </c>
      <c r="M4327">
        <v>24573606</v>
      </c>
      <c r="N4327">
        <v>86808450</v>
      </c>
      <c r="O4327">
        <v>17016499</v>
      </c>
      <c r="P4327">
        <v>283</v>
      </c>
      <c r="Q4327" t="s">
        <v>9003</v>
      </c>
    </row>
    <row r="4328" spans="1:17" x14ac:dyDescent="0.3">
      <c r="A4328" t="s">
        <v>17</v>
      </c>
      <c r="B4328" t="str">
        <f>"603778"</f>
        <v>603778</v>
      </c>
      <c r="C4328" t="s">
        <v>9004</v>
      </c>
      <c r="D4328" t="s">
        <v>1489</v>
      </c>
      <c r="F4328">
        <v>-149826411</v>
      </c>
      <c r="G4328">
        <v>-74448003</v>
      </c>
      <c r="H4328">
        <v>-30138237</v>
      </c>
      <c r="I4328">
        <v>-154733048</v>
      </c>
      <c r="J4328">
        <v>-76164280</v>
      </c>
      <c r="K4328">
        <v>72810</v>
      </c>
      <c r="L4328">
        <v>17990993</v>
      </c>
      <c r="M4328">
        <v>-51115922</v>
      </c>
      <c r="N4328">
        <v>139894088</v>
      </c>
      <c r="O4328">
        <v>-24378349</v>
      </c>
      <c r="P4328">
        <v>72</v>
      </c>
      <c r="Q4328" t="s">
        <v>9005</v>
      </c>
    </row>
    <row r="4329" spans="1:17" x14ac:dyDescent="0.3">
      <c r="A4329" t="s">
        <v>17</v>
      </c>
      <c r="B4329" t="str">
        <f>"688701"</f>
        <v>688701</v>
      </c>
      <c r="C4329" t="s">
        <v>9006</v>
      </c>
      <c r="D4329" t="s">
        <v>2700</v>
      </c>
      <c r="F4329">
        <v>-74213002</v>
      </c>
      <c r="G4329">
        <v>9233558</v>
      </c>
      <c r="H4329">
        <v>-30363926</v>
      </c>
      <c r="I4329">
        <v>-3815413</v>
      </c>
      <c r="J4329">
        <v>637739</v>
      </c>
      <c r="P4329">
        <v>19</v>
      </c>
      <c r="Q4329" t="s">
        <v>9007</v>
      </c>
    </row>
    <row r="4330" spans="1:17" x14ac:dyDescent="0.3">
      <c r="A4330" t="s">
        <v>59</v>
      </c>
      <c r="B4330" t="str">
        <f>"002544"</f>
        <v>002544</v>
      </c>
      <c r="C4330" t="s">
        <v>9008</v>
      </c>
      <c r="D4330" t="s">
        <v>2057</v>
      </c>
      <c r="F4330">
        <v>195443916</v>
      </c>
      <c r="G4330">
        <v>364053772</v>
      </c>
      <c r="H4330">
        <v>-30718156</v>
      </c>
      <c r="I4330">
        <v>115549498</v>
      </c>
      <c r="J4330">
        <v>184612552</v>
      </c>
      <c r="K4330">
        <v>62628224</v>
      </c>
      <c r="L4330">
        <v>49971485</v>
      </c>
      <c r="M4330">
        <v>8306260</v>
      </c>
      <c r="N4330">
        <v>21557134</v>
      </c>
      <c r="O4330">
        <v>81764753</v>
      </c>
      <c r="P4330">
        <v>324</v>
      </c>
      <c r="Q4330" t="s">
        <v>9009</v>
      </c>
    </row>
    <row r="4331" spans="1:17" x14ac:dyDescent="0.3">
      <c r="A4331" t="s">
        <v>59</v>
      </c>
      <c r="B4331" t="str">
        <f>"300400"</f>
        <v>300400</v>
      </c>
      <c r="C4331" t="s">
        <v>9010</v>
      </c>
      <c r="D4331" t="s">
        <v>4218</v>
      </c>
      <c r="F4331">
        <v>17626349</v>
      </c>
      <c r="G4331">
        <v>262339807</v>
      </c>
      <c r="H4331">
        <v>-31018620</v>
      </c>
      <c r="I4331">
        <v>122104664</v>
      </c>
      <c r="J4331">
        <v>65865485</v>
      </c>
      <c r="K4331">
        <v>26341915</v>
      </c>
      <c r="L4331">
        <v>49782475</v>
      </c>
      <c r="M4331">
        <v>31215157</v>
      </c>
      <c r="N4331">
        <v>34762865</v>
      </c>
      <c r="O4331">
        <v>22200588</v>
      </c>
      <c r="P4331">
        <v>273</v>
      </c>
      <c r="Q4331" t="s">
        <v>9011</v>
      </c>
    </row>
    <row r="4332" spans="1:17" x14ac:dyDescent="0.3">
      <c r="A4332" t="s">
        <v>59</v>
      </c>
      <c r="B4332" t="str">
        <f>"000007"</f>
        <v>000007</v>
      </c>
      <c r="C4332" t="s">
        <v>9012</v>
      </c>
      <c r="D4332" t="s">
        <v>548</v>
      </c>
      <c r="F4332">
        <v>-48706064</v>
      </c>
      <c r="G4332">
        <v>-3359065</v>
      </c>
      <c r="H4332">
        <v>-31798383</v>
      </c>
      <c r="I4332">
        <v>-6874171</v>
      </c>
      <c r="J4332">
        <v>2266985</v>
      </c>
      <c r="K4332">
        <v>-24156891</v>
      </c>
      <c r="L4332">
        <v>237362777</v>
      </c>
      <c r="M4332">
        <v>12598695</v>
      </c>
      <c r="N4332">
        <v>192861001</v>
      </c>
      <c r="O4332">
        <v>-249413099</v>
      </c>
      <c r="P4332">
        <v>93</v>
      </c>
      <c r="Q4332" t="s">
        <v>9013</v>
      </c>
    </row>
    <row r="4333" spans="1:17" x14ac:dyDescent="0.3">
      <c r="A4333" t="s">
        <v>17</v>
      </c>
      <c r="B4333" t="str">
        <f>"688133"</f>
        <v>688133</v>
      </c>
      <c r="C4333" t="s">
        <v>9014</v>
      </c>
      <c r="D4333" t="s">
        <v>1252</v>
      </c>
      <c r="F4333">
        <v>-242222903</v>
      </c>
      <c r="G4333">
        <v>-138157246</v>
      </c>
      <c r="H4333">
        <v>-31849271</v>
      </c>
      <c r="I4333">
        <v>34486367</v>
      </c>
      <c r="J4333">
        <v>16709540</v>
      </c>
      <c r="K4333">
        <v>-795894</v>
      </c>
      <c r="P4333">
        <v>118</v>
      </c>
      <c r="Q4333" t="s">
        <v>9015</v>
      </c>
    </row>
    <row r="4334" spans="1:17" x14ac:dyDescent="0.3">
      <c r="A4334" t="s">
        <v>59</v>
      </c>
      <c r="B4334" t="str">
        <f>"000839"</f>
        <v>000839</v>
      </c>
      <c r="C4334" t="s">
        <v>9016</v>
      </c>
      <c r="D4334" t="s">
        <v>672</v>
      </c>
      <c r="F4334">
        <v>-74045775</v>
      </c>
      <c r="G4334">
        <v>-188926985</v>
      </c>
      <c r="H4334">
        <v>-32481066</v>
      </c>
      <c r="I4334">
        <v>-134146314</v>
      </c>
      <c r="J4334">
        <v>-298963584</v>
      </c>
      <c r="K4334">
        <v>-238047411</v>
      </c>
      <c r="L4334">
        <v>28744696</v>
      </c>
      <c r="M4334">
        <v>1290881740</v>
      </c>
      <c r="N4334">
        <v>-362935119</v>
      </c>
      <c r="O4334">
        <v>-276596610</v>
      </c>
      <c r="P4334">
        <v>219</v>
      </c>
      <c r="Q4334" t="s">
        <v>9017</v>
      </c>
    </row>
    <row r="4335" spans="1:17" x14ac:dyDescent="0.3">
      <c r="A4335" t="s">
        <v>59</v>
      </c>
      <c r="B4335" t="str">
        <f>"300503"</f>
        <v>300503</v>
      </c>
      <c r="C4335" t="s">
        <v>9018</v>
      </c>
      <c r="D4335" t="s">
        <v>1838</v>
      </c>
      <c r="F4335">
        <v>184058077</v>
      </c>
      <c r="G4335">
        <v>183785015</v>
      </c>
      <c r="H4335">
        <v>-32719662</v>
      </c>
      <c r="I4335">
        <v>57553526</v>
      </c>
      <c r="J4335">
        <v>28432035</v>
      </c>
      <c r="K4335">
        <v>-39370923</v>
      </c>
      <c r="L4335">
        <v>6560873</v>
      </c>
      <c r="M4335">
        <v>8435453</v>
      </c>
      <c r="N4335">
        <v>30234883</v>
      </c>
      <c r="P4335">
        <v>136</v>
      </c>
      <c r="Q4335" t="s">
        <v>9019</v>
      </c>
    </row>
    <row r="4336" spans="1:17" x14ac:dyDescent="0.3">
      <c r="A4336" t="s">
        <v>59</v>
      </c>
      <c r="B4336" t="str">
        <f>"002504"</f>
        <v>002504</v>
      </c>
      <c r="C4336" t="s">
        <v>9020</v>
      </c>
      <c r="D4336" t="s">
        <v>1150</v>
      </c>
      <c r="F4336">
        <v>-12129249</v>
      </c>
      <c r="G4336">
        <v>-35900487</v>
      </c>
      <c r="H4336">
        <v>-32848833</v>
      </c>
      <c r="I4336">
        <v>-31157467</v>
      </c>
      <c r="J4336">
        <v>-532754255</v>
      </c>
      <c r="K4336">
        <v>43730751</v>
      </c>
      <c r="L4336">
        <v>-24118918</v>
      </c>
      <c r="M4336">
        <v>-54150109</v>
      </c>
      <c r="N4336">
        <v>19908865</v>
      </c>
      <c r="O4336">
        <v>-28785366</v>
      </c>
      <c r="P4336">
        <v>66</v>
      </c>
      <c r="Q4336" t="s">
        <v>9021</v>
      </c>
    </row>
    <row r="4337" spans="1:17" x14ac:dyDescent="0.3">
      <c r="A4337" t="s">
        <v>59</v>
      </c>
      <c r="B4337" t="str">
        <f>"300366"</f>
        <v>300366</v>
      </c>
      <c r="C4337" t="s">
        <v>9022</v>
      </c>
      <c r="D4337" t="s">
        <v>1528</v>
      </c>
      <c r="F4337">
        <v>73021262</v>
      </c>
      <c r="G4337">
        <v>177525817</v>
      </c>
      <c r="H4337">
        <v>-32887181</v>
      </c>
      <c r="I4337">
        <v>-104146537</v>
      </c>
      <c r="J4337">
        <v>588139</v>
      </c>
      <c r="K4337">
        <v>4411384</v>
      </c>
      <c r="L4337">
        <v>-48550330</v>
      </c>
      <c r="M4337">
        <v>-32923241</v>
      </c>
      <c r="N4337">
        <v>12458602</v>
      </c>
      <c r="O4337">
        <v>4022556</v>
      </c>
      <c r="P4337">
        <v>222</v>
      </c>
      <c r="Q4337" t="s">
        <v>9023</v>
      </c>
    </row>
    <row r="4338" spans="1:17" x14ac:dyDescent="0.3">
      <c r="A4338" t="s">
        <v>59</v>
      </c>
      <c r="B4338" t="str">
        <f>"002805"</f>
        <v>002805</v>
      </c>
      <c r="C4338" t="s">
        <v>9024</v>
      </c>
      <c r="D4338" t="s">
        <v>1507</v>
      </c>
      <c r="F4338">
        <v>-51625669</v>
      </c>
      <c r="G4338">
        <v>4704430</v>
      </c>
      <c r="H4338">
        <v>-33414470</v>
      </c>
      <c r="I4338">
        <v>79357783</v>
      </c>
      <c r="J4338">
        <v>23899243</v>
      </c>
      <c r="K4338">
        <v>27963501</v>
      </c>
      <c r="L4338">
        <v>27740511</v>
      </c>
      <c r="M4338">
        <v>23348678</v>
      </c>
      <c r="N4338">
        <v>43888139</v>
      </c>
      <c r="P4338">
        <v>113</v>
      </c>
      <c r="Q4338" t="s">
        <v>9025</v>
      </c>
    </row>
    <row r="4339" spans="1:17" x14ac:dyDescent="0.3">
      <c r="A4339" t="s">
        <v>59</v>
      </c>
      <c r="B4339" t="str">
        <f>"002740"</f>
        <v>002740</v>
      </c>
      <c r="C4339" t="s">
        <v>9026</v>
      </c>
      <c r="D4339" t="s">
        <v>2025</v>
      </c>
      <c r="F4339">
        <v>-24381835</v>
      </c>
      <c r="G4339">
        <v>-37552214</v>
      </c>
      <c r="H4339">
        <v>-33458999</v>
      </c>
      <c r="I4339">
        <v>-54799272</v>
      </c>
      <c r="J4339">
        <v>-355505542</v>
      </c>
      <c r="K4339">
        <v>-30178797</v>
      </c>
      <c r="L4339">
        <v>-102637498</v>
      </c>
      <c r="M4339">
        <v>-40337391</v>
      </c>
      <c r="N4339">
        <v>43619217</v>
      </c>
      <c r="O4339">
        <v>30873717</v>
      </c>
      <c r="P4339">
        <v>78</v>
      </c>
      <c r="Q4339" t="s">
        <v>9027</v>
      </c>
    </row>
    <row r="4340" spans="1:17" x14ac:dyDescent="0.3">
      <c r="A4340" t="s">
        <v>59</v>
      </c>
      <c r="B4340" t="str">
        <f>"000721"</f>
        <v>000721</v>
      </c>
      <c r="C4340" t="s">
        <v>9028</v>
      </c>
      <c r="D4340" t="s">
        <v>3991</v>
      </c>
      <c r="F4340">
        <v>38273311</v>
      </c>
      <c r="G4340">
        <v>33605358</v>
      </c>
      <c r="H4340">
        <v>-33751788</v>
      </c>
      <c r="I4340">
        <v>7063900</v>
      </c>
      <c r="J4340">
        <v>12869212</v>
      </c>
      <c r="K4340">
        <v>24606459</v>
      </c>
      <c r="L4340">
        <v>2525630</v>
      </c>
      <c r="M4340">
        <v>22050293</v>
      </c>
      <c r="N4340">
        <v>31002274</v>
      </c>
      <c r="O4340">
        <v>33498158</v>
      </c>
      <c r="P4340">
        <v>130</v>
      </c>
      <c r="Q4340" t="s">
        <v>9029</v>
      </c>
    </row>
    <row r="4341" spans="1:17" x14ac:dyDescent="0.3">
      <c r="A4341" t="s">
        <v>59</v>
      </c>
      <c r="B4341" t="str">
        <f>"000516"</f>
        <v>000516</v>
      </c>
      <c r="C4341" t="s">
        <v>9030</v>
      </c>
      <c r="D4341" t="s">
        <v>999</v>
      </c>
      <c r="F4341">
        <v>456338668</v>
      </c>
      <c r="G4341">
        <v>41329511</v>
      </c>
      <c r="H4341">
        <v>-34324017</v>
      </c>
      <c r="I4341">
        <v>-772110966</v>
      </c>
      <c r="J4341">
        <v>386364233</v>
      </c>
      <c r="K4341">
        <v>439270085</v>
      </c>
      <c r="L4341">
        <v>274225321</v>
      </c>
      <c r="M4341">
        <v>305872494</v>
      </c>
      <c r="N4341">
        <v>327864147</v>
      </c>
      <c r="O4341">
        <v>485117777</v>
      </c>
      <c r="P4341">
        <v>405</v>
      </c>
      <c r="Q4341" t="s">
        <v>9031</v>
      </c>
    </row>
    <row r="4342" spans="1:17" x14ac:dyDescent="0.3">
      <c r="A4342" t="s">
        <v>59</v>
      </c>
      <c r="B4342" t="str">
        <f>"002800"</f>
        <v>002800</v>
      </c>
      <c r="C4342" t="s">
        <v>9032</v>
      </c>
      <c r="D4342" t="s">
        <v>1388</v>
      </c>
      <c r="F4342">
        <v>75579424</v>
      </c>
      <c r="G4342">
        <v>-6868280</v>
      </c>
      <c r="H4342">
        <v>-34605188</v>
      </c>
      <c r="I4342">
        <v>112876288</v>
      </c>
      <c r="J4342">
        <v>-72686945</v>
      </c>
      <c r="K4342">
        <v>-31291760</v>
      </c>
      <c r="L4342">
        <v>45757662</v>
      </c>
      <c r="M4342">
        <v>-54580394</v>
      </c>
      <c r="N4342">
        <v>-32460182</v>
      </c>
      <c r="P4342">
        <v>86</v>
      </c>
      <c r="Q4342" t="s">
        <v>9033</v>
      </c>
    </row>
    <row r="4343" spans="1:17" x14ac:dyDescent="0.3">
      <c r="A4343" t="s">
        <v>59</v>
      </c>
      <c r="B4343" t="str">
        <f>"300313"</f>
        <v>300313</v>
      </c>
      <c r="C4343" t="s">
        <v>9034</v>
      </c>
      <c r="D4343" t="s">
        <v>2329</v>
      </c>
      <c r="F4343">
        <v>-35061014</v>
      </c>
      <c r="G4343">
        <v>13682992</v>
      </c>
      <c r="H4343">
        <v>-34937173</v>
      </c>
      <c r="I4343">
        <v>-12053552</v>
      </c>
      <c r="J4343">
        <v>78721566</v>
      </c>
      <c r="K4343">
        <v>121655162</v>
      </c>
      <c r="L4343">
        <v>-200045849</v>
      </c>
      <c r="M4343">
        <v>3184367</v>
      </c>
      <c r="N4343">
        <v>-26985924</v>
      </c>
      <c r="O4343">
        <v>-1549310</v>
      </c>
      <c r="P4343">
        <v>85</v>
      </c>
      <c r="Q4343" t="s">
        <v>9035</v>
      </c>
    </row>
    <row r="4344" spans="1:17" x14ac:dyDescent="0.3">
      <c r="A4344" t="s">
        <v>17</v>
      </c>
      <c r="B4344" t="str">
        <f>"605001"</f>
        <v>605001</v>
      </c>
      <c r="C4344" t="s">
        <v>9036</v>
      </c>
      <c r="D4344" t="s">
        <v>165</v>
      </c>
      <c r="F4344">
        <v>-134698850</v>
      </c>
      <c r="G4344">
        <v>-67749495</v>
      </c>
      <c r="H4344">
        <v>-35790920</v>
      </c>
      <c r="I4344">
        <v>338110262</v>
      </c>
      <c r="J4344">
        <v>72989668</v>
      </c>
      <c r="P4344">
        <v>48</v>
      </c>
      <c r="Q4344" t="s">
        <v>9037</v>
      </c>
    </row>
    <row r="4345" spans="1:17" x14ac:dyDescent="0.3">
      <c r="A4345" t="s">
        <v>59</v>
      </c>
      <c r="B4345" t="str">
        <f>"300700"</f>
        <v>300700</v>
      </c>
      <c r="C4345" t="s">
        <v>9038</v>
      </c>
      <c r="D4345" t="s">
        <v>1636</v>
      </c>
      <c r="F4345">
        <v>29700085</v>
      </c>
      <c r="G4345">
        <v>27276287</v>
      </c>
      <c r="H4345">
        <v>-35897993</v>
      </c>
      <c r="I4345">
        <v>4625973</v>
      </c>
      <c r="J4345">
        <v>14774953</v>
      </c>
      <c r="K4345">
        <v>18686309</v>
      </c>
      <c r="L4345">
        <v>20857779</v>
      </c>
      <c r="M4345">
        <v>-3105824</v>
      </c>
      <c r="P4345">
        <v>140</v>
      </c>
      <c r="Q4345" t="s">
        <v>9039</v>
      </c>
    </row>
    <row r="4346" spans="1:17" x14ac:dyDescent="0.3">
      <c r="A4346" t="s">
        <v>59</v>
      </c>
      <c r="B4346" t="str">
        <f>"300605"</f>
        <v>300605</v>
      </c>
      <c r="C4346" t="s">
        <v>9040</v>
      </c>
      <c r="D4346" t="s">
        <v>1528</v>
      </c>
      <c r="F4346">
        <v>-65221282</v>
      </c>
      <c r="G4346">
        <v>-29672228</v>
      </c>
      <c r="H4346">
        <v>-35933113</v>
      </c>
      <c r="I4346">
        <v>91047455</v>
      </c>
      <c r="J4346">
        <v>-75114734</v>
      </c>
      <c r="K4346">
        <v>-226662</v>
      </c>
      <c r="L4346">
        <v>51737475</v>
      </c>
      <c r="M4346">
        <v>-11795431</v>
      </c>
      <c r="N4346">
        <v>-332948</v>
      </c>
      <c r="P4346">
        <v>93</v>
      </c>
      <c r="Q4346" t="s">
        <v>9041</v>
      </c>
    </row>
    <row r="4347" spans="1:17" x14ac:dyDescent="0.3">
      <c r="A4347" t="s">
        <v>17</v>
      </c>
      <c r="B4347" t="str">
        <f>"688218"</f>
        <v>688218</v>
      </c>
      <c r="C4347" t="s">
        <v>9042</v>
      </c>
      <c r="D4347" t="s">
        <v>3323</v>
      </c>
      <c r="F4347">
        <v>58476343</v>
      </c>
      <c r="G4347">
        <v>57090392</v>
      </c>
      <c r="H4347">
        <v>-36024131</v>
      </c>
      <c r="I4347">
        <v>-17788028</v>
      </c>
      <c r="J4347">
        <v>-76967777</v>
      </c>
      <c r="K4347">
        <v>21286817</v>
      </c>
      <c r="P4347">
        <v>47</v>
      </c>
      <c r="Q4347" t="s">
        <v>9043</v>
      </c>
    </row>
    <row r="4348" spans="1:17" x14ac:dyDescent="0.3">
      <c r="A4348" t="s">
        <v>59</v>
      </c>
      <c r="B4348" t="str">
        <f>"300318"</f>
        <v>300318</v>
      </c>
      <c r="C4348" t="s">
        <v>9044</v>
      </c>
      <c r="D4348" t="s">
        <v>1953</v>
      </c>
      <c r="F4348">
        <v>887778</v>
      </c>
      <c r="G4348">
        <v>86137577</v>
      </c>
      <c r="H4348">
        <v>-36027044</v>
      </c>
      <c r="I4348">
        <v>-84149884</v>
      </c>
      <c r="J4348">
        <v>-95194051</v>
      </c>
      <c r="K4348">
        <v>77969565</v>
      </c>
      <c r="L4348">
        <v>88950523</v>
      </c>
      <c r="M4348">
        <v>31048911</v>
      </c>
      <c r="N4348">
        <v>55081309</v>
      </c>
      <c r="O4348">
        <v>61282912</v>
      </c>
      <c r="P4348">
        <v>144</v>
      </c>
      <c r="Q4348" t="s">
        <v>9045</v>
      </c>
    </row>
    <row r="4349" spans="1:17" x14ac:dyDescent="0.3">
      <c r="A4349" t="s">
        <v>59</v>
      </c>
      <c r="B4349" t="str">
        <f>"002753"</f>
        <v>002753</v>
      </c>
      <c r="C4349" t="s">
        <v>9046</v>
      </c>
      <c r="D4349" t="s">
        <v>2708</v>
      </c>
      <c r="F4349">
        <v>41162220</v>
      </c>
      <c r="G4349">
        <v>159220997</v>
      </c>
      <c r="H4349">
        <v>-36033789</v>
      </c>
      <c r="I4349">
        <v>206933111</v>
      </c>
      <c r="J4349">
        <v>-8045798</v>
      </c>
      <c r="K4349">
        <v>34654140</v>
      </c>
      <c r="L4349">
        <v>49324051</v>
      </c>
      <c r="M4349">
        <v>18121881</v>
      </c>
      <c r="N4349">
        <v>31048491</v>
      </c>
      <c r="O4349">
        <v>14695892</v>
      </c>
      <c r="P4349">
        <v>170</v>
      </c>
      <c r="Q4349" t="s">
        <v>9047</v>
      </c>
    </row>
    <row r="4350" spans="1:17" x14ac:dyDescent="0.3">
      <c r="A4350" t="s">
        <v>17</v>
      </c>
      <c r="B4350" t="str">
        <f>"600503"</f>
        <v>600503</v>
      </c>
      <c r="C4350" t="s">
        <v>9048</v>
      </c>
      <c r="D4350" t="s">
        <v>61</v>
      </c>
      <c r="F4350">
        <v>-271520126</v>
      </c>
      <c r="G4350">
        <v>235074526</v>
      </c>
      <c r="H4350">
        <v>-36075473</v>
      </c>
      <c r="I4350">
        <v>690857903</v>
      </c>
      <c r="J4350">
        <v>-449400266</v>
      </c>
      <c r="K4350">
        <v>974925742</v>
      </c>
      <c r="L4350">
        <v>636989223</v>
      </c>
      <c r="M4350">
        <v>57162670</v>
      </c>
      <c r="N4350">
        <v>552181478</v>
      </c>
      <c r="O4350">
        <v>185337668</v>
      </c>
      <c r="P4350">
        <v>200</v>
      </c>
      <c r="Q4350" t="s">
        <v>9049</v>
      </c>
    </row>
    <row r="4351" spans="1:17" x14ac:dyDescent="0.3">
      <c r="A4351" t="s">
        <v>17</v>
      </c>
      <c r="B4351" t="str">
        <f>"900903"</f>
        <v>900903</v>
      </c>
      <c r="C4351" t="s">
        <v>9050</v>
      </c>
      <c r="G4351">
        <v>-107070748.919</v>
      </c>
      <c r="H4351">
        <v>-36230030.7104</v>
      </c>
      <c r="I4351">
        <v>65342886.352600001</v>
      </c>
      <c r="J4351">
        <v>95509508.044799998</v>
      </c>
      <c r="K4351">
        <v>203612075.28</v>
      </c>
      <c r="L4351">
        <v>191771247.05199999</v>
      </c>
      <c r="M4351">
        <v>103166446.9992</v>
      </c>
      <c r="N4351">
        <v>61735843.806000002</v>
      </c>
      <c r="O4351">
        <v>-28034762.589000002</v>
      </c>
      <c r="P4351">
        <v>32</v>
      </c>
      <c r="Q4351" t="s">
        <v>9051</v>
      </c>
    </row>
    <row r="4352" spans="1:17" x14ac:dyDescent="0.3">
      <c r="A4352" t="s">
        <v>59</v>
      </c>
      <c r="B4352" t="str">
        <f>"300671"</f>
        <v>300671</v>
      </c>
      <c r="C4352" t="s">
        <v>9052</v>
      </c>
      <c r="D4352" t="s">
        <v>759</v>
      </c>
      <c r="F4352">
        <v>363928195</v>
      </c>
      <c r="G4352">
        <v>-82481053</v>
      </c>
      <c r="H4352">
        <v>-36600504</v>
      </c>
      <c r="I4352">
        <v>2950356</v>
      </c>
      <c r="J4352">
        <v>-18477539</v>
      </c>
      <c r="K4352">
        <v>47640404</v>
      </c>
      <c r="L4352">
        <v>4683455</v>
      </c>
      <c r="M4352">
        <v>3789110</v>
      </c>
      <c r="P4352">
        <v>301</v>
      </c>
      <c r="Q4352" t="s">
        <v>9053</v>
      </c>
    </row>
    <row r="4353" spans="1:17" x14ac:dyDescent="0.3">
      <c r="A4353" t="s">
        <v>17</v>
      </c>
      <c r="B4353" t="str">
        <f>"603999"</f>
        <v>603999</v>
      </c>
      <c r="C4353" t="s">
        <v>9054</v>
      </c>
      <c r="D4353" t="s">
        <v>914</v>
      </c>
      <c r="F4353">
        <v>150737235</v>
      </c>
      <c r="G4353">
        <v>93696682</v>
      </c>
      <c r="H4353">
        <v>-36756572</v>
      </c>
      <c r="I4353">
        <v>94335559</v>
      </c>
      <c r="J4353">
        <v>49878762</v>
      </c>
      <c r="K4353">
        <v>150439076</v>
      </c>
      <c r="L4353">
        <v>127330585</v>
      </c>
      <c r="M4353">
        <v>118777638</v>
      </c>
      <c r="N4353">
        <v>171002776</v>
      </c>
      <c r="O4353">
        <v>148806007</v>
      </c>
      <c r="P4353">
        <v>85</v>
      </c>
      <c r="Q4353" t="s">
        <v>9055</v>
      </c>
    </row>
    <row r="4354" spans="1:17" x14ac:dyDescent="0.3">
      <c r="A4354" t="s">
        <v>59</v>
      </c>
      <c r="B4354" t="str">
        <f>"300581"</f>
        <v>300581</v>
      </c>
      <c r="C4354" t="s">
        <v>9056</v>
      </c>
      <c r="D4354" t="s">
        <v>448</v>
      </c>
      <c r="F4354">
        <v>40985204</v>
      </c>
      <c r="G4354">
        <v>-16382685</v>
      </c>
      <c r="H4354">
        <v>-37123812</v>
      </c>
      <c r="I4354">
        <v>9275820</v>
      </c>
      <c r="J4354">
        <v>-50128509</v>
      </c>
      <c r="K4354">
        <v>15200577</v>
      </c>
      <c r="L4354">
        <v>17082652</v>
      </c>
      <c r="M4354">
        <v>66756917</v>
      </c>
      <c r="N4354">
        <v>-12513249</v>
      </c>
      <c r="P4354">
        <v>151</v>
      </c>
      <c r="Q4354" t="s">
        <v>9057</v>
      </c>
    </row>
    <row r="4355" spans="1:17" x14ac:dyDescent="0.3">
      <c r="A4355" t="s">
        <v>17</v>
      </c>
      <c r="B4355" t="str">
        <f>"600301"</f>
        <v>600301</v>
      </c>
      <c r="C4355" t="s">
        <v>9058</v>
      </c>
      <c r="D4355" t="s">
        <v>659</v>
      </c>
      <c r="F4355">
        <v>-103919572</v>
      </c>
      <c r="G4355">
        <v>178277811</v>
      </c>
      <c r="H4355">
        <v>-37131522</v>
      </c>
      <c r="I4355">
        <v>-117671686</v>
      </c>
      <c r="J4355">
        <v>55477004</v>
      </c>
      <c r="K4355">
        <v>-74237943</v>
      </c>
      <c r="L4355">
        <v>-85435568</v>
      </c>
      <c r="M4355">
        <v>-126618328</v>
      </c>
      <c r="N4355">
        <v>-23025131</v>
      </c>
      <c r="O4355">
        <v>-70177085</v>
      </c>
      <c r="P4355">
        <v>53</v>
      </c>
      <c r="Q4355" t="s">
        <v>9059</v>
      </c>
    </row>
    <row r="4356" spans="1:17" x14ac:dyDescent="0.3">
      <c r="A4356" t="s">
        <v>59</v>
      </c>
      <c r="B4356" t="str">
        <f>"002420"</f>
        <v>002420</v>
      </c>
      <c r="C4356" t="s">
        <v>9060</v>
      </c>
      <c r="D4356" t="s">
        <v>1087</v>
      </c>
      <c r="F4356">
        <v>10685684</v>
      </c>
      <c r="G4356">
        <v>-122463683</v>
      </c>
      <c r="H4356">
        <v>-37396324</v>
      </c>
      <c r="I4356">
        <v>473331145</v>
      </c>
      <c r="J4356">
        <v>24078288</v>
      </c>
      <c r="K4356">
        <v>348022555</v>
      </c>
      <c r="L4356">
        <v>36671912</v>
      </c>
      <c r="M4356">
        <v>175295621</v>
      </c>
      <c r="N4356">
        <v>113873615</v>
      </c>
      <c r="O4356">
        <v>157124598</v>
      </c>
      <c r="P4356">
        <v>82</v>
      </c>
      <c r="Q4356" t="s">
        <v>9061</v>
      </c>
    </row>
    <row r="4357" spans="1:17" x14ac:dyDescent="0.3">
      <c r="A4357" t="s">
        <v>59</v>
      </c>
      <c r="B4357" t="str">
        <f>"000410"</f>
        <v>000410</v>
      </c>
      <c r="C4357" t="s">
        <v>9062</v>
      </c>
      <c r="D4357" t="s">
        <v>2705</v>
      </c>
      <c r="F4357">
        <v>-309393365</v>
      </c>
      <c r="G4357">
        <v>-908186649</v>
      </c>
      <c r="H4357">
        <v>-37709281</v>
      </c>
      <c r="I4357">
        <v>-56913956</v>
      </c>
      <c r="J4357">
        <v>-1123268765</v>
      </c>
      <c r="K4357">
        <v>-1935685168</v>
      </c>
      <c r="L4357">
        <v>-2861073965</v>
      </c>
      <c r="M4357">
        <v>-1643096495</v>
      </c>
      <c r="N4357">
        <v>-1343572934</v>
      </c>
      <c r="O4357">
        <v>-1275056403</v>
      </c>
      <c r="P4357">
        <v>101</v>
      </c>
      <c r="Q4357" t="s">
        <v>9063</v>
      </c>
    </row>
    <row r="4358" spans="1:17" x14ac:dyDescent="0.3">
      <c r="A4358" t="s">
        <v>17</v>
      </c>
      <c r="B4358" t="str">
        <f>"688173"</f>
        <v>688173</v>
      </c>
      <c r="C4358" t="s">
        <v>9064</v>
      </c>
      <c r="F4358">
        <v>53461238</v>
      </c>
      <c r="G4358">
        <v>-19984831</v>
      </c>
      <c r="H4358">
        <v>-37815192</v>
      </c>
      <c r="I4358">
        <v>-5445508</v>
      </c>
      <c r="P4358">
        <v>11</v>
      </c>
      <c r="Q4358" t="s">
        <v>9065</v>
      </c>
    </row>
    <row r="4359" spans="1:17" x14ac:dyDescent="0.3">
      <c r="A4359" t="s">
        <v>59</v>
      </c>
      <c r="B4359" t="str">
        <f>"002689"</f>
        <v>002689</v>
      </c>
      <c r="C4359" t="s">
        <v>9066</v>
      </c>
      <c r="D4359" t="s">
        <v>3004</v>
      </c>
      <c r="F4359">
        <v>30964454</v>
      </c>
      <c r="G4359">
        <v>107791310</v>
      </c>
      <c r="H4359">
        <v>-37818118</v>
      </c>
      <c r="I4359">
        <v>51253164</v>
      </c>
      <c r="J4359">
        <v>-34012809</v>
      </c>
      <c r="K4359">
        <v>16467651</v>
      </c>
      <c r="L4359">
        <v>128303565</v>
      </c>
      <c r="M4359">
        <v>192367183</v>
      </c>
      <c r="N4359">
        <v>175759726</v>
      </c>
      <c r="O4359">
        <v>168442162</v>
      </c>
      <c r="P4359">
        <v>87</v>
      </c>
      <c r="Q4359" t="s">
        <v>9067</v>
      </c>
    </row>
    <row r="4360" spans="1:17" x14ac:dyDescent="0.3">
      <c r="A4360" t="s">
        <v>17</v>
      </c>
      <c r="B4360" t="str">
        <f>"603122"</f>
        <v>603122</v>
      </c>
      <c r="C4360" t="s">
        <v>9068</v>
      </c>
      <c r="F4360">
        <v>7011511</v>
      </c>
      <c r="G4360">
        <v>74154704</v>
      </c>
      <c r="H4360">
        <v>-37891020</v>
      </c>
      <c r="I4360">
        <v>-76706651</v>
      </c>
      <c r="J4360">
        <v>24634600</v>
      </c>
      <c r="P4360">
        <v>12</v>
      </c>
      <c r="Q4360" t="s">
        <v>9069</v>
      </c>
    </row>
    <row r="4361" spans="1:17" x14ac:dyDescent="0.3">
      <c r="A4361" t="s">
        <v>59</v>
      </c>
      <c r="B4361" t="str">
        <f>"002297"</f>
        <v>002297</v>
      </c>
      <c r="C4361" t="s">
        <v>9070</v>
      </c>
      <c r="D4361" t="s">
        <v>448</v>
      </c>
      <c r="F4361">
        <v>73444086</v>
      </c>
      <c r="G4361">
        <v>76925554</v>
      </c>
      <c r="H4361">
        <v>-38055893</v>
      </c>
      <c r="I4361">
        <v>78788091</v>
      </c>
      <c r="J4361">
        <v>20950035</v>
      </c>
      <c r="K4361">
        <v>86471899</v>
      </c>
      <c r="L4361">
        <v>17223959</v>
      </c>
      <c r="M4361">
        <v>13407073</v>
      </c>
      <c r="N4361">
        <v>54565240</v>
      </c>
      <c r="O4361">
        <v>1748408</v>
      </c>
      <c r="P4361">
        <v>100</v>
      </c>
      <c r="Q4361" t="s">
        <v>9071</v>
      </c>
    </row>
    <row r="4362" spans="1:17" x14ac:dyDescent="0.3">
      <c r="A4362" t="s">
        <v>59</v>
      </c>
      <c r="B4362" t="str">
        <f>"000735"</f>
        <v>000735</v>
      </c>
      <c r="C4362" t="s">
        <v>9072</v>
      </c>
      <c r="D4362" t="s">
        <v>196</v>
      </c>
      <c r="F4362">
        <v>1185839876</v>
      </c>
      <c r="G4362">
        <v>-268175459</v>
      </c>
      <c r="H4362">
        <v>-38177645</v>
      </c>
      <c r="I4362">
        <v>56937367</v>
      </c>
      <c r="J4362">
        <v>316662796</v>
      </c>
      <c r="K4362">
        <v>288814000</v>
      </c>
      <c r="L4362">
        <v>25349298</v>
      </c>
      <c r="M4362">
        <v>-21843016</v>
      </c>
      <c r="N4362">
        <v>183150713</v>
      </c>
      <c r="O4362">
        <v>-72467394</v>
      </c>
      <c r="P4362">
        <v>290</v>
      </c>
      <c r="Q4362" t="s">
        <v>9073</v>
      </c>
    </row>
    <row r="4363" spans="1:17" x14ac:dyDescent="0.3">
      <c r="A4363" t="s">
        <v>17</v>
      </c>
      <c r="B4363" t="str">
        <f>"688335"</f>
        <v>688335</v>
      </c>
      <c r="C4363" t="s">
        <v>9074</v>
      </c>
      <c r="D4363" t="s">
        <v>669</v>
      </c>
      <c r="F4363">
        <v>60124080</v>
      </c>
      <c r="G4363">
        <v>-65527072</v>
      </c>
      <c r="H4363">
        <v>-38693338</v>
      </c>
      <c r="I4363">
        <v>112140174</v>
      </c>
      <c r="J4363">
        <v>21461713</v>
      </c>
      <c r="K4363">
        <v>2490283</v>
      </c>
      <c r="P4363">
        <v>61</v>
      </c>
      <c r="Q4363" t="s">
        <v>9075</v>
      </c>
    </row>
    <row r="4364" spans="1:17" x14ac:dyDescent="0.3">
      <c r="A4364" t="s">
        <v>59</v>
      </c>
      <c r="B4364" t="str">
        <f>"002112"</f>
        <v>002112</v>
      </c>
      <c r="C4364" t="s">
        <v>9076</v>
      </c>
      <c r="D4364" t="s">
        <v>560</v>
      </c>
      <c r="F4364">
        <v>-23941089</v>
      </c>
      <c r="G4364">
        <v>-51429063</v>
      </c>
      <c r="H4364">
        <v>-40006354</v>
      </c>
      <c r="I4364">
        <v>19827114</v>
      </c>
      <c r="J4364">
        <v>45921137</v>
      </c>
      <c r="K4364">
        <v>70434461</v>
      </c>
      <c r="L4364">
        <v>-15341612</v>
      </c>
      <c r="M4364">
        <v>94881684</v>
      </c>
      <c r="N4364">
        <v>66266417</v>
      </c>
      <c r="O4364">
        <v>137725223</v>
      </c>
      <c r="P4364">
        <v>76</v>
      </c>
      <c r="Q4364" t="s">
        <v>9077</v>
      </c>
    </row>
    <row r="4365" spans="1:17" x14ac:dyDescent="0.3">
      <c r="A4365" t="s">
        <v>59</v>
      </c>
      <c r="B4365" t="str">
        <f>"300065"</f>
        <v>300065</v>
      </c>
      <c r="C4365" t="s">
        <v>9078</v>
      </c>
      <c r="D4365" t="s">
        <v>614</v>
      </c>
      <c r="F4365">
        <v>-38748795</v>
      </c>
      <c r="G4365">
        <v>160702883</v>
      </c>
      <c r="H4365">
        <v>-40054422</v>
      </c>
      <c r="I4365">
        <v>107807899</v>
      </c>
      <c r="J4365">
        <v>138164743</v>
      </c>
      <c r="K4365">
        <v>157085288</v>
      </c>
      <c r="L4365">
        <v>55685248</v>
      </c>
      <c r="M4365">
        <v>-11563885</v>
      </c>
      <c r="N4365">
        <v>-14653943</v>
      </c>
      <c r="O4365">
        <v>891374</v>
      </c>
      <c r="P4365">
        <v>152</v>
      </c>
      <c r="Q4365" t="s">
        <v>9079</v>
      </c>
    </row>
    <row r="4366" spans="1:17" x14ac:dyDescent="0.3">
      <c r="A4366" t="s">
        <v>17</v>
      </c>
      <c r="B4366" t="str">
        <f>"600652"</f>
        <v>600652</v>
      </c>
      <c r="C4366" t="s">
        <v>9080</v>
      </c>
      <c r="D4366" t="s">
        <v>689</v>
      </c>
      <c r="F4366">
        <v>-51045115</v>
      </c>
      <c r="G4366">
        <v>-14522223</v>
      </c>
      <c r="H4366">
        <v>-40412182</v>
      </c>
      <c r="I4366">
        <v>-64103272</v>
      </c>
      <c r="J4366">
        <v>-7303121</v>
      </c>
      <c r="K4366">
        <v>89837191</v>
      </c>
      <c r="L4366">
        <v>356938412</v>
      </c>
      <c r="M4366">
        <v>109228319</v>
      </c>
      <c r="N4366">
        <v>-244966892</v>
      </c>
      <c r="O4366">
        <v>102861317</v>
      </c>
      <c r="P4366">
        <v>79</v>
      </c>
      <c r="Q4366" t="s">
        <v>9081</v>
      </c>
    </row>
    <row r="4367" spans="1:17" x14ac:dyDescent="0.3">
      <c r="A4367" t="s">
        <v>17</v>
      </c>
      <c r="B4367" t="str">
        <f>"605006"</f>
        <v>605006</v>
      </c>
      <c r="C4367" t="s">
        <v>9082</v>
      </c>
      <c r="D4367" t="s">
        <v>736</v>
      </c>
      <c r="F4367">
        <v>787929488</v>
      </c>
      <c r="G4367">
        <v>450487835</v>
      </c>
      <c r="H4367">
        <v>-41140427</v>
      </c>
      <c r="I4367">
        <v>398428363</v>
      </c>
      <c r="J4367">
        <v>286748043</v>
      </c>
      <c r="P4367">
        <v>121</v>
      </c>
      <c r="Q4367" t="s">
        <v>9083</v>
      </c>
    </row>
    <row r="4368" spans="1:17" x14ac:dyDescent="0.3">
      <c r="A4368" t="s">
        <v>59</v>
      </c>
      <c r="B4368" t="str">
        <f>"000610"</f>
        <v>000610</v>
      </c>
      <c r="C4368" t="s">
        <v>9084</v>
      </c>
      <c r="D4368" t="s">
        <v>824</v>
      </c>
      <c r="F4368">
        <v>-115542664</v>
      </c>
      <c r="G4368">
        <v>-173104239</v>
      </c>
      <c r="H4368">
        <v>-41208321</v>
      </c>
      <c r="I4368">
        <v>-61609882</v>
      </c>
      <c r="J4368">
        <v>-140590501</v>
      </c>
      <c r="K4368">
        <v>-50316849</v>
      </c>
      <c r="L4368">
        <v>-110460133</v>
      </c>
      <c r="M4368">
        <v>-718605</v>
      </c>
      <c r="N4368">
        <v>-12776103</v>
      </c>
      <c r="O4368">
        <v>73157480</v>
      </c>
      <c r="P4368">
        <v>152</v>
      </c>
      <c r="Q4368" t="s">
        <v>9085</v>
      </c>
    </row>
    <row r="4369" spans="1:17" x14ac:dyDescent="0.3">
      <c r="A4369" t="s">
        <v>59</v>
      </c>
      <c r="B4369" t="str">
        <f>"300239"</f>
        <v>300239</v>
      </c>
      <c r="C4369" t="s">
        <v>9086</v>
      </c>
      <c r="D4369" t="s">
        <v>1062</v>
      </c>
      <c r="F4369">
        <v>51501086</v>
      </c>
      <c r="G4369">
        <v>63129603</v>
      </c>
      <c r="H4369">
        <v>-41633068</v>
      </c>
      <c r="I4369">
        <v>60001285</v>
      </c>
      <c r="J4369">
        <v>-3116975</v>
      </c>
      <c r="K4369">
        <v>40537615</v>
      </c>
      <c r="L4369">
        <v>45574107</v>
      </c>
      <c r="M4369">
        <v>-12236766</v>
      </c>
      <c r="N4369">
        <v>9083277</v>
      </c>
      <c r="O4369">
        <v>5456624</v>
      </c>
      <c r="P4369">
        <v>107</v>
      </c>
      <c r="Q4369" t="s">
        <v>9087</v>
      </c>
    </row>
    <row r="4370" spans="1:17" x14ac:dyDescent="0.3">
      <c r="A4370" t="s">
        <v>59</v>
      </c>
      <c r="B4370" t="str">
        <f>"002052"</f>
        <v>002052</v>
      </c>
      <c r="C4370" t="s">
        <v>9088</v>
      </c>
      <c r="D4370" t="s">
        <v>3070</v>
      </c>
      <c r="F4370">
        <v>-34864696</v>
      </c>
      <c r="G4370">
        <v>-6903617</v>
      </c>
      <c r="H4370">
        <v>-41736195</v>
      </c>
      <c r="I4370">
        <v>1919633</v>
      </c>
      <c r="J4370">
        <v>-149372827</v>
      </c>
      <c r="K4370">
        <v>232181249</v>
      </c>
      <c r="L4370">
        <v>197957752</v>
      </c>
      <c r="M4370">
        <v>306166616</v>
      </c>
      <c r="N4370">
        <v>-74726709</v>
      </c>
      <c r="O4370">
        <v>223509514</v>
      </c>
      <c r="P4370">
        <v>76</v>
      </c>
      <c r="Q4370" t="s">
        <v>9089</v>
      </c>
    </row>
    <row r="4371" spans="1:17" x14ac:dyDescent="0.3">
      <c r="A4371" t="s">
        <v>17</v>
      </c>
      <c r="B4371" t="str">
        <f>"688319"</f>
        <v>688319</v>
      </c>
      <c r="C4371" t="s">
        <v>9090</v>
      </c>
      <c r="D4371" t="s">
        <v>1413</v>
      </c>
      <c r="F4371">
        <v>39961825</v>
      </c>
      <c r="G4371">
        <v>21089134</v>
      </c>
      <c r="H4371">
        <v>-41767605</v>
      </c>
      <c r="I4371">
        <v>-16695684</v>
      </c>
      <c r="J4371">
        <v>-21498383</v>
      </c>
      <c r="P4371">
        <v>46</v>
      </c>
      <c r="Q4371" t="s">
        <v>9091</v>
      </c>
    </row>
    <row r="4372" spans="1:17" x14ac:dyDescent="0.3">
      <c r="A4372" t="s">
        <v>17</v>
      </c>
      <c r="B4372" t="str">
        <f>"600084"</f>
        <v>600084</v>
      </c>
      <c r="C4372" t="s">
        <v>9092</v>
      </c>
      <c r="D4372" t="s">
        <v>1964</v>
      </c>
      <c r="F4372">
        <v>-4926852</v>
      </c>
      <c r="G4372">
        <v>-29709364</v>
      </c>
      <c r="H4372">
        <v>-41909983</v>
      </c>
      <c r="I4372">
        <v>-170900990</v>
      </c>
      <c r="J4372">
        <v>-219082528</v>
      </c>
      <c r="K4372">
        <v>-99100905</v>
      </c>
      <c r="L4372">
        <v>-56181534</v>
      </c>
      <c r="M4372">
        <v>-374128048</v>
      </c>
      <c r="N4372">
        <v>28239616</v>
      </c>
      <c r="O4372">
        <v>-62108027</v>
      </c>
      <c r="P4372">
        <v>99</v>
      </c>
      <c r="Q4372" t="s">
        <v>9093</v>
      </c>
    </row>
    <row r="4373" spans="1:17" x14ac:dyDescent="0.3">
      <c r="A4373" t="s">
        <v>17</v>
      </c>
      <c r="B4373" t="str">
        <f>"900902"</f>
        <v>900902</v>
      </c>
      <c r="C4373" t="s">
        <v>9094</v>
      </c>
      <c r="G4373">
        <v>-236212450.32429999</v>
      </c>
      <c r="H4373">
        <v>-41952711.136399999</v>
      </c>
      <c r="I4373">
        <v>-580436450.16760004</v>
      </c>
      <c r="J4373">
        <v>-112235211.11040001</v>
      </c>
      <c r="K4373">
        <v>3307059.7919999999</v>
      </c>
      <c r="L4373">
        <v>-195464568.68399999</v>
      </c>
      <c r="M4373">
        <v>-93974462.233600006</v>
      </c>
      <c r="N4373">
        <v>-44346894.614399999</v>
      </c>
      <c r="O4373">
        <v>1025822.91</v>
      </c>
      <c r="P4373">
        <v>10</v>
      </c>
      <c r="Q4373" t="s">
        <v>9095</v>
      </c>
    </row>
    <row r="4374" spans="1:17" x14ac:dyDescent="0.3">
      <c r="A4374" t="s">
        <v>17</v>
      </c>
      <c r="B4374" t="str">
        <f>"600767"</f>
        <v>600767</v>
      </c>
      <c r="C4374" t="s">
        <v>9096</v>
      </c>
      <c r="D4374" t="s">
        <v>396</v>
      </c>
      <c r="F4374">
        <v>3328990</v>
      </c>
      <c r="G4374">
        <v>36741028</v>
      </c>
      <c r="H4374">
        <v>-42016317</v>
      </c>
      <c r="I4374">
        <v>-40019356</v>
      </c>
      <c r="J4374">
        <v>241410121</v>
      </c>
      <c r="K4374">
        <v>10953709</v>
      </c>
      <c r="L4374">
        <v>-16339762</v>
      </c>
      <c r="M4374">
        <v>101995000</v>
      </c>
      <c r="N4374">
        <v>-67329263</v>
      </c>
      <c r="O4374">
        <v>-19551525</v>
      </c>
      <c r="P4374">
        <v>62</v>
      </c>
      <c r="Q4374" t="s">
        <v>9097</v>
      </c>
    </row>
    <row r="4375" spans="1:17" x14ac:dyDescent="0.3">
      <c r="A4375" t="s">
        <v>17</v>
      </c>
      <c r="B4375" t="str">
        <f>"600358"</f>
        <v>600358</v>
      </c>
      <c r="C4375" t="s">
        <v>9098</v>
      </c>
      <c r="D4375" t="s">
        <v>1889</v>
      </c>
      <c r="F4375">
        <v>-57965979</v>
      </c>
      <c r="G4375">
        <v>-51662027</v>
      </c>
      <c r="H4375">
        <v>-42120779</v>
      </c>
      <c r="I4375">
        <v>-30902355</v>
      </c>
      <c r="J4375">
        <v>-16907592</v>
      </c>
      <c r="K4375">
        <v>-20016316</v>
      </c>
      <c r="L4375">
        <v>-12782979</v>
      </c>
      <c r="M4375">
        <v>49802362</v>
      </c>
      <c r="N4375">
        <v>5940538</v>
      </c>
      <c r="O4375">
        <v>-34369729</v>
      </c>
      <c r="P4375">
        <v>64</v>
      </c>
      <c r="Q4375" t="s">
        <v>9099</v>
      </c>
    </row>
    <row r="4376" spans="1:17" x14ac:dyDescent="0.3">
      <c r="A4376" t="s">
        <v>59</v>
      </c>
      <c r="B4376" t="str">
        <f>"300329"</f>
        <v>300329</v>
      </c>
      <c r="C4376" t="s">
        <v>9100</v>
      </c>
      <c r="D4376" t="s">
        <v>4437</v>
      </c>
      <c r="F4376">
        <v>-23747351</v>
      </c>
      <c r="G4376">
        <v>5030115</v>
      </c>
      <c r="H4376">
        <v>-42416467</v>
      </c>
      <c r="I4376">
        <v>50282885</v>
      </c>
      <c r="J4376">
        <v>63786114</v>
      </c>
      <c r="K4376">
        <v>42017807</v>
      </c>
      <c r="L4376">
        <v>46148262</v>
      </c>
      <c r="M4376">
        <v>5160202</v>
      </c>
      <c r="N4376">
        <v>28434781</v>
      </c>
      <c r="O4376">
        <v>6939685</v>
      </c>
      <c r="P4376">
        <v>96</v>
      </c>
      <c r="Q4376" t="s">
        <v>9101</v>
      </c>
    </row>
    <row r="4377" spans="1:17" x14ac:dyDescent="0.3">
      <c r="A4377" t="s">
        <v>59</v>
      </c>
      <c r="B4377" t="str">
        <f>"300101"</f>
        <v>300101</v>
      </c>
      <c r="C4377" t="s">
        <v>9102</v>
      </c>
      <c r="D4377" t="s">
        <v>1983</v>
      </c>
      <c r="F4377">
        <v>85926268</v>
      </c>
      <c r="G4377">
        <v>124524865</v>
      </c>
      <c r="H4377">
        <v>-42837710</v>
      </c>
      <c r="I4377">
        <v>86958382</v>
      </c>
      <c r="J4377">
        <v>-3603859</v>
      </c>
      <c r="K4377">
        <v>-157356349</v>
      </c>
      <c r="L4377">
        <v>48575227</v>
      </c>
      <c r="M4377">
        <v>189832173</v>
      </c>
      <c r="N4377">
        <v>19644259</v>
      </c>
      <c r="O4377">
        <v>19769302</v>
      </c>
      <c r="P4377">
        <v>3120</v>
      </c>
      <c r="Q4377" t="s">
        <v>9103</v>
      </c>
    </row>
    <row r="4378" spans="1:17" x14ac:dyDescent="0.3">
      <c r="A4378" t="s">
        <v>59</v>
      </c>
      <c r="B4378" t="str">
        <f>"300986"</f>
        <v>300986</v>
      </c>
      <c r="C4378" t="s">
        <v>9104</v>
      </c>
      <c r="D4378" t="s">
        <v>238</v>
      </c>
      <c r="F4378">
        <v>172666066</v>
      </c>
      <c r="G4378">
        <v>100271294</v>
      </c>
      <c r="H4378">
        <v>-42871411</v>
      </c>
      <c r="I4378">
        <v>-41516073</v>
      </c>
      <c r="J4378">
        <v>-19098147</v>
      </c>
      <c r="K4378">
        <v>-8019300</v>
      </c>
      <c r="P4378">
        <v>34</v>
      </c>
      <c r="Q4378" t="s">
        <v>9105</v>
      </c>
    </row>
    <row r="4379" spans="1:17" x14ac:dyDescent="0.3">
      <c r="A4379" t="s">
        <v>59</v>
      </c>
      <c r="B4379" t="str">
        <f>"300604"</f>
        <v>300604</v>
      </c>
      <c r="C4379" t="s">
        <v>9106</v>
      </c>
      <c r="D4379" t="s">
        <v>5407</v>
      </c>
      <c r="F4379">
        <v>-9637689</v>
      </c>
      <c r="G4379">
        <v>44601184</v>
      </c>
      <c r="H4379">
        <v>-42889765</v>
      </c>
      <c r="I4379">
        <v>12449429</v>
      </c>
      <c r="J4379">
        <v>10762991</v>
      </c>
      <c r="K4379">
        <v>16709515</v>
      </c>
      <c r="L4379">
        <v>1326530</v>
      </c>
      <c r="M4379">
        <v>-407781</v>
      </c>
      <c r="P4379">
        <v>370</v>
      </c>
      <c r="Q4379" t="s">
        <v>9107</v>
      </c>
    </row>
    <row r="4380" spans="1:17" x14ac:dyDescent="0.3">
      <c r="A4380" t="s">
        <v>17</v>
      </c>
      <c r="B4380" t="str">
        <f>"603721"</f>
        <v>603721</v>
      </c>
      <c r="C4380" t="s">
        <v>9108</v>
      </c>
      <c r="D4380" t="s">
        <v>1059</v>
      </c>
      <c r="F4380">
        <v>82521057</v>
      </c>
      <c r="G4380">
        <v>-8045620</v>
      </c>
      <c r="H4380">
        <v>-43241900</v>
      </c>
      <c r="I4380">
        <v>-45849648</v>
      </c>
      <c r="J4380">
        <v>72693446</v>
      </c>
      <c r="K4380">
        <v>-3571597</v>
      </c>
      <c r="L4380">
        <v>55664568</v>
      </c>
      <c r="M4380">
        <v>52973928</v>
      </c>
      <c r="P4380">
        <v>89</v>
      </c>
      <c r="Q4380" t="s">
        <v>9109</v>
      </c>
    </row>
    <row r="4381" spans="1:17" x14ac:dyDescent="0.3">
      <c r="A4381" t="s">
        <v>59</v>
      </c>
      <c r="B4381" t="str">
        <f>"002780"</f>
        <v>002780</v>
      </c>
      <c r="C4381" t="s">
        <v>9110</v>
      </c>
      <c r="D4381" t="s">
        <v>7718</v>
      </c>
      <c r="F4381">
        <v>30962646</v>
      </c>
      <c r="G4381">
        <v>-25192996</v>
      </c>
      <c r="H4381">
        <v>-43374735</v>
      </c>
      <c r="I4381">
        <v>19870762</v>
      </c>
      <c r="J4381">
        <v>-34903020</v>
      </c>
      <c r="K4381">
        <v>-912277</v>
      </c>
      <c r="L4381">
        <v>11413181</v>
      </c>
      <c r="M4381">
        <v>17256726</v>
      </c>
      <c r="N4381">
        <v>3314521</v>
      </c>
      <c r="O4381">
        <v>37032587</v>
      </c>
      <c r="P4381">
        <v>85</v>
      </c>
      <c r="Q4381" t="s">
        <v>9111</v>
      </c>
    </row>
    <row r="4382" spans="1:17" x14ac:dyDescent="0.3">
      <c r="A4382" t="s">
        <v>59</v>
      </c>
      <c r="B4382" t="str">
        <f>"002209"</f>
        <v>002209</v>
      </c>
      <c r="C4382" t="s">
        <v>9112</v>
      </c>
      <c r="D4382" t="s">
        <v>3768</v>
      </c>
      <c r="F4382">
        <v>35466002</v>
      </c>
      <c r="G4382">
        <v>28135215</v>
      </c>
      <c r="H4382">
        <v>-43386681</v>
      </c>
      <c r="I4382">
        <v>32558014</v>
      </c>
      <c r="J4382">
        <v>127359151</v>
      </c>
      <c r="K4382">
        <v>-107359449</v>
      </c>
      <c r="L4382">
        <v>173844242</v>
      </c>
      <c r="M4382">
        <v>24423286</v>
      </c>
      <c r="N4382">
        <v>83248502</v>
      </c>
      <c r="O4382">
        <v>3188082</v>
      </c>
      <c r="P4382">
        <v>75</v>
      </c>
      <c r="Q4382" t="s">
        <v>9113</v>
      </c>
    </row>
    <row r="4383" spans="1:17" x14ac:dyDescent="0.3">
      <c r="A4383" t="s">
        <v>59</v>
      </c>
      <c r="B4383" t="str">
        <f>"300879"</f>
        <v>300879</v>
      </c>
      <c r="C4383" t="s">
        <v>9114</v>
      </c>
      <c r="D4383" t="s">
        <v>1351</v>
      </c>
      <c r="F4383">
        <v>-237300003</v>
      </c>
      <c r="G4383">
        <v>133503434</v>
      </c>
      <c r="H4383">
        <v>-43434829</v>
      </c>
      <c r="I4383">
        <v>-39851921</v>
      </c>
      <c r="J4383">
        <v>29926957</v>
      </c>
      <c r="K4383">
        <v>38936485</v>
      </c>
      <c r="P4383">
        <v>52</v>
      </c>
      <c r="Q4383" t="s">
        <v>9115</v>
      </c>
    </row>
    <row r="4384" spans="1:17" x14ac:dyDescent="0.3">
      <c r="A4384" t="s">
        <v>59</v>
      </c>
      <c r="B4384" t="str">
        <f>"300484"</f>
        <v>300484</v>
      </c>
      <c r="C4384" t="s">
        <v>9116</v>
      </c>
      <c r="D4384" t="s">
        <v>1426</v>
      </c>
      <c r="F4384">
        <v>130359209</v>
      </c>
      <c r="G4384">
        <v>139797244</v>
      </c>
      <c r="H4384">
        <v>-43619871</v>
      </c>
      <c r="I4384">
        <v>-5972337</v>
      </c>
      <c r="J4384">
        <v>76086244</v>
      </c>
      <c r="K4384">
        <v>45875564</v>
      </c>
      <c r="L4384">
        <v>-27553601</v>
      </c>
      <c r="M4384">
        <v>39324434</v>
      </c>
      <c r="N4384">
        <v>31439425</v>
      </c>
      <c r="O4384">
        <v>24443518</v>
      </c>
      <c r="P4384">
        <v>219</v>
      </c>
      <c r="Q4384" t="s">
        <v>9117</v>
      </c>
    </row>
    <row r="4385" spans="1:17" x14ac:dyDescent="0.3">
      <c r="A4385" t="s">
        <v>59</v>
      </c>
      <c r="B4385" t="str">
        <f>"002432"</f>
        <v>002432</v>
      </c>
      <c r="C4385" t="s">
        <v>9118</v>
      </c>
      <c r="D4385" t="s">
        <v>485</v>
      </c>
      <c r="F4385">
        <v>293114032</v>
      </c>
      <c r="G4385">
        <v>461622751</v>
      </c>
      <c r="H4385">
        <v>-43694290</v>
      </c>
      <c r="I4385">
        <v>-104174567</v>
      </c>
      <c r="J4385">
        <v>-91890067</v>
      </c>
      <c r="K4385">
        <v>-36495307</v>
      </c>
      <c r="L4385">
        <v>-129469829</v>
      </c>
      <c r="M4385">
        <v>-68921756</v>
      </c>
      <c r="N4385">
        <v>-74469374</v>
      </c>
      <c r="O4385">
        <v>5234764</v>
      </c>
      <c r="P4385">
        <v>281</v>
      </c>
      <c r="Q4385" t="s">
        <v>9119</v>
      </c>
    </row>
    <row r="4386" spans="1:17" x14ac:dyDescent="0.3">
      <c r="A4386" t="s">
        <v>59</v>
      </c>
      <c r="B4386" t="str">
        <f>"000637"</f>
        <v>000637</v>
      </c>
      <c r="C4386" t="s">
        <v>9120</v>
      </c>
      <c r="D4386" t="s">
        <v>445</v>
      </c>
      <c r="F4386">
        <v>61218331</v>
      </c>
      <c r="G4386">
        <v>69341087</v>
      </c>
      <c r="H4386">
        <v>-44120590</v>
      </c>
      <c r="I4386">
        <v>133989876</v>
      </c>
      <c r="J4386">
        <v>133944057</v>
      </c>
      <c r="K4386">
        <v>308225406</v>
      </c>
      <c r="L4386">
        <v>179399916</v>
      </c>
      <c r="M4386">
        <v>229520096</v>
      </c>
      <c r="N4386">
        <v>45069219</v>
      </c>
      <c r="O4386">
        <v>32695814</v>
      </c>
      <c r="P4386">
        <v>93</v>
      </c>
      <c r="Q4386" t="s">
        <v>9121</v>
      </c>
    </row>
    <row r="4387" spans="1:17" x14ac:dyDescent="0.3">
      <c r="A4387" t="s">
        <v>59</v>
      </c>
      <c r="B4387" t="str">
        <f>"300210"</f>
        <v>300210</v>
      </c>
      <c r="C4387" t="s">
        <v>9122</v>
      </c>
      <c r="D4387" t="s">
        <v>1337</v>
      </c>
      <c r="F4387">
        <v>80711593</v>
      </c>
      <c r="G4387">
        <v>162027980</v>
      </c>
      <c r="H4387">
        <v>-44373243</v>
      </c>
      <c r="I4387">
        <v>-62796744</v>
      </c>
      <c r="J4387">
        <v>-43970380</v>
      </c>
      <c r="K4387">
        <v>-33528757</v>
      </c>
      <c r="L4387">
        <v>-2636775</v>
      </c>
      <c r="M4387">
        <v>-118384487</v>
      </c>
      <c r="N4387">
        <v>-36676862</v>
      </c>
      <c r="O4387">
        <v>33774227</v>
      </c>
      <c r="P4387">
        <v>50</v>
      </c>
      <c r="Q4387" t="s">
        <v>9123</v>
      </c>
    </row>
    <row r="4388" spans="1:17" x14ac:dyDescent="0.3">
      <c r="A4388" t="s">
        <v>59</v>
      </c>
      <c r="B4388" t="str">
        <f>"002104"</f>
        <v>002104</v>
      </c>
      <c r="C4388" t="s">
        <v>9124</v>
      </c>
      <c r="D4388" t="s">
        <v>1650</v>
      </c>
      <c r="F4388">
        <v>62323335</v>
      </c>
      <c r="G4388">
        <v>515155453</v>
      </c>
      <c r="H4388">
        <v>-44451823</v>
      </c>
      <c r="I4388">
        <v>588243109</v>
      </c>
      <c r="J4388">
        <v>-429867978</v>
      </c>
      <c r="K4388">
        <v>304691558</v>
      </c>
      <c r="L4388">
        <v>194240118</v>
      </c>
      <c r="M4388">
        <v>419217382</v>
      </c>
      <c r="N4388">
        <v>223860539</v>
      </c>
      <c r="O4388">
        <v>247835034</v>
      </c>
      <c r="P4388">
        <v>416</v>
      </c>
      <c r="Q4388" t="s">
        <v>9125</v>
      </c>
    </row>
    <row r="4389" spans="1:17" x14ac:dyDescent="0.3">
      <c r="A4389" t="s">
        <v>17</v>
      </c>
      <c r="B4389" t="str">
        <f>"603727"</f>
        <v>603727</v>
      </c>
      <c r="C4389" t="s">
        <v>9126</v>
      </c>
      <c r="D4389" t="s">
        <v>3536</v>
      </c>
      <c r="F4389">
        <v>-327268572</v>
      </c>
      <c r="G4389">
        <v>383295354</v>
      </c>
      <c r="H4389">
        <v>-44724009</v>
      </c>
      <c r="I4389">
        <v>-367244396</v>
      </c>
      <c r="J4389">
        <v>-156198952</v>
      </c>
      <c r="K4389">
        <v>776263836</v>
      </c>
      <c r="L4389">
        <v>215204241</v>
      </c>
      <c r="M4389">
        <v>279938113</v>
      </c>
      <c r="N4389">
        <v>209878446</v>
      </c>
      <c r="O4389">
        <v>79039221</v>
      </c>
      <c r="P4389">
        <v>123</v>
      </c>
      <c r="Q4389" t="s">
        <v>9127</v>
      </c>
    </row>
    <row r="4390" spans="1:17" x14ac:dyDescent="0.3">
      <c r="A4390" t="s">
        <v>59</v>
      </c>
      <c r="B4390" t="str">
        <f>"300478"</f>
        <v>300478</v>
      </c>
      <c r="C4390" t="s">
        <v>9128</v>
      </c>
      <c r="D4390" t="s">
        <v>792</v>
      </c>
      <c r="F4390">
        <v>-71283894</v>
      </c>
      <c r="G4390">
        <v>44135966</v>
      </c>
      <c r="H4390">
        <v>-44962065</v>
      </c>
      <c r="I4390">
        <v>-50804239</v>
      </c>
      <c r="J4390">
        <v>11414674</v>
      </c>
      <c r="K4390">
        <v>43568836</v>
      </c>
      <c r="L4390">
        <v>2527349</v>
      </c>
      <c r="M4390">
        <v>12899630</v>
      </c>
      <c r="N4390">
        <v>10603203</v>
      </c>
      <c r="O4390">
        <v>15037101</v>
      </c>
      <c r="P4390">
        <v>58</v>
      </c>
      <c r="Q4390" t="s">
        <v>9129</v>
      </c>
    </row>
    <row r="4391" spans="1:17" x14ac:dyDescent="0.3">
      <c r="A4391" t="s">
        <v>59</v>
      </c>
      <c r="B4391" t="str">
        <f>"300523"</f>
        <v>300523</v>
      </c>
      <c r="C4391" t="s">
        <v>9130</v>
      </c>
      <c r="D4391" t="s">
        <v>1189</v>
      </c>
      <c r="F4391">
        <v>-235045683</v>
      </c>
      <c r="G4391">
        <v>77477271</v>
      </c>
      <c r="H4391">
        <v>-45063882</v>
      </c>
      <c r="I4391">
        <v>16955630</v>
      </c>
      <c r="J4391">
        <v>108041313</v>
      </c>
      <c r="K4391">
        <v>35765059</v>
      </c>
      <c r="L4391">
        <v>57740811</v>
      </c>
      <c r="M4391">
        <v>37450183</v>
      </c>
      <c r="N4391">
        <v>10681724</v>
      </c>
      <c r="P4391">
        <v>135</v>
      </c>
      <c r="Q4391" t="s">
        <v>9131</v>
      </c>
    </row>
    <row r="4392" spans="1:17" x14ac:dyDescent="0.3">
      <c r="A4392" t="s">
        <v>17</v>
      </c>
      <c r="B4392" t="str">
        <f>"600106"</f>
        <v>600106</v>
      </c>
      <c r="C4392" t="s">
        <v>9132</v>
      </c>
      <c r="D4392" t="s">
        <v>406</v>
      </c>
      <c r="F4392">
        <v>194186820</v>
      </c>
      <c r="G4392">
        <v>696107197</v>
      </c>
      <c r="H4392">
        <v>-45271455</v>
      </c>
      <c r="I4392">
        <v>108102903</v>
      </c>
      <c r="J4392">
        <v>332736428</v>
      </c>
      <c r="K4392">
        <v>235137107</v>
      </c>
      <c r="L4392">
        <v>385120216</v>
      </c>
      <c r="M4392">
        <v>280766749</v>
      </c>
      <c r="N4392">
        <v>254273695</v>
      </c>
      <c r="O4392">
        <v>229231195</v>
      </c>
      <c r="P4392">
        <v>145</v>
      </c>
      <c r="Q4392" t="s">
        <v>9133</v>
      </c>
    </row>
    <row r="4393" spans="1:17" x14ac:dyDescent="0.3">
      <c r="A4393" t="s">
        <v>17</v>
      </c>
      <c r="B4393" t="str">
        <f>"600250"</f>
        <v>600250</v>
      </c>
      <c r="C4393" t="s">
        <v>9134</v>
      </c>
      <c r="D4393" t="s">
        <v>659</v>
      </c>
      <c r="F4393">
        <v>67409003</v>
      </c>
      <c r="G4393">
        <v>164557425</v>
      </c>
      <c r="H4393">
        <v>-45694800</v>
      </c>
      <c r="I4393">
        <v>-72348251</v>
      </c>
      <c r="J4393">
        <v>-150781075</v>
      </c>
      <c r="K4393">
        <v>96496788</v>
      </c>
      <c r="L4393">
        <v>-218080363</v>
      </c>
      <c r="M4393">
        <v>249090618</v>
      </c>
      <c r="N4393">
        <v>-74615255</v>
      </c>
      <c r="O4393">
        <v>-203572583</v>
      </c>
      <c r="P4393">
        <v>70</v>
      </c>
      <c r="Q4393" t="s">
        <v>9135</v>
      </c>
    </row>
    <row r="4394" spans="1:17" x14ac:dyDescent="0.3">
      <c r="A4394" t="s">
        <v>59</v>
      </c>
      <c r="B4394" t="str">
        <f>"002620"</f>
        <v>002620</v>
      </c>
      <c r="C4394" t="s">
        <v>9136</v>
      </c>
      <c r="D4394" t="s">
        <v>1150</v>
      </c>
      <c r="F4394">
        <v>-125878012</v>
      </c>
      <c r="G4394">
        <v>-78636162</v>
      </c>
      <c r="H4394">
        <v>-45902442</v>
      </c>
      <c r="I4394">
        <v>-247475543</v>
      </c>
      <c r="J4394">
        <v>63427964</v>
      </c>
      <c r="K4394">
        <v>-53249291</v>
      </c>
      <c r="L4394">
        <v>-81189686</v>
      </c>
      <c r="M4394">
        <v>33182835</v>
      </c>
      <c r="N4394">
        <v>-242128499</v>
      </c>
      <c r="O4394">
        <v>-12805321</v>
      </c>
      <c r="P4394">
        <v>90</v>
      </c>
      <c r="Q4394" t="s">
        <v>9137</v>
      </c>
    </row>
    <row r="4395" spans="1:17" x14ac:dyDescent="0.3">
      <c r="A4395" t="s">
        <v>59</v>
      </c>
      <c r="B4395" t="str">
        <f>"002875"</f>
        <v>002875</v>
      </c>
      <c r="C4395" t="s">
        <v>9138</v>
      </c>
      <c r="D4395" t="s">
        <v>646</v>
      </c>
      <c r="F4395">
        <v>40994899</v>
      </c>
      <c r="G4395">
        <v>121777066</v>
      </c>
      <c r="H4395">
        <v>-46172712</v>
      </c>
      <c r="I4395">
        <v>44608035</v>
      </c>
      <c r="J4395">
        <v>52532816</v>
      </c>
      <c r="K4395">
        <v>61204785</v>
      </c>
      <c r="L4395">
        <v>57104986</v>
      </c>
      <c r="M4395">
        <v>100606200</v>
      </c>
      <c r="P4395">
        <v>92</v>
      </c>
      <c r="Q4395" t="s">
        <v>9139</v>
      </c>
    </row>
    <row r="4396" spans="1:17" x14ac:dyDescent="0.3">
      <c r="A4396" t="s">
        <v>59</v>
      </c>
      <c r="B4396" t="str">
        <f>"300715"</f>
        <v>300715</v>
      </c>
      <c r="C4396" t="s">
        <v>9140</v>
      </c>
      <c r="D4396" t="s">
        <v>1267</v>
      </c>
      <c r="F4396">
        <v>-383841670</v>
      </c>
      <c r="G4396">
        <v>-111344963</v>
      </c>
      <c r="H4396">
        <v>-46469825</v>
      </c>
      <c r="I4396">
        <v>-24100939</v>
      </c>
      <c r="J4396">
        <v>-1489576</v>
      </c>
      <c r="K4396">
        <v>338610</v>
      </c>
      <c r="L4396">
        <v>17809849</v>
      </c>
      <c r="M4396">
        <v>23661672</v>
      </c>
      <c r="P4396">
        <v>413</v>
      </c>
      <c r="Q4396" t="s">
        <v>9141</v>
      </c>
    </row>
    <row r="4397" spans="1:17" x14ac:dyDescent="0.3">
      <c r="A4397" t="s">
        <v>59</v>
      </c>
      <c r="B4397" t="str">
        <f>"002898"</f>
        <v>002898</v>
      </c>
      <c r="C4397" t="s">
        <v>9142</v>
      </c>
      <c r="D4397" t="s">
        <v>592</v>
      </c>
      <c r="F4397">
        <v>35461284</v>
      </c>
      <c r="G4397">
        <v>174691</v>
      </c>
      <c r="H4397">
        <v>-46515326</v>
      </c>
      <c r="I4397">
        <v>3328470</v>
      </c>
      <c r="J4397">
        <v>85126432</v>
      </c>
      <c r="K4397">
        <v>78653078</v>
      </c>
      <c r="L4397">
        <v>47438790</v>
      </c>
      <c r="M4397">
        <v>51362903</v>
      </c>
      <c r="P4397">
        <v>90</v>
      </c>
      <c r="Q4397" t="s">
        <v>9143</v>
      </c>
    </row>
    <row r="4398" spans="1:17" x14ac:dyDescent="0.3">
      <c r="A4398" t="s">
        <v>59</v>
      </c>
      <c r="B4398" t="str">
        <f>"300157"</f>
        <v>300157</v>
      </c>
      <c r="C4398" t="s">
        <v>9144</v>
      </c>
      <c r="D4398" t="s">
        <v>3536</v>
      </c>
      <c r="F4398">
        <v>37767966</v>
      </c>
      <c r="G4398">
        <v>166947284</v>
      </c>
      <c r="H4398">
        <v>-46771619</v>
      </c>
      <c r="I4398">
        <v>130786884</v>
      </c>
      <c r="J4398">
        <v>-184198265</v>
      </c>
      <c r="K4398">
        <v>-202784101</v>
      </c>
      <c r="L4398">
        <v>-61360403</v>
      </c>
      <c r="M4398">
        <v>114711163</v>
      </c>
      <c r="N4398">
        <v>90715079</v>
      </c>
      <c r="O4398">
        <v>96036904</v>
      </c>
      <c r="P4398">
        <v>76</v>
      </c>
      <c r="Q4398" t="s">
        <v>9145</v>
      </c>
    </row>
    <row r="4399" spans="1:17" x14ac:dyDescent="0.3">
      <c r="A4399" t="s">
        <v>59</v>
      </c>
      <c r="B4399" t="str">
        <f>"300487"</f>
        <v>300487</v>
      </c>
      <c r="C4399" t="s">
        <v>9146</v>
      </c>
      <c r="D4399" t="s">
        <v>2385</v>
      </c>
      <c r="F4399">
        <v>350304974</v>
      </c>
      <c r="G4399">
        <v>260427752</v>
      </c>
      <c r="H4399">
        <v>-46995980</v>
      </c>
      <c r="I4399">
        <v>19622372</v>
      </c>
      <c r="J4399">
        <v>74369271</v>
      </c>
      <c r="K4399">
        <v>50606483</v>
      </c>
      <c r="L4399">
        <v>24849434</v>
      </c>
      <c r="M4399">
        <v>26546256</v>
      </c>
      <c r="N4399">
        <v>72600575</v>
      </c>
      <c r="O4399">
        <v>50768765</v>
      </c>
      <c r="P4399">
        <v>374</v>
      </c>
      <c r="Q4399" t="s">
        <v>9147</v>
      </c>
    </row>
    <row r="4400" spans="1:17" x14ac:dyDescent="0.3">
      <c r="A4400" t="s">
        <v>17</v>
      </c>
      <c r="B4400" t="str">
        <f>"600165"</f>
        <v>600165</v>
      </c>
      <c r="C4400" t="s">
        <v>9148</v>
      </c>
      <c r="D4400" t="s">
        <v>1252</v>
      </c>
      <c r="F4400">
        <v>-7768637</v>
      </c>
      <c r="G4400">
        <v>-41059918</v>
      </c>
      <c r="H4400">
        <v>-47799954</v>
      </c>
      <c r="I4400">
        <v>-180306340</v>
      </c>
      <c r="J4400">
        <v>115700007</v>
      </c>
      <c r="K4400">
        <v>-191051017</v>
      </c>
      <c r="L4400">
        <v>-234800344</v>
      </c>
      <c r="M4400">
        <v>-241897813</v>
      </c>
      <c r="N4400">
        <v>5993242</v>
      </c>
      <c r="O4400">
        <v>100105145</v>
      </c>
      <c r="P4400">
        <v>70</v>
      </c>
      <c r="Q4400" t="s">
        <v>9149</v>
      </c>
    </row>
    <row r="4401" spans="1:17" x14ac:dyDescent="0.3">
      <c r="A4401" t="s">
        <v>17</v>
      </c>
      <c r="B4401" t="str">
        <f>"601330"</f>
        <v>601330</v>
      </c>
      <c r="C4401" t="s">
        <v>9150</v>
      </c>
      <c r="D4401" t="s">
        <v>894</v>
      </c>
      <c r="F4401">
        <v>514917739</v>
      </c>
      <c r="G4401">
        <v>230035075</v>
      </c>
      <c r="H4401">
        <v>-48189536</v>
      </c>
      <c r="I4401">
        <v>-222716655</v>
      </c>
      <c r="J4401">
        <v>-223585189</v>
      </c>
      <c r="K4401">
        <v>82996379</v>
      </c>
      <c r="L4401">
        <v>-65344973</v>
      </c>
      <c r="P4401">
        <v>234</v>
      </c>
      <c r="Q4401" t="s">
        <v>9151</v>
      </c>
    </row>
    <row r="4402" spans="1:17" x14ac:dyDescent="0.3">
      <c r="A4402" t="s">
        <v>17</v>
      </c>
      <c r="B4402" t="str">
        <f>"600738"</f>
        <v>600738</v>
      </c>
      <c r="C4402" t="s">
        <v>9152</v>
      </c>
      <c r="D4402" t="s">
        <v>1361</v>
      </c>
      <c r="F4402">
        <v>192097305</v>
      </c>
      <c r="G4402">
        <v>-109593466</v>
      </c>
      <c r="H4402">
        <v>-49098690</v>
      </c>
      <c r="I4402">
        <v>128104429</v>
      </c>
      <c r="J4402">
        <v>248058176</v>
      </c>
      <c r="K4402">
        <v>35799578</v>
      </c>
      <c r="L4402">
        <v>-131339445</v>
      </c>
      <c r="M4402">
        <v>-120866925</v>
      </c>
      <c r="N4402">
        <v>37254050</v>
      </c>
      <c r="O4402">
        <v>151852795</v>
      </c>
      <c r="P4402">
        <v>153</v>
      </c>
      <c r="Q4402" t="s">
        <v>9153</v>
      </c>
    </row>
    <row r="4403" spans="1:17" x14ac:dyDescent="0.3">
      <c r="A4403" t="s">
        <v>59</v>
      </c>
      <c r="B4403" t="str">
        <f>"300745"</f>
        <v>300745</v>
      </c>
      <c r="C4403" t="s">
        <v>9154</v>
      </c>
      <c r="D4403" t="s">
        <v>1226</v>
      </c>
      <c r="F4403">
        <v>-129198126</v>
      </c>
      <c r="G4403">
        <v>-73193780</v>
      </c>
      <c r="H4403">
        <v>-49358438</v>
      </c>
      <c r="I4403">
        <v>-278696430</v>
      </c>
      <c r="J4403">
        <v>141967105</v>
      </c>
      <c r="K4403">
        <v>-48249484</v>
      </c>
      <c r="L4403">
        <v>1300025</v>
      </c>
      <c r="P4403">
        <v>76</v>
      </c>
      <c r="Q4403" t="s">
        <v>9155</v>
      </c>
    </row>
    <row r="4404" spans="1:17" x14ac:dyDescent="0.3">
      <c r="A4404" t="s">
        <v>17</v>
      </c>
      <c r="B4404" t="str">
        <f>"603179"</f>
        <v>603179</v>
      </c>
      <c r="C4404" t="s">
        <v>9156</v>
      </c>
      <c r="D4404" t="s">
        <v>575</v>
      </c>
      <c r="F4404">
        <v>211006184</v>
      </c>
      <c r="G4404">
        <v>13828286</v>
      </c>
      <c r="H4404">
        <v>-49366342</v>
      </c>
      <c r="I4404">
        <v>491390171</v>
      </c>
      <c r="J4404">
        <v>28280842</v>
      </c>
      <c r="K4404">
        <v>108900023</v>
      </c>
      <c r="L4404">
        <v>83916576</v>
      </c>
      <c r="M4404">
        <v>57969346</v>
      </c>
      <c r="P4404">
        <v>302</v>
      </c>
      <c r="Q4404" t="s">
        <v>9157</v>
      </c>
    </row>
    <row r="4405" spans="1:17" x14ac:dyDescent="0.3">
      <c r="A4405" t="s">
        <v>59</v>
      </c>
      <c r="B4405" t="str">
        <f>"000820"</f>
        <v>000820</v>
      </c>
      <c r="C4405" t="s">
        <v>9158</v>
      </c>
      <c r="D4405" t="s">
        <v>894</v>
      </c>
      <c r="F4405">
        <v>-144399619</v>
      </c>
      <c r="G4405">
        <v>3519302</v>
      </c>
      <c r="H4405">
        <v>-49535862</v>
      </c>
      <c r="I4405">
        <v>-100856376</v>
      </c>
      <c r="J4405">
        <v>-938842766</v>
      </c>
      <c r="K4405">
        <v>-104009678</v>
      </c>
      <c r="L4405">
        <v>-292122</v>
      </c>
      <c r="M4405">
        <v>-33847960</v>
      </c>
      <c r="N4405">
        <v>-51096716</v>
      </c>
      <c r="O4405">
        <v>-369853387</v>
      </c>
      <c r="P4405">
        <v>156</v>
      </c>
      <c r="Q4405" t="s">
        <v>9159</v>
      </c>
    </row>
    <row r="4406" spans="1:17" x14ac:dyDescent="0.3">
      <c r="A4406" t="s">
        <v>59</v>
      </c>
      <c r="B4406" t="str">
        <f>"002570"</f>
        <v>002570</v>
      </c>
      <c r="C4406" t="s">
        <v>9160</v>
      </c>
      <c r="D4406" t="s">
        <v>308</v>
      </c>
      <c r="F4406">
        <v>246743803</v>
      </c>
      <c r="G4406">
        <v>30336941</v>
      </c>
      <c r="H4406">
        <v>-49941002</v>
      </c>
      <c r="I4406">
        <v>291270539</v>
      </c>
      <c r="J4406">
        <v>-152994690</v>
      </c>
      <c r="K4406">
        <v>-423347095</v>
      </c>
      <c r="L4406">
        <v>29075622</v>
      </c>
      <c r="M4406">
        <v>-187630557</v>
      </c>
      <c r="N4406">
        <v>209582650</v>
      </c>
      <c r="O4406">
        <v>1009272770</v>
      </c>
      <c r="P4406">
        <v>261</v>
      </c>
      <c r="Q4406" t="s">
        <v>9161</v>
      </c>
    </row>
    <row r="4407" spans="1:17" x14ac:dyDescent="0.3">
      <c r="A4407" t="s">
        <v>17</v>
      </c>
      <c r="B4407" t="str">
        <f>"688385"</f>
        <v>688385</v>
      </c>
      <c r="C4407" t="s">
        <v>9162</v>
      </c>
      <c r="D4407" t="s">
        <v>817</v>
      </c>
      <c r="F4407">
        <v>602204878</v>
      </c>
      <c r="G4407">
        <v>219652686</v>
      </c>
      <c r="H4407">
        <v>-50315129</v>
      </c>
      <c r="I4407">
        <v>24599878</v>
      </c>
      <c r="J4407">
        <v>99691604</v>
      </c>
      <c r="P4407">
        <v>47</v>
      </c>
      <c r="Q4407" t="s">
        <v>9163</v>
      </c>
    </row>
    <row r="4408" spans="1:17" x14ac:dyDescent="0.3">
      <c r="A4408" t="s">
        <v>59</v>
      </c>
      <c r="B4408" t="str">
        <f>"002652"</f>
        <v>002652</v>
      </c>
      <c r="C4408" t="s">
        <v>9164</v>
      </c>
      <c r="D4408" t="s">
        <v>1041</v>
      </c>
      <c r="F4408">
        <v>-194832750</v>
      </c>
      <c r="G4408">
        <v>52683862</v>
      </c>
      <c r="H4408">
        <v>-51144881</v>
      </c>
      <c r="I4408">
        <v>247782917</v>
      </c>
      <c r="J4408">
        <v>116169279</v>
      </c>
      <c r="K4408">
        <v>107062400</v>
      </c>
      <c r="L4408">
        <v>41579982</v>
      </c>
      <c r="M4408">
        <v>132697734</v>
      </c>
      <c r="N4408">
        <v>-32070113</v>
      </c>
      <c r="O4408">
        <v>-200209890</v>
      </c>
      <c r="P4408">
        <v>58</v>
      </c>
      <c r="Q4408" t="s">
        <v>9165</v>
      </c>
    </row>
    <row r="4409" spans="1:17" x14ac:dyDescent="0.3">
      <c r="A4409" t="s">
        <v>17</v>
      </c>
      <c r="B4409" t="str">
        <f>"603895"</f>
        <v>603895</v>
      </c>
      <c r="C4409" t="s">
        <v>9166</v>
      </c>
      <c r="D4409" t="s">
        <v>1351</v>
      </c>
      <c r="F4409">
        <v>-180420709</v>
      </c>
      <c r="G4409">
        <v>97468363</v>
      </c>
      <c r="H4409">
        <v>-51205734</v>
      </c>
      <c r="I4409">
        <v>-59384764</v>
      </c>
      <c r="J4409">
        <v>-38552322</v>
      </c>
      <c r="K4409">
        <v>-57892754</v>
      </c>
      <c r="L4409">
        <v>87446453</v>
      </c>
      <c r="M4409">
        <v>-8756600</v>
      </c>
      <c r="P4409">
        <v>65</v>
      </c>
      <c r="Q4409" t="s">
        <v>9167</v>
      </c>
    </row>
    <row r="4410" spans="1:17" x14ac:dyDescent="0.3">
      <c r="A4410" t="s">
        <v>59</v>
      </c>
      <c r="B4410" t="str">
        <f>"300645"</f>
        <v>300645</v>
      </c>
      <c r="C4410" t="s">
        <v>9168</v>
      </c>
      <c r="D4410" t="s">
        <v>707</v>
      </c>
      <c r="F4410">
        <v>35025325</v>
      </c>
      <c r="G4410">
        <v>99696260</v>
      </c>
      <c r="H4410">
        <v>-51520330</v>
      </c>
      <c r="I4410">
        <v>6538660</v>
      </c>
      <c r="J4410">
        <v>-40020741</v>
      </c>
      <c r="K4410">
        <v>15398971</v>
      </c>
      <c r="L4410">
        <v>3341618</v>
      </c>
      <c r="M4410">
        <v>40567321</v>
      </c>
      <c r="P4410">
        <v>111</v>
      </c>
      <c r="Q4410" t="s">
        <v>9169</v>
      </c>
    </row>
    <row r="4411" spans="1:17" x14ac:dyDescent="0.3">
      <c r="A4411" t="s">
        <v>17</v>
      </c>
      <c r="B4411" t="str">
        <f>"688309"</f>
        <v>688309</v>
      </c>
      <c r="C4411" t="s">
        <v>9170</v>
      </c>
      <c r="D4411" t="s">
        <v>1337</v>
      </c>
      <c r="F4411">
        <v>-5756744</v>
      </c>
      <c r="G4411">
        <v>-30499963</v>
      </c>
      <c r="H4411">
        <v>-51624951</v>
      </c>
      <c r="I4411">
        <v>122653270</v>
      </c>
      <c r="J4411">
        <v>18973322</v>
      </c>
      <c r="K4411">
        <v>331820</v>
      </c>
      <c r="P4411">
        <v>30</v>
      </c>
      <c r="Q4411" t="s">
        <v>9171</v>
      </c>
    </row>
    <row r="4412" spans="1:17" x14ac:dyDescent="0.3">
      <c r="A4412" t="s">
        <v>59</v>
      </c>
      <c r="B4412" t="str">
        <f>"300300"</f>
        <v>300300</v>
      </c>
      <c r="C4412" t="s">
        <v>9172</v>
      </c>
      <c r="D4412" t="s">
        <v>1189</v>
      </c>
      <c r="F4412">
        <v>-103396900</v>
      </c>
      <c r="G4412">
        <v>-24825629</v>
      </c>
      <c r="H4412">
        <v>-51984401</v>
      </c>
      <c r="I4412">
        <v>28455089</v>
      </c>
      <c r="J4412">
        <v>237069181</v>
      </c>
      <c r="K4412">
        <v>-303423213</v>
      </c>
      <c r="L4412">
        <v>-83770839</v>
      </c>
      <c r="M4412">
        <v>-131802340</v>
      </c>
      <c r="N4412">
        <v>20169447</v>
      </c>
      <c r="O4412">
        <v>-25825406</v>
      </c>
      <c r="P4412">
        <v>121</v>
      </c>
      <c r="Q4412" t="s">
        <v>9173</v>
      </c>
    </row>
    <row r="4413" spans="1:17" x14ac:dyDescent="0.3">
      <c r="A4413" t="s">
        <v>59</v>
      </c>
      <c r="B4413" t="str">
        <f>"300736"</f>
        <v>300736</v>
      </c>
      <c r="C4413" t="s">
        <v>9174</v>
      </c>
      <c r="D4413" t="s">
        <v>595</v>
      </c>
      <c r="F4413">
        <v>47059087</v>
      </c>
      <c r="G4413">
        <v>-88827245</v>
      </c>
      <c r="H4413">
        <v>-52761829</v>
      </c>
      <c r="I4413">
        <v>50381172</v>
      </c>
      <c r="J4413">
        <v>45947784</v>
      </c>
      <c r="K4413">
        <v>78083315</v>
      </c>
      <c r="L4413">
        <v>84883896</v>
      </c>
      <c r="M4413">
        <v>17921347</v>
      </c>
      <c r="P4413">
        <v>114</v>
      </c>
      <c r="Q4413" t="s">
        <v>9175</v>
      </c>
    </row>
    <row r="4414" spans="1:17" x14ac:dyDescent="0.3">
      <c r="A4414" t="s">
        <v>17</v>
      </c>
      <c r="B4414" t="str">
        <f>"603356"</f>
        <v>603356</v>
      </c>
      <c r="C4414" t="s">
        <v>9176</v>
      </c>
      <c r="D4414" t="s">
        <v>3004</v>
      </c>
      <c r="F4414">
        <v>-51504031</v>
      </c>
      <c r="G4414">
        <v>1528985</v>
      </c>
      <c r="H4414">
        <v>-53315775</v>
      </c>
      <c r="I4414">
        <v>-49328005</v>
      </c>
      <c r="J4414">
        <v>18503771</v>
      </c>
      <c r="K4414">
        <v>6973697</v>
      </c>
      <c r="L4414">
        <v>66604601</v>
      </c>
      <c r="M4414">
        <v>60541827</v>
      </c>
      <c r="P4414">
        <v>65</v>
      </c>
      <c r="Q4414" t="s">
        <v>9177</v>
      </c>
    </row>
    <row r="4415" spans="1:17" x14ac:dyDescent="0.3">
      <c r="A4415" t="s">
        <v>59</v>
      </c>
      <c r="B4415" t="str">
        <f>"300085"</f>
        <v>300085</v>
      </c>
      <c r="C4415" t="s">
        <v>9178</v>
      </c>
      <c r="D4415" t="s">
        <v>1528</v>
      </c>
      <c r="F4415">
        <v>18434487</v>
      </c>
      <c r="G4415">
        <v>144663487</v>
      </c>
      <c r="H4415">
        <v>-53425674</v>
      </c>
      <c r="I4415">
        <v>97185860</v>
      </c>
      <c r="J4415">
        <v>-69662634</v>
      </c>
      <c r="K4415">
        <v>47669700</v>
      </c>
      <c r="L4415">
        <v>33243219</v>
      </c>
      <c r="M4415">
        <v>31869543</v>
      </c>
      <c r="N4415">
        <v>-4135878</v>
      </c>
      <c r="O4415">
        <v>5549027</v>
      </c>
      <c r="P4415">
        <v>255</v>
      </c>
      <c r="Q4415" t="s">
        <v>9179</v>
      </c>
    </row>
    <row r="4416" spans="1:17" x14ac:dyDescent="0.3">
      <c r="A4416" t="s">
        <v>59</v>
      </c>
      <c r="B4416" t="str">
        <f>"300767"</f>
        <v>300767</v>
      </c>
      <c r="C4416" t="s">
        <v>9180</v>
      </c>
      <c r="D4416" t="s">
        <v>3821</v>
      </c>
      <c r="F4416">
        <v>-182850178</v>
      </c>
      <c r="G4416">
        <v>120595728</v>
      </c>
      <c r="H4416">
        <v>-53622622</v>
      </c>
      <c r="I4416">
        <v>116585610</v>
      </c>
      <c r="J4416">
        <v>22258944</v>
      </c>
      <c r="K4416">
        <v>48788783</v>
      </c>
      <c r="P4416">
        <v>197</v>
      </c>
      <c r="Q4416" t="s">
        <v>9181</v>
      </c>
    </row>
    <row r="4417" spans="1:17" x14ac:dyDescent="0.3">
      <c r="A4417" t="s">
        <v>17</v>
      </c>
      <c r="B4417" t="str">
        <f>"600056"</f>
        <v>600056</v>
      </c>
      <c r="C4417" t="s">
        <v>9182</v>
      </c>
      <c r="D4417" t="s">
        <v>396</v>
      </c>
      <c r="F4417">
        <v>148420984</v>
      </c>
      <c r="G4417">
        <v>1559304981</v>
      </c>
      <c r="H4417">
        <v>-53824010</v>
      </c>
      <c r="I4417">
        <v>257808</v>
      </c>
      <c r="J4417">
        <v>509178806</v>
      </c>
      <c r="K4417">
        <v>1004038713</v>
      </c>
      <c r="L4417">
        <v>1022250352</v>
      </c>
      <c r="M4417">
        <v>994844302</v>
      </c>
      <c r="N4417">
        <v>-14238323</v>
      </c>
      <c r="O4417">
        <v>961254427</v>
      </c>
      <c r="P4417">
        <v>890</v>
      </c>
      <c r="Q4417" t="s">
        <v>9183</v>
      </c>
    </row>
    <row r="4418" spans="1:17" x14ac:dyDescent="0.3">
      <c r="A4418" t="s">
        <v>17</v>
      </c>
      <c r="B4418" t="str">
        <f>"688670"</f>
        <v>688670</v>
      </c>
      <c r="C4418" t="s">
        <v>9184</v>
      </c>
      <c r="D4418" t="s">
        <v>1413</v>
      </c>
      <c r="F4418">
        <v>103925233</v>
      </c>
      <c r="G4418">
        <v>109455544</v>
      </c>
      <c r="H4418">
        <v>-54048195</v>
      </c>
      <c r="I4418">
        <v>-35478409</v>
      </c>
      <c r="J4418">
        <v>-33238091</v>
      </c>
      <c r="P4418">
        <v>19</v>
      </c>
      <c r="Q4418" t="s">
        <v>9185</v>
      </c>
    </row>
    <row r="4419" spans="1:17" x14ac:dyDescent="0.3">
      <c r="A4419" t="s">
        <v>59</v>
      </c>
      <c r="B4419" t="str">
        <f>"002842"</f>
        <v>002842</v>
      </c>
      <c r="C4419" t="s">
        <v>9186</v>
      </c>
      <c r="D4419" t="s">
        <v>1078</v>
      </c>
      <c r="F4419">
        <v>31072402</v>
      </c>
      <c r="G4419">
        <v>59381221</v>
      </c>
      <c r="H4419">
        <v>-54375120</v>
      </c>
      <c r="I4419">
        <v>233431313</v>
      </c>
      <c r="J4419">
        <v>-98023509</v>
      </c>
      <c r="K4419">
        <v>85022569</v>
      </c>
      <c r="L4419">
        <v>72349440</v>
      </c>
      <c r="M4419">
        <v>69518088</v>
      </c>
      <c r="N4419">
        <v>105728265</v>
      </c>
      <c r="P4419">
        <v>99</v>
      </c>
      <c r="Q4419" t="s">
        <v>9187</v>
      </c>
    </row>
    <row r="4420" spans="1:17" x14ac:dyDescent="0.3">
      <c r="A4420" t="s">
        <v>17</v>
      </c>
      <c r="B4420" t="str">
        <f>"600651"</f>
        <v>600651</v>
      </c>
      <c r="C4420" t="s">
        <v>9188</v>
      </c>
      <c r="D4420" t="s">
        <v>772</v>
      </c>
      <c r="F4420">
        <v>34383975</v>
      </c>
      <c r="G4420">
        <v>23200788</v>
      </c>
      <c r="H4420">
        <v>-54620555</v>
      </c>
      <c r="I4420">
        <v>336323312</v>
      </c>
      <c r="J4420">
        <v>-955137221</v>
      </c>
      <c r="K4420">
        <v>-488327967</v>
      </c>
      <c r="L4420">
        <v>-569026523</v>
      </c>
      <c r="M4420">
        <v>9811075</v>
      </c>
      <c r="N4420">
        <v>18158026</v>
      </c>
      <c r="O4420">
        <v>146918018</v>
      </c>
      <c r="P4420">
        <v>112</v>
      </c>
      <c r="Q4420" t="s">
        <v>9189</v>
      </c>
    </row>
    <row r="4421" spans="1:17" x14ac:dyDescent="0.3">
      <c r="A4421" t="s">
        <v>59</v>
      </c>
      <c r="B4421" t="str">
        <f>"002370"</f>
        <v>002370</v>
      </c>
      <c r="C4421" t="s">
        <v>9190</v>
      </c>
      <c r="D4421" t="s">
        <v>592</v>
      </c>
      <c r="F4421">
        <v>-3843770</v>
      </c>
      <c r="G4421">
        <v>17806768</v>
      </c>
      <c r="H4421">
        <v>-55736755</v>
      </c>
      <c r="I4421">
        <v>36994829</v>
      </c>
      <c r="J4421">
        <v>127593607</v>
      </c>
      <c r="K4421">
        <v>-38047672</v>
      </c>
      <c r="L4421">
        <v>100934537</v>
      </c>
      <c r="M4421">
        <v>73312903</v>
      </c>
      <c r="N4421">
        <v>31122817</v>
      </c>
      <c r="O4421">
        <v>-10507079</v>
      </c>
      <c r="P4421">
        <v>201</v>
      </c>
      <c r="Q4421" t="s">
        <v>9191</v>
      </c>
    </row>
    <row r="4422" spans="1:17" x14ac:dyDescent="0.3">
      <c r="A4422" t="s">
        <v>59</v>
      </c>
      <c r="B4422" t="str">
        <f>"300673"</f>
        <v>300673</v>
      </c>
      <c r="C4422" t="s">
        <v>9192</v>
      </c>
      <c r="D4422" t="s">
        <v>6114</v>
      </c>
      <c r="F4422">
        <v>-34711681</v>
      </c>
      <c r="G4422">
        <v>142770468</v>
      </c>
      <c r="H4422">
        <v>-55813885</v>
      </c>
      <c r="I4422">
        <v>129848654</v>
      </c>
      <c r="J4422">
        <v>31408693</v>
      </c>
      <c r="K4422">
        <v>77182132</v>
      </c>
      <c r="L4422">
        <v>111255080</v>
      </c>
      <c r="M4422">
        <v>8349844</v>
      </c>
      <c r="P4422">
        <v>512</v>
      </c>
      <c r="Q4422" t="s">
        <v>9193</v>
      </c>
    </row>
    <row r="4423" spans="1:17" x14ac:dyDescent="0.3">
      <c r="A4423" t="s">
        <v>59</v>
      </c>
      <c r="B4423" t="str">
        <f>"002266"</f>
        <v>002266</v>
      </c>
      <c r="C4423" t="s">
        <v>9194</v>
      </c>
      <c r="D4423" t="s">
        <v>894</v>
      </c>
      <c r="F4423">
        <v>-51047146</v>
      </c>
      <c r="G4423">
        <v>-132498658</v>
      </c>
      <c r="H4423">
        <v>-56689138</v>
      </c>
      <c r="I4423">
        <v>14868312</v>
      </c>
      <c r="J4423">
        <v>291813744</v>
      </c>
      <c r="K4423">
        <v>715490321</v>
      </c>
      <c r="L4423">
        <v>120740007</v>
      </c>
      <c r="M4423">
        <v>-81767313</v>
      </c>
      <c r="N4423">
        <v>-100969530</v>
      </c>
      <c r="O4423">
        <v>82247978</v>
      </c>
      <c r="P4423">
        <v>297</v>
      </c>
      <c r="Q4423" t="s">
        <v>9195</v>
      </c>
    </row>
    <row r="4424" spans="1:17" x14ac:dyDescent="0.3">
      <c r="A4424" t="s">
        <v>17</v>
      </c>
      <c r="B4424" t="str">
        <f>"600898"</f>
        <v>600898</v>
      </c>
      <c r="C4424" t="s">
        <v>9196</v>
      </c>
      <c r="D4424" t="s">
        <v>349</v>
      </c>
      <c r="F4424">
        <v>-349700643</v>
      </c>
      <c r="G4424">
        <v>13562974</v>
      </c>
      <c r="H4424">
        <v>-56874230</v>
      </c>
      <c r="I4424">
        <v>-389910333</v>
      </c>
      <c r="J4424">
        <v>-104014603</v>
      </c>
      <c r="K4424">
        <v>-1635776</v>
      </c>
      <c r="L4424">
        <v>-76290582</v>
      </c>
      <c r="M4424">
        <v>692471</v>
      </c>
      <c r="N4424">
        <v>52813794</v>
      </c>
      <c r="O4424">
        <v>111253433</v>
      </c>
      <c r="P4424">
        <v>57</v>
      </c>
      <c r="Q4424" t="s">
        <v>9197</v>
      </c>
    </row>
    <row r="4425" spans="1:17" x14ac:dyDescent="0.3">
      <c r="A4425" t="s">
        <v>59</v>
      </c>
      <c r="B4425" t="str">
        <f>"300747"</f>
        <v>300747</v>
      </c>
      <c r="C4425" t="s">
        <v>9198</v>
      </c>
      <c r="D4425" t="s">
        <v>975</v>
      </c>
      <c r="F4425">
        <v>72917830</v>
      </c>
      <c r="G4425">
        <v>55459556</v>
      </c>
      <c r="H4425">
        <v>-57849247</v>
      </c>
      <c r="I4425">
        <v>261506336</v>
      </c>
      <c r="J4425">
        <v>203618063</v>
      </c>
      <c r="K4425">
        <v>122878079</v>
      </c>
      <c r="L4425">
        <v>-4315941</v>
      </c>
      <c r="P4425">
        <v>3347</v>
      </c>
      <c r="Q4425" t="s">
        <v>9199</v>
      </c>
    </row>
    <row r="4426" spans="1:17" x14ac:dyDescent="0.3">
      <c r="A4426" t="s">
        <v>59</v>
      </c>
      <c r="B4426" t="str">
        <f>"002665"</f>
        <v>002665</v>
      </c>
      <c r="C4426" t="s">
        <v>9200</v>
      </c>
      <c r="D4426" t="s">
        <v>1746</v>
      </c>
      <c r="F4426">
        <v>-289607155</v>
      </c>
      <c r="G4426">
        <v>-430169727</v>
      </c>
      <c r="H4426">
        <v>-58020049</v>
      </c>
      <c r="I4426">
        <v>-215863270</v>
      </c>
      <c r="J4426">
        <v>-254497065</v>
      </c>
      <c r="K4426">
        <v>191701253</v>
      </c>
      <c r="L4426">
        <v>99008332</v>
      </c>
      <c r="M4426">
        <v>-58133121</v>
      </c>
      <c r="N4426">
        <v>-108804957</v>
      </c>
      <c r="O4426">
        <v>-190262056</v>
      </c>
      <c r="P4426">
        <v>208</v>
      </c>
      <c r="Q4426" t="s">
        <v>9201</v>
      </c>
    </row>
    <row r="4427" spans="1:17" x14ac:dyDescent="0.3">
      <c r="A4427" t="s">
        <v>59</v>
      </c>
      <c r="B4427" t="str">
        <f>"300255"</f>
        <v>300255</v>
      </c>
      <c r="C4427" t="s">
        <v>9202</v>
      </c>
      <c r="D4427" t="s">
        <v>592</v>
      </c>
      <c r="F4427">
        <v>2871498</v>
      </c>
      <c r="G4427">
        <v>-183581174</v>
      </c>
      <c r="H4427">
        <v>-58127158</v>
      </c>
      <c r="I4427">
        <v>292806829</v>
      </c>
      <c r="J4427">
        <v>162275728</v>
      </c>
      <c r="K4427">
        <v>171959738</v>
      </c>
      <c r="L4427">
        <v>-38139133</v>
      </c>
      <c r="M4427">
        <v>-84967294</v>
      </c>
      <c r="N4427">
        <v>-15244396</v>
      </c>
      <c r="O4427">
        <v>-70620874</v>
      </c>
      <c r="P4427">
        <v>175</v>
      </c>
      <c r="Q4427" t="s">
        <v>9203</v>
      </c>
    </row>
    <row r="4428" spans="1:17" x14ac:dyDescent="0.3">
      <c r="A4428" t="s">
        <v>17</v>
      </c>
      <c r="B4428" t="str">
        <f>"603388"</f>
        <v>603388</v>
      </c>
      <c r="C4428" t="s">
        <v>9204</v>
      </c>
      <c r="D4428" t="s">
        <v>1489</v>
      </c>
      <c r="F4428">
        <v>240982379</v>
      </c>
      <c r="G4428">
        <v>26359759</v>
      </c>
      <c r="H4428">
        <v>-58188080</v>
      </c>
      <c r="I4428">
        <v>17888212</v>
      </c>
      <c r="J4428">
        <v>-199101791</v>
      </c>
      <c r="K4428">
        <v>10604276</v>
      </c>
      <c r="L4428">
        <v>10707300</v>
      </c>
      <c r="M4428">
        <v>-61864689</v>
      </c>
      <c r="P4428">
        <v>63</v>
      </c>
      <c r="Q4428" t="s">
        <v>9205</v>
      </c>
    </row>
    <row r="4429" spans="1:17" x14ac:dyDescent="0.3">
      <c r="A4429" t="s">
        <v>59</v>
      </c>
      <c r="B4429" t="str">
        <f>"000572"</f>
        <v>000572</v>
      </c>
      <c r="C4429" t="s">
        <v>9206</v>
      </c>
      <c r="D4429" t="s">
        <v>57</v>
      </c>
      <c r="F4429">
        <v>163003998</v>
      </c>
      <c r="G4429">
        <v>109801645</v>
      </c>
      <c r="H4429">
        <v>-58263766</v>
      </c>
      <c r="I4429">
        <v>488976701</v>
      </c>
      <c r="J4429">
        <v>-1808387112</v>
      </c>
      <c r="K4429">
        <v>354389956</v>
      </c>
      <c r="L4429">
        <v>707247299</v>
      </c>
      <c r="M4429">
        <v>673429170</v>
      </c>
      <c r="N4429">
        <v>52758528</v>
      </c>
      <c r="O4429">
        <v>-119704043</v>
      </c>
      <c r="P4429">
        <v>151</v>
      </c>
      <c r="Q4429" t="s">
        <v>9207</v>
      </c>
    </row>
    <row r="4430" spans="1:17" x14ac:dyDescent="0.3">
      <c r="A4430" t="s">
        <v>59</v>
      </c>
      <c r="B4430" t="str">
        <f>"002530"</f>
        <v>002530</v>
      </c>
      <c r="C4430" t="s">
        <v>9208</v>
      </c>
      <c r="D4430" t="s">
        <v>1189</v>
      </c>
      <c r="F4430">
        <v>-20392829</v>
      </c>
      <c r="G4430">
        <v>-6151461</v>
      </c>
      <c r="H4430">
        <v>-58953167</v>
      </c>
      <c r="I4430">
        <v>119448074</v>
      </c>
      <c r="J4430">
        <v>187604575</v>
      </c>
      <c r="K4430">
        <v>221984043</v>
      </c>
      <c r="L4430">
        <v>39361619</v>
      </c>
      <c r="M4430">
        <v>33662027</v>
      </c>
      <c r="N4430">
        <v>1080951</v>
      </c>
      <c r="O4430">
        <v>33751220</v>
      </c>
      <c r="P4430">
        <v>135</v>
      </c>
      <c r="Q4430" t="s">
        <v>9209</v>
      </c>
    </row>
    <row r="4431" spans="1:17" x14ac:dyDescent="0.3">
      <c r="A4431" t="s">
        <v>17</v>
      </c>
      <c r="B4431" t="str">
        <f>"688418"</f>
        <v>688418</v>
      </c>
      <c r="C4431" t="s">
        <v>9210</v>
      </c>
      <c r="D4431" t="s">
        <v>1138</v>
      </c>
      <c r="F4431">
        <v>-230130276</v>
      </c>
      <c r="G4431">
        <v>-86713583</v>
      </c>
      <c r="H4431">
        <v>-59168514</v>
      </c>
      <c r="I4431">
        <v>-38841216</v>
      </c>
      <c r="J4431">
        <v>-45075936</v>
      </c>
      <c r="K4431">
        <v>-15203246</v>
      </c>
      <c r="P4431">
        <v>40</v>
      </c>
      <c r="Q4431" t="s">
        <v>9211</v>
      </c>
    </row>
    <row r="4432" spans="1:17" x14ac:dyDescent="0.3">
      <c r="A4432" t="s">
        <v>59</v>
      </c>
      <c r="B4432" t="str">
        <f>"301136"</f>
        <v>301136</v>
      </c>
      <c r="C4432" t="s">
        <v>9212</v>
      </c>
      <c r="D4432" t="s">
        <v>2254</v>
      </c>
      <c r="F4432">
        <v>66825846</v>
      </c>
      <c r="G4432">
        <v>21857682</v>
      </c>
      <c r="H4432">
        <v>-59641659</v>
      </c>
      <c r="I4432">
        <v>-471257</v>
      </c>
      <c r="J4432">
        <v>271977047</v>
      </c>
      <c r="P4432">
        <v>9</v>
      </c>
      <c r="Q4432" t="s">
        <v>9213</v>
      </c>
    </row>
    <row r="4433" spans="1:17" x14ac:dyDescent="0.3">
      <c r="A4433" t="s">
        <v>59</v>
      </c>
      <c r="B4433" t="str">
        <f>"002876"</f>
        <v>002876</v>
      </c>
      <c r="C4433" t="s">
        <v>9214</v>
      </c>
      <c r="D4433" t="s">
        <v>139</v>
      </c>
      <c r="F4433">
        <v>173354169</v>
      </c>
      <c r="G4433">
        <v>161443558</v>
      </c>
      <c r="H4433">
        <v>-60237974</v>
      </c>
      <c r="I4433">
        <v>-87611016</v>
      </c>
      <c r="J4433">
        <v>-141058206</v>
      </c>
      <c r="K4433">
        <v>-2032419</v>
      </c>
      <c r="L4433">
        <v>43232516</v>
      </c>
      <c r="M4433">
        <v>11186645</v>
      </c>
      <c r="P4433">
        <v>212</v>
      </c>
      <c r="Q4433" t="s">
        <v>9215</v>
      </c>
    </row>
    <row r="4434" spans="1:17" x14ac:dyDescent="0.3">
      <c r="A4434" t="s">
        <v>17</v>
      </c>
      <c r="B4434" t="str">
        <f>"600152"</f>
        <v>600152</v>
      </c>
      <c r="C4434" t="s">
        <v>9216</v>
      </c>
      <c r="D4434" t="s">
        <v>232</v>
      </c>
      <c r="F4434">
        <v>-235772361</v>
      </c>
      <c r="G4434">
        <v>29606383</v>
      </c>
      <c r="H4434">
        <v>-60375775</v>
      </c>
      <c r="I4434">
        <v>-17225793</v>
      </c>
      <c r="J4434">
        <v>-55406861</v>
      </c>
      <c r="K4434">
        <v>22608173</v>
      </c>
      <c r="L4434">
        <v>27922558</v>
      </c>
      <c r="M4434">
        <v>-50379557</v>
      </c>
      <c r="N4434">
        <v>-102404746</v>
      </c>
      <c r="O4434">
        <v>-60557989</v>
      </c>
      <c r="P4434">
        <v>147</v>
      </c>
      <c r="Q4434" t="s">
        <v>9217</v>
      </c>
    </row>
    <row r="4435" spans="1:17" x14ac:dyDescent="0.3">
      <c r="A4435" t="s">
        <v>59</v>
      </c>
      <c r="B4435" t="str">
        <f>"300664"</f>
        <v>300664</v>
      </c>
      <c r="C4435" t="s">
        <v>9218</v>
      </c>
      <c r="D4435" t="s">
        <v>669</v>
      </c>
      <c r="F4435">
        <v>-207808440</v>
      </c>
      <c r="G4435">
        <v>290952868</v>
      </c>
      <c r="H4435">
        <v>-60427658</v>
      </c>
      <c r="I4435">
        <v>93797363</v>
      </c>
      <c r="J4435">
        <v>64113424</v>
      </c>
      <c r="K4435">
        <v>537282258</v>
      </c>
      <c r="L4435">
        <v>364840981</v>
      </c>
      <c r="M4435">
        <v>-34913185</v>
      </c>
      <c r="P4435">
        <v>118</v>
      </c>
      <c r="Q4435" t="s">
        <v>9219</v>
      </c>
    </row>
    <row r="4436" spans="1:17" x14ac:dyDescent="0.3">
      <c r="A4436" t="s">
        <v>59</v>
      </c>
      <c r="B4436" t="str">
        <f>"002685"</f>
        <v>002685</v>
      </c>
      <c r="C4436" t="s">
        <v>9220</v>
      </c>
      <c r="D4436" t="s">
        <v>2705</v>
      </c>
      <c r="F4436">
        <v>-213196181</v>
      </c>
      <c r="G4436">
        <v>-119159664</v>
      </c>
      <c r="H4436">
        <v>-60649747</v>
      </c>
      <c r="I4436">
        <v>-227107502</v>
      </c>
      <c r="J4436">
        <v>-254528888</v>
      </c>
      <c r="K4436">
        <v>170765753</v>
      </c>
      <c r="L4436">
        <v>-153574702</v>
      </c>
      <c r="M4436">
        <v>18185333</v>
      </c>
      <c r="N4436">
        <v>21398130</v>
      </c>
      <c r="O4436">
        <v>-123929580</v>
      </c>
      <c r="P4436">
        <v>109</v>
      </c>
      <c r="Q4436" t="s">
        <v>9221</v>
      </c>
    </row>
    <row r="4437" spans="1:17" x14ac:dyDescent="0.3">
      <c r="A4437" t="s">
        <v>59</v>
      </c>
      <c r="B4437" t="str">
        <f>"301024"</f>
        <v>301024</v>
      </c>
      <c r="C4437" t="s">
        <v>9222</v>
      </c>
      <c r="D4437" t="s">
        <v>2254</v>
      </c>
      <c r="F4437">
        <v>-62001083</v>
      </c>
      <c r="G4437">
        <v>-20585387</v>
      </c>
      <c r="H4437">
        <v>-61069151</v>
      </c>
      <c r="I4437">
        <v>39125293</v>
      </c>
      <c r="J4437">
        <v>75152363</v>
      </c>
      <c r="K4437">
        <v>4228551</v>
      </c>
      <c r="P4437">
        <v>22</v>
      </c>
      <c r="Q4437" t="s">
        <v>9223</v>
      </c>
    </row>
    <row r="4438" spans="1:17" x14ac:dyDescent="0.3">
      <c r="A4438" t="s">
        <v>59</v>
      </c>
      <c r="B4438" t="str">
        <f>"001235"</f>
        <v>001235</v>
      </c>
      <c r="C4438" t="s">
        <v>9224</v>
      </c>
      <c r="F4438">
        <v>22563667</v>
      </c>
      <c r="G4438">
        <v>34295709</v>
      </c>
      <c r="H4438">
        <v>-61355453</v>
      </c>
      <c r="I4438">
        <v>27813036</v>
      </c>
      <c r="Q4438" t="s">
        <v>9225</v>
      </c>
    </row>
    <row r="4439" spans="1:17" x14ac:dyDescent="0.3">
      <c r="A4439" t="s">
        <v>59</v>
      </c>
      <c r="B4439" t="str">
        <f>"300512"</f>
        <v>300512</v>
      </c>
      <c r="C4439" t="s">
        <v>9226</v>
      </c>
      <c r="D4439" t="s">
        <v>3768</v>
      </c>
      <c r="F4439">
        <v>-76836262</v>
      </c>
      <c r="G4439">
        <v>109056162</v>
      </c>
      <c r="H4439">
        <v>-61701119</v>
      </c>
      <c r="I4439">
        <v>-23242085</v>
      </c>
      <c r="J4439">
        <v>131718467</v>
      </c>
      <c r="K4439">
        <v>190732226</v>
      </c>
      <c r="L4439">
        <v>117311051</v>
      </c>
      <c r="M4439">
        <v>178351799</v>
      </c>
      <c r="N4439">
        <v>153519232</v>
      </c>
      <c r="P4439">
        <v>161</v>
      </c>
      <c r="Q4439" t="s">
        <v>9227</v>
      </c>
    </row>
    <row r="4440" spans="1:17" x14ac:dyDescent="0.3">
      <c r="A4440" t="s">
        <v>17</v>
      </c>
      <c r="B4440" t="str">
        <f>"600091"</f>
        <v>600091</v>
      </c>
      <c r="C4440" t="s">
        <v>9228</v>
      </c>
      <c r="D4440" t="s">
        <v>317</v>
      </c>
      <c r="F4440">
        <v>-30814206</v>
      </c>
      <c r="G4440">
        <v>-43292592</v>
      </c>
      <c r="H4440">
        <v>-62411843</v>
      </c>
      <c r="I4440">
        <v>-66362084</v>
      </c>
      <c r="J4440">
        <v>-83929269</v>
      </c>
      <c r="K4440">
        <v>-89260643</v>
      </c>
      <c r="L4440">
        <v>3936733</v>
      </c>
      <c r="M4440">
        <v>-59679020</v>
      </c>
      <c r="N4440">
        <v>-87456792</v>
      </c>
      <c r="O4440">
        <v>-85926983</v>
      </c>
      <c r="P4440">
        <v>58</v>
      </c>
      <c r="Q4440" t="s">
        <v>9229</v>
      </c>
    </row>
    <row r="4441" spans="1:17" x14ac:dyDescent="0.3">
      <c r="A4441" t="s">
        <v>59</v>
      </c>
      <c r="B4441" t="str">
        <f>"002190"</f>
        <v>002190</v>
      </c>
      <c r="C4441" t="s">
        <v>9230</v>
      </c>
      <c r="D4441" t="s">
        <v>448</v>
      </c>
      <c r="F4441">
        <v>49839154</v>
      </c>
      <c r="G4441">
        <v>106787248</v>
      </c>
      <c r="H4441">
        <v>-62418163</v>
      </c>
      <c r="I4441">
        <v>-186989081</v>
      </c>
      <c r="J4441">
        <v>-269614074</v>
      </c>
      <c r="K4441">
        <v>238944508</v>
      </c>
      <c r="L4441">
        <v>185188592</v>
      </c>
      <c r="M4441">
        <v>-39327977</v>
      </c>
      <c r="N4441">
        <v>34263202</v>
      </c>
      <c r="O4441">
        <v>3563940</v>
      </c>
      <c r="P4441">
        <v>184</v>
      </c>
      <c r="Q4441" t="s">
        <v>9231</v>
      </c>
    </row>
    <row r="4442" spans="1:17" x14ac:dyDescent="0.3">
      <c r="A4442" t="s">
        <v>59</v>
      </c>
      <c r="B4442" t="str">
        <f>"000816"</f>
        <v>000816</v>
      </c>
      <c r="C4442" t="s">
        <v>9232</v>
      </c>
      <c r="D4442" t="s">
        <v>156</v>
      </c>
      <c r="F4442">
        <v>175579199</v>
      </c>
      <c r="G4442">
        <v>153251969</v>
      </c>
      <c r="H4442">
        <v>-62915467</v>
      </c>
      <c r="I4442">
        <v>11097652</v>
      </c>
      <c r="J4442">
        <v>-26480928</v>
      </c>
      <c r="K4442">
        <v>132433093</v>
      </c>
      <c r="L4442">
        <v>155939604</v>
      </c>
      <c r="M4442">
        <v>-30410152</v>
      </c>
      <c r="N4442">
        <v>-246560799</v>
      </c>
      <c r="O4442">
        <v>371247440</v>
      </c>
      <c r="P4442">
        <v>153</v>
      </c>
      <c r="Q4442" t="s">
        <v>9233</v>
      </c>
    </row>
    <row r="4443" spans="1:17" x14ac:dyDescent="0.3">
      <c r="A4443" t="s">
        <v>59</v>
      </c>
      <c r="B4443" t="str">
        <f>"300365"</f>
        <v>300365</v>
      </c>
      <c r="C4443" t="s">
        <v>9234</v>
      </c>
      <c r="D4443" t="s">
        <v>1528</v>
      </c>
      <c r="F4443">
        <v>-378220381</v>
      </c>
      <c r="G4443">
        <v>281780849</v>
      </c>
      <c r="H4443">
        <v>-63523649</v>
      </c>
      <c r="I4443">
        <v>-34131694</v>
      </c>
      <c r="J4443">
        <v>-40128055</v>
      </c>
      <c r="K4443">
        <v>14460749</v>
      </c>
      <c r="L4443">
        <v>-5875176</v>
      </c>
      <c r="M4443">
        <v>22898858</v>
      </c>
      <c r="N4443">
        <v>2903262</v>
      </c>
      <c r="O4443">
        <v>21488897</v>
      </c>
      <c r="P4443">
        <v>334</v>
      </c>
      <c r="Q4443" t="s">
        <v>9235</v>
      </c>
    </row>
    <row r="4444" spans="1:17" x14ac:dyDescent="0.3">
      <c r="A4444" t="s">
        <v>17</v>
      </c>
      <c r="B4444" t="str">
        <f>"600444"</f>
        <v>600444</v>
      </c>
      <c r="C4444" t="s">
        <v>9236</v>
      </c>
      <c r="D4444" t="s">
        <v>1351</v>
      </c>
      <c r="F4444">
        <v>-68117234</v>
      </c>
      <c r="G4444">
        <v>318201711</v>
      </c>
      <c r="H4444">
        <v>-63556482</v>
      </c>
      <c r="I4444">
        <v>36473558</v>
      </c>
      <c r="J4444">
        <v>-10487286</v>
      </c>
      <c r="K4444">
        <v>82084162</v>
      </c>
      <c r="L4444">
        <v>91271352</v>
      </c>
      <c r="M4444">
        <v>16784352</v>
      </c>
      <c r="N4444">
        <v>-30930679</v>
      </c>
      <c r="O4444">
        <v>-17330156</v>
      </c>
      <c r="P4444">
        <v>69</v>
      </c>
      <c r="Q4444" t="s">
        <v>9237</v>
      </c>
    </row>
    <row r="4445" spans="1:17" x14ac:dyDescent="0.3">
      <c r="A4445" t="s">
        <v>17</v>
      </c>
      <c r="B4445" t="str">
        <f>"603602"</f>
        <v>603602</v>
      </c>
      <c r="C4445" t="s">
        <v>9238</v>
      </c>
      <c r="D4445" t="s">
        <v>2057</v>
      </c>
      <c r="F4445">
        <v>161125527</v>
      </c>
      <c r="G4445">
        <v>44237227</v>
      </c>
      <c r="H4445">
        <v>-64004189</v>
      </c>
      <c r="I4445">
        <v>-17093521</v>
      </c>
      <c r="J4445">
        <v>32729491</v>
      </c>
      <c r="K4445">
        <v>117793968</v>
      </c>
      <c r="L4445">
        <v>88320435</v>
      </c>
      <c r="M4445">
        <v>36946189</v>
      </c>
      <c r="P4445">
        <v>193</v>
      </c>
      <c r="Q4445" t="s">
        <v>9239</v>
      </c>
    </row>
    <row r="4446" spans="1:17" x14ac:dyDescent="0.3">
      <c r="A4446" t="s">
        <v>17</v>
      </c>
      <c r="B4446" t="str">
        <f>"688305"</f>
        <v>688305</v>
      </c>
      <c r="C4446" t="s">
        <v>9240</v>
      </c>
      <c r="D4446" t="s">
        <v>2705</v>
      </c>
      <c r="F4446">
        <v>-65337264</v>
      </c>
      <c r="G4446">
        <v>63858889</v>
      </c>
      <c r="H4446">
        <v>-64107512</v>
      </c>
      <c r="I4446">
        <v>-57666762</v>
      </c>
      <c r="J4446">
        <v>-56663242</v>
      </c>
      <c r="P4446">
        <v>79</v>
      </c>
      <c r="Q4446" t="s">
        <v>9241</v>
      </c>
    </row>
    <row r="4447" spans="1:17" x14ac:dyDescent="0.3">
      <c r="A4447" t="s">
        <v>59</v>
      </c>
      <c r="B4447" t="str">
        <f>"002809"</f>
        <v>002809</v>
      </c>
      <c r="C4447" t="s">
        <v>9242</v>
      </c>
      <c r="D4447" t="s">
        <v>1252</v>
      </c>
      <c r="F4447">
        <v>110041663</v>
      </c>
      <c r="G4447">
        <v>-59998037</v>
      </c>
      <c r="H4447">
        <v>-65096041</v>
      </c>
      <c r="I4447">
        <v>-39719655</v>
      </c>
      <c r="J4447">
        <v>-53151831</v>
      </c>
      <c r="K4447">
        <v>90157226</v>
      </c>
      <c r="L4447">
        <v>63930619</v>
      </c>
      <c r="M4447">
        <v>52492676</v>
      </c>
      <c r="N4447">
        <v>43494564</v>
      </c>
      <c r="P4447">
        <v>99</v>
      </c>
      <c r="Q4447" t="s">
        <v>9243</v>
      </c>
    </row>
    <row r="4448" spans="1:17" x14ac:dyDescent="0.3">
      <c r="A4448" t="s">
        <v>17</v>
      </c>
      <c r="B4448" t="str">
        <f>"688521"</f>
        <v>688521</v>
      </c>
      <c r="C4448" t="s">
        <v>9244</v>
      </c>
      <c r="D4448" t="s">
        <v>817</v>
      </c>
      <c r="F4448">
        <v>155233502</v>
      </c>
      <c r="G4448">
        <v>-125396912</v>
      </c>
      <c r="H4448">
        <v>-65427653</v>
      </c>
      <c r="I4448">
        <v>-698142472</v>
      </c>
      <c r="J4448">
        <v>659728221</v>
      </c>
      <c r="K4448">
        <v>-27685579</v>
      </c>
      <c r="P4448">
        <v>140</v>
      </c>
      <c r="Q4448" t="s">
        <v>9245</v>
      </c>
    </row>
    <row r="4449" spans="1:17" x14ac:dyDescent="0.3">
      <c r="A4449" t="s">
        <v>17</v>
      </c>
      <c r="B4449" t="str">
        <f>"603978"</f>
        <v>603978</v>
      </c>
      <c r="C4449" t="s">
        <v>9246</v>
      </c>
      <c r="D4449" t="s">
        <v>2129</v>
      </c>
      <c r="F4449">
        <v>-208629815</v>
      </c>
      <c r="G4449">
        <v>-293176528</v>
      </c>
      <c r="H4449">
        <v>-65439325</v>
      </c>
      <c r="I4449">
        <v>132584246</v>
      </c>
      <c r="J4449">
        <v>-254390141</v>
      </c>
      <c r="K4449">
        <v>84656983</v>
      </c>
      <c r="L4449">
        <v>84930263</v>
      </c>
      <c r="M4449">
        <v>109076569</v>
      </c>
      <c r="P4449">
        <v>112</v>
      </c>
      <c r="Q4449" t="s">
        <v>9247</v>
      </c>
    </row>
    <row r="4450" spans="1:17" x14ac:dyDescent="0.3">
      <c r="A4450" t="s">
        <v>17</v>
      </c>
      <c r="B4450" t="str">
        <f>"600302"</f>
        <v>600302</v>
      </c>
      <c r="C4450" t="s">
        <v>9248</v>
      </c>
      <c r="D4450" t="s">
        <v>3970</v>
      </c>
      <c r="F4450">
        <v>94222806</v>
      </c>
      <c r="G4450">
        <v>-320378452</v>
      </c>
      <c r="H4450">
        <v>-65647571</v>
      </c>
      <c r="I4450">
        <v>-84640594</v>
      </c>
      <c r="J4450">
        <v>-27896103</v>
      </c>
      <c r="K4450">
        <v>-51852715</v>
      </c>
      <c r="L4450">
        <v>-40618124</v>
      </c>
      <c r="M4450">
        <v>17772321</v>
      </c>
      <c r="N4450">
        <v>53537946</v>
      </c>
      <c r="O4450">
        <v>13236161</v>
      </c>
      <c r="P4450">
        <v>51</v>
      </c>
      <c r="Q4450" t="s">
        <v>9249</v>
      </c>
    </row>
    <row r="4451" spans="1:17" x14ac:dyDescent="0.3">
      <c r="A4451" t="s">
        <v>17</v>
      </c>
      <c r="B4451" t="str">
        <f>"600156"</f>
        <v>600156</v>
      </c>
      <c r="C4451" t="s">
        <v>9250</v>
      </c>
      <c r="D4451" t="s">
        <v>3101</v>
      </c>
      <c r="F4451">
        <v>-34522925</v>
      </c>
      <c r="G4451">
        <v>-17095505</v>
      </c>
      <c r="H4451">
        <v>-66126713</v>
      </c>
      <c r="I4451">
        <v>-25475911</v>
      </c>
      <c r="J4451">
        <v>-17880609</v>
      </c>
      <c r="K4451">
        <v>-42072717</v>
      </c>
      <c r="L4451">
        <v>5078661</v>
      </c>
      <c r="M4451">
        <v>-110253867</v>
      </c>
      <c r="N4451">
        <v>-85448814</v>
      </c>
      <c r="O4451">
        <v>44378119</v>
      </c>
      <c r="P4451">
        <v>75</v>
      </c>
      <c r="Q4451" t="s">
        <v>9251</v>
      </c>
    </row>
    <row r="4452" spans="1:17" x14ac:dyDescent="0.3">
      <c r="A4452" t="s">
        <v>59</v>
      </c>
      <c r="B4452" t="str">
        <f>"002647"</f>
        <v>002647</v>
      </c>
      <c r="C4452" t="s">
        <v>9252</v>
      </c>
      <c r="D4452" t="s">
        <v>1629</v>
      </c>
      <c r="F4452">
        <v>265699931</v>
      </c>
      <c r="G4452">
        <v>94124011</v>
      </c>
      <c r="H4452">
        <v>-66807472</v>
      </c>
      <c r="I4452">
        <v>235376989</v>
      </c>
      <c r="J4452">
        <v>-575438152</v>
      </c>
      <c r="K4452">
        <v>721977313</v>
      </c>
      <c r="L4452">
        <v>138485636</v>
      </c>
      <c r="M4452">
        <v>-852954338</v>
      </c>
      <c r="N4452">
        <v>62976833</v>
      </c>
      <c r="O4452">
        <v>-563248444</v>
      </c>
      <c r="P4452">
        <v>180</v>
      </c>
      <c r="Q4452" t="s">
        <v>9253</v>
      </c>
    </row>
    <row r="4453" spans="1:17" x14ac:dyDescent="0.3">
      <c r="A4453" t="s">
        <v>17</v>
      </c>
      <c r="B4453" t="str">
        <f>"600232"</f>
        <v>600232</v>
      </c>
      <c r="C4453" t="s">
        <v>9254</v>
      </c>
      <c r="D4453" t="s">
        <v>3970</v>
      </c>
      <c r="F4453">
        <v>186210260</v>
      </c>
      <c r="G4453">
        <v>97732873</v>
      </c>
      <c r="H4453">
        <v>-66863094</v>
      </c>
      <c r="I4453">
        <v>95226125</v>
      </c>
      <c r="J4453">
        <v>40429542</v>
      </c>
      <c r="K4453">
        <v>59350176</v>
      </c>
      <c r="L4453">
        <v>103365922</v>
      </c>
      <c r="M4453">
        <v>82263900</v>
      </c>
      <c r="N4453">
        <v>116073094</v>
      </c>
      <c r="O4453">
        <v>65683213</v>
      </c>
      <c r="P4453">
        <v>89</v>
      </c>
      <c r="Q4453" t="s">
        <v>9255</v>
      </c>
    </row>
    <row r="4454" spans="1:17" x14ac:dyDescent="0.3">
      <c r="A4454" t="s">
        <v>59</v>
      </c>
      <c r="B4454" t="str">
        <f>"000622"</f>
        <v>000622</v>
      </c>
      <c r="C4454" t="s">
        <v>9256</v>
      </c>
      <c r="D4454" t="s">
        <v>672</v>
      </c>
      <c r="F4454">
        <v>51086779</v>
      </c>
      <c r="G4454">
        <v>6932565</v>
      </c>
      <c r="H4454">
        <v>-66988619</v>
      </c>
      <c r="I4454">
        <v>-135961841</v>
      </c>
      <c r="J4454">
        <v>-68029508</v>
      </c>
      <c r="K4454">
        <v>-3045535</v>
      </c>
      <c r="L4454">
        <v>-28376351</v>
      </c>
      <c r="M4454">
        <v>-2495504</v>
      </c>
      <c r="N4454">
        <v>-46010463</v>
      </c>
      <c r="O4454">
        <v>20364696</v>
      </c>
      <c r="P4454">
        <v>101</v>
      </c>
      <c r="Q4454" t="s">
        <v>9257</v>
      </c>
    </row>
    <row r="4455" spans="1:17" x14ac:dyDescent="0.3">
      <c r="A4455" t="s">
        <v>59</v>
      </c>
      <c r="B4455" t="str">
        <f>"002499"</f>
        <v>002499</v>
      </c>
      <c r="C4455" t="s">
        <v>9258</v>
      </c>
      <c r="D4455" t="s">
        <v>1119</v>
      </c>
      <c r="F4455">
        <v>41540778</v>
      </c>
      <c r="G4455">
        <v>42606661</v>
      </c>
      <c r="H4455">
        <v>-67105740</v>
      </c>
      <c r="I4455">
        <v>-251285615</v>
      </c>
      <c r="J4455">
        <v>-1074698315</v>
      </c>
      <c r="K4455">
        <v>46167041</v>
      </c>
      <c r="L4455">
        <v>29821666</v>
      </c>
      <c r="M4455">
        <v>24678793</v>
      </c>
      <c r="N4455">
        <v>69406727</v>
      </c>
      <c r="O4455">
        <v>8727179</v>
      </c>
      <c r="P4455">
        <v>51</v>
      </c>
      <c r="Q4455" t="s">
        <v>9259</v>
      </c>
    </row>
    <row r="4456" spans="1:17" x14ac:dyDescent="0.3">
      <c r="A4456" t="s">
        <v>17</v>
      </c>
      <c r="B4456" t="str">
        <f>"600805"</f>
        <v>600805</v>
      </c>
      <c r="C4456" t="s">
        <v>9260</v>
      </c>
      <c r="D4456" t="s">
        <v>672</v>
      </c>
      <c r="F4456">
        <v>-13820686</v>
      </c>
      <c r="G4456">
        <v>-86706084</v>
      </c>
      <c r="H4456">
        <v>-67195800</v>
      </c>
      <c r="I4456">
        <v>192500892</v>
      </c>
      <c r="J4456">
        <v>-134045756</v>
      </c>
      <c r="K4456">
        <v>-138713377</v>
      </c>
      <c r="L4456">
        <v>137425558</v>
      </c>
      <c r="M4456">
        <v>33617479</v>
      </c>
      <c r="N4456">
        <v>322796522</v>
      </c>
      <c r="O4456">
        <v>371471998</v>
      </c>
      <c r="P4456">
        <v>106</v>
      </c>
      <c r="Q4456" t="s">
        <v>9261</v>
      </c>
    </row>
    <row r="4457" spans="1:17" x14ac:dyDescent="0.3">
      <c r="A4457" t="s">
        <v>59</v>
      </c>
      <c r="B4457" t="str">
        <f>"002609"</f>
        <v>002609</v>
      </c>
      <c r="C4457" t="s">
        <v>9262</v>
      </c>
      <c r="D4457" t="s">
        <v>1189</v>
      </c>
      <c r="F4457">
        <v>31883476</v>
      </c>
      <c r="G4457">
        <v>153898530</v>
      </c>
      <c r="H4457">
        <v>-67868707</v>
      </c>
      <c r="I4457">
        <v>-15196805</v>
      </c>
      <c r="J4457">
        <v>32303206</v>
      </c>
      <c r="K4457">
        <v>153709932</v>
      </c>
      <c r="L4457">
        <v>148787887</v>
      </c>
      <c r="M4457">
        <v>167428947</v>
      </c>
      <c r="N4457">
        <v>116300519</v>
      </c>
      <c r="O4457">
        <v>85056238</v>
      </c>
      <c r="P4457">
        <v>212</v>
      </c>
      <c r="Q4457" t="s">
        <v>9263</v>
      </c>
    </row>
    <row r="4458" spans="1:17" x14ac:dyDescent="0.3">
      <c r="A4458" t="s">
        <v>17</v>
      </c>
      <c r="B4458" t="str">
        <f>"600861"</f>
        <v>600861</v>
      </c>
      <c r="C4458" t="s">
        <v>9264</v>
      </c>
      <c r="D4458" t="s">
        <v>829</v>
      </c>
      <c r="F4458">
        <v>95743471</v>
      </c>
      <c r="G4458">
        <v>43485518</v>
      </c>
      <c r="H4458">
        <v>-67891642</v>
      </c>
      <c r="I4458">
        <v>38187082</v>
      </c>
      <c r="J4458">
        <v>27227934</v>
      </c>
      <c r="K4458">
        <v>852557453</v>
      </c>
      <c r="L4458">
        <v>-177527510</v>
      </c>
      <c r="M4458">
        <v>-203281060</v>
      </c>
      <c r="N4458">
        <v>-295531698</v>
      </c>
      <c r="O4458">
        <v>-116010039</v>
      </c>
      <c r="P4458">
        <v>72</v>
      </c>
      <c r="Q4458" t="s">
        <v>9265</v>
      </c>
    </row>
    <row r="4459" spans="1:17" x14ac:dyDescent="0.3">
      <c r="A4459" t="s">
        <v>59</v>
      </c>
      <c r="B4459" t="str">
        <f>"300191"</f>
        <v>300191</v>
      </c>
      <c r="C4459" t="s">
        <v>9266</v>
      </c>
      <c r="D4459" t="s">
        <v>3536</v>
      </c>
      <c r="F4459">
        <v>95987925</v>
      </c>
      <c r="G4459">
        <v>210166615</v>
      </c>
      <c r="H4459">
        <v>-68395907</v>
      </c>
      <c r="I4459">
        <v>24363752</v>
      </c>
      <c r="J4459">
        <v>66774459</v>
      </c>
      <c r="K4459">
        <v>-78105026</v>
      </c>
      <c r="L4459">
        <v>61819928</v>
      </c>
      <c r="M4459">
        <v>132272199</v>
      </c>
      <c r="N4459">
        <v>55681162</v>
      </c>
      <c r="O4459">
        <v>50297683</v>
      </c>
      <c r="P4459">
        <v>75</v>
      </c>
      <c r="Q4459" t="s">
        <v>9267</v>
      </c>
    </row>
    <row r="4460" spans="1:17" x14ac:dyDescent="0.3">
      <c r="A4460" t="s">
        <v>59</v>
      </c>
      <c r="B4460" t="str">
        <f>"300410"</f>
        <v>300410</v>
      </c>
      <c r="C4460" t="s">
        <v>9268</v>
      </c>
      <c r="D4460" t="s">
        <v>2382</v>
      </c>
      <c r="F4460">
        <v>107076760</v>
      </c>
      <c r="G4460">
        <v>40658186</v>
      </c>
      <c r="H4460">
        <v>-68619542</v>
      </c>
      <c r="I4460">
        <v>216787946</v>
      </c>
      <c r="J4460">
        <v>-2565798</v>
      </c>
      <c r="K4460">
        <v>51444342</v>
      </c>
      <c r="L4460">
        <v>-34534225</v>
      </c>
      <c r="M4460">
        <v>-1531078</v>
      </c>
      <c r="N4460">
        <v>9690622</v>
      </c>
      <c r="O4460">
        <v>21741312</v>
      </c>
      <c r="P4460">
        <v>215</v>
      </c>
      <c r="Q4460" t="s">
        <v>9269</v>
      </c>
    </row>
    <row r="4461" spans="1:17" x14ac:dyDescent="0.3">
      <c r="A4461" t="s">
        <v>17</v>
      </c>
      <c r="B4461" t="str">
        <f>"688107"</f>
        <v>688107</v>
      </c>
      <c r="C4461" t="s">
        <v>9270</v>
      </c>
      <c r="D4461" t="s">
        <v>817</v>
      </c>
      <c r="F4461">
        <v>-162472201</v>
      </c>
      <c r="G4461">
        <v>58489532</v>
      </c>
      <c r="H4461">
        <v>-68743809</v>
      </c>
      <c r="I4461">
        <v>29147028</v>
      </c>
      <c r="P4461">
        <v>31</v>
      </c>
      <c r="Q4461" t="s">
        <v>9271</v>
      </c>
    </row>
    <row r="4462" spans="1:17" x14ac:dyDescent="0.3">
      <c r="A4462" t="s">
        <v>59</v>
      </c>
      <c r="B4462" t="str">
        <f>"000548"</f>
        <v>000548</v>
      </c>
      <c r="C4462" t="s">
        <v>9272</v>
      </c>
      <c r="D4462" t="s">
        <v>406</v>
      </c>
      <c r="F4462">
        <v>-395643387</v>
      </c>
      <c r="G4462">
        <v>-121325975</v>
      </c>
      <c r="H4462">
        <v>-68901284</v>
      </c>
      <c r="I4462">
        <v>65063935</v>
      </c>
      <c r="J4462">
        <v>264981583</v>
      </c>
      <c r="K4462">
        <v>233657713</v>
      </c>
      <c r="L4462">
        <v>78648684</v>
      </c>
      <c r="M4462">
        <v>246366145</v>
      </c>
      <c r="N4462">
        <v>101037866</v>
      </c>
      <c r="O4462">
        <v>70539934</v>
      </c>
      <c r="P4462">
        <v>90</v>
      </c>
      <c r="Q4462" t="s">
        <v>9273</v>
      </c>
    </row>
    <row r="4463" spans="1:17" x14ac:dyDescent="0.3">
      <c r="A4463" t="s">
        <v>59</v>
      </c>
      <c r="B4463" t="str">
        <f>"300077"</f>
        <v>300077</v>
      </c>
      <c r="C4463" t="s">
        <v>9274</v>
      </c>
      <c r="D4463" t="s">
        <v>817</v>
      </c>
      <c r="F4463">
        <v>212489792</v>
      </c>
      <c r="G4463">
        <v>25254297</v>
      </c>
      <c r="H4463">
        <v>-70379753</v>
      </c>
      <c r="I4463">
        <v>372734837</v>
      </c>
      <c r="J4463">
        <v>-112590198</v>
      </c>
      <c r="K4463">
        <v>-57162333</v>
      </c>
      <c r="L4463">
        <v>-16131801</v>
      </c>
      <c r="M4463">
        <v>-33977520</v>
      </c>
      <c r="N4463">
        <v>18156152</v>
      </c>
      <c r="O4463">
        <v>69547111</v>
      </c>
      <c r="P4463">
        <v>3150</v>
      </c>
      <c r="Q4463" t="s">
        <v>9275</v>
      </c>
    </row>
    <row r="4464" spans="1:17" x14ac:dyDescent="0.3">
      <c r="A4464" t="s">
        <v>59</v>
      </c>
      <c r="B4464" t="str">
        <f>"000419"</f>
        <v>000419</v>
      </c>
      <c r="C4464" t="s">
        <v>9276</v>
      </c>
      <c r="D4464" t="s">
        <v>829</v>
      </c>
      <c r="F4464">
        <v>342392422</v>
      </c>
      <c r="G4464">
        <v>68567276</v>
      </c>
      <c r="H4464">
        <v>-70865957</v>
      </c>
      <c r="I4464">
        <v>-33091014</v>
      </c>
      <c r="J4464">
        <v>257879134</v>
      </c>
      <c r="K4464">
        <v>88845516</v>
      </c>
      <c r="L4464">
        <v>152180394</v>
      </c>
      <c r="M4464">
        <v>178372279</v>
      </c>
      <c r="N4464">
        <v>301222867</v>
      </c>
      <c r="O4464">
        <v>391270262</v>
      </c>
      <c r="P4464">
        <v>115</v>
      </c>
      <c r="Q4464" t="s">
        <v>9277</v>
      </c>
    </row>
    <row r="4465" spans="1:17" x14ac:dyDescent="0.3">
      <c r="A4465" t="s">
        <v>17</v>
      </c>
      <c r="B4465" t="str">
        <f>"603900"</f>
        <v>603900</v>
      </c>
      <c r="C4465" t="s">
        <v>9278</v>
      </c>
      <c r="D4465" t="s">
        <v>2025</v>
      </c>
      <c r="F4465">
        <v>-44097629</v>
      </c>
      <c r="G4465">
        <v>375003565</v>
      </c>
      <c r="H4465">
        <v>-70866211</v>
      </c>
      <c r="I4465">
        <v>168468111</v>
      </c>
      <c r="J4465">
        <v>161468480</v>
      </c>
      <c r="K4465">
        <v>35219257</v>
      </c>
      <c r="L4465">
        <v>138573808</v>
      </c>
      <c r="M4465">
        <v>71163690</v>
      </c>
      <c r="N4465">
        <v>-34260799</v>
      </c>
      <c r="P4465">
        <v>137</v>
      </c>
      <c r="Q4465" t="s">
        <v>9279</v>
      </c>
    </row>
    <row r="4466" spans="1:17" x14ac:dyDescent="0.3">
      <c r="A4466" t="s">
        <v>59</v>
      </c>
      <c r="B4466" t="str">
        <f>"300159"</f>
        <v>300159</v>
      </c>
      <c r="C4466" t="s">
        <v>9280</v>
      </c>
      <c r="D4466" t="s">
        <v>448</v>
      </c>
      <c r="F4466">
        <v>72390567</v>
      </c>
      <c r="G4466">
        <v>140401486</v>
      </c>
      <c r="H4466">
        <v>-71693163</v>
      </c>
      <c r="I4466">
        <v>143356179</v>
      </c>
      <c r="J4466">
        <v>-113997977</v>
      </c>
      <c r="K4466">
        <v>191340152</v>
      </c>
      <c r="L4466">
        <v>540448398</v>
      </c>
      <c r="M4466">
        <v>-15750755</v>
      </c>
      <c r="N4466">
        <v>144636293</v>
      </c>
      <c r="O4466">
        <v>49749110</v>
      </c>
      <c r="P4466">
        <v>126</v>
      </c>
      <c r="Q4466" t="s">
        <v>9281</v>
      </c>
    </row>
    <row r="4467" spans="1:17" x14ac:dyDescent="0.3">
      <c r="A4467" t="s">
        <v>59</v>
      </c>
      <c r="B4467" t="str">
        <f>"002627"</f>
        <v>002627</v>
      </c>
      <c r="C4467" t="s">
        <v>9282</v>
      </c>
      <c r="D4467" t="s">
        <v>2487</v>
      </c>
      <c r="F4467">
        <v>584082818</v>
      </c>
      <c r="G4467">
        <v>-165313789</v>
      </c>
      <c r="H4467">
        <v>-71922694</v>
      </c>
      <c r="I4467">
        <v>-72865360</v>
      </c>
      <c r="J4467">
        <v>94209479</v>
      </c>
      <c r="K4467">
        <v>127562898</v>
      </c>
      <c r="L4467">
        <v>163988848</v>
      </c>
      <c r="M4467">
        <v>182049619</v>
      </c>
      <c r="N4467">
        <v>165185632</v>
      </c>
      <c r="O4467">
        <v>100856395</v>
      </c>
      <c r="P4467">
        <v>99</v>
      </c>
      <c r="Q4467" t="s">
        <v>9283</v>
      </c>
    </row>
    <row r="4468" spans="1:17" x14ac:dyDescent="0.3">
      <c r="A4468" t="s">
        <v>17</v>
      </c>
      <c r="B4468" t="str">
        <f>"600800"</f>
        <v>600800</v>
      </c>
      <c r="C4468" t="s">
        <v>9284</v>
      </c>
      <c r="D4468" t="s">
        <v>445</v>
      </c>
      <c r="F4468">
        <v>326192213</v>
      </c>
      <c r="G4468">
        <v>366292558</v>
      </c>
      <c r="H4468">
        <v>-72861822</v>
      </c>
      <c r="I4468">
        <v>-43186005</v>
      </c>
      <c r="J4468">
        <v>-70854033</v>
      </c>
      <c r="K4468">
        <v>-88128524</v>
      </c>
      <c r="L4468">
        <v>-58789451</v>
      </c>
      <c r="M4468">
        <v>-35129649</v>
      </c>
      <c r="N4468">
        <v>-150290472</v>
      </c>
      <c r="O4468">
        <v>-46694278</v>
      </c>
      <c r="P4468">
        <v>147</v>
      </c>
      <c r="Q4468" t="s">
        <v>9285</v>
      </c>
    </row>
    <row r="4469" spans="1:17" x14ac:dyDescent="0.3">
      <c r="A4469" t="s">
        <v>59</v>
      </c>
      <c r="B4469" t="str">
        <f>"002586"</f>
        <v>002586</v>
      </c>
      <c r="C4469" t="s">
        <v>9286</v>
      </c>
      <c r="D4469" t="s">
        <v>85</v>
      </c>
      <c r="F4469">
        <v>100203773</v>
      </c>
      <c r="G4469">
        <v>103206945</v>
      </c>
      <c r="H4469">
        <v>-72923536</v>
      </c>
      <c r="I4469">
        <v>73538688</v>
      </c>
      <c r="J4469">
        <v>79333365</v>
      </c>
      <c r="K4469">
        <v>34415671</v>
      </c>
      <c r="L4469">
        <v>95565529</v>
      </c>
      <c r="M4469">
        <v>-14388287</v>
      </c>
      <c r="N4469">
        <v>63448294</v>
      </c>
      <c r="O4469">
        <v>34264384</v>
      </c>
      <c r="P4469">
        <v>62</v>
      </c>
      <c r="Q4469" t="s">
        <v>9287</v>
      </c>
    </row>
    <row r="4470" spans="1:17" x14ac:dyDescent="0.3">
      <c r="A4470" t="s">
        <v>17</v>
      </c>
      <c r="B4470" t="str">
        <f>"600975"</f>
        <v>600975</v>
      </c>
      <c r="C4470" t="s">
        <v>9288</v>
      </c>
      <c r="D4470" t="s">
        <v>196</v>
      </c>
      <c r="F4470">
        <v>-530136533</v>
      </c>
      <c r="G4470">
        <v>155506163</v>
      </c>
      <c r="H4470">
        <v>-73134551</v>
      </c>
      <c r="I4470">
        <v>-51163217</v>
      </c>
      <c r="J4470">
        <v>143118691</v>
      </c>
      <c r="K4470">
        <v>137631261</v>
      </c>
      <c r="L4470">
        <v>85856486</v>
      </c>
      <c r="M4470">
        <v>-28442582</v>
      </c>
      <c r="N4470">
        <v>-24794875</v>
      </c>
      <c r="O4470">
        <v>-37654939</v>
      </c>
      <c r="P4470">
        <v>305</v>
      </c>
      <c r="Q4470" t="s">
        <v>9289</v>
      </c>
    </row>
    <row r="4471" spans="1:17" x14ac:dyDescent="0.3">
      <c r="A4471" t="s">
        <v>59</v>
      </c>
      <c r="B4471" t="str">
        <f>"002486"</f>
        <v>002486</v>
      </c>
      <c r="C4471" t="s">
        <v>9290</v>
      </c>
      <c r="D4471" t="s">
        <v>3101</v>
      </c>
      <c r="F4471">
        <v>-113102379</v>
      </c>
      <c r="G4471">
        <v>261808283</v>
      </c>
      <c r="H4471">
        <v>-73369462</v>
      </c>
      <c r="I4471">
        <v>-10721973</v>
      </c>
      <c r="J4471">
        <v>-24601604</v>
      </c>
      <c r="K4471">
        <v>11793753</v>
      </c>
      <c r="L4471">
        <v>1419656</v>
      </c>
      <c r="M4471">
        <v>69923367</v>
      </c>
      <c r="N4471">
        <v>77131140</v>
      </c>
      <c r="O4471">
        <v>80701484</v>
      </c>
      <c r="P4471">
        <v>88</v>
      </c>
      <c r="Q4471" t="s">
        <v>9291</v>
      </c>
    </row>
    <row r="4472" spans="1:17" x14ac:dyDescent="0.3">
      <c r="A4472" t="s">
        <v>59</v>
      </c>
      <c r="B4472" t="str">
        <f>"000633"</f>
        <v>000633</v>
      </c>
      <c r="C4472" t="s">
        <v>9292</v>
      </c>
      <c r="D4472" t="s">
        <v>2129</v>
      </c>
      <c r="F4472">
        <v>-1080281</v>
      </c>
      <c r="G4472">
        <v>-7538446</v>
      </c>
      <c r="H4472">
        <v>-73554634</v>
      </c>
      <c r="I4472">
        <v>-164091464</v>
      </c>
      <c r="J4472">
        <v>-491121193</v>
      </c>
      <c r="K4472">
        <v>-54270763</v>
      </c>
      <c r="L4472">
        <v>39403141</v>
      </c>
      <c r="M4472">
        <v>-39910167</v>
      </c>
      <c r="N4472">
        <v>-33431893</v>
      </c>
      <c r="O4472">
        <v>-9046403</v>
      </c>
      <c r="P4472">
        <v>72</v>
      </c>
      <c r="Q4472" t="s">
        <v>9293</v>
      </c>
    </row>
    <row r="4473" spans="1:17" x14ac:dyDescent="0.3">
      <c r="A4473" t="s">
        <v>17</v>
      </c>
      <c r="B4473" t="str">
        <f>"600896"</f>
        <v>600896</v>
      </c>
      <c r="C4473" t="s">
        <v>9294</v>
      </c>
      <c r="D4473" t="s">
        <v>999</v>
      </c>
      <c r="F4473">
        <v>-126772373</v>
      </c>
      <c r="G4473">
        <v>-34587772</v>
      </c>
      <c r="H4473">
        <v>-73575739</v>
      </c>
      <c r="I4473">
        <v>-70705486</v>
      </c>
      <c r="J4473">
        <v>-272791791</v>
      </c>
      <c r="K4473">
        <v>-166646908</v>
      </c>
      <c r="L4473">
        <v>189831388</v>
      </c>
      <c r="M4473">
        <v>64473179</v>
      </c>
      <c r="N4473">
        <v>80037263</v>
      </c>
      <c r="O4473">
        <v>-15732576</v>
      </c>
      <c r="P4473">
        <v>93</v>
      </c>
      <c r="Q4473" t="s">
        <v>9295</v>
      </c>
    </row>
    <row r="4474" spans="1:17" x14ac:dyDescent="0.3">
      <c r="A4474" t="s">
        <v>17</v>
      </c>
      <c r="B4474" t="str">
        <f>"600435"</f>
        <v>600435</v>
      </c>
      <c r="C4474" t="s">
        <v>9296</v>
      </c>
      <c r="D4474" t="s">
        <v>606</v>
      </c>
      <c r="F4474">
        <v>310499548</v>
      </c>
      <c r="G4474">
        <v>339593157</v>
      </c>
      <c r="H4474">
        <v>-74737245</v>
      </c>
      <c r="I4474">
        <v>840504761</v>
      </c>
      <c r="J4474">
        <v>56557300</v>
      </c>
      <c r="K4474">
        <v>-369224657</v>
      </c>
      <c r="L4474">
        <v>263592467</v>
      </c>
      <c r="M4474">
        <v>244759606</v>
      </c>
      <c r="N4474">
        <v>235741081</v>
      </c>
      <c r="O4474">
        <v>285987263</v>
      </c>
      <c r="P4474">
        <v>230</v>
      </c>
      <c r="Q4474" t="s">
        <v>9297</v>
      </c>
    </row>
    <row r="4475" spans="1:17" x14ac:dyDescent="0.3">
      <c r="A4475" t="s">
        <v>17</v>
      </c>
      <c r="B4475" t="str">
        <f>"600583"</f>
        <v>600583</v>
      </c>
      <c r="C4475" t="s">
        <v>9298</v>
      </c>
      <c r="D4475" t="s">
        <v>3536</v>
      </c>
      <c r="F4475">
        <v>3033219500</v>
      </c>
      <c r="G4475">
        <v>2020794627</v>
      </c>
      <c r="H4475">
        <v>-74807105</v>
      </c>
      <c r="I4475">
        <v>376455429</v>
      </c>
      <c r="J4475">
        <v>531374147</v>
      </c>
      <c r="K4475">
        <v>3287991402</v>
      </c>
      <c r="L4475">
        <v>3625658238</v>
      </c>
      <c r="M4475">
        <v>4351011301</v>
      </c>
      <c r="N4475">
        <v>3369123685</v>
      </c>
      <c r="O4475">
        <v>1799433105</v>
      </c>
      <c r="P4475">
        <v>359</v>
      </c>
      <c r="Q4475" t="s">
        <v>9299</v>
      </c>
    </row>
    <row r="4476" spans="1:17" x14ac:dyDescent="0.3">
      <c r="A4476" t="s">
        <v>17</v>
      </c>
      <c r="B4476" t="str">
        <f>"603679"</f>
        <v>603679</v>
      </c>
      <c r="C4476" t="s">
        <v>9300</v>
      </c>
      <c r="D4476" t="s">
        <v>772</v>
      </c>
      <c r="F4476">
        <v>99523397</v>
      </c>
      <c r="G4476">
        <v>-92221120</v>
      </c>
      <c r="H4476">
        <v>-75445758</v>
      </c>
      <c r="I4476">
        <v>-36704682</v>
      </c>
      <c r="J4476">
        <v>35033260</v>
      </c>
      <c r="K4476">
        <v>38499910</v>
      </c>
      <c r="L4476">
        <v>45190445</v>
      </c>
      <c r="M4476">
        <v>11485818</v>
      </c>
      <c r="P4476">
        <v>164</v>
      </c>
      <c r="Q4476" t="s">
        <v>9301</v>
      </c>
    </row>
    <row r="4477" spans="1:17" x14ac:dyDescent="0.3">
      <c r="A4477" t="s">
        <v>17</v>
      </c>
      <c r="B4477" t="str">
        <f>"600074"</f>
        <v>600074</v>
      </c>
      <c r="C4477" t="s">
        <v>9302</v>
      </c>
      <c r="H4477">
        <v>-76282779</v>
      </c>
      <c r="I4477">
        <v>-80675648</v>
      </c>
      <c r="J4477">
        <v>-812505595</v>
      </c>
      <c r="K4477">
        <v>-336349647</v>
      </c>
      <c r="L4477">
        <v>-147936701</v>
      </c>
      <c r="M4477">
        <v>67921692</v>
      </c>
      <c r="N4477">
        <v>21455043</v>
      </c>
      <c r="O4477">
        <v>89693683</v>
      </c>
      <c r="P4477">
        <v>61</v>
      </c>
      <c r="Q4477" t="s">
        <v>9303</v>
      </c>
    </row>
    <row r="4478" spans="1:17" x14ac:dyDescent="0.3">
      <c r="A4478" t="s">
        <v>59</v>
      </c>
      <c r="B4478" t="str">
        <f>"300094"</f>
        <v>300094</v>
      </c>
      <c r="C4478" t="s">
        <v>9304</v>
      </c>
      <c r="D4478" t="s">
        <v>2932</v>
      </c>
      <c r="F4478">
        <v>204735795</v>
      </c>
      <c r="G4478">
        <v>-235976240</v>
      </c>
      <c r="H4478">
        <v>-76529904</v>
      </c>
      <c r="I4478">
        <v>121888585</v>
      </c>
      <c r="J4478">
        <v>-381767222</v>
      </c>
      <c r="K4478">
        <v>-212926570</v>
      </c>
      <c r="L4478">
        <v>17640708</v>
      </c>
      <c r="M4478">
        <v>8822545</v>
      </c>
      <c r="N4478">
        <v>-161393944</v>
      </c>
      <c r="O4478">
        <v>-87694746</v>
      </c>
      <c r="P4478">
        <v>123</v>
      </c>
      <c r="Q4478" t="s">
        <v>9305</v>
      </c>
    </row>
    <row r="4479" spans="1:17" x14ac:dyDescent="0.3">
      <c r="A4479" t="s">
        <v>59</v>
      </c>
      <c r="B4479" t="str">
        <f>"300757"</f>
        <v>300757</v>
      </c>
      <c r="C4479" t="s">
        <v>9306</v>
      </c>
      <c r="D4479" t="s">
        <v>4218</v>
      </c>
      <c r="F4479">
        <v>-178126201</v>
      </c>
      <c r="G4479">
        <v>-104844971</v>
      </c>
      <c r="H4479">
        <v>-77451209</v>
      </c>
      <c r="I4479">
        <v>-9094873</v>
      </c>
      <c r="J4479">
        <v>39373643</v>
      </c>
      <c r="K4479">
        <v>32366518</v>
      </c>
      <c r="L4479">
        <v>-1851172</v>
      </c>
      <c r="P4479">
        <v>76</v>
      </c>
      <c r="Q4479" t="s">
        <v>9307</v>
      </c>
    </row>
    <row r="4480" spans="1:17" x14ac:dyDescent="0.3">
      <c r="A4480" t="s">
        <v>17</v>
      </c>
      <c r="B4480" t="str">
        <f>"600345"</f>
        <v>600345</v>
      </c>
      <c r="C4480" t="s">
        <v>9308</v>
      </c>
      <c r="D4480" t="s">
        <v>1138</v>
      </c>
      <c r="F4480">
        <v>-24488727</v>
      </c>
      <c r="G4480">
        <v>24643170</v>
      </c>
      <c r="H4480">
        <v>-77497691</v>
      </c>
      <c r="I4480">
        <v>-38625694</v>
      </c>
      <c r="J4480">
        <v>-17185229</v>
      </c>
      <c r="K4480">
        <v>9776643</v>
      </c>
      <c r="L4480">
        <v>-12818707</v>
      </c>
      <c r="M4480">
        <v>-13234560</v>
      </c>
      <c r="N4480">
        <v>-53084955</v>
      </c>
      <c r="O4480">
        <v>-28917155</v>
      </c>
      <c r="P4480">
        <v>208</v>
      </c>
      <c r="Q4480" t="s">
        <v>9309</v>
      </c>
    </row>
    <row r="4481" spans="1:17" x14ac:dyDescent="0.3">
      <c r="A4481" t="s">
        <v>17</v>
      </c>
      <c r="B4481" t="str">
        <f>"603359"</f>
        <v>603359</v>
      </c>
      <c r="C4481" t="s">
        <v>9310</v>
      </c>
      <c r="D4481" t="s">
        <v>1489</v>
      </c>
      <c r="F4481">
        <v>-408330398</v>
      </c>
      <c r="G4481">
        <v>22911453</v>
      </c>
      <c r="H4481">
        <v>-77688177</v>
      </c>
      <c r="I4481">
        <v>-70412508</v>
      </c>
      <c r="J4481">
        <v>15534549</v>
      </c>
      <c r="K4481">
        <v>246403941</v>
      </c>
      <c r="L4481">
        <v>279338089</v>
      </c>
      <c r="M4481">
        <v>-134899108</v>
      </c>
      <c r="P4481">
        <v>187</v>
      </c>
      <c r="Q4481" t="s">
        <v>9311</v>
      </c>
    </row>
    <row r="4482" spans="1:17" x14ac:dyDescent="0.3">
      <c r="A4482" t="s">
        <v>59</v>
      </c>
      <c r="B4482" t="str">
        <f>"000777"</f>
        <v>000777</v>
      </c>
      <c r="C4482" t="s">
        <v>9312</v>
      </c>
      <c r="D4482" t="s">
        <v>637</v>
      </c>
      <c r="F4482">
        <v>141202533</v>
      </c>
      <c r="G4482">
        <v>-15127503</v>
      </c>
      <c r="H4482">
        <v>-78968084</v>
      </c>
      <c r="I4482">
        <v>57553530</v>
      </c>
      <c r="J4482">
        <v>-76598035</v>
      </c>
      <c r="K4482">
        <v>10908070</v>
      </c>
      <c r="L4482">
        <v>77467068</v>
      </c>
      <c r="M4482">
        <v>-2723791</v>
      </c>
      <c r="N4482">
        <v>175239103</v>
      </c>
      <c r="O4482">
        <v>-2041969</v>
      </c>
      <c r="P4482">
        <v>131</v>
      </c>
      <c r="Q4482" t="s">
        <v>9313</v>
      </c>
    </row>
    <row r="4483" spans="1:17" x14ac:dyDescent="0.3">
      <c r="A4483" t="s">
        <v>59</v>
      </c>
      <c r="B4483" t="str">
        <f>"300571"</f>
        <v>300571</v>
      </c>
      <c r="C4483" t="s">
        <v>9314</v>
      </c>
      <c r="D4483" t="s">
        <v>4468</v>
      </c>
      <c r="F4483">
        <v>-267460652</v>
      </c>
      <c r="G4483">
        <v>-327025533</v>
      </c>
      <c r="H4483">
        <v>-79125130</v>
      </c>
      <c r="I4483">
        <v>182502660</v>
      </c>
      <c r="J4483">
        <v>186997422</v>
      </c>
      <c r="K4483">
        <v>82640739</v>
      </c>
      <c r="L4483">
        <v>13605862</v>
      </c>
      <c r="M4483">
        <v>7310639</v>
      </c>
      <c r="N4483">
        <v>20279618</v>
      </c>
      <c r="P4483">
        <v>2111</v>
      </c>
      <c r="Q4483" t="s">
        <v>9315</v>
      </c>
    </row>
    <row r="4484" spans="1:17" x14ac:dyDescent="0.3">
      <c r="A4484" t="s">
        <v>59</v>
      </c>
      <c r="B4484" t="str">
        <f>"300442"</f>
        <v>300442</v>
      </c>
      <c r="C4484" t="s">
        <v>9316</v>
      </c>
      <c r="D4484" t="s">
        <v>3768</v>
      </c>
      <c r="F4484">
        <v>51992533</v>
      </c>
      <c r="G4484">
        <v>-16882604</v>
      </c>
      <c r="H4484">
        <v>-79186128</v>
      </c>
      <c r="I4484">
        <v>-55575707</v>
      </c>
      <c r="J4484">
        <v>20808240</v>
      </c>
      <c r="K4484">
        <v>-61721893</v>
      </c>
      <c r="L4484">
        <v>-47590151</v>
      </c>
      <c r="M4484">
        <v>45465672</v>
      </c>
      <c r="N4484">
        <v>100191035</v>
      </c>
      <c r="O4484">
        <v>67349106</v>
      </c>
      <c r="P4484">
        <v>66</v>
      </c>
      <c r="Q4484" t="s">
        <v>9317</v>
      </c>
    </row>
    <row r="4485" spans="1:17" x14ac:dyDescent="0.3">
      <c r="A4485" t="s">
        <v>17</v>
      </c>
      <c r="B4485" t="str">
        <f>"600108"</f>
        <v>600108</v>
      </c>
      <c r="C4485" t="s">
        <v>9318</v>
      </c>
      <c r="D4485" t="s">
        <v>1831</v>
      </c>
      <c r="F4485">
        <v>157296711</v>
      </c>
      <c r="G4485">
        <v>118722013</v>
      </c>
      <c r="H4485">
        <v>-79603227</v>
      </c>
      <c r="I4485">
        <v>165550863</v>
      </c>
      <c r="J4485">
        <v>-27339405</v>
      </c>
      <c r="K4485">
        <v>957398</v>
      </c>
      <c r="L4485">
        <v>55664779</v>
      </c>
      <c r="M4485">
        <v>136534729</v>
      </c>
      <c r="N4485">
        <v>374184870</v>
      </c>
      <c r="O4485">
        <v>397006438</v>
      </c>
      <c r="P4485">
        <v>120</v>
      </c>
      <c r="Q4485" t="s">
        <v>9319</v>
      </c>
    </row>
    <row r="4486" spans="1:17" x14ac:dyDescent="0.3">
      <c r="A4486" t="s">
        <v>59</v>
      </c>
      <c r="B4486" t="str">
        <f>"300587"</f>
        <v>300587</v>
      </c>
      <c r="C4486" t="s">
        <v>9320</v>
      </c>
      <c r="D4486" t="s">
        <v>3821</v>
      </c>
      <c r="F4486">
        <v>134418932</v>
      </c>
      <c r="G4486">
        <v>43012836</v>
      </c>
      <c r="H4486">
        <v>-80708274</v>
      </c>
      <c r="I4486">
        <v>-9728252</v>
      </c>
      <c r="J4486">
        <v>-19419305</v>
      </c>
      <c r="K4486">
        <v>55673903</v>
      </c>
      <c r="L4486">
        <v>44493642</v>
      </c>
      <c r="M4486">
        <v>53463169</v>
      </c>
      <c r="N4486">
        <v>1677402</v>
      </c>
      <c r="P4486">
        <v>153</v>
      </c>
      <c r="Q4486" t="s">
        <v>9321</v>
      </c>
    </row>
    <row r="4487" spans="1:17" x14ac:dyDescent="0.3">
      <c r="A4487" t="s">
        <v>59</v>
      </c>
      <c r="B4487" t="str">
        <f>"000635"</f>
        <v>000635</v>
      </c>
      <c r="C4487" t="s">
        <v>9322</v>
      </c>
      <c r="D4487" t="s">
        <v>317</v>
      </c>
      <c r="F4487">
        <v>147448011</v>
      </c>
      <c r="G4487">
        <v>88223954</v>
      </c>
      <c r="H4487">
        <v>-80978193</v>
      </c>
      <c r="I4487">
        <v>190935985</v>
      </c>
      <c r="J4487">
        <v>368889922</v>
      </c>
      <c r="K4487">
        <v>200002535</v>
      </c>
      <c r="L4487">
        <v>117532424</v>
      </c>
      <c r="M4487">
        <v>485008879</v>
      </c>
      <c r="N4487">
        <v>268528221</v>
      </c>
      <c r="O4487">
        <v>208439828</v>
      </c>
      <c r="P4487">
        <v>135</v>
      </c>
      <c r="Q4487" t="s">
        <v>9323</v>
      </c>
    </row>
    <row r="4488" spans="1:17" x14ac:dyDescent="0.3">
      <c r="A4488" t="s">
        <v>17</v>
      </c>
      <c r="B4488" t="str">
        <f>"688302"</f>
        <v>688302</v>
      </c>
      <c r="C4488" t="s">
        <v>9324</v>
      </c>
      <c r="F4488">
        <v>-227824084</v>
      </c>
      <c r="G4488">
        <v>-243662978</v>
      </c>
      <c r="H4488">
        <v>-81434300</v>
      </c>
      <c r="I4488">
        <v>-17751323</v>
      </c>
      <c r="P4488">
        <v>2</v>
      </c>
      <c r="Q4488" t="s">
        <v>9325</v>
      </c>
    </row>
    <row r="4489" spans="1:17" x14ac:dyDescent="0.3">
      <c r="A4489" t="s">
        <v>59</v>
      </c>
      <c r="B4489" t="str">
        <f>"002828"</f>
        <v>002828</v>
      </c>
      <c r="C4489" t="s">
        <v>9326</v>
      </c>
      <c r="D4489" t="s">
        <v>363</v>
      </c>
      <c r="F4489">
        <v>49815223</v>
      </c>
      <c r="G4489">
        <v>55038673</v>
      </c>
      <c r="H4489">
        <v>-82885476</v>
      </c>
      <c r="I4489">
        <v>171125047</v>
      </c>
      <c r="J4489">
        <v>92183804</v>
      </c>
      <c r="K4489">
        <v>80398241</v>
      </c>
      <c r="L4489">
        <v>92102084</v>
      </c>
      <c r="M4489">
        <v>194989478</v>
      </c>
      <c r="N4489">
        <v>132675647</v>
      </c>
      <c r="P4489">
        <v>73</v>
      </c>
      <c r="Q4489" t="s">
        <v>9327</v>
      </c>
    </row>
    <row r="4490" spans="1:17" x14ac:dyDescent="0.3">
      <c r="A4490" t="s">
        <v>59</v>
      </c>
      <c r="B4490" t="str">
        <f>"300648"</f>
        <v>300648</v>
      </c>
      <c r="C4490" t="s">
        <v>9328</v>
      </c>
      <c r="D4490" t="s">
        <v>2601</v>
      </c>
      <c r="F4490">
        <v>-28041366</v>
      </c>
      <c r="G4490">
        <v>57910890</v>
      </c>
      <c r="H4490">
        <v>-83077429</v>
      </c>
      <c r="I4490">
        <v>-19777654</v>
      </c>
      <c r="J4490">
        <v>-20879130</v>
      </c>
      <c r="K4490">
        <v>36896121</v>
      </c>
      <c r="L4490">
        <v>19205727</v>
      </c>
      <c r="M4490">
        <v>-10990553</v>
      </c>
      <c r="P4490">
        <v>266</v>
      </c>
      <c r="Q4490" t="s">
        <v>9329</v>
      </c>
    </row>
    <row r="4491" spans="1:17" x14ac:dyDescent="0.3">
      <c r="A4491" t="s">
        <v>59</v>
      </c>
      <c r="B4491" t="str">
        <f>"300751"</f>
        <v>300751</v>
      </c>
      <c r="C4491" t="s">
        <v>9330</v>
      </c>
      <c r="D4491" t="s">
        <v>2062</v>
      </c>
      <c r="F4491">
        <v>657179070</v>
      </c>
      <c r="G4491">
        <v>374962726</v>
      </c>
      <c r="H4491">
        <v>-84154243</v>
      </c>
      <c r="I4491">
        <v>498631</v>
      </c>
      <c r="J4491">
        <v>27495313</v>
      </c>
      <c r="K4491">
        <v>97458337</v>
      </c>
      <c r="L4491">
        <v>14574976</v>
      </c>
      <c r="P4491">
        <v>627</v>
      </c>
      <c r="Q4491" t="s">
        <v>9331</v>
      </c>
    </row>
    <row r="4492" spans="1:17" x14ac:dyDescent="0.3">
      <c r="A4492" t="s">
        <v>59</v>
      </c>
      <c r="B4492" t="str">
        <f>"000687"</f>
        <v>000687</v>
      </c>
      <c r="C4492" t="s">
        <v>9332</v>
      </c>
      <c r="D4492" t="s">
        <v>448</v>
      </c>
      <c r="F4492">
        <v>-4825376</v>
      </c>
      <c r="G4492">
        <v>88682161</v>
      </c>
      <c r="H4492">
        <v>-84238071</v>
      </c>
      <c r="I4492">
        <v>83040072</v>
      </c>
      <c r="J4492">
        <v>-385336092</v>
      </c>
      <c r="K4492">
        <v>5971153</v>
      </c>
      <c r="L4492">
        <v>-338397674</v>
      </c>
      <c r="M4492">
        <v>82115829</v>
      </c>
      <c r="N4492">
        <v>-124371483</v>
      </c>
      <c r="O4492">
        <v>-73995838</v>
      </c>
      <c r="P4492">
        <v>86</v>
      </c>
      <c r="Q4492" t="s">
        <v>9333</v>
      </c>
    </row>
    <row r="4493" spans="1:17" x14ac:dyDescent="0.3">
      <c r="A4493" t="s">
        <v>17</v>
      </c>
      <c r="B4493" t="str">
        <f>"600889"</f>
        <v>600889</v>
      </c>
      <c r="C4493" t="s">
        <v>9334</v>
      </c>
      <c r="D4493" t="s">
        <v>1756</v>
      </c>
      <c r="F4493">
        <v>-88943868</v>
      </c>
      <c r="G4493">
        <v>54063474</v>
      </c>
      <c r="H4493">
        <v>-84354691</v>
      </c>
      <c r="I4493">
        <v>-96476181</v>
      </c>
      <c r="J4493">
        <v>-163985134</v>
      </c>
      <c r="K4493">
        <v>359500709</v>
      </c>
      <c r="L4493">
        <v>67277305</v>
      </c>
      <c r="M4493">
        <v>158802443</v>
      </c>
      <c r="N4493">
        <v>396327103</v>
      </c>
      <c r="O4493">
        <v>60953802</v>
      </c>
      <c r="P4493">
        <v>77</v>
      </c>
      <c r="Q4493" t="s">
        <v>9335</v>
      </c>
    </row>
    <row r="4494" spans="1:17" x14ac:dyDescent="0.3">
      <c r="A4494" t="s">
        <v>17</v>
      </c>
      <c r="B4494" t="str">
        <f>"688197"</f>
        <v>688197</v>
      </c>
      <c r="C4494" t="s">
        <v>9336</v>
      </c>
      <c r="F4494">
        <v>-104037949</v>
      </c>
      <c r="G4494">
        <v>-93173675</v>
      </c>
      <c r="H4494">
        <v>-84662058</v>
      </c>
      <c r="I4494">
        <v>18841537</v>
      </c>
      <c r="J4494">
        <v>-14790265</v>
      </c>
      <c r="P4494">
        <v>3</v>
      </c>
      <c r="Q4494" t="s">
        <v>9337</v>
      </c>
    </row>
    <row r="4495" spans="1:17" x14ac:dyDescent="0.3">
      <c r="A4495" t="s">
        <v>59</v>
      </c>
      <c r="B4495" t="str">
        <f>"300270"</f>
        <v>300270</v>
      </c>
      <c r="C4495" t="s">
        <v>9338</v>
      </c>
      <c r="D4495" t="s">
        <v>344</v>
      </c>
      <c r="F4495">
        <v>677490</v>
      </c>
      <c r="G4495">
        <v>38852310</v>
      </c>
      <c r="H4495">
        <v>-84813031</v>
      </c>
      <c r="I4495">
        <v>-139120095</v>
      </c>
      <c r="J4495">
        <v>-106374261</v>
      </c>
      <c r="K4495">
        <v>89315115</v>
      </c>
      <c r="L4495">
        <v>-95484957</v>
      </c>
      <c r="M4495">
        <v>27419568</v>
      </c>
      <c r="N4495">
        <v>-2091166</v>
      </c>
      <c r="O4495">
        <v>1783709</v>
      </c>
      <c r="P4495">
        <v>136</v>
      </c>
      <c r="Q4495" t="s">
        <v>9339</v>
      </c>
    </row>
    <row r="4496" spans="1:17" x14ac:dyDescent="0.3">
      <c r="A4496" t="s">
        <v>17</v>
      </c>
      <c r="B4496" t="str">
        <f>"600661"</f>
        <v>600661</v>
      </c>
      <c r="C4496" t="s">
        <v>9340</v>
      </c>
      <c r="D4496" t="s">
        <v>871</v>
      </c>
      <c r="F4496">
        <v>-475969427</v>
      </c>
      <c r="G4496">
        <v>-73666718</v>
      </c>
      <c r="H4496">
        <v>-86169482</v>
      </c>
      <c r="I4496">
        <v>141963985</v>
      </c>
      <c r="J4496">
        <v>378265306</v>
      </c>
      <c r="K4496">
        <v>453652936</v>
      </c>
      <c r="L4496">
        <v>250705270</v>
      </c>
      <c r="M4496">
        <v>197142453</v>
      </c>
      <c r="N4496">
        <v>59533143</v>
      </c>
      <c r="O4496">
        <v>22569843</v>
      </c>
      <c r="P4496">
        <v>147</v>
      </c>
      <c r="Q4496" t="s">
        <v>9341</v>
      </c>
    </row>
    <row r="4497" spans="1:17" x14ac:dyDescent="0.3">
      <c r="A4497" t="s">
        <v>17</v>
      </c>
      <c r="B4497" t="str">
        <f>"603660"</f>
        <v>603660</v>
      </c>
      <c r="C4497" t="s">
        <v>9342</v>
      </c>
      <c r="D4497" t="s">
        <v>707</v>
      </c>
      <c r="F4497">
        <v>-87015355</v>
      </c>
      <c r="G4497">
        <v>102869360</v>
      </c>
      <c r="H4497">
        <v>-86322606</v>
      </c>
      <c r="I4497">
        <v>19982061</v>
      </c>
      <c r="J4497">
        <v>81738764</v>
      </c>
      <c r="K4497">
        <v>132906102</v>
      </c>
      <c r="L4497">
        <v>198889069</v>
      </c>
      <c r="M4497">
        <v>-604269</v>
      </c>
      <c r="N4497">
        <v>80604271</v>
      </c>
      <c r="P4497">
        <v>291</v>
      </c>
      <c r="Q4497" t="s">
        <v>9343</v>
      </c>
    </row>
    <row r="4498" spans="1:17" x14ac:dyDescent="0.3">
      <c r="A4498" t="s">
        <v>59</v>
      </c>
      <c r="B4498" t="str">
        <f>"300961"</f>
        <v>300961</v>
      </c>
      <c r="C4498" t="s">
        <v>9344</v>
      </c>
      <c r="D4498" t="s">
        <v>669</v>
      </c>
      <c r="F4498">
        <v>-177660122</v>
      </c>
      <c r="G4498">
        <v>-190281032</v>
      </c>
      <c r="H4498">
        <v>-86449993</v>
      </c>
      <c r="I4498">
        <v>-32865245</v>
      </c>
      <c r="J4498">
        <v>-24701154</v>
      </c>
      <c r="K4498">
        <v>1137719</v>
      </c>
      <c r="P4498">
        <v>27</v>
      </c>
      <c r="Q4498" t="s">
        <v>9345</v>
      </c>
    </row>
    <row r="4499" spans="1:17" x14ac:dyDescent="0.3">
      <c r="A4499" t="s">
        <v>17</v>
      </c>
      <c r="B4499" t="str">
        <f>"603045"</f>
        <v>603045</v>
      </c>
      <c r="C4499" t="s">
        <v>9346</v>
      </c>
      <c r="D4499" t="s">
        <v>2129</v>
      </c>
      <c r="F4499">
        <v>-150546116</v>
      </c>
      <c r="G4499">
        <v>9285255</v>
      </c>
      <c r="H4499">
        <v>-86936659</v>
      </c>
      <c r="I4499">
        <v>59043515</v>
      </c>
      <c r="J4499">
        <v>53553166</v>
      </c>
      <c r="K4499">
        <v>17874538</v>
      </c>
      <c r="L4499">
        <v>78180957</v>
      </c>
      <c r="M4499">
        <v>7201618</v>
      </c>
      <c r="P4499">
        <v>54</v>
      </c>
      <c r="Q4499" t="s">
        <v>9347</v>
      </c>
    </row>
    <row r="4500" spans="1:17" x14ac:dyDescent="0.3">
      <c r="A4500" t="s">
        <v>17</v>
      </c>
      <c r="B4500" t="str">
        <f>"688316"</f>
        <v>688316</v>
      </c>
      <c r="C4500" t="s">
        <v>9348</v>
      </c>
      <c r="D4500" t="s">
        <v>1189</v>
      </c>
      <c r="F4500">
        <v>-204051679</v>
      </c>
      <c r="G4500">
        <v>-54094025</v>
      </c>
      <c r="H4500">
        <v>-87000371</v>
      </c>
      <c r="I4500">
        <v>-62396961</v>
      </c>
      <c r="J4500">
        <v>10511861</v>
      </c>
      <c r="P4500">
        <v>31</v>
      </c>
      <c r="Q4500" t="s">
        <v>9349</v>
      </c>
    </row>
    <row r="4501" spans="1:17" x14ac:dyDescent="0.3">
      <c r="A4501" t="s">
        <v>17</v>
      </c>
      <c r="B4501" t="str">
        <f>"603396"</f>
        <v>603396</v>
      </c>
      <c r="C4501" t="s">
        <v>9350</v>
      </c>
      <c r="D4501" t="s">
        <v>2062</v>
      </c>
      <c r="F4501">
        <v>-82763355</v>
      </c>
      <c r="G4501">
        <v>-70559953</v>
      </c>
      <c r="H4501">
        <v>-87034158</v>
      </c>
      <c r="I4501">
        <v>16613843</v>
      </c>
      <c r="J4501">
        <v>26745898</v>
      </c>
      <c r="K4501">
        <v>-7359100</v>
      </c>
      <c r="L4501">
        <v>73198807</v>
      </c>
      <c r="M4501">
        <v>-32951555</v>
      </c>
      <c r="P4501">
        <v>217</v>
      </c>
      <c r="Q4501" t="s">
        <v>9351</v>
      </c>
    </row>
    <row r="4502" spans="1:17" x14ac:dyDescent="0.3">
      <c r="A4502" t="s">
        <v>59</v>
      </c>
      <c r="B4502" t="str">
        <f>"000558"</f>
        <v>000558</v>
      </c>
      <c r="C4502" t="s">
        <v>9352</v>
      </c>
      <c r="D4502" t="s">
        <v>61</v>
      </c>
      <c r="F4502">
        <v>6750147</v>
      </c>
      <c r="G4502">
        <v>13155102</v>
      </c>
      <c r="H4502">
        <v>-88187708</v>
      </c>
      <c r="I4502">
        <v>464176751</v>
      </c>
      <c r="J4502">
        <v>-109417900</v>
      </c>
      <c r="K4502">
        <v>291516148</v>
      </c>
      <c r="L4502">
        <v>-48488235</v>
      </c>
      <c r="M4502">
        <v>-119903594</v>
      </c>
      <c r="N4502">
        <v>755111380</v>
      </c>
      <c r="O4502">
        <v>307509425</v>
      </c>
      <c r="P4502">
        <v>118</v>
      </c>
      <c r="Q4502" t="s">
        <v>9353</v>
      </c>
    </row>
    <row r="4503" spans="1:17" x14ac:dyDescent="0.3">
      <c r="A4503" t="s">
        <v>59</v>
      </c>
      <c r="B4503" t="str">
        <f>"000711"</f>
        <v>000711</v>
      </c>
      <c r="C4503" t="s">
        <v>9354</v>
      </c>
      <c r="D4503" t="s">
        <v>894</v>
      </c>
      <c r="F4503">
        <v>57336150</v>
      </c>
      <c r="G4503">
        <v>60169476</v>
      </c>
      <c r="H4503">
        <v>-88641196</v>
      </c>
      <c r="I4503">
        <v>-843379278</v>
      </c>
      <c r="J4503">
        <v>-395078369</v>
      </c>
      <c r="K4503">
        <v>-257493508</v>
      </c>
      <c r="L4503">
        <v>-49812365</v>
      </c>
      <c r="M4503">
        <v>-9595625</v>
      </c>
      <c r="N4503">
        <v>16986787</v>
      </c>
      <c r="O4503">
        <v>24373529</v>
      </c>
      <c r="P4503">
        <v>109</v>
      </c>
      <c r="Q4503" t="s">
        <v>9355</v>
      </c>
    </row>
    <row r="4504" spans="1:17" x14ac:dyDescent="0.3">
      <c r="A4504" t="s">
        <v>17</v>
      </c>
      <c r="B4504" t="str">
        <f>"688176"</f>
        <v>688176</v>
      </c>
      <c r="C4504" t="s">
        <v>9356</v>
      </c>
      <c r="D4504" t="s">
        <v>592</v>
      </c>
      <c r="F4504">
        <v>-171515934</v>
      </c>
      <c r="G4504">
        <v>-125953312</v>
      </c>
      <c r="H4504">
        <v>-88829573</v>
      </c>
      <c r="I4504">
        <v>-52830028</v>
      </c>
      <c r="P4504">
        <v>9</v>
      </c>
      <c r="Q4504" t="s">
        <v>9357</v>
      </c>
    </row>
    <row r="4505" spans="1:17" x14ac:dyDescent="0.3">
      <c r="A4505" t="s">
        <v>59</v>
      </c>
      <c r="B4505" t="str">
        <f>"000609"</f>
        <v>000609</v>
      </c>
      <c r="C4505" t="s">
        <v>9358</v>
      </c>
      <c r="D4505" t="s">
        <v>61</v>
      </c>
      <c r="F4505">
        <v>146470067</v>
      </c>
      <c r="G4505">
        <v>-74367482</v>
      </c>
      <c r="H4505">
        <v>-89152281</v>
      </c>
      <c r="I4505">
        <v>-1325015951</v>
      </c>
      <c r="J4505">
        <v>-430500743</v>
      </c>
      <c r="K4505">
        <v>-32389741</v>
      </c>
      <c r="L4505">
        <v>32084318</v>
      </c>
      <c r="M4505">
        <v>25023624</v>
      </c>
      <c r="N4505">
        <v>85198682</v>
      </c>
      <c r="O4505">
        <v>177443795</v>
      </c>
      <c r="P4505">
        <v>95</v>
      </c>
      <c r="Q4505" t="s">
        <v>9359</v>
      </c>
    </row>
    <row r="4506" spans="1:17" x14ac:dyDescent="0.3">
      <c r="A4506" t="s">
        <v>59</v>
      </c>
      <c r="B4506" t="str">
        <f>"002473"</f>
        <v>002473</v>
      </c>
      <c r="C4506" t="s">
        <v>9360</v>
      </c>
      <c r="D4506" t="s">
        <v>1173</v>
      </c>
      <c r="F4506">
        <v>-65279422</v>
      </c>
      <c r="G4506">
        <v>-15651617</v>
      </c>
      <c r="H4506">
        <v>-89584132</v>
      </c>
      <c r="I4506">
        <v>-95788398</v>
      </c>
      <c r="J4506">
        <v>818209</v>
      </c>
      <c r="K4506">
        <v>27087249</v>
      </c>
      <c r="L4506">
        <v>-18669760</v>
      </c>
      <c r="M4506">
        <v>-3648824</v>
      </c>
      <c r="N4506">
        <v>8920617</v>
      </c>
      <c r="O4506">
        <v>46357217</v>
      </c>
      <c r="P4506">
        <v>61</v>
      </c>
      <c r="Q4506" t="s">
        <v>9361</v>
      </c>
    </row>
    <row r="4507" spans="1:17" x14ac:dyDescent="0.3">
      <c r="A4507" t="s">
        <v>17</v>
      </c>
      <c r="B4507" t="str">
        <f>"600330"</f>
        <v>600330</v>
      </c>
      <c r="C4507" t="s">
        <v>9362</v>
      </c>
      <c r="D4507" t="s">
        <v>1351</v>
      </c>
      <c r="F4507">
        <v>563736292</v>
      </c>
      <c r="G4507">
        <v>-3232429</v>
      </c>
      <c r="H4507">
        <v>-90664682</v>
      </c>
      <c r="I4507">
        <v>92324749</v>
      </c>
      <c r="J4507">
        <v>144520339</v>
      </c>
      <c r="K4507">
        <v>-49547681</v>
      </c>
      <c r="L4507">
        <v>-1154566</v>
      </c>
      <c r="M4507">
        <v>56146624</v>
      </c>
      <c r="N4507">
        <v>81713949</v>
      </c>
      <c r="O4507">
        <v>46627847</v>
      </c>
      <c r="P4507">
        <v>3157</v>
      </c>
      <c r="Q4507" t="s">
        <v>9363</v>
      </c>
    </row>
    <row r="4508" spans="1:17" x14ac:dyDescent="0.3">
      <c r="A4508" t="s">
        <v>17</v>
      </c>
      <c r="B4508" t="str">
        <f>"603185"</f>
        <v>603185</v>
      </c>
      <c r="C4508" t="s">
        <v>9364</v>
      </c>
      <c r="D4508" t="s">
        <v>2062</v>
      </c>
      <c r="F4508">
        <v>916430990</v>
      </c>
      <c r="G4508">
        <v>82587179</v>
      </c>
      <c r="H4508">
        <v>-91141626</v>
      </c>
      <c r="I4508">
        <v>-3886242</v>
      </c>
      <c r="J4508">
        <v>96831325</v>
      </c>
      <c r="K4508">
        <v>7550798</v>
      </c>
      <c r="L4508">
        <v>6968368</v>
      </c>
      <c r="P4508">
        <v>516</v>
      </c>
      <c r="Q4508" t="s">
        <v>9365</v>
      </c>
    </row>
    <row r="4509" spans="1:17" x14ac:dyDescent="0.3">
      <c r="A4509" t="s">
        <v>17</v>
      </c>
      <c r="B4509" t="str">
        <f>"688499"</f>
        <v>688499</v>
      </c>
      <c r="C4509" t="s">
        <v>9366</v>
      </c>
      <c r="D4509" t="s">
        <v>2601</v>
      </c>
      <c r="F4509">
        <v>12296090</v>
      </c>
      <c r="G4509">
        <v>-118082574</v>
      </c>
      <c r="H4509">
        <v>-91214763</v>
      </c>
      <c r="I4509">
        <v>64290445</v>
      </c>
      <c r="J4509">
        <v>9676638</v>
      </c>
      <c r="K4509">
        <v>-15953917</v>
      </c>
      <c r="P4509">
        <v>65</v>
      </c>
      <c r="Q4509" t="s">
        <v>9367</v>
      </c>
    </row>
    <row r="4510" spans="1:17" x14ac:dyDescent="0.3">
      <c r="A4510" t="s">
        <v>59</v>
      </c>
      <c r="B4510" t="str">
        <f>"300352"</f>
        <v>300352</v>
      </c>
      <c r="C4510" t="s">
        <v>9368</v>
      </c>
      <c r="D4510" t="s">
        <v>1528</v>
      </c>
      <c r="F4510">
        <v>-110288564</v>
      </c>
      <c r="G4510">
        <v>-19311300</v>
      </c>
      <c r="H4510">
        <v>-91837319</v>
      </c>
      <c r="I4510">
        <v>-87233511</v>
      </c>
      <c r="J4510">
        <v>-88215326</v>
      </c>
      <c r="K4510">
        <v>-20320955</v>
      </c>
      <c r="L4510">
        <v>-2619422</v>
      </c>
      <c r="M4510">
        <v>-19327029</v>
      </c>
      <c r="N4510">
        <v>-10300758</v>
      </c>
      <c r="O4510">
        <v>-11381234</v>
      </c>
      <c r="P4510">
        <v>255</v>
      </c>
      <c r="Q4510" t="s">
        <v>9369</v>
      </c>
    </row>
    <row r="4511" spans="1:17" x14ac:dyDescent="0.3">
      <c r="A4511" t="s">
        <v>59</v>
      </c>
      <c r="B4511" t="str">
        <f>"000416"</f>
        <v>000416</v>
      </c>
      <c r="C4511" t="s">
        <v>9370</v>
      </c>
      <c r="D4511" t="s">
        <v>117</v>
      </c>
      <c r="F4511">
        <v>11446788</v>
      </c>
      <c r="G4511">
        <v>92154361</v>
      </c>
      <c r="H4511">
        <v>-92577963</v>
      </c>
      <c r="I4511">
        <v>-58733931</v>
      </c>
      <c r="J4511">
        <v>-15970459</v>
      </c>
      <c r="K4511">
        <v>-383234752</v>
      </c>
      <c r="L4511">
        <v>62355882</v>
      </c>
      <c r="M4511">
        <v>-137583545</v>
      </c>
      <c r="N4511">
        <v>-2717177</v>
      </c>
      <c r="O4511">
        <v>32172496</v>
      </c>
      <c r="P4511">
        <v>119</v>
      </c>
      <c r="Q4511" t="s">
        <v>9371</v>
      </c>
    </row>
    <row r="4512" spans="1:17" x14ac:dyDescent="0.3">
      <c r="A4512" t="s">
        <v>17</v>
      </c>
      <c r="B4512" t="str">
        <f>"600238"</f>
        <v>600238</v>
      </c>
      <c r="C4512" t="s">
        <v>9372</v>
      </c>
      <c r="D4512" t="s">
        <v>1964</v>
      </c>
      <c r="F4512">
        <v>-206136985</v>
      </c>
      <c r="G4512">
        <v>114041025</v>
      </c>
      <c r="H4512">
        <v>-93008995</v>
      </c>
      <c r="I4512">
        <v>-314860341</v>
      </c>
      <c r="J4512">
        <v>-217006264</v>
      </c>
      <c r="K4512">
        <v>82516313</v>
      </c>
      <c r="L4512">
        <v>26791037</v>
      </c>
      <c r="M4512">
        <v>-176923429</v>
      </c>
      <c r="N4512">
        <v>241029106</v>
      </c>
      <c r="O4512">
        <v>172724549</v>
      </c>
      <c r="P4512">
        <v>146</v>
      </c>
      <c r="Q4512" t="s">
        <v>9373</v>
      </c>
    </row>
    <row r="4513" spans="1:17" x14ac:dyDescent="0.3">
      <c r="A4513" t="s">
        <v>17</v>
      </c>
      <c r="B4513" t="str">
        <f>"600537"</f>
        <v>600537</v>
      </c>
      <c r="C4513" t="s">
        <v>9374</v>
      </c>
      <c r="D4513" t="s">
        <v>430</v>
      </c>
      <c r="F4513">
        <v>-93928418</v>
      </c>
      <c r="G4513">
        <v>443595750</v>
      </c>
      <c r="H4513">
        <v>-93158947</v>
      </c>
      <c r="I4513">
        <v>431096874</v>
      </c>
      <c r="J4513">
        <v>231663600</v>
      </c>
      <c r="K4513">
        <v>440240243</v>
      </c>
      <c r="L4513">
        <v>860605387</v>
      </c>
      <c r="M4513">
        <v>202140813</v>
      </c>
      <c r="N4513">
        <v>715634734</v>
      </c>
      <c r="O4513">
        <v>-181674940</v>
      </c>
      <c r="P4513">
        <v>147</v>
      </c>
      <c r="Q4513" t="s">
        <v>9375</v>
      </c>
    </row>
    <row r="4514" spans="1:17" x14ac:dyDescent="0.3">
      <c r="A4514" t="s">
        <v>17</v>
      </c>
      <c r="B4514" t="str">
        <f>"688148"</f>
        <v>688148</v>
      </c>
      <c r="C4514" t="s">
        <v>9376</v>
      </c>
      <c r="D4514" t="s">
        <v>1444</v>
      </c>
      <c r="F4514">
        <v>120947766</v>
      </c>
      <c r="G4514">
        <v>190531037</v>
      </c>
      <c r="H4514">
        <v>-93212316</v>
      </c>
      <c r="I4514">
        <v>-100736897</v>
      </c>
      <c r="J4514">
        <v>-100201676</v>
      </c>
      <c r="P4514">
        <v>29</v>
      </c>
      <c r="Q4514" t="s">
        <v>9377</v>
      </c>
    </row>
    <row r="4515" spans="1:17" x14ac:dyDescent="0.3">
      <c r="A4515" t="s">
        <v>59</v>
      </c>
      <c r="B4515" t="str">
        <f>"000159"</f>
        <v>000159</v>
      </c>
      <c r="C4515" t="s">
        <v>9378</v>
      </c>
      <c r="D4515" t="s">
        <v>553</v>
      </c>
      <c r="F4515">
        <v>10726787</v>
      </c>
      <c r="G4515">
        <v>-46591952</v>
      </c>
      <c r="H4515">
        <v>-94405066</v>
      </c>
      <c r="I4515">
        <v>-9144732</v>
      </c>
      <c r="J4515">
        <v>-29564283</v>
      </c>
      <c r="K4515">
        <v>-33624732</v>
      </c>
      <c r="L4515">
        <v>-165496842</v>
      </c>
      <c r="M4515">
        <v>151135477</v>
      </c>
      <c r="N4515">
        <v>54423541</v>
      </c>
      <c r="O4515">
        <v>81243141</v>
      </c>
      <c r="P4515">
        <v>100</v>
      </c>
      <c r="Q4515" t="s">
        <v>9379</v>
      </c>
    </row>
    <row r="4516" spans="1:17" x14ac:dyDescent="0.3">
      <c r="A4516" t="s">
        <v>59</v>
      </c>
      <c r="B4516" t="str">
        <f>"002562"</f>
        <v>002562</v>
      </c>
      <c r="C4516" t="s">
        <v>9380</v>
      </c>
      <c r="D4516" t="s">
        <v>853</v>
      </c>
      <c r="F4516">
        <v>-68964189</v>
      </c>
      <c r="G4516">
        <v>-28867357</v>
      </c>
      <c r="H4516">
        <v>-94413204</v>
      </c>
      <c r="I4516">
        <v>293094050</v>
      </c>
      <c r="J4516">
        <v>136808954</v>
      </c>
      <c r="K4516">
        <v>124568903</v>
      </c>
      <c r="L4516">
        <v>227429743</v>
      </c>
      <c r="M4516">
        <v>91415751</v>
      </c>
      <c r="N4516">
        <v>120874260</v>
      </c>
      <c r="O4516">
        <v>149135157</v>
      </c>
      <c r="P4516">
        <v>260</v>
      </c>
      <c r="Q4516" t="s">
        <v>9381</v>
      </c>
    </row>
    <row r="4517" spans="1:17" x14ac:dyDescent="0.3">
      <c r="A4517" t="s">
        <v>17</v>
      </c>
      <c r="B4517" t="str">
        <f>"600186"</f>
        <v>600186</v>
      </c>
      <c r="C4517" t="s">
        <v>9382</v>
      </c>
      <c r="D4517" t="s">
        <v>375</v>
      </c>
      <c r="F4517">
        <v>70048795</v>
      </c>
      <c r="G4517">
        <v>-794229165</v>
      </c>
      <c r="H4517">
        <v>-95910673</v>
      </c>
      <c r="I4517">
        <v>-24097844</v>
      </c>
      <c r="J4517">
        <v>-31281206</v>
      </c>
      <c r="K4517">
        <v>-30209699</v>
      </c>
      <c r="L4517">
        <v>5151676</v>
      </c>
      <c r="M4517">
        <v>-38708861</v>
      </c>
      <c r="N4517">
        <v>71161567</v>
      </c>
      <c r="O4517">
        <v>27850762</v>
      </c>
      <c r="P4517">
        <v>182</v>
      </c>
      <c r="Q4517" t="s">
        <v>9383</v>
      </c>
    </row>
    <row r="4518" spans="1:17" x14ac:dyDescent="0.3">
      <c r="A4518" t="s">
        <v>59</v>
      </c>
      <c r="B4518" t="str">
        <f>"300022"</f>
        <v>300022</v>
      </c>
      <c r="C4518" t="s">
        <v>9384</v>
      </c>
      <c r="D4518" t="s">
        <v>1194</v>
      </c>
      <c r="F4518">
        <v>82794408</v>
      </c>
      <c r="G4518">
        <v>131754657</v>
      </c>
      <c r="H4518">
        <v>-96294654</v>
      </c>
      <c r="I4518">
        <v>31918630</v>
      </c>
      <c r="J4518">
        <v>150640081</v>
      </c>
      <c r="K4518">
        <v>143127934</v>
      </c>
      <c r="L4518">
        <v>-4947329</v>
      </c>
      <c r="M4518">
        <v>-70011035</v>
      </c>
      <c r="N4518">
        <v>-111990685</v>
      </c>
      <c r="O4518">
        <v>144911339</v>
      </c>
      <c r="P4518">
        <v>63</v>
      </c>
      <c r="Q4518" t="s">
        <v>9385</v>
      </c>
    </row>
    <row r="4519" spans="1:17" x14ac:dyDescent="0.3">
      <c r="A4519" t="s">
        <v>59</v>
      </c>
      <c r="B4519" t="str">
        <f>"002359"</f>
        <v>002359</v>
      </c>
      <c r="C4519" t="s">
        <v>9386</v>
      </c>
      <c r="G4519">
        <v>28265319</v>
      </c>
      <c r="H4519">
        <v>-96908188</v>
      </c>
      <c r="I4519">
        <v>805662574</v>
      </c>
      <c r="J4519">
        <v>542299737</v>
      </c>
      <c r="K4519">
        <v>5755371</v>
      </c>
      <c r="L4519">
        <v>-15031127</v>
      </c>
      <c r="M4519">
        <v>44425760</v>
      </c>
      <c r="N4519">
        <v>-107279662</v>
      </c>
      <c r="O4519">
        <v>-53615461</v>
      </c>
      <c r="P4519">
        <v>68</v>
      </c>
      <c r="Q4519" t="s">
        <v>9387</v>
      </c>
    </row>
    <row r="4520" spans="1:17" x14ac:dyDescent="0.3">
      <c r="A4520" t="s">
        <v>59</v>
      </c>
      <c r="B4520" t="str">
        <f>"002268"</f>
        <v>002268</v>
      </c>
      <c r="C4520" t="s">
        <v>9388</v>
      </c>
      <c r="D4520" t="s">
        <v>707</v>
      </c>
      <c r="F4520">
        <v>680866348</v>
      </c>
      <c r="G4520">
        <v>628289103</v>
      </c>
      <c r="H4520">
        <v>-97886037</v>
      </c>
      <c r="I4520">
        <v>32868957</v>
      </c>
      <c r="J4520">
        <v>-51064027</v>
      </c>
      <c r="K4520">
        <v>-137218915</v>
      </c>
      <c r="L4520">
        <v>200563276</v>
      </c>
      <c r="M4520">
        <v>41820219</v>
      </c>
      <c r="N4520">
        <v>41970656</v>
      </c>
      <c r="O4520">
        <v>67536137</v>
      </c>
      <c r="P4520">
        <v>525</v>
      </c>
      <c r="Q4520" t="s">
        <v>9389</v>
      </c>
    </row>
    <row r="4521" spans="1:17" x14ac:dyDescent="0.3">
      <c r="A4521" t="s">
        <v>59</v>
      </c>
      <c r="B4521" t="str">
        <f>"300262"</f>
        <v>300262</v>
      </c>
      <c r="C4521" t="s">
        <v>9390</v>
      </c>
      <c r="D4521" t="s">
        <v>669</v>
      </c>
      <c r="F4521">
        <v>110568234</v>
      </c>
      <c r="G4521">
        <v>188452300</v>
      </c>
      <c r="H4521">
        <v>-97897818</v>
      </c>
      <c r="I4521">
        <v>-333380244</v>
      </c>
      <c r="J4521">
        <v>-419493884</v>
      </c>
      <c r="K4521">
        <v>-420209311</v>
      </c>
      <c r="L4521">
        <v>-132460929</v>
      </c>
      <c r="M4521">
        <v>138738677</v>
      </c>
      <c r="N4521">
        <v>-265680528</v>
      </c>
      <c r="O4521">
        <v>-190470393</v>
      </c>
      <c r="P4521">
        <v>127</v>
      </c>
      <c r="Q4521" t="s">
        <v>9391</v>
      </c>
    </row>
    <row r="4522" spans="1:17" x14ac:dyDescent="0.3">
      <c r="A4522" t="s">
        <v>59</v>
      </c>
      <c r="B4522" t="str">
        <f>"002176"</f>
        <v>002176</v>
      </c>
      <c r="C4522" t="s">
        <v>9392</v>
      </c>
      <c r="D4522" t="s">
        <v>1556</v>
      </c>
      <c r="F4522">
        <v>399256859</v>
      </c>
      <c r="G4522">
        <v>306589453</v>
      </c>
      <c r="H4522">
        <v>-99235769</v>
      </c>
      <c r="I4522">
        <v>-916151167</v>
      </c>
      <c r="J4522">
        <v>-890986897</v>
      </c>
      <c r="K4522">
        <v>123499219</v>
      </c>
      <c r="L4522">
        <v>20402943</v>
      </c>
      <c r="M4522">
        <v>-14129934</v>
      </c>
      <c r="N4522">
        <v>25941977</v>
      </c>
      <c r="O4522">
        <v>60425412</v>
      </c>
      <c r="P4522">
        <v>317</v>
      </c>
      <c r="Q4522" t="s">
        <v>9393</v>
      </c>
    </row>
    <row r="4523" spans="1:17" x14ac:dyDescent="0.3">
      <c r="A4523" t="s">
        <v>17</v>
      </c>
      <c r="B4523" t="str">
        <f>"600826"</f>
        <v>600826</v>
      </c>
      <c r="C4523" t="s">
        <v>9394</v>
      </c>
      <c r="D4523" t="s">
        <v>4420</v>
      </c>
      <c r="F4523">
        <v>134303676</v>
      </c>
      <c r="G4523">
        <v>-73801590</v>
      </c>
      <c r="H4523">
        <v>-99732037</v>
      </c>
      <c r="I4523">
        <v>-41109094</v>
      </c>
      <c r="J4523">
        <v>1167512</v>
      </c>
      <c r="K4523">
        <v>-274175562</v>
      </c>
      <c r="L4523">
        <v>-76382656</v>
      </c>
      <c r="M4523">
        <v>-17207026</v>
      </c>
      <c r="N4523">
        <v>-13610727</v>
      </c>
      <c r="O4523">
        <v>5410043</v>
      </c>
      <c r="P4523">
        <v>145</v>
      </c>
      <c r="Q4523" t="s">
        <v>9395</v>
      </c>
    </row>
    <row r="4524" spans="1:17" x14ac:dyDescent="0.3">
      <c r="A4524" t="s">
        <v>59</v>
      </c>
      <c r="B4524" t="str">
        <f>"002336"</f>
        <v>002336</v>
      </c>
      <c r="C4524" t="s">
        <v>9396</v>
      </c>
      <c r="D4524" t="s">
        <v>1147</v>
      </c>
      <c r="F4524">
        <v>-19476446</v>
      </c>
      <c r="G4524">
        <v>-113422913</v>
      </c>
      <c r="H4524">
        <v>-100486359</v>
      </c>
      <c r="I4524">
        <v>-225911405</v>
      </c>
      <c r="J4524">
        <v>201359809</v>
      </c>
      <c r="K4524">
        <v>100476887</v>
      </c>
      <c r="L4524">
        <v>-156128363</v>
      </c>
      <c r="M4524">
        <v>28955856</v>
      </c>
      <c r="N4524">
        <v>509677351</v>
      </c>
      <c r="O4524">
        <v>524708470</v>
      </c>
      <c r="P4524">
        <v>69</v>
      </c>
      <c r="Q4524" t="s">
        <v>9397</v>
      </c>
    </row>
    <row r="4525" spans="1:17" x14ac:dyDescent="0.3">
      <c r="A4525" t="s">
        <v>59</v>
      </c>
      <c r="B4525" t="str">
        <f>"300594"</f>
        <v>300594</v>
      </c>
      <c r="C4525" t="s">
        <v>9398</v>
      </c>
      <c r="D4525" t="s">
        <v>165</v>
      </c>
      <c r="F4525">
        <v>43909937</v>
      </c>
      <c r="G4525">
        <v>25141387</v>
      </c>
      <c r="H4525">
        <v>-101859687</v>
      </c>
      <c r="I4525">
        <v>67062097</v>
      </c>
      <c r="J4525">
        <v>11202401</v>
      </c>
      <c r="K4525">
        <v>-33989295</v>
      </c>
      <c r="P4525">
        <v>72</v>
      </c>
      <c r="Q4525" t="s">
        <v>9399</v>
      </c>
    </row>
    <row r="4526" spans="1:17" x14ac:dyDescent="0.3">
      <c r="A4526" t="s">
        <v>17</v>
      </c>
      <c r="B4526" t="str">
        <f>"603959"</f>
        <v>603959</v>
      </c>
      <c r="C4526" t="s">
        <v>9400</v>
      </c>
      <c r="D4526" t="s">
        <v>482</v>
      </c>
      <c r="F4526">
        <v>336345814</v>
      </c>
      <c r="G4526">
        <v>-218447730</v>
      </c>
      <c r="H4526">
        <v>-101980762</v>
      </c>
      <c r="I4526">
        <v>335183607</v>
      </c>
      <c r="J4526">
        <v>-281116764</v>
      </c>
      <c r="K4526">
        <v>-57385088</v>
      </c>
      <c r="L4526">
        <v>37739733</v>
      </c>
      <c r="M4526">
        <v>-270118418</v>
      </c>
      <c r="N4526">
        <v>50206265</v>
      </c>
      <c r="O4526">
        <v>67312601</v>
      </c>
      <c r="P4526">
        <v>80</v>
      </c>
      <c r="Q4526" t="s">
        <v>9401</v>
      </c>
    </row>
    <row r="4527" spans="1:17" x14ac:dyDescent="0.3">
      <c r="A4527" t="s">
        <v>17</v>
      </c>
      <c r="B4527" t="str">
        <f>"600226"</f>
        <v>600226</v>
      </c>
      <c r="C4527" t="s">
        <v>9402</v>
      </c>
      <c r="D4527" t="s">
        <v>689</v>
      </c>
      <c r="F4527">
        <v>105272394</v>
      </c>
      <c r="G4527">
        <v>46536359</v>
      </c>
      <c r="H4527">
        <v>-102419844</v>
      </c>
      <c r="I4527">
        <v>-176120334</v>
      </c>
      <c r="J4527">
        <v>82294002</v>
      </c>
      <c r="K4527">
        <v>-55289060</v>
      </c>
      <c r="L4527">
        <v>69188414</v>
      </c>
      <c r="M4527">
        <v>24421397</v>
      </c>
      <c r="N4527">
        <v>119280133</v>
      </c>
      <c r="O4527">
        <v>217962247</v>
      </c>
      <c r="P4527">
        <v>109</v>
      </c>
      <c r="Q4527" t="s">
        <v>9403</v>
      </c>
    </row>
    <row r="4528" spans="1:17" x14ac:dyDescent="0.3">
      <c r="A4528" t="s">
        <v>17</v>
      </c>
      <c r="B4528" t="str">
        <f>"603789"</f>
        <v>603789</v>
      </c>
      <c r="C4528" t="s">
        <v>9404</v>
      </c>
      <c r="D4528" t="s">
        <v>3443</v>
      </c>
      <c r="F4528">
        <v>25165804</v>
      </c>
      <c r="G4528">
        <v>-83864050</v>
      </c>
      <c r="H4528">
        <v>-102433199</v>
      </c>
      <c r="I4528">
        <v>-134235529</v>
      </c>
      <c r="J4528">
        <v>-104013139</v>
      </c>
      <c r="K4528">
        <v>110793919</v>
      </c>
      <c r="L4528">
        <v>-154050922</v>
      </c>
      <c r="M4528">
        <v>209976702</v>
      </c>
      <c r="N4528">
        <v>22637121</v>
      </c>
      <c r="O4528">
        <v>283792614</v>
      </c>
      <c r="P4528">
        <v>64</v>
      </c>
      <c r="Q4528" t="s">
        <v>9405</v>
      </c>
    </row>
    <row r="4529" spans="1:17" x14ac:dyDescent="0.3">
      <c r="A4529" t="s">
        <v>59</v>
      </c>
      <c r="B4529" t="str">
        <f>"002280"</f>
        <v>002280</v>
      </c>
      <c r="C4529" t="s">
        <v>9406</v>
      </c>
      <c r="D4529" t="s">
        <v>3040</v>
      </c>
      <c r="F4529">
        <v>-92336254</v>
      </c>
      <c r="G4529">
        <v>868943558</v>
      </c>
      <c r="H4529">
        <v>-103077294</v>
      </c>
      <c r="I4529">
        <v>-399933656</v>
      </c>
      <c r="J4529">
        <v>-822928233</v>
      </c>
      <c r="K4529">
        <v>140336306</v>
      </c>
      <c r="L4529">
        <v>13869998</v>
      </c>
      <c r="M4529">
        <v>98943201</v>
      </c>
      <c r="N4529">
        <v>-14844021</v>
      </c>
      <c r="O4529">
        <v>15889652</v>
      </c>
      <c r="P4529">
        <v>179</v>
      </c>
      <c r="Q4529" t="s">
        <v>9407</v>
      </c>
    </row>
    <row r="4530" spans="1:17" x14ac:dyDescent="0.3">
      <c r="A4530" t="s">
        <v>59</v>
      </c>
      <c r="B4530" t="str">
        <f>"000831"</f>
        <v>000831</v>
      </c>
      <c r="C4530" t="s">
        <v>9408</v>
      </c>
      <c r="D4530" t="s">
        <v>1865</v>
      </c>
      <c r="F4530">
        <v>-744501205</v>
      </c>
      <c r="G4530">
        <v>-109319300</v>
      </c>
      <c r="H4530">
        <v>-103128903</v>
      </c>
      <c r="I4530">
        <v>-281974586</v>
      </c>
      <c r="J4530">
        <v>123496418</v>
      </c>
      <c r="K4530">
        <v>153673144</v>
      </c>
      <c r="L4530">
        <v>85442316</v>
      </c>
      <c r="M4530">
        <v>404002233</v>
      </c>
      <c r="N4530">
        <v>-551492493</v>
      </c>
      <c r="O4530">
        <v>44245405</v>
      </c>
      <c r="P4530">
        <v>458</v>
      </c>
      <c r="Q4530" t="s">
        <v>9409</v>
      </c>
    </row>
    <row r="4531" spans="1:17" x14ac:dyDescent="0.3">
      <c r="A4531" t="s">
        <v>59</v>
      </c>
      <c r="B4531" t="str">
        <f>"300641"</f>
        <v>300641</v>
      </c>
      <c r="C4531" t="s">
        <v>9410</v>
      </c>
      <c r="D4531" t="s">
        <v>1252</v>
      </c>
      <c r="F4531">
        <v>144437433</v>
      </c>
      <c r="G4531">
        <v>87950704</v>
      </c>
      <c r="H4531">
        <v>-103905265</v>
      </c>
      <c r="I4531">
        <v>35764417</v>
      </c>
      <c r="J4531">
        <v>159295773</v>
      </c>
      <c r="K4531">
        <v>103881077</v>
      </c>
      <c r="L4531">
        <v>180666072</v>
      </c>
      <c r="M4531">
        <v>65377290</v>
      </c>
      <c r="P4531">
        <v>79</v>
      </c>
      <c r="Q4531" t="s">
        <v>9411</v>
      </c>
    </row>
    <row r="4532" spans="1:17" x14ac:dyDescent="0.3">
      <c r="A4532" t="s">
        <v>59</v>
      </c>
      <c r="B4532" t="str">
        <f>"002428"</f>
        <v>002428</v>
      </c>
      <c r="C4532" t="s">
        <v>9412</v>
      </c>
      <c r="D4532" t="s">
        <v>987</v>
      </c>
      <c r="F4532">
        <v>112514113</v>
      </c>
      <c r="G4532">
        <v>124771164</v>
      </c>
      <c r="H4532">
        <v>-104052608</v>
      </c>
      <c r="I4532">
        <v>46849824</v>
      </c>
      <c r="J4532">
        <v>106804706</v>
      </c>
      <c r="K4532">
        <v>189811935</v>
      </c>
      <c r="L4532">
        <v>-3070970</v>
      </c>
      <c r="M4532">
        <v>80429458</v>
      </c>
      <c r="N4532">
        <v>279147639</v>
      </c>
      <c r="O4532">
        <v>-229096584</v>
      </c>
      <c r="P4532">
        <v>186</v>
      </c>
      <c r="Q4532" t="s">
        <v>9413</v>
      </c>
    </row>
    <row r="4533" spans="1:17" x14ac:dyDescent="0.3">
      <c r="A4533" t="s">
        <v>17</v>
      </c>
      <c r="B4533" t="str">
        <f>"688619"</f>
        <v>688619</v>
      </c>
      <c r="C4533" t="s">
        <v>9414</v>
      </c>
      <c r="D4533" t="s">
        <v>344</v>
      </c>
      <c r="F4533">
        <v>-101899169</v>
      </c>
      <c r="G4533">
        <v>69888545</v>
      </c>
      <c r="H4533">
        <v>-104401426</v>
      </c>
      <c r="I4533">
        <v>-166282923</v>
      </c>
      <c r="J4533">
        <v>35815342</v>
      </c>
      <c r="P4533">
        <v>31</v>
      </c>
      <c r="Q4533" t="s">
        <v>9415</v>
      </c>
    </row>
    <row r="4534" spans="1:17" x14ac:dyDescent="0.3">
      <c r="A4534" t="s">
        <v>59</v>
      </c>
      <c r="B4534" t="str">
        <f>"300799"</f>
        <v>300799</v>
      </c>
      <c r="C4534" t="s">
        <v>9416</v>
      </c>
      <c r="D4534" t="s">
        <v>789</v>
      </c>
      <c r="F4534">
        <v>-54738867</v>
      </c>
      <c r="G4534">
        <v>131822972</v>
      </c>
      <c r="H4534">
        <v>-104613705</v>
      </c>
      <c r="I4534">
        <v>34134621</v>
      </c>
      <c r="J4534">
        <v>6260155</v>
      </c>
      <c r="K4534">
        <v>-16708610</v>
      </c>
      <c r="P4534">
        <v>140</v>
      </c>
      <c r="Q4534" t="s">
        <v>9417</v>
      </c>
    </row>
    <row r="4535" spans="1:17" x14ac:dyDescent="0.3">
      <c r="A4535" t="s">
        <v>59</v>
      </c>
      <c r="B4535" t="str">
        <f>"300411"</f>
        <v>300411</v>
      </c>
      <c r="C4535" t="s">
        <v>9418</v>
      </c>
      <c r="D4535" t="s">
        <v>1351</v>
      </c>
      <c r="F4535">
        <v>-10411817</v>
      </c>
      <c r="G4535">
        <v>88251717</v>
      </c>
      <c r="H4535">
        <v>-106270297</v>
      </c>
      <c r="I4535">
        <v>-198239959</v>
      </c>
      <c r="J4535">
        <v>51969802</v>
      </c>
      <c r="K4535">
        <v>17049778</v>
      </c>
      <c r="L4535">
        <v>-28673557</v>
      </c>
      <c r="M4535">
        <v>-18173109</v>
      </c>
      <c r="N4535">
        <v>-52329232</v>
      </c>
      <c r="O4535">
        <v>43811289</v>
      </c>
      <c r="P4535">
        <v>73</v>
      </c>
      <c r="Q4535" t="s">
        <v>9419</v>
      </c>
    </row>
    <row r="4536" spans="1:17" x14ac:dyDescent="0.3">
      <c r="A4536" t="s">
        <v>59</v>
      </c>
      <c r="B4536" t="str">
        <f>"002200"</f>
        <v>002200</v>
      </c>
      <c r="C4536" t="s">
        <v>9420</v>
      </c>
      <c r="D4536" t="s">
        <v>1489</v>
      </c>
      <c r="F4536">
        <v>81709269</v>
      </c>
      <c r="G4536">
        <v>114451431</v>
      </c>
      <c r="H4536">
        <v>-106331871</v>
      </c>
      <c r="I4536">
        <v>-183363561</v>
      </c>
      <c r="J4536">
        <v>105717458</v>
      </c>
      <c r="K4536">
        <v>-523068562</v>
      </c>
      <c r="L4536">
        <v>-86482762</v>
      </c>
      <c r="M4536">
        <v>-212925032</v>
      </c>
      <c r="N4536">
        <v>-289694465</v>
      </c>
      <c r="O4536">
        <v>-78097166</v>
      </c>
      <c r="P4536">
        <v>53</v>
      </c>
      <c r="Q4536" t="s">
        <v>9421</v>
      </c>
    </row>
    <row r="4537" spans="1:17" x14ac:dyDescent="0.3">
      <c r="A4537" t="s">
        <v>17</v>
      </c>
      <c r="B4537" t="str">
        <f>"688001"</f>
        <v>688001</v>
      </c>
      <c r="C4537" t="s">
        <v>9422</v>
      </c>
      <c r="D4537" t="s">
        <v>2382</v>
      </c>
      <c r="F4537">
        <v>264941464</v>
      </c>
      <c r="G4537">
        <v>332763175</v>
      </c>
      <c r="H4537">
        <v>-107272730</v>
      </c>
      <c r="I4537">
        <v>184434299</v>
      </c>
      <c r="J4537">
        <v>147196418</v>
      </c>
      <c r="K4537">
        <v>145349026</v>
      </c>
      <c r="P4537">
        <v>169</v>
      </c>
      <c r="Q4537" t="s">
        <v>9423</v>
      </c>
    </row>
    <row r="4538" spans="1:17" x14ac:dyDescent="0.3">
      <c r="A4538" t="s">
        <v>17</v>
      </c>
      <c r="B4538" t="str">
        <f>"688239"</f>
        <v>688239</v>
      </c>
      <c r="C4538" t="s">
        <v>9424</v>
      </c>
      <c r="D4538" t="s">
        <v>448</v>
      </c>
      <c r="F4538">
        <v>-53322864</v>
      </c>
      <c r="G4538">
        <v>123158926</v>
      </c>
      <c r="H4538">
        <v>-107455387</v>
      </c>
      <c r="I4538">
        <v>-81206121</v>
      </c>
      <c r="J4538">
        <v>-59142643</v>
      </c>
      <c r="P4538">
        <v>57</v>
      </c>
      <c r="Q4538" t="s">
        <v>9425</v>
      </c>
    </row>
    <row r="4539" spans="1:17" x14ac:dyDescent="0.3">
      <c r="A4539" t="s">
        <v>59</v>
      </c>
      <c r="B4539" t="str">
        <f>"300042"</f>
        <v>300042</v>
      </c>
      <c r="C4539" t="s">
        <v>9426</v>
      </c>
      <c r="D4539" t="s">
        <v>707</v>
      </c>
      <c r="F4539">
        <v>62956154</v>
      </c>
      <c r="G4539">
        <v>19094663</v>
      </c>
      <c r="H4539">
        <v>-107832261</v>
      </c>
      <c r="I4539">
        <v>60650591</v>
      </c>
      <c r="J4539">
        <v>24165987</v>
      </c>
      <c r="K4539">
        <v>21237505</v>
      </c>
      <c r="L4539">
        <v>44934235</v>
      </c>
      <c r="M4539">
        <v>534121</v>
      </c>
      <c r="N4539">
        <v>24522716</v>
      </c>
      <c r="O4539">
        <v>5015104</v>
      </c>
      <c r="P4539">
        <v>116</v>
      </c>
      <c r="Q4539" t="s">
        <v>9427</v>
      </c>
    </row>
    <row r="4540" spans="1:17" x14ac:dyDescent="0.3">
      <c r="A4540" t="s">
        <v>59</v>
      </c>
      <c r="B4540" t="str">
        <f>"002646"</f>
        <v>002646</v>
      </c>
      <c r="C4540" t="s">
        <v>9428</v>
      </c>
      <c r="D4540" t="s">
        <v>67</v>
      </c>
      <c r="F4540">
        <v>70621823</v>
      </c>
      <c r="G4540">
        <v>-78777630</v>
      </c>
      <c r="H4540">
        <v>-108422666</v>
      </c>
      <c r="I4540">
        <v>106010725</v>
      </c>
      <c r="J4540">
        <v>28222242</v>
      </c>
      <c r="K4540">
        <v>325689867</v>
      </c>
      <c r="L4540">
        <v>181324153</v>
      </c>
      <c r="M4540">
        <v>231419792</v>
      </c>
      <c r="N4540">
        <v>300174876</v>
      </c>
      <c r="O4540">
        <v>312114510</v>
      </c>
      <c r="P4540">
        <v>254</v>
      </c>
      <c r="Q4540" t="s">
        <v>9429</v>
      </c>
    </row>
    <row r="4541" spans="1:17" x14ac:dyDescent="0.3">
      <c r="A4541" t="s">
        <v>17</v>
      </c>
      <c r="B4541" t="str">
        <f>"600983"</f>
        <v>600983</v>
      </c>
      <c r="C4541" t="s">
        <v>9430</v>
      </c>
      <c r="D4541" t="s">
        <v>213</v>
      </c>
      <c r="F4541">
        <v>-343878912</v>
      </c>
      <c r="G4541">
        <v>-794260315</v>
      </c>
      <c r="H4541">
        <v>-109448371</v>
      </c>
      <c r="I4541">
        <v>-30225313</v>
      </c>
      <c r="J4541">
        <v>373962881</v>
      </c>
      <c r="K4541">
        <v>1061104404</v>
      </c>
      <c r="L4541">
        <v>735030031</v>
      </c>
      <c r="M4541">
        <v>-217411977</v>
      </c>
      <c r="N4541">
        <v>628632535</v>
      </c>
      <c r="O4541">
        <v>374934253</v>
      </c>
      <c r="P4541">
        <v>128</v>
      </c>
      <c r="Q4541" t="s">
        <v>9431</v>
      </c>
    </row>
    <row r="4542" spans="1:17" x14ac:dyDescent="0.3">
      <c r="A4542" t="s">
        <v>17</v>
      </c>
      <c r="B4542" t="str">
        <f>"688122"</f>
        <v>688122</v>
      </c>
      <c r="C4542" t="s">
        <v>9432</v>
      </c>
      <c r="D4542" t="s">
        <v>448</v>
      </c>
      <c r="F4542">
        <v>227172168</v>
      </c>
      <c r="G4542">
        <v>-222319301</v>
      </c>
      <c r="H4542">
        <v>-109504459</v>
      </c>
      <c r="I4542">
        <v>243590951</v>
      </c>
      <c r="J4542">
        <v>17353474</v>
      </c>
      <c r="K4542">
        <v>31832545</v>
      </c>
      <c r="P4542">
        <v>309</v>
      </c>
      <c r="Q4542" t="s">
        <v>9433</v>
      </c>
    </row>
    <row r="4543" spans="1:17" x14ac:dyDescent="0.3">
      <c r="A4543" t="s">
        <v>17</v>
      </c>
      <c r="B4543" t="str">
        <f>"600175"</f>
        <v>600175</v>
      </c>
      <c r="C4543" t="s">
        <v>9434</v>
      </c>
      <c r="H4543">
        <v>-110361470</v>
      </c>
      <c r="I4543">
        <v>-429754952</v>
      </c>
      <c r="J4543">
        <v>940133982</v>
      </c>
      <c r="K4543">
        <v>865077995</v>
      </c>
      <c r="L4543">
        <v>-1531626791</v>
      </c>
      <c r="M4543">
        <v>188405618</v>
      </c>
      <c r="N4543">
        <v>-293230638</v>
      </c>
      <c r="O4543">
        <v>-107653685</v>
      </c>
      <c r="P4543">
        <v>58</v>
      </c>
      <c r="Q4543" t="s">
        <v>9435</v>
      </c>
    </row>
    <row r="4544" spans="1:17" x14ac:dyDescent="0.3">
      <c r="A4544" t="s">
        <v>17</v>
      </c>
      <c r="B4544" t="str">
        <f>"688207"</f>
        <v>688207</v>
      </c>
      <c r="C4544" t="s">
        <v>9436</v>
      </c>
      <c r="F4544">
        <v>-85903619</v>
      </c>
      <c r="G4544">
        <v>35088156</v>
      </c>
      <c r="H4544">
        <v>-110631795</v>
      </c>
      <c r="I4544">
        <v>-110660924</v>
      </c>
      <c r="P4544">
        <v>7</v>
      </c>
      <c r="Q4544" t="s">
        <v>9437</v>
      </c>
    </row>
    <row r="4545" spans="1:17" x14ac:dyDescent="0.3">
      <c r="A4545" t="s">
        <v>17</v>
      </c>
      <c r="B4545" t="str">
        <f>"603690"</f>
        <v>603690</v>
      </c>
      <c r="C4545" t="s">
        <v>9438</v>
      </c>
      <c r="D4545" t="s">
        <v>5407</v>
      </c>
      <c r="F4545">
        <v>-190723819</v>
      </c>
      <c r="G4545">
        <v>-280927495</v>
      </c>
      <c r="H4545">
        <v>-110943361</v>
      </c>
      <c r="I4545">
        <v>-52829726</v>
      </c>
      <c r="J4545">
        <v>-68204772</v>
      </c>
      <c r="K4545">
        <v>-18418459</v>
      </c>
      <c r="L4545">
        <v>2097987</v>
      </c>
      <c r="M4545">
        <v>45214994</v>
      </c>
      <c r="N4545">
        <v>4128065</v>
      </c>
      <c r="P4545">
        <v>450</v>
      </c>
      <c r="Q4545" t="s">
        <v>9439</v>
      </c>
    </row>
    <row r="4546" spans="1:17" x14ac:dyDescent="0.3">
      <c r="A4546" t="s">
        <v>59</v>
      </c>
      <c r="B4546" t="str">
        <f>"300189"</f>
        <v>300189</v>
      </c>
      <c r="C4546" t="s">
        <v>9440</v>
      </c>
      <c r="D4546" t="s">
        <v>4417</v>
      </c>
      <c r="F4546">
        <v>13995839</v>
      </c>
      <c r="G4546">
        <v>70425070</v>
      </c>
      <c r="H4546">
        <v>-111222322</v>
      </c>
      <c r="I4546">
        <v>487639456</v>
      </c>
      <c r="J4546">
        <v>389106914</v>
      </c>
      <c r="K4546">
        <v>-867519987</v>
      </c>
      <c r="L4546">
        <v>47994891</v>
      </c>
      <c r="M4546">
        <v>5242464</v>
      </c>
      <c r="N4546">
        <v>13552091</v>
      </c>
      <c r="O4546">
        <v>-32861015</v>
      </c>
      <c r="P4546">
        <v>111</v>
      </c>
      <c r="Q4546" t="s">
        <v>9441</v>
      </c>
    </row>
    <row r="4547" spans="1:17" x14ac:dyDescent="0.3">
      <c r="A4547" t="s">
        <v>59</v>
      </c>
      <c r="B4547" t="str">
        <f>"300038"</f>
        <v>300038</v>
      </c>
      <c r="C4547" t="s">
        <v>9442</v>
      </c>
      <c r="D4547" t="s">
        <v>1889</v>
      </c>
      <c r="F4547">
        <v>53024442</v>
      </c>
      <c r="G4547">
        <v>-764652464</v>
      </c>
      <c r="H4547">
        <v>-111822250</v>
      </c>
      <c r="I4547">
        <v>99687150</v>
      </c>
      <c r="J4547">
        <v>289556659</v>
      </c>
      <c r="K4547">
        <v>160751306</v>
      </c>
      <c r="L4547">
        <v>135084875</v>
      </c>
      <c r="M4547">
        <v>-170916782</v>
      </c>
      <c r="N4547">
        <v>-132646907</v>
      </c>
      <c r="O4547">
        <v>-120460910</v>
      </c>
      <c r="P4547">
        <v>263</v>
      </c>
      <c r="Q4547" t="s">
        <v>9443</v>
      </c>
    </row>
    <row r="4548" spans="1:17" x14ac:dyDescent="0.3">
      <c r="A4548" t="s">
        <v>59</v>
      </c>
      <c r="B4548" t="str">
        <f>"000703"</f>
        <v>000703</v>
      </c>
      <c r="C4548" t="s">
        <v>9444</v>
      </c>
      <c r="D4548" t="s">
        <v>24</v>
      </c>
      <c r="F4548">
        <v>7754871520</v>
      </c>
      <c r="G4548">
        <v>5013772778</v>
      </c>
      <c r="H4548">
        <v>-112081728</v>
      </c>
      <c r="I4548">
        <v>1674591242</v>
      </c>
      <c r="J4548">
        <v>2362525254</v>
      </c>
      <c r="K4548">
        <v>3096115453</v>
      </c>
      <c r="L4548">
        <v>410187425</v>
      </c>
      <c r="M4548">
        <v>1880793972</v>
      </c>
      <c r="N4548">
        <v>187569521</v>
      </c>
      <c r="O4548">
        <v>154263371</v>
      </c>
      <c r="P4548">
        <v>581</v>
      </c>
      <c r="Q4548" t="s">
        <v>9445</v>
      </c>
    </row>
    <row r="4549" spans="1:17" x14ac:dyDescent="0.3">
      <c r="A4549" t="s">
        <v>59</v>
      </c>
      <c r="B4549" t="str">
        <f>"002379"</f>
        <v>002379</v>
      </c>
      <c r="C4549" t="s">
        <v>9446</v>
      </c>
      <c r="D4549" t="s">
        <v>238</v>
      </c>
      <c r="F4549">
        <v>-52194832</v>
      </c>
      <c r="G4549">
        <v>58991906</v>
      </c>
      <c r="H4549">
        <v>-112505235</v>
      </c>
      <c r="I4549">
        <v>20331217</v>
      </c>
      <c r="J4549">
        <v>-85873718</v>
      </c>
      <c r="K4549">
        <v>-192051515</v>
      </c>
      <c r="L4549">
        <v>-246735258</v>
      </c>
      <c r="M4549">
        <v>-431718594</v>
      </c>
      <c r="N4549">
        <v>274185011</v>
      </c>
      <c r="O4549">
        <v>148611380</v>
      </c>
      <c r="P4549">
        <v>88</v>
      </c>
      <c r="Q4549" t="s">
        <v>9447</v>
      </c>
    </row>
    <row r="4550" spans="1:17" x14ac:dyDescent="0.3">
      <c r="A4550" t="s">
        <v>17</v>
      </c>
      <c r="B4550" t="str">
        <f>"600622"</f>
        <v>600622</v>
      </c>
      <c r="C4550" t="s">
        <v>9448</v>
      </c>
      <c r="D4550" t="s">
        <v>61</v>
      </c>
      <c r="F4550">
        <v>3901926776</v>
      </c>
      <c r="G4550">
        <v>1385811197</v>
      </c>
      <c r="H4550">
        <v>-113324391</v>
      </c>
      <c r="I4550">
        <v>1775708892</v>
      </c>
      <c r="J4550">
        <v>1251508846</v>
      </c>
      <c r="K4550">
        <v>1740733328</v>
      </c>
      <c r="L4550">
        <v>789594421</v>
      </c>
      <c r="M4550">
        <v>-1588707324</v>
      </c>
      <c r="N4550">
        <v>552309830</v>
      </c>
      <c r="O4550">
        <v>-452398460</v>
      </c>
      <c r="P4550">
        <v>246</v>
      </c>
      <c r="Q4550" t="s">
        <v>9449</v>
      </c>
    </row>
    <row r="4551" spans="1:17" x14ac:dyDescent="0.3">
      <c r="A4551" t="s">
        <v>17</v>
      </c>
      <c r="B4551" t="str">
        <f>"600112"</f>
        <v>600112</v>
      </c>
      <c r="C4551" t="s">
        <v>9450</v>
      </c>
      <c r="D4551" t="s">
        <v>560</v>
      </c>
      <c r="F4551">
        <v>-29569080</v>
      </c>
      <c r="G4551">
        <v>-18487953</v>
      </c>
      <c r="H4551">
        <v>-113661944</v>
      </c>
      <c r="I4551">
        <v>-167491181</v>
      </c>
      <c r="J4551">
        <v>82018707</v>
      </c>
      <c r="K4551">
        <v>624605</v>
      </c>
      <c r="L4551">
        <v>293078355</v>
      </c>
      <c r="M4551">
        <v>-38801647</v>
      </c>
      <c r="N4551">
        <v>-13058424</v>
      </c>
      <c r="O4551">
        <v>-31757497</v>
      </c>
      <c r="P4551">
        <v>56</v>
      </c>
      <c r="Q4551" t="s">
        <v>9451</v>
      </c>
    </row>
    <row r="4552" spans="1:17" x14ac:dyDescent="0.3">
      <c r="A4552" t="s">
        <v>17</v>
      </c>
      <c r="B4552" t="str">
        <f>"688280"</f>
        <v>688280</v>
      </c>
      <c r="C4552" t="s">
        <v>9452</v>
      </c>
      <c r="D4552" t="s">
        <v>156</v>
      </c>
      <c r="F4552">
        <v>-332032988</v>
      </c>
      <c r="G4552">
        <v>-141188663</v>
      </c>
      <c r="H4552">
        <v>-113882085</v>
      </c>
      <c r="I4552">
        <v>43251192</v>
      </c>
      <c r="J4552">
        <v>-279606025</v>
      </c>
      <c r="P4552">
        <v>22</v>
      </c>
      <c r="Q4552" t="s">
        <v>9453</v>
      </c>
    </row>
    <row r="4553" spans="1:17" x14ac:dyDescent="0.3">
      <c r="A4553" t="s">
        <v>59</v>
      </c>
      <c r="B4553" t="str">
        <f>"300294"</f>
        <v>300294</v>
      </c>
      <c r="C4553" t="s">
        <v>9454</v>
      </c>
      <c r="D4553" t="s">
        <v>1421</v>
      </c>
      <c r="F4553">
        <v>1345377085</v>
      </c>
      <c r="G4553">
        <v>718583048</v>
      </c>
      <c r="H4553">
        <v>-114512592</v>
      </c>
      <c r="I4553">
        <v>34902726</v>
      </c>
      <c r="J4553">
        <v>-23816154</v>
      </c>
      <c r="K4553">
        <v>198756139</v>
      </c>
      <c r="L4553">
        <v>147018108</v>
      </c>
      <c r="M4553">
        <v>121884585</v>
      </c>
      <c r="N4553">
        <v>89106523</v>
      </c>
      <c r="O4553">
        <v>92361580</v>
      </c>
      <c r="P4553">
        <v>495</v>
      </c>
      <c r="Q4553" t="s">
        <v>9455</v>
      </c>
    </row>
    <row r="4554" spans="1:17" x14ac:dyDescent="0.3">
      <c r="A4554" t="s">
        <v>59</v>
      </c>
      <c r="B4554" t="str">
        <f>"300567"</f>
        <v>300567</v>
      </c>
      <c r="C4554" t="s">
        <v>9456</v>
      </c>
      <c r="D4554" t="s">
        <v>2382</v>
      </c>
      <c r="F4554">
        <v>-182068908</v>
      </c>
      <c r="G4554">
        <v>446763408</v>
      </c>
      <c r="H4554">
        <v>-115184747</v>
      </c>
      <c r="I4554">
        <v>176168630</v>
      </c>
      <c r="J4554">
        <v>118319739</v>
      </c>
      <c r="K4554">
        <v>40013032</v>
      </c>
      <c r="L4554">
        <v>40072457</v>
      </c>
      <c r="M4554">
        <v>-36636571</v>
      </c>
      <c r="N4554">
        <v>46106215</v>
      </c>
      <c r="P4554">
        <v>1242</v>
      </c>
      <c r="Q4554" t="s">
        <v>9457</v>
      </c>
    </row>
    <row r="4555" spans="1:17" x14ac:dyDescent="0.3">
      <c r="A4555" t="s">
        <v>17</v>
      </c>
      <c r="B4555" t="str">
        <f>"600599"</f>
        <v>600599</v>
      </c>
      <c r="C4555" t="s">
        <v>9458</v>
      </c>
      <c r="D4555" t="s">
        <v>117</v>
      </c>
      <c r="F4555">
        <v>319719645</v>
      </c>
      <c r="G4555">
        <v>-222727985</v>
      </c>
      <c r="H4555">
        <v>-115344928</v>
      </c>
      <c r="I4555">
        <v>-193960528</v>
      </c>
      <c r="J4555">
        <v>175671497</v>
      </c>
      <c r="K4555">
        <v>-60415814</v>
      </c>
      <c r="L4555">
        <v>-118536090</v>
      </c>
      <c r="M4555">
        <v>-63598142</v>
      </c>
      <c r="N4555">
        <v>1383868</v>
      </c>
      <c r="O4555">
        <v>7281274</v>
      </c>
      <c r="P4555">
        <v>54</v>
      </c>
      <c r="Q4555" t="s">
        <v>9459</v>
      </c>
    </row>
    <row r="4556" spans="1:17" x14ac:dyDescent="0.3">
      <c r="A4556" t="s">
        <v>59</v>
      </c>
      <c r="B4556" t="str">
        <f>"300117"</f>
        <v>300117</v>
      </c>
      <c r="C4556" t="s">
        <v>9460</v>
      </c>
      <c r="D4556" t="s">
        <v>199</v>
      </c>
      <c r="F4556">
        <v>251742034</v>
      </c>
      <c r="G4556">
        <v>15153509</v>
      </c>
      <c r="H4556">
        <v>-115613544</v>
      </c>
      <c r="I4556">
        <v>-131379272</v>
      </c>
      <c r="J4556">
        <v>50460167</v>
      </c>
      <c r="K4556">
        <v>-40566716</v>
      </c>
      <c r="L4556">
        <v>-18364199</v>
      </c>
      <c r="M4556">
        <v>-122789855</v>
      </c>
      <c r="N4556">
        <v>-236739122</v>
      </c>
      <c r="O4556">
        <v>-98760235</v>
      </c>
      <c r="P4556">
        <v>179</v>
      </c>
      <c r="Q4556" t="s">
        <v>9461</v>
      </c>
    </row>
    <row r="4557" spans="1:17" x14ac:dyDescent="0.3">
      <c r="A4557" t="s">
        <v>59</v>
      </c>
      <c r="B4557" t="str">
        <f>"000757"</f>
        <v>000757</v>
      </c>
      <c r="C4557" t="s">
        <v>9462</v>
      </c>
      <c r="D4557" t="s">
        <v>2334</v>
      </c>
      <c r="F4557">
        <v>130916447</v>
      </c>
      <c r="G4557">
        <v>104089960</v>
      </c>
      <c r="H4557">
        <v>-116098767</v>
      </c>
      <c r="I4557">
        <v>111953426</v>
      </c>
      <c r="J4557">
        <v>65814250</v>
      </c>
      <c r="K4557">
        <v>63313801</v>
      </c>
      <c r="L4557">
        <v>46224040</v>
      </c>
      <c r="M4557">
        <v>20070261</v>
      </c>
      <c r="N4557">
        <v>96488761</v>
      </c>
      <c r="O4557">
        <v>87017165</v>
      </c>
      <c r="P4557">
        <v>88</v>
      </c>
      <c r="Q4557" t="s">
        <v>9463</v>
      </c>
    </row>
    <row r="4558" spans="1:17" x14ac:dyDescent="0.3">
      <c r="A4558" t="s">
        <v>59</v>
      </c>
      <c r="B4558" t="str">
        <f>"002642"</f>
        <v>002642</v>
      </c>
      <c r="C4558" t="s">
        <v>9464</v>
      </c>
      <c r="D4558" t="s">
        <v>1189</v>
      </c>
      <c r="F4558">
        <v>-115518560</v>
      </c>
      <c r="G4558">
        <v>114636054</v>
      </c>
      <c r="H4558">
        <v>-117403934</v>
      </c>
      <c r="I4558">
        <v>-142683921</v>
      </c>
      <c r="J4558">
        <v>104527732</v>
      </c>
      <c r="K4558">
        <v>169971709</v>
      </c>
      <c r="L4558">
        <v>30579615</v>
      </c>
      <c r="M4558">
        <v>138335009</v>
      </c>
      <c r="N4558">
        <v>82563554</v>
      </c>
      <c r="O4558">
        <v>22604170</v>
      </c>
      <c r="P4558">
        <v>221</v>
      </c>
      <c r="Q4558" t="s">
        <v>9465</v>
      </c>
    </row>
    <row r="4559" spans="1:17" x14ac:dyDescent="0.3">
      <c r="A4559" t="s">
        <v>17</v>
      </c>
      <c r="B4559" t="str">
        <f>"603026"</f>
        <v>603026</v>
      </c>
      <c r="C4559" t="s">
        <v>9466</v>
      </c>
      <c r="D4559" t="s">
        <v>1444</v>
      </c>
      <c r="F4559">
        <v>959626471</v>
      </c>
      <c r="G4559">
        <v>793380253</v>
      </c>
      <c r="H4559">
        <v>-119498606</v>
      </c>
      <c r="I4559">
        <v>421577813</v>
      </c>
      <c r="J4559">
        <v>81106965</v>
      </c>
      <c r="K4559">
        <v>147990799</v>
      </c>
      <c r="L4559">
        <v>462491490</v>
      </c>
      <c r="M4559">
        <v>417638961</v>
      </c>
      <c r="N4559">
        <v>438520907</v>
      </c>
      <c r="O4559">
        <v>72611932</v>
      </c>
      <c r="P4559">
        <v>420</v>
      </c>
      <c r="Q4559" t="s">
        <v>9467</v>
      </c>
    </row>
    <row r="4560" spans="1:17" x14ac:dyDescent="0.3">
      <c r="A4560" t="s">
        <v>59</v>
      </c>
      <c r="B4560" t="str">
        <f>"002529"</f>
        <v>002529</v>
      </c>
      <c r="C4560" t="s">
        <v>9468</v>
      </c>
      <c r="D4560" t="s">
        <v>1351</v>
      </c>
      <c r="F4560">
        <v>-5825021</v>
      </c>
      <c r="G4560">
        <v>154357217</v>
      </c>
      <c r="H4560">
        <v>-119629945</v>
      </c>
      <c r="I4560">
        <v>-150461246</v>
      </c>
      <c r="J4560">
        <v>-39184841</v>
      </c>
      <c r="K4560">
        <v>-123840441</v>
      </c>
      <c r="L4560">
        <v>-29240531</v>
      </c>
      <c r="M4560">
        <v>-58229394</v>
      </c>
      <c r="N4560">
        <v>-9332795</v>
      </c>
      <c r="O4560">
        <v>-56580459</v>
      </c>
      <c r="P4560">
        <v>68</v>
      </c>
      <c r="Q4560" t="s">
        <v>9469</v>
      </c>
    </row>
    <row r="4561" spans="1:17" x14ac:dyDescent="0.3">
      <c r="A4561" t="s">
        <v>59</v>
      </c>
      <c r="B4561" t="str">
        <f>"300020"</f>
        <v>300020</v>
      </c>
      <c r="C4561" t="s">
        <v>9470</v>
      </c>
      <c r="D4561" t="s">
        <v>1189</v>
      </c>
      <c r="F4561">
        <v>-260368904</v>
      </c>
      <c r="G4561">
        <v>-91492085</v>
      </c>
      <c r="H4561">
        <v>-120082248</v>
      </c>
      <c r="I4561">
        <v>13293096</v>
      </c>
      <c r="J4561">
        <v>-215372225</v>
      </c>
      <c r="K4561">
        <v>-137134746</v>
      </c>
      <c r="L4561">
        <v>99034597</v>
      </c>
      <c r="M4561">
        <v>-259091404</v>
      </c>
      <c r="N4561">
        <v>-9530887</v>
      </c>
      <c r="O4561">
        <v>33937476</v>
      </c>
      <c r="P4561">
        <v>237</v>
      </c>
      <c r="Q4561" t="s">
        <v>9471</v>
      </c>
    </row>
    <row r="4562" spans="1:17" x14ac:dyDescent="0.3">
      <c r="A4562" t="s">
        <v>59</v>
      </c>
      <c r="B4562" t="str">
        <f>"002716"</f>
        <v>002716</v>
      </c>
      <c r="C4562" t="s">
        <v>9472</v>
      </c>
      <c r="D4562" t="s">
        <v>861</v>
      </c>
      <c r="F4562">
        <v>-549650790</v>
      </c>
      <c r="G4562">
        <v>-182461487</v>
      </c>
      <c r="H4562">
        <v>-121725266</v>
      </c>
      <c r="I4562">
        <v>-54227356</v>
      </c>
      <c r="J4562">
        <v>378694009</v>
      </c>
      <c r="K4562">
        <v>299393</v>
      </c>
      <c r="L4562">
        <v>496149461</v>
      </c>
      <c r="M4562">
        <v>-237906652</v>
      </c>
      <c r="N4562">
        <v>295623412</v>
      </c>
      <c r="O4562">
        <v>-193186913</v>
      </c>
      <c r="P4562">
        <v>129</v>
      </c>
      <c r="Q4562" t="s">
        <v>9473</v>
      </c>
    </row>
    <row r="4563" spans="1:17" x14ac:dyDescent="0.3">
      <c r="A4563" t="s">
        <v>17</v>
      </c>
      <c r="B4563" t="str">
        <f>"603636"</f>
        <v>603636</v>
      </c>
      <c r="C4563" t="s">
        <v>9474</v>
      </c>
      <c r="D4563" t="s">
        <v>1189</v>
      </c>
      <c r="F4563">
        <v>-151053597</v>
      </c>
      <c r="G4563">
        <v>158240563</v>
      </c>
      <c r="H4563">
        <v>-121994386</v>
      </c>
      <c r="I4563">
        <v>-269780968</v>
      </c>
      <c r="J4563">
        <v>138408078</v>
      </c>
      <c r="K4563">
        <v>-57182000</v>
      </c>
      <c r="L4563">
        <v>30497981</v>
      </c>
      <c r="M4563">
        <v>104650568</v>
      </c>
      <c r="N4563">
        <v>100561100</v>
      </c>
      <c r="O4563">
        <v>50083069</v>
      </c>
      <c r="P4563">
        <v>202</v>
      </c>
      <c r="Q4563" t="s">
        <v>9475</v>
      </c>
    </row>
    <row r="4564" spans="1:17" x14ac:dyDescent="0.3">
      <c r="A4564" t="s">
        <v>17</v>
      </c>
      <c r="B4564" t="str">
        <f>"600684"</f>
        <v>600684</v>
      </c>
      <c r="C4564" t="s">
        <v>9476</v>
      </c>
      <c r="D4564" t="s">
        <v>61</v>
      </c>
      <c r="F4564">
        <v>-731784695</v>
      </c>
      <c r="G4564">
        <v>702647171</v>
      </c>
      <c r="H4564">
        <v>-122667814</v>
      </c>
      <c r="I4564">
        <v>467239303</v>
      </c>
      <c r="J4564">
        <v>775844643</v>
      </c>
      <c r="K4564">
        <v>1127401931</v>
      </c>
      <c r="L4564">
        <v>381192008</v>
      </c>
      <c r="M4564">
        <v>-1093569997</v>
      </c>
      <c r="N4564">
        <v>372754780</v>
      </c>
      <c r="O4564">
        <v>400447781</v>
      </c>
      <c r="P4564">
        <v>124</v>
      </c>
      <c r="Q4564" t="s">
        <v>9477</v>
      </c>
    </row>
    <row r="4565" spans="1:17" x14ac:dyDescent="0.3">
      <c r="A4565" t="s">
        <v>17</v>
      </c>
      <c r="B4565" t="str">
        <f>"603316"</f>
        <v>603316</v>
      </c>
      <c r="C4565" t="s">
        <v>9478</v>
      </c>
      <c r="D4565" t="s">
        <v>1489</v>
      </c>
      <c r="F4565">
        <v>-147047180</v>
      </c>
      <c r="G4565">
        <v>-320185897</v>
      </c>
      <c r="H4565">
        <v>-123405397</v>
      </c>
      <c r="I4565">
        <v>-50527427</v>
      </c>
      <c r="J4565">
        <v>-135519102</v>
      </c>
      <c r="K4565">
        <v>46562783</v>
      </c>
      <c r="L4565">
        <v>46830479</v>
      </c>
      <c r="M4565">
        <v>-77775495</v>
      </c>
      <c r="P4565">
        <v>59</v>
      </c>
      <c r="Q4565" t="s">
        <v>9479</v>
      </c>
    </row>
    <row r="4566" spans="1:17" x14ac:dyDescent="0.3">
      <c r="A4566" t="s">
        <v>59</v>
      </c>
      <c r="B4566" t="str">
        <f>"300789"</f>
        <v>300789</v>
      </c>
      <c r="C4566" t="s">
        <v>9480</v>
      </c>
      <c r="D4566" t="s">
        <v>707</v>
      </c>
      <c r="F4566">
        <v>65587328</v>
      </c>
      <c r="G4566">
        <v>63456627</v>
      </c>
      <c r="H4566">
        <v>-124668124</v>
      </c>
      <c r="I4566">
        <v>50929881</v>
      </c>
      <c r="J4566">
        <v>5842788</v>
      </c>
      <c r="K4566">
        <v>48149069</v>
      </c>
      <c r="P4566">
        <v>79</v>
      </c>
      <c r="Q4566" t="s">
        <v>9481</v>
      </c>
    </row>
    <row r="4567" spans="1:17" x14ac:dyDescent="0.3">
      <c r="A4567" t="s">
        <v>17</v>
      </c>
      <c r="B4567" t="str">
        <f>"600753"</f>
        <v>600753</v>
      </c>
      <c r="C4567" t="s">
        <v>9482</v>
      </c>
      <c r="D4567" t="s">
        <v>250</v>
      </c>
      <c r="F4567">
        <v>-85913720</v>
      </c>
      <c r="G4567">
        <v>94586236</v>
      </c>
      <c r="H4567">
        <v>-125147278</v>
      </c>
      <c r="I4567">
        <v>-98254463</v>
      </c>
      <c r="J4567">
        <v>-781152</v>
      </c>
      <c r="K4567">
        <v>-22040141</v>
      </c>
      <c r="L4567">
        <v>201953829</v>
      </c>
      <c r="M4567">
        <v>-468698</v>
      </c>
      <c r="N4567">
        <v>389256</v>
      </c>
      <c r="O4567">
        <v>42028</v>
      </c>
      <c r="P4567">
        <v>91</v>
      </c>
      <c r="Q4567" t="s">
        <v>9483</v>
      </c>
    </row>
    <row r="4568" spans="1:17" x14ac:dyDescent="0.3">
      <c r="A4568" t="s">
        <v>59</v>
      </c>
      <c r="B4568" t="str">
        <f>"301037"</f>
        <v>301037</v>
      </c>
      <c r="C4568" t="s">
        <v>9484</v>
      </c>
      <c r="D4568" t="s">
        <v>4667</v>
      </c>
      <c r="F4568">
        <v>-173346917</v>
      </c>
      <c r="G4568">
        <v>87313685</v>
      </c>
      <c r="H4568">
        <v>-125269416</v>
      </c>
      <c r="I4568">
        <v>67505219</v>
      </c>
      <c r="J4568">
        <v>-17712938</v>
      </c>
      <c r="P4568">
        <v>13</v>
      </c>
      <c r="Q4568" t="s">
        <v>9485</v>
      </c>
    </row>
    <row r="4569" spans="1:17" x14ac:dyDescent="0.3">
      <c r="A4569" t="s">
        <v>17</v>
      </c>
      <c r="B4569" t="str">
        <f>"600121"</f>
        <v>600121</v>
      </c>
      <c r="C4569" t="s">
        <v>9486</v>
      </c>
      <c r="D4569" t="s">
        <v>54</v>
      </c>
      <c r="F4569">
        <v>42441961</v>
      </c>
      <c r="G4569">
        <v>-114256178</v>
      </c>
      <c r="H4569">
        <v>-128313755</v>
      </c>
      <c r="I4569">
        <v>739733902</v>
      </c>
      <c r="J4569">
        <v>534598707</v>
      </c>
      <c r="K4569">
        <v>888143979</v>
      </c>
      <c r="L4569">
        <v>-297445827</v>
      </c>
      <c r="M4569">
        <v>-308349733</v>
      </c>
      <c r="N4569">
        <v>354945649</v>
      </c>
      <c r="O4569">
        <v>472834001</v>
      </c>
      <c r="P4569">
        <v>180</v>
      </c>
      <c r="Q4569" t="s">
        <v>9487</v>
      </c>
    </row>
    <row r="4570" spans="1:17" x14ac:dyDescent="0.3">
      <c r="A4570" t="s">
        <v>59</v>
      </c>
      <c r="B4570" t="str">
        <f>"300081"</f>
        <v>300081</v>
      </c>
      <c r="C4570" t="s">
        <v>9488</v>
      </c>
      <c r="D4570" t="s">
        <v>4468</v>
      </c>
      <c r="F4570">
        <v>-8142491</v>
      </c>
      <c r="G4570">
        <v>-35490156</v>
      </c>
      <c r="H4570">
        <v>-128602624</v>
      </c>
      <c r="I4570">
        <v>4015174</v>
      </c>
      <c r="J4570">
        <v>-83277810</v>
      </c>
      <c r="K4570">
        <v>2757276</v>
      </c>
      <c r="L4570">
        <v>30595420</v>
      </c>
      <c r="M4570">
        <v>47448800</v>
      </c>
      <c r="N4570">
        <v>49487499</v>
      </c>
      <c r="O4570">
        <v>-98150936</v>
      </c>
      <c r="P4570">
        <v>160</v>
      </c>
      <c r="Q4570" t="s">
        <v>9489</v>
      </c>
    </row>
    <row r="4571" spans="1:17" x14ac:dyDescent="0.3">
      <c r="A4571" t="s">
        <v>59</v>
      </c>
      <c r="B4571" t="str">
        <f>"002515"</f>
        <v>002515</v>
      </c>
      <c r="C4571" t="s">
        <v>9490</v>
      </c>
      <c r="D4571" t="s">
        <v>514</v>
      </c>
      <c r="F4571">
        <v>277224526</v>
      </c>
      <c r="G4571">
        <v>-233088191</v>
      </c>
      <c r="H4571">
        <v>-129215512</v>
      </c>
      <c r="I4571">
        <v>-123723951</v>
      </c>
      <c r="J4571">
        <v>18600742</v>
      </c>
      <c r="K4571">
        <v>100372672</v>
      </c>
      <c r="L4571">
        <v>106840509</v>
      </c>
      <c r="M4571">
        <v>19767943</v>
      </c>
      <c r="N4571">
        <v>13921885</v>
      </c>
      <c r="O4571">
        <v>35395466</v>
      </c>
      <c r="P4571">
        <v>296</v>
      </c>
      <c r="Q4571" t="s">
        <v>9491</v>
      </c>
    </row>
    <row r="4572" spans="1:17" x14ac:dyDescent="0.3">
      <c r="A4572" t="s">
        <v>17</v>
      </c>
      <c r="B4572" t="str">
        <f>"600289"</f>
        <v>600289</v>
      </c>
      <c r="C4572" t="s">
        <v>9492</v>
      </c>
      <c r="D4572" t="s">
        <v>2057</v>
      </c>
      <c r="F4572">
        <v>-121387390</v>
      </c>
      <c r="G4572">
        <v>597036701</v>
      </c>
      <c r="H4572">
        <v>-129695452</v>
      </c>
      <c r="I4572">
        <v>-18647443</v>
      </c>
      <c r="J4572">
        <v>-1343228279</v>
      </c>
      <c r="K4572">
        <v>111155361</v>
      </c>
      <c r="L4572">
        <v>143057376</v>
      </c>
      <c r="M4572">
        <v>223360971</v>
      </c>
      <c r="N4572">
        <v>213059049</v>
      </c>
      <c r="O4572">
        <v>280524355</v>
      </c>
      <c r="P4572">
        <v>74</v>
      </c>
      <c r="Q4572" t="s">
        <v>9493</v>
      </c>
    </row>
    <row r="4573" spans="1:17" x14ac:dyDescent="0.3">
      <c r="A4573" t="s">
        <v>17</v>
      </c>
      <c r="B4573" t="str">
        <f>"603003"</f>
        <v>603003</v>
      </c>
      <c r="C4573" t="s">
        <v>9494</v>
      </c>
      <c r="D4573" t="s">
        <v>1189</v>
      </c>
      <c r="F4573">
        <v>40766184</v>
      </c>
      <c r="G4573">
        <v>336062240</v>
      </c>
      <c r="H4573">
        <v>-130858553</v>
      </c>
      <c r="I4573">
        <v>697631331</v>
      </c>
      <c r="J4573">
        <v>-852777111</v>
      </c>
      <c r="K4573">
        <v>583599050</v>
      </c>
      <c r="L4573">
        <v>-407441786</v>
      </c>
      <c r="M4573">
        <v>234278722</v>
      </c>
      <c r="N4573">
        <v>261037665</v>
      </c>
      <c r="O4573">
        <v>-549160759</v>
      </c>
      <c r="P4573">
        <v>88</v>
      </c>
      <c r="Q4573" t="s">
        <v>9495</v>
      </c>
    </row>
    <row r="4574" spans="1:17" x14ac:dyDescent="0.3">
      <c r="A4574" t="s">
        <v>17</v>
      </c>
      <c r="B4574" t="str">
        <f>"603507"</f>
        <v>603507</v>
      </c>
      <c r="C4574" t="s">
        <v>9496</v>
      </c>
      <c r="D4574" t="s">
        <v>1525</v>
      </c>
      <c r="F4574">
        <v>356708751</v>
      </c>
      <c r="G4574">
        <v>395328839</v>
      </c>
      <c r="H4574">
        <v>-132938715</v>
      </c>
      <c r="I4574">
        <v>97612726</v>
      </c>
      <c r="J4574">
        <v>82805107</v>
      </c>
      <c r="K4574">
        <v>69637886</v>
      </c>
      <c r="L4574">
        <v>-62352511</v>
      </c>
      <c r="M4574">
        <v>-16799017</v>
      </c>
      <c r="P4574">
        <v>135</v>
      </c>
      <c r="Q4574" t="s">
        <v>9497</v>
      </c>
    </row>
    <row r="4575" spans="1:17" x14ac:dyDescent="0.3">
      <c r="A4575" t="s">
        <v>17</v>
      </c>
      <c r="B4575" t="str">
        <f>"600821"</f>
        <v>600821</v>
      </c>
      <c r="C4575" t="s">
        <v>9498</v>
      </c>
      <c r="D4575" t="s">
        <v>1361</v>
      </c>
      <c r="F4575">
        <v>875804052</v>
      </c>
      <c r="G4575">
        <v>759936344</v>
      </c>
      <c r="H4575">
        <v>-132968606</v>
      </c>
      <c r="I4575">
        <v>-4841455</v>
      </c>
      <c r="J4575">
        <v>-121622721</v>
      </c>
      <c r="K4575">
        <v>-135691567</v>
      </c>
      <c r="L4575">
        <v>-58043403</v>
      </c>
      <c r="M4575">
        <v>139534971</v>
      </c>
      <c r="N4575">
        <v>-105477485</v>
      </c>
      <c r="O4575">
        <v>51214458</v>
      </c>
      <c r="P4575">
        <v>125</v>
      </c>
      <c r="Q4575" t="s">
        <v>9499</v>
      </c>
    </row>
    <row r="4576" spans="1:17" x14ac:dyDescent="0.3">
      <c r="A4576" t="s">
        <v>59</v>
      </c>
      <c r="B4576" t="str">
        <f>"300368"</f>
        <v>300368</v>
      </c>
      <c r="C4576" t="s">
        <v>9500</v>
      </c>
      <c r="D4576" t="s">
        <v>707</v>
      </c>
      <c r="F4576">
        <v>4106510</v>
      </c>
      <c r="G4576">
        <v>-435227337</v>
      </c>
      <c r="H4576">
        <v>-134384800</v>
      </c>
      <c r="I4576">
        <v>-42771779</v>
      </c>
      <c r="J4576">
        <v>-89959902</v>
      </c>
      <c r="K4576">
        <v>43239422</v>
      </c>
      <c r="L4576">
        <v>107296558</v>
      </c>
      <c r="M4576">
        <v>37407312</v>
      </c>
      <c r="N4576">
        <v>43799854</v>
      </c>
      <c r="O4576">
        <v>64326144</v>
      </c>
      <c r="P4576">
        <v>119</v>
      </c>
      <c r="Q4576" t="s">
        <v>9501</v>
      </c>
    </row>
    <row r="4577" spans="1:17" x14ac:dyDescent="0.3">
      <c r="A4577" t="s">
        <v>59</v>
      </c>
      <c r="B4577" t="str">
        <f>"002657"</f>
        <v>002657</v>
      </c>
      <c r="C4577" t="s">
        <v>9502</v>
      </c>
      <c r="D4577" t="s">
        <v>1189</v>
      </c>
      <c r="F4577">
        <v>-188140476</v>
      </c>
      <c r="G4577">
        <v>31768305</v>
      </c>
      <c r="H4577">
        <v>-136562563</v>
      </c>
      <c r="I4577">
        <v>-28251609</v>
      </c>
      <c r="J4577">
        <v>108428191</v>
      </c>
      <c r="K4577">
        <v>267550283</v>
      </c>
      <c r="L4577">
        <v>372705131</v>
      </c>
      <c r="M4577">
        <v>242420412</v>
      </c>
      <c r="N4577">
        <v>149966809</v>
      </c>
      <c r="O4577">
        <v>-9874665</v>
      </c>
      <c r="P4577">
        <v>154</v>
      </c>
      <c r="Q4577" t="s">
        <v>9503</v>
      </c>
    </row>
    <row r="4578" spans="1:17" x14ac:dyDescent="0.3">
      <c r="A4578" t="s">
        <v>17</v>
      </c>
      <c r="B4578" t="str">
        <f>"600343"</f>
        <v>600343</v>
      </c>
      <c r="C4578" t="s">
        <v>9504</v>
      </c>
      <c r="D4578" t="s">
        <v>1056</v>
      </c>
      <c r="F4578">
        <v>192286740</v>
      </c>
      <c r="G4578">
        <v>7251547</v>
      </c>
      <c r="H4578">
        <v>-137215373</v>
      </c>
      <c r="I4578">
        <v>146072357</v>
      </c>
      <c r="J4578">
        <v>-105808704</v>
      </c>
      <c r="K4578">
        <v>-111599683</v>
      </c>
      <c r="L4578">
        <v>4150785</v>
      </c>
      <c r="M4578">
        <v>153237813</v>
      </c>
      <c r="N4578">
        <v>76641155</v>
      </c>
      <c r="O4578">
        <v>45954332</v>
      </c>
      <c r="P4578">
        <v>128</v>
      </c>
      <c r="Q4578" t="s">
        <v>9505</v>
      </c>
    </row>
    <row r="4579" spans="1:17" x14ac:dyDescent="0.3">
      <c r="A4579" t="s">
        <v>17</v>
      </c>
      <c r="B4579" t="str">
        <f>"600556"</f>
        <v>600556</v>
      </c>
      <c r="C4579" t="s">
        <v>9506</v>
      </c>
      <c r="D4579" t="s">
        <v>1889</v>
      </c>
      <c r="F4579">
        <v>-437586492</v>
      </c>
      <c r="G4579">
        <v>-315745589</v>
      </c>
      <c r="H4579">
        <v>-137462058</v>
      </c>
      <c r="I4579">
        <v>-31286246</v>
      </c>
      <c r="J4579">
        <v>45538550</v>
      </c>
      <c r="K4579">
        <v>7906690</v>
      </c>
      <c r="L4579">
        <v>-92438722</v>
      </c>
      <c r="M4579">
        <v>-2521866</v>
      </c>
      <c r="N4579">
        <v>5929507</v>
      </c>
      <c r="O4579">
        <v>1263641</v>
      </c>
      <c r="P4579">
        <v>218</v>
      </c>
      <c r="Q4579" t="s">
        <v>9507</v>
      </c>
    </row>
    <row r="4580" spans="1:17" x14ac:dyDescent="0.3">
      <c r="A4580" t="s">
        <v>59</v>
      </c>
      <c r="B4580" t="str">
        <f>"000948"</f>
        <v>000948</v>
      </c>
      <c r="C4580" t="s">
        <v>9508</v>
      </c>
      <c r="D4580" t="s">
        <v>1528</v>
      </c>
      <c r="F4580">
        <v>-153190988</v>
      </c>
      <c r="G4580">
        <v>251167837</v>
      </c>
      <c r="H4580">
        <v>-138408692</v>
      </c>
      <c r="I4580">
        <v>53020569</v>
      </c>
      <c r="J4580">
        <v>-56143819</v>
      </c>
      <c r="K4580">
        <v>69283233</v>
      </c>
      <c r="L4580">
        <v>73117215</v>
      </c>
      <c r="M4580">
        <v>-28243104</v>
      </c>
      <c r="N4580">
        <v>133754830</v>
      </c>
      <c r="O4580">
        <v>-20970944</v>
      </c>
      <c r="P4580">
        <v>213</v>
      </c>
      <c r="Q4580" t="s">
        <v>9509</v>
      </c>
    </row>
    <row r="4581" spans="1:17" x14ac:dyDescent="0.3">
      <c r="A4581" t="s">
        <v>17</v>
      </c>
      <c r="B4581" t="str">
        <f>"603680"</f>
        <v>603680</v>
      </c>
      <c r="C4581" t="s">
        <v>9510</v>
      </c>
      <c r="D4581" t="s">
        <v>165</v>
      </c>
      <c r="F4581">
        <v>368715402</v>
      </c>
      <c r="G4581">
        <v>701607730</v>
      </c>
      <c r="H4581">
        <v>-139802405</v>
      </c>
      <c r="I4581">
        <v>429098094</v>
      </c>
      <c r="J4581">
        <v>-32692077</v>
      </c>
      <c r="K4581">
        <v>153539770</v>
      </c>
      <c r="L4581">
        <v>369595821</v>
      </c>
      <c r="M4581">
        <v>506593722</v>
      </c>
      <c r="P4581">
        <v>81</v>
      </c>
      <c r="Q4581" t="s">
        <v>9511</v>
      </c>
    </row>
    <row r="4582" spans="1:17" x14ac:dyDescent="0.3">
      <c r="A4582" t="s">
        <v>17</v>
      </c>
      <c r="B4582" t="str">
        <f>"688066"</f>
        <v>688066</v>
      </c>
      <c r="C4582" t="s">
        <v>9512</v>
      </c>
      <c r="D4582" t="s">
        <v>1189</v>
      </c>
      <c r="F4582">
        <v>-119009155</v>
      </c>
      <c r="G4582">
        <v>75360208</v>
      </c>
      <c r="H4582">
        <v>-140804246</v>
      </c>
      <c r="I4582">
        <v>-11458302</v>
      </c>
      <c r="J4582">
        <v>4132883</v>
      </c>
      <c r="K4582">
        <v>-44652883</v>
      </c>
      <c r="P4582">
        <v>159</v>
      </c>
      <c r="Q4582" t="s">
        <v>9513</v>
      </c>
    </row>
    <row r="4583" spans="1:17" x14ac:dyDescent="0.3">
      <c r="A4583" t="s">
        <v>17</v>
      </c>
      <c r="B4583" t="str">
        <f>"600771"</f>
        <v>600771</v>
      </c>
      <c r="C4583" t="s">
        <v>9514</v>
      </c>
      <c r="D4583" t="s">
        <v>455</v>
      </c>
      <c r="F4583">
        <v>81368872</v>
      </c>
      <c r="G4583">
        <v>-75524827</v>
      </c>
      <c r="H4583">
        <v>-140819718</v>
      </c>
      <c r="I4583">
        <v>-297970260</v>
      </c>
      <c r="J4583">
        <v>-183673210</v>
      </c>
      <c r="K4583">
        <v>-211787125</v>
      </c>
      <c r="L4583">
        <v>-60007557</v>
      </c>
      <c r="M4583">
        <v>-45097349</v>
      </c>
      <c r="N4583">
        <v>-18795820</v>
      </c>
      <c r="O4583">
        <v>-19167625</v>
      </c>
      <c r="P4583">
        <v>477</v>
      </c>
      <c r="Q4583" t="s">
        <v>9515</v>
      </c>
    </row>
    <row r="4584" spans="1:17" x14ac:dyDescent="0.3">
      <c r="A4584" t="s">
        <v>17</v>
      </c>
      <c r="B4584" t="str">
        <f>"605303"</f>
        <v>605303</v>
      </c>
      <c r="C4584" t="s">
        <v>9516</v>
      </c>
      <c r="D4584" t="s">
        <v>1489</v>
      </c>
      <c r="F4584">
        <v>-231986187</v>
      </c>
      <c r="G4584">
        <v>17676264</v>
      </c>
      <c r="H4584">
        <v>-140833069</v>
      </c>
      <c r="I4584">
        <v>20306807</v>
      </c>
      <c r="J4584">
        <v>86691163</v>
      </c>
      <c r="P4584">
        <v>28</v>
      </c>
      <c r="Q4584" t="s">
        <v>9517</v>
      </c>
    </row>
    <row r="4585" spans="1:17" x14ac:dyDescent="0.3">
      <c r="A4585" t="s">
        <v>17</v>
      </c>
      <c r="B4585" t="str">
        <f>"603150"</f>
        <v>603150</v>
      </c>
      <c r="C4585" t="s">
        <v>9518</v>
      </c>
      <c r="F4585">
        <v>32791181</v>
      </c>
      <c r="G4585">
        <v>-123445314</v>
      </c>
      <c r="H4585">
        <v>-140939251</v>
      </c>
      <c r="I4585">
        <v>-45524229</v>
      </c>
      <c r="P4585">
        <v>5</v>
      </c>
      <c r="Q4585" t="s">
        <v>9519</v>
      </c>
    </row>
    <row r="4586" spans="1:17" x14ac:dyDescent="0.3">
      <c r="A4586" t="s">
        <v>17</v>
      </c>
      <c r="B4586" t="str">
        <f>"600783"</f>
        <v>600783</v>
      </c>
      <c r="C4586" t="s">
        <v>9520</v>
      </c>
      <c r="D4586" t="s">
        <v>672</v>
      </c>
      <c r="F4586">
        <v>-71128069</v>
      </c>
      <c r="G4586">
        <v>-109147270</v>
      </c>
      <c r="H4586">
        <v>-141370345</v>
      </c>
      <c r="I4586">
        <v>-131602947</v>
      </c>
      <c r="J4586">
        <v>-185166546</v>
      </c>
      <c r="K4586">
        <v>-109221451</v>
      </c>
      <c r="L4586">
        <v>-128295796</v>
      </c>
      <c r="M4586">
        <v>-149035388</v>
      </c>
      <c r="N4586">
        <v>-90632625</v>
      </c>
      <c r="O4586">
        <v>-20916237</v>
      </c>
      <c r="P4586">
        <v>124</v>
      </c>
      <c r="Q4586" t="s">
        <v>9521</v>
      </c>
    </row>
    <row r="4587" spans="1:17" x14ac:dyDescent="0.3">
      <c r="A4587" t="s">
        <v>17</v>
      </c>
      <c r="B4587" t="str">
        <f>"603236"</f>
        <v>603236</v>
      </c>
      <c r="C4587" t="s">
        <v>9522</v>
      </c>
      <c r="D4587" t="s">
        <v>1650</v>
      </c>
      <c r="F4587">
        <v>-488101816</v>
      </c>
      <c r="G4587">
        <v>-398540204</v>
      </c>
      <c r="H4587">
        <v>-143946666</v>
      </c>
      <c r="I4587">
        <v>84305901</v>
      </c>
      <c r="J4587">
        <v>16900382</v>
      </c>
      <c r="K4587">
        <v>-53880373</v>
      </c>
      <c r="P4587">
        <v>589</v>
      </c>
      <c r="Q4587" t="s">
        <v>9523</v>
      </c>
    </row>
    <row r="4588" spans="1:17" x14ac:dyDescent="0.3">
      <c r="A4588" t="s">
        <v>17</v>
      </c>
      <c r="B4588" t="str">
        <f>"601500"</f>
        <v>601500</v>
      </c>
      <c r="C4588" t="s">
        <v>9524</v>
      </c>
      <c r="D4588" t="s">
        <v>767</v>
      </c>
      <c r="F4588">
        <v>-62132289</v>
      </c>
      <c r="G4588">
        <v>157034837</v>
      </c>
      <c r="H4588">
        <v>-145114510</v>
      </c>
      <c r="I4588">
        <v>165069747</v>
      </c>
      <c r="J4588">
        <v>341644264</v>
      </c>
      <c r="K4588">
        <v>210424732</v>
      </c>
      <c r="L4588">
        <v>199606887</v>
      </c>
      <c r="M4588">
        <v>78126089</v>
      </c>
      <c r="N4588">
        <v>581599192</v>
      </c>
      <c r="P4588">
        <v>85</v>
      </c>
      <c r="Q4588" t="s">
        <v>9525</v>
      </c>
    </row>
    <row r="4589" spans="1:17" x14ac:dyDescent="0.3">
      <c r="A4589" t="s">
        <v>59</v>
      </c>
      <c r="B4589" t="str">
        <f>"300337"</f>
        <v>300337</v>
      </c>
      <c r="C4589" t="s">
        <v>9526</v>
      </c>
      <c r="D4589" t="s">
        <v>238</v>
      </c>
      <c r="F4589">
        <v>69662348</v>
      </c>
      <c r="G4589">
        <v>165196283</v>
      </c>
      <c r="H4589">
        <v>-146117687</v>
      </c>
      <c r="I4589">
        <v>147789158</v>
      </c>
      <c r="J4589">
        <v>-63681414</v>
      </c>
      <c r="K4589">
        <v>-248229327</v>
      </c>
      <c r="L4589">
        <v>-285369316</v>
      </c>
      <c r="M4589">
        <v>-108874512</v>
      </c>
      <c r="N4589">
        <v>83141772</v>
      </c>
      <c r="O4589">
        <v>48374813</v>
      </c>
      <c r="P4589">
        <v>142</v>
      </c>
      <c r="Q4589" t="s">
        <v>9527</v>
      </c>
    </row>
    <row r="4590" spans="1:17" x14ac:dyDescent="0.3">
      <c r="A4590" t="s">
        <v>59</v>
      </c>
      <c r="B4590" t="str">
        <f>"300692"</f>
        <v>300692</v>
      </c>
      <c r="C4590" t="s">
        <v>9528</v>
      </c>
      <c r="D4590" t="s">
        <v>669</v>
      </c>
      <c r="F4590">
        <v>119436263</v>
      </c>
      <c r="G4590">
        <v>-174377868</v>
      </c>
      <c r="H4590">
        <v>-146269025</v>
      </c>
      <c r="I4590">
        <v>-223997871</v>
      </c>
      <c r="J4590">
        <v>-92453544</v>
      </c>
      <c r="K4590">
        <v>79455116</v>
      </c>
      <c r="L4590">
        <v>-68900624</v>
      </c>
      <c r="M4590">
        <v>27248891</v>
      </c>
      <c r="P4590">
        <v>162</v>
      </c>
      <c r="Q4590" t="s">
        <v>9529</v>
      </c>
    </row>
    <row r="4591" spans="1:17" x14ac:dyDescent="0.3">
      <c r="A4591" t="s">
        <v>59</v>
      </c>
      <c r="B4591" t="str">
        <f>"002264"</f>
        <v>002264</v>
      </c>
      <c r="C4591" t="s">
        <v>9530</v>
      </c>
      <c r="D4591" t="s">
        <v>1147</v>
      </c>
      <c r="F4591">
        <v>240950565</v>
      </c>
      <c r="G4591">
        <v>123279723</v>
      </c>
      <c r="H4591">
        <v>-147481417</v>
      </c>
      <c r="I4591">
        <v>-67762577</v>
      </c>
      <c r="J4591">
        <v>-1291835</v>
      </c>
      <c r="K4591">
        <v>-168445179</v>
      </c>
      <c r="L4591">
        <v>-88326003</v>
      </c>
      <c r="M4591">
        <v>-215825929</v>
      </c>
      <c r="N4591">
        <v>175707998</v>
      </c>
      <c r="O4591">
        <v>463154109</v>
      </c>
      <c r="P4591">
        <v>96</v>
      </c>
      <c r="Q4591" t="s">
        <v>9531</v>
      </c>
    </row>
    <row r="4592" spans="1:17" x14ac:dyDescent="0.3">
      <c r="A4592" t="s">
        <v>17</v>
      </c>
      <c r="B4592" t="str">
        <f>"600158"</f>
        <v>600158</v>
      </c>
      <c r="C4592" t="s">
        <v>9532</v>
      </c>
      <c r="D4592" t="s">
        <v>3293</v>
      </c>
      <c r="F4592">
        <v>-234638517</v>
      </c>
      <c r="G4592">
        <v>116707459</v>
      </c>
      <c r="H4592">
        <v>-149379982</v>
      </c>
      <c r="I4592">
        <v>433003906</v>
      </c>
      <c r="J4592">
        <v>214469886</v>
      </c>
      <c r="K4592">
        <v>229997524</v>
      </c>
      <c r="L4592">
        <v>21933814</v>
      </c>
      <c r="M4592">
        <v>-32838845</v>
      </c>
      <c r="N4592">
        <v>-94273969</v>
      </c>
      <c r="O4592">
        <v>-99158673</v>
      </c>
      <c r="P4592">
        <v>166</v>
      </c>
      <c r="Q4592" t="s">
        <v>9533</v>
      </c>
    </row>
    <row r="4593" spans="1:17" x14ac:dyDescent="0.3">
      <c r="A4593" t="s">
        <v>59</v>
      </c>
      <c r="B4593" t="str">
        <f>"000909"</f>
        <v>000909</v>
      </c>
      <c r="C4593" t="s">
        <v>9534</v>
      </c>
      <c r="D4593" t="s">
        <v>61</v>
      </c>
      <c r="F4593">
        <v>231509237</v>
      </c>
      <c r="G4593">
        <v>117320090</v>
      </c>
      <c r="H4593">
        <v>-149758777</v>
      </c>
      <c r="I4593">
        <v>550985477</v>
      </c>
      <c r="J4593">
        <v>-76586851</v>
      </c>
      <c r="K4593">
        <v>760250623</v>
      </c>
      <c r="L4593">
        <v>-371849901</v>
      </c>
      <c r="M4593">
        <v>10852472</v>
      </c>
      <c r="N4593">
        <v>-610334529</v>
      </c>
      <c r="O4593">
        <v>25465338</v>
      </c>
      <c r="P4593">
        <v>206</v>
      </c>
      <c r="Q4593" t="s">
        <v>9535</v>
      </c>
    </row>
    <row r="4594" spans="1:17" x14ac:dyDescent="0.3">
      <c r="A4594" t="s">
        <v>17</v>
      </c>
      <c r="B4594" t="str">
        <f>"688379"</f>
        <v>688379</v>
      </c>
      <c r="C4594" t="s">
        <v>9536</v>
      </c>
      <c r="D4594" t="s">
        <v>637</v>
      </c>
      <c r="F4594">
        <v>-485838751</v>
      </c>
      <c r="G4594">
        <v>-335222133</v>
      </c>
      <c r="H4594">
        <v>-150127850</v>
      </c>
      <c r="I4594">
        <v>-188414191</v>
      </c>
      <c r="J4594">
        <v>-87228485</v>
      </c>
      <c r="K4594">
        <v>-77434930</v>
      </c>
      <c r="P4594">
        <v>36</v>
      </c>
      <c r="Q4594" t="s">
        <v>9537</v>
      </c>
    </row>
    <row r="4595" spans="1:17" x14ac:dyDescent="0.3">
      <c r="A4595" t="s">
        <v>59</v>
      </c>
      <c r="B4595" t="str">
        <f>"300600"</f>
        <v>300600</v>
      </c>
      <c r="C4595" t="s">
        <v>9538</v>
      </c>
      <c r="D4595" t="s">
        <v>614</v>
      </c>
      <c r="F4595">
        <v>-60155146</v>
      </c>
      <c r="G4595">
        <v>-32319718</v>
      </c>
      <c r="H4595">
        <v>-151144501</v>
      </c>
      <c r="I4595">
        <v>38867411</v>
      </c>
      <c r="J4595">
        <v>5380067</v>
      </c>
      <c r="K4595">
        <v>76203301</v>
      </c>
      <c r="L4595">
        <v>85124736</v>
      </c>
      <c r="M4595">
        <v>64233386</v>
      </c>
      <c r="N4595">
        <v>54956392</v>
      </c>
      <c r="P4595">
        <v>101</v>
      </c>
      <c r="Q4595" t="s">
        <v>9539</v>
      </c>
    </row>
    <row r="4596" spans="1:17" x14ac:dyDescent="0.3">
      <c r="A4596" t="s">
        <v>17</v>
      </c>
      <c r="B4596" t="str">
        <f>"688185"</f>
        <v>688185</v>
      </c>
      <c r="C4596" t="s">
        <v>9540</v>
      </c>
      <c r="D4596" t="s">
        <v>1413</v>
      </c>
      <c r="F4596">
        <v>2049999000</v>
      </c>
      <c r="G4596">
        <v>-349933695</v>
      </c>
      <c r="H4596">
        <v>-154248057</v>
      </c>
      <c r="I4596">
        <v>-123640313</v>
      </c>
      <c r="J4596">
        <v>-32646773</v>
      </c>
      <c r="K4596">
        <v>-19513460</v>
      </c>
      <c r="P4596">
        <v>266</v>
      </c>
      <c r="Q4596" t="s">
        <v>9541</v>
      </c>
    </row>
    <row r="4597" spans="1:17" x14ac:dyDescent="0.3">
      <c r="A4597" t="s">
        <v>59</v>
      </c>
      <c r="B4597" t="str">
        <f>"002494"</f>
        <v>002494</v>
      </c>
      <c r="C4597" t="s">
        <v>9542</v>
      </c>
      <c r="D4597" t="s">
        <v>646</v>
      </c>
      <c r="F4597">
        <v>-17015333</v>
      </c>
      <c r="G4597">
        <v>103497808</v>
      </c>
      <c r="H4597">
        <v>-156755683</v>
      </c>
      <c r="I4597">
        <v>-200413923</v>
      </c>
      <c r="J4597">
        <v>225360497</v>
      </c>
      <c r="K4597">
        <v>49520431</v>
      </c>
      <c r="L4597">
        <v>48603438</v>
      </c>
      <c r="M4597">
        <v>-274339606</v>
      </c>
      <c r="N4597">
        <v>76106090</v>
      </c>
      <c r="O4597">
        <v>-5519175</v>
      </c>
      <c r="P4597">
        <v>81</v>
      </c>
      <c r="Q4597" t="s">
        <v>9543</v>
      </c>
    </row>
    <row r="4598" spans="1:17" x14ac:dyDescent="0.3">
      <c r="A4598" t="s">
        <v>17</v>
      </c>
      <c r="B4598" t="str">
        <f>"603768"</f>
        <v>603768</v>
      </c>
      <c r="C4598" t="s">
        <v>9544</v>
      </c>
      <c r="D4598" t="s">
        <v>1226</v>
      </c>
      <c r="F4598">
        <v>-21338645</v>
      </c>
      <c r="G4598">
        <v>-691888</v>
      </c>
      <c r="H4598">
        <v>-158342054</v>
      </c>
      <c r="I4598">
        <v>-15639146</v>
      </c>
      <c r="J4598">
        <v>-7738620</v>
      </c>
      <c r="K4598">
        <v>54512508</v>
      </c>
      <c r="L4598">
        <v>102309073</v>
      </c>
      <c r="M4598">
        <v>186396796</v>
      </c>
      <c r="P4598">
        <v>58</v>
      </c>
      <c r="Q4598" t="s">
        <v>9545</v>
      </c>
    </row>
    <row r="4599" spans="1:17" x14ac:dyDescent="0.3">
      <c r="A4599" t="s">
        <v>17</v>
      </c>
      <c r="B4599" t="str">
        <f>"601677"</f>
        <v>601677</v>
      </c>
      <c r="C4599" t="s">
        <v>9546</v>
      </c>
      <c r="D4599" t="s">
        <v>238</v>
      </c>
      <c r="F4599">
        <v>2066725322</v>
      </c>
      <c r="G4599">
        <v>875288431</v>
      </c>
      <c r="H4599">
        <v>-160908309</v>
      </c>
      <c r="I4599">
        <v>30289798</v>
      </c>
      <c r="J4599">
        <v>-280689213</v>
      </c>
      <c r="K4599">
        <v>69697636</v>
      </c>
      <c r="L4599">
        <v>-109091117</v>
      </c>
      <c r="M4599">
        <v>812819912</v>
      </c>
      <c r="N4599">
        <v>-143692157</v>
      </c>
      <c r="O4599">
        <v>32095024</v>
      </c>
      <c r="P4599">
        <v>370</v>
      </c>
      <c r="Q4599" t="s">
        <v>9547</v>
      </c>
    </row>
    <row r="4600" spans="1:17" x14ac:dyDescent="0.3">
      <c r="A4600" t="s">
        <v>59</v>
      </c>
      <c r="B4600" t="str">
        <f>"000584"</f>
        <v>000584</v>
      </c>
      <c r="C4600" t="s">
        <v>9548</v>
      </c>
      <c r="D4600" t="s">
        <v>3323</v>
      </c>
      <c r="F4600">
        <v>-41674404</v>
      </c>
      <c r="G4600">
        <v>953118</v>
      </c>
      <c r="H4600">
        <v>-162470586</v>
      </c>
      <c r="I4600">
        <v>204097393</v>
      </c>
      <c r="J4600">
        <v>397845983</v>
      </c>
      <c r="K4600">
        <v>-76104784</v>
      </c>
      <c r="L4600">
        <v>201108348</v>
      </c>
      <c r="M4600">
        <v>188357223</v>
      </c>
      <c r="N4600">
        <v>305047396</v>
      </c>
      <c r="O4600">
        <v>-71602940</v>
      </c>
      <c r="P4600">
        <v>134</v>
      </c>
      <c r="Q4600" t="s">
        <v>9549</v>
      </c>
    </row>
    <row r="4601" spans="1:17" x14ac:dyDescent="0.3">
      <c r="A4601" t="s">
        <v>59</v>
      </c>
      <c r="B4601" t="str">
        <f>"301030"</f>
        <v>301030</v>
      </c>
      <c r="C4601" t="s">
        <v>9550</v>
      </c>
      <c r="D4601" t="s">
        <v>1337</v>
      </c>
      <c r="F4601">
        <v>-209812902</v>
      </c>
      <c r="G4601">
        <v>-20658291</v>
      </c>
      <c r="H4601">
        <v>-162638489</v>
      </c>
      <c r="I4601">
        <v>61402955</v>
      </c>
      <c r="J4601">
        <v>-67404041</v>
      </c>
      <c r="K4601">
        <v>-72481900</v>
      </c>
      <c r="P4601">
        <v>19</v>
      </c>
      <c r="Q4601" t="s">
        <v>9551</v>
      </c>
    </row>
    <row r="4602" spans="1:17" x14ac:dyDescent="0.3">
      <c r="A4602" t="s">
        <v>17</v>
      </c>
      <c r="B4602" t="str">
        <f>"600790"</f>
        <v>600790</v>
      </c>
      <c r="C4602" t="s">
        <v>9552</v>
      </c>
      <c r="D4602" t="s">
        <v>548</v>
      </c>
      <c r="F4602">
        <v>222451444</v>
      </c>
      <c r="G4602">
        <v>-105479556</v>
      </c>
      <c r="H4602">
        <v>-163893705</v>
      </c>
      <c r="I4602">
        <v>1632075334</v>
      </c>
      <c r="J4602">
        <v>11149053</v>
      </c>
      <c r="K4602">
        <v>387958404</v>
      </c>
      <c r="L4602">
        <v>-75614857</v>
      </c>
      <c r="M4602">
        <v>-165588452</v>
      </c>
      <c r="N4602">
        <v>788821842</v>
      </c>
      <c r="O4602">
        <v>981211243</v>
      </c>
      <c r="P4602">
        <v>184</v>
      </c>
      <c r="Q4602" t="s">
        <v>9553</v>
      </c>
    </row>
    <row r="4603" spans="1:17" x14ac:dyDescent="0.3">
      <c r="A4603" t="s">
        <v>17</v>
      </c>
      <c r="B4603" t="str">
        <f>"688246"</f>
        <v>688246</v>
      </c>
      <c r="C4603" t="s">
        <v>9554</v>
      </c>
      <c r="D4603" t="s">
        <v>1528</v>
      </c>
      <c r="F4603">
        <v>-197488721</v>
      </c>
      <c r="G4603">
        <v>-60238827</v>
      </c>
      <c r="H4603">
        <v>-163973145</v>
      </c>
      <c r="I4603">
        <v>-123982217</v>
      </c>
      <c r="J4603">
        <v>-45272162</v>
      </c>
      <c r="P4603">
        <v>12</v>
      </c>
      <c r="Q4603" t="s">
        <v>9555</v>
      </c>
    </row>
    <row r="4604" spans="1:17" x14ac:dyDescent="0.3">
      <c r="A4604" t="s">
        <v>59</v>
      </c>
      <c r="B4604" t="str">
        <f>"300104"</f>
        <v>300104</v>
      </c>
      <c r="C4604" t="s">
        <v>9556</v>
      </c>
      <c r="H4604">
        <v>-165140392</v>
      </c>
      <c r="I4604">
        <v>-1074788919</v>
      </c>
      <c r="J4604">
        <v>-2640545383</v>
      </c>
      <c r="K4604">
        <v>-1068060769</v>
      </c>
      <c r="L4604">
        <v>875701876.46000004</v>
      </c>
      <c r="M4604">
        <v>234182733.96000001</v>
      </c>
      <c r="N4604">
        <v>175851396.59</v>
      </c>
      <c r="O4604">
        <v>106199921.42</v>
      </c>
      <c r="P4604">
        <v>205</v>
      </c>
      <c r="Q4604" t="s">
        <v>9557</v>
      </c>
    </row>
    <row r="4605" spans="1:17" x14ac:dyDescent="0.3">
      <c r="A4605" t="s">
        <v>59</v>
      </c>
      <c r="B4605" t="str">
        <f>"300569"</f>
        <v>300569</v>
      </c>
      <c r="C4605" t="s">
        <v>9558</v>
      </c>
      <c r="D4605" t="s">
        <v>1525</v>
      </c>
      <c r="F4605">
        <v>-418883513</v>
      </c>
      <c r="G4605">
        <v>377116557</v>
      </c>
      <c r="H4605">
        <v>-165867761</v>
      </c>
      <c r="I4605">
        <v>-293482802</v>
      </c>
      <c r="J4605">
        <v>130604020</v>
      </c>
      <c r="K4605">
        <v>-21460092</v>
      </c>
      <c r="L4605">
        <v>180961940</v>
      </c>
      <c r="M4605">
        <v>162489128</v>
      </c>
      <c r="N4605">
        <v>100453963</v>
      </c>
      <c r="P4605">
        <v>201</v>
      </c>
      <c r="Q4605" t="s">
        <v>9559</v>
      </c>
    </row>
    <row r="4606" spans="1:17" x14ac:dyDescent="0.3">
      <c r="A4606" t="s">
        <v>17</v>
      </c>
      <c r="B4606" t="str">
        <f>"600200"</f>
        <v>600200</v>
      </c>
      <c r="C4606" t="s">
        <v>9560</v>
      </c>
      <c r="D4606" t="s">
        <v>592</v>
      </c>
      <c r="F4606">
        <v>447643667</v>
      </c>
      <c r="G4606">
        <v>-414558357</v>
      </c>
      <c r="H4606">
        <v>-166027875</v>
      </c>
      <c r="I4606">
        <v>334027632</v>
      </c>
      <c r="J4606">
        <v>249141522</v>
      </c>
      <c r="K4606">
        <v>693453447</v>
      </c>
      <c r="L4606">
        <v>41110039</v>
      </c>
      <c r="M4606">
        <v>-317701442</v>
      </c>
      <c r="N4606">
        <v>229889693</v>
      </c>
      <c r="O4606">
        <v>438417008</v>
      </c>
      <c r="P4606">
        <v>143</v>
      </c>
      <c r="Q4606" t="s">
        <v>9561</v>
      </c>
    </row>
    <row r="4607" spans="1:17" x14ac:dyDescent="0.3">
      <c r="A4607" t="s">
        <v>17</v>
      </c>
      <c r="B4607" t="str">
        <f>"688165"</f>
        <v>688165</v>
      </c>
      <c r="C4607" t="s">
        <v>9562</v>
      </c>
      <c r="D4607" t="s">
        <v>3323</v>
      </c>
      <c r="F4607">
        <v>-196907163</v>
      </c>
      <c r="G4607">
        <v>-144091551</v>
      </c>
      <c r="H4607">
        <v>-166787857</v>
      </c>
      <c r="I4607">
        <v>-257841306</v>
      </c>
      <c r="J4607">
        <v>-36704795</v>
      </c>
      <c r="K4607">
        <v>11551957</v>
      </c>
      <c r="P4607">
        <v>64</v>
      </c>
      <c r="Q4607" t="s">
        <v>9563</v>
      </c>
    </row>
    <row r="4608" spans="1:17" x14ac:dyDescent="0.3">
      <c r="A4608" t="s">
        <v>59</v>
      </c>
      <c r="B4608" t="str">
        <f>"002166"</f>
        <v>002166</v>
      </c>
      <c r="C4608" t="s">
        <v>9564</v>
      </c>
      <c r="D4608" t="s">
        <v>455</v>
      </c>
      <c r="F4608">
        <v>26240102</v>
      </c>
      <c r="G4608">
        <v>203583342</v>
      </c>
      <c r="H4608">
        <v>-168989371</v>
      </c>
      <c r="I4608">
        <v>-84258786</v>
      </c>
      <c r="J4608">
        <v>238744093</v>
      </c>
      <c r="K4608">
        <v>-50072167</v>
      </c>
      <c r="L4608">
        <v>15637001</v>
      </c>
      <c r="M4608">
        <v>90992863</v>
      </c>
      <c r="N4608">
        <v>-66318876</v>
      </c>
      <c r="O4608">
        <v>-214297662</v>
      </c>
      <c r="P4608">
        <v>200</v>
      </c>
      <c r="Q4608" t="s">
        <v>9565</v>
      </c>
    </row>
    <row r="4609" spans="1:17" x14ac:dyDescent="0.3">
      <c r="A4609" t="s">
        <v>59</v>
      </c>
      <c r="B4609" t="str">
        <f>"301131"</f>
        <v>301131</v>
      </c>
      <c r="C4609" t="s">
        <v>9566</v>
      </c>
      <c r="F4609">
        <v>-128695917</v>
      </c>
      <c r="G4609">
        <v>-132056488</v>
      </c>
      <c r="H4609">
        <v>-169140499</v>
      </c>
      <c r="I4609">
        <v>-194022614</v>
      </c>
      <c r="J4609">
        <v>-178812488</v>
      </c>
      <c r="P4609">
        <v>4</v>
      </c>
      <c r="Q4609" t="s">
        <v>9567</v>
      </c>
    </row>
    <row r="4610" spans="1:17" x14ac:dyDescent="0.3">
      <c r="A4610" t="s">
        <v>59</v>
      </c>
      <c r="B4610" t="str">
        <f>"002255"</f>
        <v>002255</v>
      </c>
      <c r="C4610" t="s">
        <v>9568</v>
      </c>
      <c r="D4610" t="s">
        <v>1851</v>
      </c>
      <c r="F4610">
        <v>155824003</v>
      </c>
      <c r="G4610">
        <v>379974332</v>
      </c>
      <c r="H4610">
        <v>-169643445</v>
      </c>
      <c r="I4610">
        <v>227618394</v>
      </c>
      <c r="J4610">
        <v>251322781</v>
      </c>
      <c r="K4610">
        <v>53083966</v>
      </c>
      <c r="L4610">
        <v>98246386</v>
      </c>
      <c r="M4610">
        <v>-5009306</v>
      </c>
      <c r="N4610">
        <v>-6690518</v>
      </c>
      <c r="O4610">
        <v>3321391</v>
      </c>
      <c r="P4610">
        <v>107</v>
      </c>
      <c r="Q4610" t="s">
        <v>9569</v>
      </c>
    </row>
    <row r="4611" spans="1:17" x14ac:dyDescent="0.3">
      <c r="A4611" t="s">
        <v>17</v>
      </c>
      <c r="B4611" t="str">
        <f>"688339"</f>
        <v>688339</v>
      </c>
      <c r="C4611" t="s">
        <v>9570</v>
      </c>
      <c r="D4611" t="s">
        <v>9571</v>
      </c>
      <c r="F4611">
        <v>-121307531</v>
      </c>
      <c r="G4611">
        <v>-229504339</v>
      </c>
      <c r="H4611">
        <v>-169969746</v>
      </c>
      <c r="I4611">
        <v>-78539074</v>
      </c>
      <c r="J4611">
        <v>-168914708</v>
      </c>
      <c r="K4611">
        <v>-80633536</v>
      </c>
      <c r="P4611">
        <v>153</v>
      </c>
      <c r="Q4611" t="s">
        <v>9572</v>
      </c>
    </row>
    <row r="4612" spans="1:17" x14ac:dyDescent="0.3">
      <c r="A4612" t="s">
        <v>59</v>
      </c>
      <c r="B4612" t="str">
        <f>"002595"</f>
        <v>002595</v>
      </c>
      <c r="C4612" t="s">
        <v>9573</v>
      </c>
      <c r="D4612" t="s">
        <v>1351</v>
      </c>
      <c r="F4612">
        <v>118375581</v>
      </c>
      <c r="G4612">
        <v>-127801322</v>
      </c>
      <c r="H4612">
        <v>-171173892</v>
      </c>
      <c r="I4612">
        <v>217470168</v>
      </c>
      <c r="J4612">
        <v>423817801</v>
      </c>
      <c r="K4612">
        <v>581794883</v>
      </c>
      <c r="L4612">
        <v>553452022</v>
      </c>
      <c r="M4612">
        <v>253288292</v>
      </c>
      <c r="N4612">
        <v>228608252</v>
      </c>
      <c r="O4612">
        <v>132213195</v>
      </c>
      <c r="P4612">
        <v>4171</v>
      </c>
      <c r="Q4612" t="s">
        <v>9574</v>
      </c>
    </row>
    <row r="4613" spans="1:17" x14ac:dyDescent="0.3">
      <c r="A4613" t="s">
        <v>17</v>
      </c>
      <c r="B4613" t="str">
        <f>"600217"</f>
        <v>600217</v>
      </c>
      <c r="C4613" t="s">
        <v>9575</v>
      </c>
      <c r="D4613" t="s">
        <v>894</v>
      </c>
      <c r="F4613">
        <v>379434214</v>
      </c>
      <c r="G4613">
        <v>189556678</v>
      </c>
      <c r="H4613">
        <v>-171762668</v>
      </c>
      <c r="I4613">
        <v>876368027</v>
      </c>
      <c r="J4613">
        <v>-544692898</v>
      </c>
      <c r="K4613">
        <v>-357709623</v>
      </c>
      <c r="L4613">
        <v>68602936</v>
      </c>
      <c r="M4613">
        <v>-20145358</v>
      </c>
      <c r="N4613">
        <v>-73785862</v>
      </c>
      <c r="O4613">
        <v>-47567514</v>
      </c>
      <c r="P4613">
        <v>439</v>
      </c>
      <c r="Q4613" t="s">
        <v>9576</v>
      </c>
    </row>
    <row r="4614" spans="1:17" x14ac:dyDescent="0.3">
      <c r="A4614" t="s">
        <v>17</v>
      </c>
      <c r="B4614" t="str">
        <f>"600199"</f>
        <v>600199</v>
      </c>
      <c r="C4614" t="s">
        <v>9577</v>
      </c>
      <c r="D4614" t="s">
        <v>67</v>
      </c>
      <c r="F4614">
        <v>-456112885</v>
      </c>
      <c r="G4614">
        <v>-160287803</v>
      </c>
      <c r="H4614">
        <v>-174927555</v>
      </c>
      <c r="I4614">
        <v>-184290362</v>
      </c>
      <c r="J4614">
        <v>-248481677</v>
      </c>
      <c r="K4614">
        <v>-182400442</v>
      </c>
      <c r="L4614">
        <v>353647346</v>
      </c>
      <c r="M4614">
        <v>53283821</v>
      </c>
      <c r="N4614">
        <v>290288752</v>
      </c>
      <c r="O4614">
        <v>567934261</v>
      </c>
      <c r="P4614">
        <v>383</v>
      </c>
      <c r="Q4614" t="s">
        <v>9578</v>
      </c>
    </row>
    <row r="4615" spans="1:17" x14ac:dyDescent="0.3">
      <c r="A4615" t="s">
        <v>59</v>
      </c>
      <c r="B4615" t="str">
        <f>"300423"</f>
        <v>300423</v>
      </c>
      <c r="C4615" t="s">
        <v>9579</v>
      </c>
      <c r="D4615" t="s">
        <v>560</v>
      </c>
      <c r="F4615">
        <v>655914039</v>
      </c>
      <c r="G4615">
        <v>701241480</v>
      </c>
      <c r="H4615">
        <v>-175658959</v>
      </c>
      <c r="I4615">
        <v>-483779119</v>
      </c>
      <c r="J4615">
        <v>24478453</v>
      </c>
      <c r="K4615">
        <v>53048149</v>
      </c>
      <c r="L4615">
        <v>24224765</v>
      </c>
      <c r="M4615">
        <v>-8693046</v>
      </c>
      <c r="N4615">
        <v>13901145</v>
      </c>
      <c r="O4615">
        <v>19613083</v>
      </c>
      <c r="P4615">
        <v>156</v>
      </c>
      <c r="Q4615" t="s">
        <v>9580</v>
      </c>
    </row>
    <row r="4616" spans="1:17" x14ac:dyDescent="0.3">
      <c r="A4616" t="s">
        <v>59</v>
      </c>
      <c r="B4616" t="str">
        <f>"002852"</f>
        <v>002852</v>
      </c>
      <c r="C4616" t="s">
        <v>9581</v>
      </c>
      <c r="D4616" t="s">
        <v>229</v>
      </c>
      <c r="F4616">
        <v>-87332100</v>
      </c>
      <c r="G4616">
        <v>56462250</v>
      </c>
      <c r="H4616">
        <v>-177014185</v>
      </c>
      <c r="I4616">
        <v>205692321</v>
      </c>
      <c r="J4616">
        <v>-60019410</v>
      </c>
      <c r="K4616">
        <v>139686817</v>
      </c>
      <c r="L4616">
        <v>324739027</v>
      </c>
      <c r="M4616">
        <v>93822646</v>
      </c>
      <c r="P4616">
        <v>141</v>
      </c>
      <c r="Q4616" t="s">
        <v>9582</v>
      </c>
    </row>
    <row r="4617" spans="1:17" x14ac:dyDescent="0.3">
      <c r="A4617" t="s">
        <v>17</v>
      </c>
      <c r="B4617" t="str">
        <f>"900905"</f>
        <v>900905</v>
      </c>
      <c r="C4617" t="s">
        <v>9583</v>
      </c>
      <c r="G4617">
        <v>358994322.83230001</v>
      </c>
      <c r="H4617">
        <v>-180069451.11320001</v>
      </c>
      <c r="I4617">
        <v>-53889768.3376</v>
      </c>
      <c r="J4617">
        <v>191731145.93279999</v>
      </c>
      <c r="K4617">
        <v>-140916854.44800001</v>
      </c>
      <c r="L4617">
        <v>147336404.44600001</v>
      </c>
      <c r="M4617">
        <v>415781807.53200001</v>
      </c>
      <c r="N4617">
        <v>251469669.7044</v>
      </c>
      <c r="O4617">
        <v>120459792.792</v>
      </c>
      <c r="P4617">
        <v>473</v>
      </c>
      <c r="Q4617" t="s">
        <v>9584</v>
      </c>
    </row>
    <row r="4618" spans="1:17" x14ac:dyDescent="0.3">
      <c r="A4618" t="s">
        <v>17</v>
      </c>
      <c r="B4618" t="str">
        <f>"688266"</f>
        <v>688266</v>
      </c>
      <c r="C4618" t="s">
        <v>9585</v>
      </c>
      <c r="D4618" t="s">
        <v>592</v>
      </c>
      <c r="F4618">
        <v>-454623223</v>
      </c>
      <c r="G4618">
        <v>-343856869</v>
      </c>
      <c r="H4618">
        <v>-180427947</v>
      </c>
      <c r="I4618">
        <v>-112437480</v>
      </c>
      <c r="J4618">
        <v>-108251625</v>
      </c>
      <c r="K4618">
        <v>-56720193</v>
      </c>
      <c r="P4618">
        <v>102</v>
      </c>
      <c r="Q4618" t="s">
        <v>9586</v>
      </c>
    </row>
    <row r="4619" spans="1:17" x14ac:dyDescent="0.3">
      <c r="A4619" t="s">
        <v>59</v>
      </c>
      <c r="B4619" t="str">
        <f>"300021"</f>
        <v>300021</v>
      </c>
      <c r="C4619" t="s">
        <v>9587</v>
      </c>
      <c r="D4619" t="s">
        <v>1573</v>
      </c>
      <c r="F4619">
        <v>170703087</v>
      </c>
      <c r="G4619">
        <v>-266461616</v>
      </c>
      <c r="H4619">
        <v>-181236154</v>
      </c>
      <c r="I4619">
        <v>797866604</v>
      </c>
      <c r="J4619">
        <v>-14076376</v>
      </c>
      <c r="K4619">
        <v>-107251418</v>
      </c>
      <c r="L4619">
        <v>188389228</v>
      </c>
      <c r="M4619">
        <v>13188933</v>
      </c>
      <c r="N4619">
        <v>31762798</v>
      </c>
      <c r="O4619">
        <v>-47976420</v>
      </c>
      <c r="P4619">
        <v>174</v>
      </c>
      <c r="Q4619" t="s">
        <v>9588</v>
      </c>
    </row>
    <row r="4620" spans="1:17" x14ac:dyDescent="0.3">
      <c r="A4620" t="s">
        <v>59</v>
      </c>
      <c r="B4620" t="str">
        <f>"002089"</f>
        <v>002089</v>
      </c>
      <c r="C4620" t="s">
        <v>9589</v>
      </c>
      <c r="D4620" t="s">
        <v>352</v>
      </c>
      <c r="F4620">
        <v>2844634</v>
      </c>
      <c r="G4620">
        <v>-347317840</v>
      </c>
      <c r="H4620">
        <v>-181331973</v>
      </c>
      <c r="I4620">
        <v>-52012848</v>
      </c>
      <c r="J4620">
        <v>178253993</v>
      </c>
      <c r="K4620">
        <v>206157501</v>
      </c>
      <c r="L4620">
        <v>456547412</v>
      </c>
      <c r="M4620">
        <v>-38331217</v>
      </c>
      <c r="N4620">
        <v>69855692</v>
      </c>
      <c r="O4620">
        <v>97781509</v>
      </c>
      <c r="P4620">
        <v>175</v>
      </c>
      <c r="Q4620" t="s">
        <v>9590</v>
      </c>
    </row>
    <row r="4621" spans="1:17" x14ac:dyDescent="0.3">
      <c r="A4621" t="s">
        <v>17</v>
      </c>
      <c r="B4621" t="str">
        <f>"600576"</f>
        <v>600576</v>
      </c>
      <c r="C4621" t="s">
        <v>9591</v>
      </c>
      <c r="D4621" t="s">
        <v>1059</v>
      </c>
      <c r="F4621">
        <v>64678029</v>
      </c>
      <c r="G4621">
        <v>226252519</v>
      </c>
      <c r="H4621">
        <v>-185177744</v>
      </c>
      <c r="I4621">
        <v>-216423483</v>
      </c>
      <c r="J4621">
        <v>63840390</v>
      </c>
      <c r="K4621">
        <v>-5219179</v>
      </c>
      <c r="L4621">
        <v>33547051</v>
      </c>
      <c r="M4621">
        <v>-40015663</v>
      </c>
      <c r="N4621">
        <v>10960642</v>
      </c>
      <c r="O4621">
        <v>-52488360</v>
      </c>
      <c r="P4621">
        <v>85</v>
      </c>
      <c r="Q4621" t="s">
        <v>9592</v>
      </c>
    </row>
    <row r="4622" spans="1:17" x14ac:dyDescent="0.3">
      <c r="A4622" t="s">
        <v>59</v>
      </c>
      <c r="B4622" t="str">
        <f>"300392"</f>
        <v>300392</v>
      </c>
      <c r="C4622" t="s">
        <v>9593</v>
      </c>
      <c r="D4622" t="s">
        <v>1889</v>
      </c>
      <c r="F4622">
        <v>-370214929</v>
      </c>
      <c r="G4622">
        <v>26473402</v>
      </c>
      <c r="H4622">
        <v>-185823036</v>
      </c>
      <c r="I4622">
        <v>189249990</v>
      </c>
      <c r="J4622">
        <v>-47732228</v>
      </c>
      <c r="K4622">
        <v>-5515163</v>
      </c>
      <c r="L4622">
        <v>-138836714</v>
      </c>
      <c r="M4622">
        <v>-31392866</v>
      </c>
      <c r="N4622">
        <v>47194565</v>
      </c>
      <c r="O4622">
        <v>12006419</v>
      </c>
      <c r="P4622">
        <v>66</v>
      </c>
      <c r="Q4622" t="s">
        <v>9594</v>
      </c>
    </row>
    <row r="4623" spans="1:17" x14ac:dyDescent="0.3">
      <c r="A4623" t="s">
        <v>59</v>
      </c>
      <c r="B4623" t="str">
        <f>"000668"</f>
        <v>000668</v>
      </c>
      <c r="C4623" t="s">
        <v>9595</v>
      </c>
      <c r="D4623" t="s">
        <v>61</v>
      </c>
      <c r="F4623">
        <v>114140038</v>
      </c>
      <c r="G4623">
        <v>-94702432</v>
      </c>
      <c r="H4623">
        <v>-186379001</v>
      </c>
      <c r="I4623">
        <v>50924332</v>
      </c>
      <c r="J4623">
        <v>115124630</v>
      </c>
      <c r="K4623">
        <v>-102291142</v>
      </c>
      <c r="L4623">
        <v>-158862776</v>
      </c>
      <c r="M4623">
        <v>160937735</v>
      </c>
      <c r="N4623">
        <v>-165544136</v>
      </c>
      <c r="O4623">
        <v>-98497905</v>
      </c>
      <c r="P4623">
        <v>96</v>
      </c>
      <c r="Q4623" t="s">
        <v>9596</v>
      </c>
    </row>
    <row r="4624" spans="1:17" x14ac:dyDescent="0.3">
      <c r="A4624" t="s">
        <v>59</v>
      </c>
      <c r="B4624" t="str">
        <f>"300098"</f>
        <v>300098</v>
      </c>
      <c r="C4624" t="s">
        <v>9597</v>
      </c>
      <c r="D4624" t="s">
        <v>1528</v>
      </c>
      <c r="F4624">
        <v>181425995</v>
      </c>
      <c r="G4624">
        <v>-201527557</v>
      </c>
      <c r="H4624">
        <v>-191776793</v>
      </c>
      <c r="I4624">
        <v>-155025286</v>
      </c>
      <c r="J4624">
        <v>112629422</v>
      </c>
      <c r="K4624">
        <v>279645316</v>
      </c>
      <c r="L4624">
        <v>-118881725</v>
      </c>
      <c r="M4624">
        <v>-140468920</v>
      </c>
      <c r="N4624">
        <v>-137966326</v>
      </c>
      <c r="O4624">
        <v>-26009952</v>
      </c>
      <c r="P4624">
        <v>368</v>
      </c>
      <c r="Q4624" t="s">
        <v>9598</v>
      </c>
    </row>
    <row r="4625" spans="1:17" x14ac:dyDescent="0.3">
      <c r="A4625" t="s">
        <v>17</v>
      </c>
      <c r="B4625" t="str">
        <f>"605287"</f>
        <v>605287</v>
      </c>
      <c r="C4625" t="s">
        <v>9599</v>
      </c>
      <c r="D4625" t="s">
        <v>1150</v>
      </c>
      <c r="F4625">
        <v>126064279</v>
      </c>
      <c r="G4625">
        <v>303575409</v>
      </c>
      <c r="H4625">
        <v>-193954345</v>
      </c>
      <c r="I4625">
        <v>27725218</v>
      </c>
      <c r="J4625">
        <v>-53087694</v>
      </c>
      <c r="P4625">
        <v>21</v>
      </c>
      <c r="Q4625" t="s">
        <v>9600</v>
      </c>
    </row>
    <row r="4626" spans="1:17" x14ac:dyDescent="0.3">
      <c r="A4626" t="s">
        <v>17</v>
      </c>
      <c r="B4626" t="str">
        <f>"600281"</f>
        <v>600281</v>
      </c>
      <c r="C4626" t="s">
        <v>9601</v>
      </c>
      <c r="D4626" t="s">
        <v>987</v>
      </c>
      <c r="F4626">
        <v>-85284462</v>
      </c>
      <c r="G4626">
        <v>81126620</v>
      </c>
      <c r="H4626">
        <v>-193988821</v>
      </c>
      <c r="I4626">
        <v>-28083480</v>
      </c>
      <c r="J4626">
        <v>-34426537</v>
      </c>
      <c r="K4626">
        <v>-135492287</v>
      </c>
      <c r="L4626">
        <v>-46291920</v>
      </c>
      <c r="M4626">
        <v>-121075334</v>
      </c>
      <c r="N4626">
        <v>-380990779</v>
      </c>
      <c r="O4626">
        <v>-18358751</v>
      </c>
      <c r="P4626">
        <v>68</v>
      </c>
      <c r="Q4626" t="s">
        <v>9602</v>
      </c>
    </row>
    <row r="4627" spans="1:17" x14ac:dyDescent="0.3">
      <c r="A4627" t="s">
        <v>59</v>
      </c>
      <c r="B4627" t="str">
        <f>"000006"</f>
        <v>000006</v>
      </c>
      <c r="C4627" t="s">
        <v>9603</v>
      </c>
      <c r="D4627" t="s">
        <v>61</v>
      </c>
      <c r="F4627">
        <v>-3874666593</v>
      </c>
      <c r="G4627">
        <v>-167505495</v>
      </c>
      <c r="H4627">
        <v>-194256904</v>
      </c>
      <c r="I4627">
        <v>1606682376</v>
      </c>
      <c r="J4627">
        <v>706881308</v>
      </c>
      <c r="K4627">
        <v>1708425723</v>
      </c>
      <c r="L4627">
        <v>-303662563</v>
      </c>
      <c r="M4627">
        <v>-1097953995</v>
      </c>
      <c r="N4627">
        <v>-890291911</v>
      </c>
      <c r="O4627">
        <v>2181610272</v>
      </c>
      <c r="P4627">
        <v>424</v>
      </c>
      <c r="Q4627" t="s">
        <v>9604</v>
      </c>
    </row>
    <row r="4628" spans="1:17" x14ac:dyDescent="0.3">
      <c r="A4628" t="s">
        <v>17</v>
      </c>
      <c r="B4628" t="str">
        <f>"600962"</f>
        <v>600962</v>
      </c>
      <c r="C4628" t="s">
        <v>9605</v>
      </c>
      <c r="D4628" t="s">
        <v>1518</v>
      </c>
      <c r="F4628">
        <v>131031121</v>
      </c>
      <c r="G4628">
        <v>-101669013</v>
      </c>
      <c r="H4628">
        <v>-195703501</v>
      </c>
      <c r="I4628">
        <v>-23142147</v>
      </c>
      <c r="J4628">
        <v>33117314</v>
      </c>
      <c r="K4628">
        <v>146364241</v>
      </c>
      <c r="L4628">
        <v>110589696</v>
      </c>
      <c r="M4628">
        <v>243684829</v>
      </c>
      <c r="N4628">
        <v>229247952</v>
      </c>
      <c r="O4628">
        <v>-179435388</v>
      </c>
      <c r="P4628">
        <v>94</v>
      </c>
      <c r="Q4628" t="s">
        <v>9606</v>
      </c>
    </row>
    <row r="4629" spans="1:17" x14ac:dyDescent="0.3">
      <c r="A4629" t="s">
        <v>59</v>
      </c>
      <c r="B4629" t="str">
        <f>"000566"</f>
        <v>000566</v>
      </c>
      <c r="C4629" t="s">
        <v>9607</v>
      </c>
      <c r="D4629" t="s">
        <v>592</v>
      </c>
      <c r="F4629">
        <v>108223441</v>
      </c>
      <c r="G4629">
        <v>-117375749</v>
      </c>
      <c r="H4629">
        <v>-195759096</v>
      </c>
      <c r="I4629">
        <v>-508955141</v>
      </c>
      <c r="J4629">
        <v>526479215</v>
      </c>
      <c r="K4629">
        <v>-17728977</v>
      </c>
      <c r="L4629">
        <v>141599984</v>
      </c>
      <c r="M4629">
        <v>14983200</v>
      </c>
      <c r="N4629">
        <v>181805148</v>
      </c>
      <c r="O4629">
        <v>2367913</v>
      </c>
      <c r="P4629">
        <v>195</v>
      </c>
      <c r="Q4629" t="s">
        <v>9608</v>
      </c>
    </row>
    <row r="4630" spans="1:17" x14ac:dyDescent="0.3">
      <c r="A4630" t="s">
        <v>17</v>
      </c>
      <c r="B4630" t="str">
        <f>"900911"</f>
        <v>900911</v>
      </c>
      <c r="C4630" t="s">
        <v>9609</v>
      </c>
      <c r="G4630">
        <v>499770623.19169998</v>
      </c>
      <c r="H4630">
        <v>-196344739.9508</v>
      </c>
      <c r="I4630">
        <v>-69100225.912599996</v>
      </c>
      <c r="J4630">
        <v>-16384705.075200001</v>
      </c>
      <c r="K4630">
        <v>159070903.77599999</v>
      </c>
      <c r="L4630">
        <v>-288994917.90399998</v>
      </c>
      <c r="M4630">
        <v>46548488.240800001</v>
      </c>
      <c r="N4630">
        <v>34543230.131200001</v>
      </c>
      <c r="O4630">
        <v>-8779016.3204999994</v>
      </c>
      <c r="P4630">
        <v>73</v>
      </c>
      <c r="Q4630" t="s">
        <v>9610</v>
      </c>
    </row>
    <row r="4631" spans="1:17" x14ac:dyDescent="0.3">
      <c r="A4631" t="s">
        <v>17</v>
      </c>
      <c r="B4631" t="str">
        <f>"600640"</f>
        <v>600640</v>
      </c>
      <c r="C4631" t="s">
        <v>9611</v>
      </c>
      <c r="D4631" t="s">
        <v>3685</v>
      </c>
      <c r="F4631">
        <v>73598390</v>
      </c>
      <c r="G4631">
        <v>-80422847</v>
      </c>
      <c r="H4631">
        <v>-196613772</v>
      </c>
      <c r="I4631">
        <v>672258433</v>
      </c>
      <c r="J4631">
        <v>-63123620</v>
      </c>
      <c r="K4631">
        <v>197910151</v>
      </c>
      <c r="L4631">
        <v>119387106</v>
      </c>
      <c r="M4631">
        <v>51011587</v>
      </c>
      <c r="N4631">
        <v>196150026</v>
      </c>
      <c r="O4631">
        <v>115988397</v>
      </c>
      <c r="P4631">
        <v>163</v>
      </c>
      <c r="Q4631" t="s">
        <v>9612</v>
      </c>
    </row>
    <row r="4632" spans="1:17" x14ac:dyDescent="0.3">
      <c r="A4632" t="s">
        <v>17</v>
      </c>
      <c r="B4632" t="str">
        <f>"600630"</f>
        <v>600630</v>
      </c>
      <c r="C4632" t="s">
        <v>9613</v>
      </c>
      <c r="D4632" t="s">
        <v>646</v>
      </c>
      <c r="F4632">
        <v>75483811</v>
      </c>
      <c r="G4632">
        <v>189418328</v>
      </c>
      <c r="H4632">
        <v>-196755116</v>
      </c>
      <c r="I4632">
        <v>-34821991</v>
      </c>
      <c r="J4632">
        <v>-2918332</v>
      </c>
      <c r="K4632">
        <v>52379058</v>
      </c>
      <c r="L4632">
        <v>-47429669</v>
      </c>
      <c r="M4632">
        <v>94136936</v>
      </c>
      <c r="N4632">
        <v>57211966</v>
      </c>
      <c r="O4632">
        <v>143131139</v>
      </c>
      <c r="P4632">
        <v>110</v>
      </c>
      <c r="Q4632" t="s">
        <v>9614</v>
      </c>
    </row>
    <row r="4633" spans="1:17" x14ac:dyDescent="0.3">
      <c r="A4633" t="s">
        <v>17</v>
      </c>
      <c r="B4633" t="str">
        <f>"603929"</f>
        <v>603929</v>
      </c>
      <c r="C4633" t="s">
        <v>9615</v>
      </c>
      <c r="D4633" t="s">
        <v>199</v>
      </c>
      <c r="F4633">
        <v>44913037</v>
      </c>
      <c r="G4633">
        <v>-82626962</v>
      </c>
      <c r="H4633">
        <v>-197191771</v>
      </c>
      <c r="I4633">
        <v>245798072</v>
      </c>
      <c r="J4633">
        <v>-128662240</v>
      </c>
      <c r="K4633">
        <v>276002175</v>
      </c>
      <c r="L4633">
        <v>122670381</v>
      </c>
      <c r="M4633">
        <v>-80114689</v>
      </c>
      <c r="N4633">
        <v>-20670126</v>
      </c>
      <c r="P4633">
        <v>109</v>
      </c>
      <c r="Q4633" t="s">
        <v>9616</v>
      </c>
    </row>
    <row r="4634" spans="1:17" x14ac:dyDescent="0.3">
      <c r="A4634" t="s">
        <v>17</v>
      </c>
      <c r="B4634" t="str">
        <f>"600734"</f>
        <v>600734</v>
      </c>
      <c r="C4634" t="s">
        <v>9617</v>
      </c>
      <c r="D4634" t="s">
        <v>1650</v>
      </c>
      <c r="F4634">
        <v>-37722632</v>
      </c>
      <c r="G4634">
        <v>-67403327</v>
      </c>
      <c r="H4634">
        <v>-197522783</v>
      </c>
      <c r="I4634">
        <v>-246111066</v>
      </c>
      <c r="J4634">
        <v>-293443462</v>
      </c>
      <c r="K4634">
        <v>121391844</v>
      </c>
      <c r="L4634">
        <v>104351722</v>
      </c>
      <c r="M4634">
        <v>-282977237</v>
      </c>
      <c r="N4634">
        <v>-38086938</v>
      </c>
      <c r="O4634">
        <v>-43564726</v>
      </c>
      <c r="P4634">
        <v>175</v>
      </c>
      <c r="Q4634" t="s">
        <v>9618</v>
      </c>
    </row>
    <row r="4635" spans="1:17" x14ac:dyDescent="0.3">
      <c r="A4635" t="s">
        <v>17</v>
      </c>
      <c r="B4635" t="str">
        <f>"688256"</f>
        <v>688256</v>
      </c>
      <c r="C4635" t="s">
        <v>9619</v>
      </c>
      <c r="D4635" t="s">
        <v>817</v>
      </c>
      <c r="F4635">
        <v>-873140200</v>
      </c>
      <c r="G4635">
        <v>-132147988</v>
      </c>
      <c r="H4635">
        <v>-201796040</v>
      </c>
      <c r="I4635">
        <v>-55490474</v>
      </c>
      <c r="J4635">
        <v>-23524308</v>
      </c>
      <c r="P4635">
        <v>192</v>
      </c>
      <c r="Q4635" t="s">
        <v>9620</v>
      </c>
    </row>
    <row r="4636" spans="1:17" x14ac:dyDescent="0.3">
      <c r="A4636" t="s">
        <v>17</v>
      </c>
      <c r="B4636" t="str">
        <f>"601798"</f>
        <v>601798</v>
      </c>
      <c r="C4636" t="s">
        <v>9621</v>
      </c>
      <c r="D4636" t="s">
        <v>741</v>
      </c>
      <c r="F4636">
        <v>23714023</v>
      </c>
      <c r="G4636">
        <v>24975961</v>
      </c>
      <c r="H4636">
        <v>-204892794</v>
      </c>
      <c r="I4636">
        <v>-24454531</v>
      </c>
      <c r="J4636">
        <v>30601341</v>
      </c>
      <c r="K4636">
        <v>126901909</v>
      </c>
      <c r="L4636">
        <v>29749852</v>
      </c>
      <c r="M4636">
        <v>73517435</v>
      </c>
      <c r="N4636">
        <v>49750579</v>
      </c>
      <c r="O4636">
        <v>11697339</v>
      </c>
      <c r="P4636">
        <v>77</v>
      </c>
      <c r="Q4636" t="s">
        <v>9622</v>
      </c>
    </row>
    <row r="4637" spans="1:17" x14ac:dyDescent="0.3">
      <c r="A4637" t="s">
        <v>17</v>
      </c>
      <c r="B4637" t="str">
        <f>"600327"</f>
        <v>600327</v>
      </c>
      <c r="C4637" t="s">
        <v>9623</v>
      </c>
      <c r="D4637" t="s">
        <v>337</v>
      </c>
      <c r="F4637">
        <v>644296084</v>
      </c>
      <c r="G4637">
        <v>31757065</v>
      </c>
      <c r="H4637">
        <v>-207671162</v>
      </c>
      <c r="I4637">
        <v>193759051</v>
      </c>
      <c r="J4637">
        <v>233713098</v>
      </c>
      <c r="K4637">
        <v>323705392</v>
      </c>
      <c r="L4637">
        <v>409176446</v>
      </c>
      <c r="M4637">
        <v>142071781</v>
      </c>
      <c r="N4637">
        <v>109926810</v>
      </c>
      <c r="O4637">
        <v>223389218</v>
      </c>
      <c r="P4637">
        <v>221</v>
      </c>
      <c r="Q4637" t="s">
        <v>9624</v>
      </c>
    </row>
    <row r="4638" spans="1:17" x14ac:dyDescent="0.3">
      <c r="A4638" t="s">
        <v>59</v>
      </c>
      <c r="B4638" t="str">
        <f>"300740"</f>
        <v>300740</v>
      </c>
      <c r="C4638" t="s">
        <v>9625</v>
      </c>
      <c r="D4638" t="s">
        <v>2118</v>
      </c>
      <c r="F4638">
        <v>199344969</v>
      </c>
      <c r="G4638">
        <v>130601785</v>
      </c>
      <c r="H4638">
        <v>-209093671</v>
      </c>
      <c r="I4638">
        <v>-35422125</v>
      </c>
      <c r="J4638">
        <v>173417620</v>
      </c>
      <c r="K4638">
        <v>-73416608</v>
      </c>
      <c r="L4638">
        <v>54846350</v>
      </c>
      <c r="P4638">
        <v>256</v>
      </c>
      <c r="Q4638" t="s">
        <v>9626</v>
      </c>
    </row>
    <row r="4639" spans="1:17" x14ac:dyDescent="0.3">
      <c r="A4639" t="s">
        <v>59</v>
      </c>
      <c r="B4639" t="str">
        <f>"000662"</f>
        <v>000662</v>
      </c>
      <c r="C4639" t="s">
        <v>9627</v>
      </c>
      <c r="H4639">
        <v>-210793401</v>
      </c>
      <c r="I4639">
        <v>-703964522</v>
      </c>
      <c r="J4639">
        <v>629208207</v>
      </c>
      <c r="K4639">
        <v>637687622</v>
      </c>
      <c r="L4639">
        <v>-25193521</v>
      </c>
      <c r="M4639">
        <v>8081640</v>
      </c>
      <c r="N4639">
        <v>-308918183</v>
      </c>
      <c r="O4639">
        <v>212311736</v>
      </c>
      <c r="P4639">
        <v>146</v>
      </c>
      <c r="Q4639" t="s">
        <v>9628</v>
      </c>
    </row>
    <row r="4640" spans="1:17" x14ac:dyDescent="0.3">
      <c r="A4640" t="s">
        <v>59</v>
      </c>
      <c r="B4640" t="str">
        <f>"002731"</f>
        <v>002731</v>
      </c>
      <c r="C4640" t="s">
        <v>9629</v>
      </c>
      <c r="D4640" t="s">
        <v>2025</v>
      </c>
      <c r="F4640">
        <v>112197480</v>
      </c>
      <c r="G4640">
        <v>136988315</v>
      </c>
      <c r="H4640">
        <v>-214007412</v>
      </c>
      <c r="I4640">
        <v>35179259</v>
      </c>
      <c r="J4640">
        <v>75916371</v>
      </c>
      <c r="K4640">
        <v>401708467</v>
      </c>
      <c r="L4640">
        <v>94404435</v>
      </c>
      <c r="M4640">
        <v>249388579</v>
      </c>
      <c r="N4640">
        <v>598719212</v>
      </c>
      <c r="O4640">
        <v>168476930</v>
      </c>
      <c r="P4640">
        <v>81</v>
      </c>
      <c r="Q4640" t="s">
        <v>9630</v>
      </c>
    </row>
    <row r="4641" spans="1:17" x14ac:dyDescent="0.3">
      <c r="A4641" t="s">
        <v>17</v>
      </c>
      <c r="B4641" t="str">
        <f>"603612"</f>
        <v>603612</v>
      </c>
      <c r="C4641" t="s">
        <v>9631</v>
      </c>
      <c r="D4641" t="s">
        <v>1408</v>
      </c>
      <c r="F4641">
        <v>-1193395239</v>
      </c>
      <c r="G4641">
        <v>342931471</v>
      </c>
      <c r="H4641">
        <v>-214683959</v>
      </c>
      <c r="I4641">
        <v>492803891</v>
      </c>
      <c r="J4641">
        <v>234783932</v>
      </c>
      <c r="K4641">
        <v>226180210</v>
      </c>
      <c r="L4641">
        <v>292726918</v>
      </c>
      <c r="M4641">
        <v>207948737</v>
      </c>
      <c r="P4641">
        <v>162</v>
      </c>
      <c r="Q4641" t="s">
        <v>9632</v>
      </c>
    </row>
    <row r="4642" spans="1:17" x14ac:dyDescent="0.3">
      <c r="A4642" t="s">
        <v>59</v>
      </c>
      <c r="B4642" t="str">
        <f>"002638"</f>
        <v>002638</v>
      </c>
      <c r="C4642" t="s">
        <v>9633</v>
      </c>
      <c r="D4642" t="s">
        <v>871</v>
      </c>
      <c r="F4642">
        <v>-238295735</v>
      </c>
      <c r="G4642">
        <v>-63819357</v>
      </c>
      <c r="H4642">
        <v>-216505379</v>
      </c>
      <c r="I4642">
        <v>-141928237</v>
      </c>
      <c r="J4642">
        <v>-108735268</v>
      </c>
      <c r="K4642">
        <v>131797598</v>
      </c>
      <c r="L4642">
        <v>-20441350</v>
      </c>
      <c r="M4642">
        <v>-2958548</v>
      </c>
      <c r="N4642">
        <v>13325741</v>
      </c>
      <c r="O4642">
        <v>106650228</v>
      </c>
      <c r="P4642">
        <v>83</v>
      </c>
      <c r="Q4642" t="s">
        <v>9634</v>
      </c>
    </row>
    <row r="4643" spans="1:17" x14ac:dyDescent="0.3">
      <c r="A4643" t="s">
        <v>59</v>
      </c>
      <c r="B4643" t="str">
        <f>"000780"</f>
        <v>000780</v>
      </c>
      <c r="C4643" t="s">
        <v>9635</v>
      </c>
      <c r="D4643" t="s">
        <v>54</v>
      </c>
      <c r="G4643">
        <v>-147723685</v>
      </c>
      <c r="H4643">
        <v>-221670095</v>
      </c>
      <c r="I4643">
        <v>-199688507</v>
      </c>
      <c r="J4643">
        <v>1178241254</v>
      </c>
      <c r="K4643">
        <v>253338275</v>
      </c>
      <c r="L4643">
        <v>645988802</v>
      </c>
      <c r="M4643">
        <v>503438200</v>
      </c>
      <c r="N4643">
        <v>-271023298</v>
      </c>
      <c r="O4643">
        <v>16238787</v>
      </c>
      <c r="P4643">
        <v>99</v>
      </c>
      <c r="Q4643" t="s">
        <v>9636</v>
      </c>
    </row>
    <row r="4644" spans="1:17" x14ac:dyDescent="0.3">
      <c r="A4644" t="s">
        <v>17</v>
      </c>
      <c r="B4644" t="str">
        <f>"605069"</f>
        <v>605069</v>
      </c>
      <c r="C4644" t="s">
        <v>9637</v>
      </c>
      <c r="D4644" t="s">
        <v>2700</v>
      </c>
      <c r="F4644">
        <v>-499648883</v>
      </c>
      <c r="G4644">
        <v>-331807063</v>
      </c>
      <c r="H4644">
        <v>-222722196</v>
      </c>
      <c r="I4644">
        <v>-488048877</v>
      </c>
      <c r="J4644">
        <v>70145400</v>
      </c>
      <c r="P4644">
        <v>16</v>
      </c>
      <c r="Q4644" t="s">
        <v>9638</v>
      </c>
    </row>
    <row r="4645" spans="1:17" x14ac:dyDescent="0.3">
      <c r="A4645" t="s">
        <v>17</v>
      </c>
      <c r="B4645" t="str">
        <f>"600303"</f>
        <v>600303</v>
      </c>
      <c r="C4645" t="s">
        <v>9639</v>
      </c>
      <c r="D4645" t="s">
        <v>427</v>
      </c>
      <c r="F4645">
        <v>-450264109</v>
      </c>
      <c r="G4645">
        <v>34626594</v>
      </c>
      <c r="H4645">
        <v>-226361896</v>
      </c>
      <c r="I4645">
        <v>-21011381</v>
      </c>
      <c r="J4645">
        <v>476510322</v>
      </c>
      <c r="K4645">
        <v>-596713247</v>
      </c>
      <c r="L4645">
        <v>-739149971</v>
      </c>
      <c r="M4645">
        <v>199999702</v>
      </c>
      <c r="N4645">
        <v>-246928936</v>
      </c>
      <c r="O4645">
        <v>271333829</v>
      </c>
      <c r="P4645">
        <v>131</v>
      </c>
      <c r="Q4645" t="s">
        <v>9640</v>
      </c>
    </row>
    <row r="4646" spans="1:17" x14ac:dyDescent="0.3">
      <c r="A4646" t="s">
        <v>59</v>
      </c>
      <c r="B4646" t="str">
        <f>"002399"</f>
        <v>002399</v>
      </c>
      <c r="C4646" t="s">
        <v>9641</v>
      </c>
      <c r="D4646" t="s">
        <v>984</v>
      </c>
      <c r="F4646">
        <v>-6629320</v>
      </c>
      <c r="G4646">
        <v>37283625</v>
      </c>
      <c r="H4646">
        <v>-227601568</v>
      </c>
      <c r="I4646">
        <v>636417806</v>
      </c>
      <c r="J4646">
        <v>-407116942</v>
      </c>
      <c r="K4646">
        <v>346072249</v>
      </c>
      <c r="L4646">
        <v>893706767</v>
      </c>
      <c r="M4646">
        <v>912803849</v>
      </c>
      <c r="N4646">
        <v>420968576</v>
      </c>
      <c r="O4646">
        <v>473890043</v>
      </c>
      <c r="P4646">
        <v>285</v>
      </c>
      <c r="Q4646" t="s">
        <v>9642</v>
      </c>
    </row>
    <row r="4647" spans="1:17" x14ac:dyDescent="0.3">
      <c r="A4647" t="s">
        <v>17</v>
      </c>
      <c r="B4647" t="str">
        <f>"688110"</f>
        <v>688110</v>
      </c>
      <c r="C4647" t="s">
        <v>9643</v>
      </c>
      <c r="D4647" t="s">
        <v>817</v>
      </c>
      <c r="F4647">
        <v>117522088</v>
      </c>
      <c r="G4647">
        <v>228390812</v>
      </c>
      <c r="H4647">
        <v>-229572471</v>
      </c>
      <c r="I4647">
        <v>-175239087</v>
      </c>
      <c r="J4647">
        <v>-30319609</v>
      </c>
      <c r="P4647">
        <v>28</v>
      </c>
      <c r="Q4647" t="s">
        <v>9644</v>
      </c>
    </row>
    <row r="4648" spans="1:17" x14ac:dyDescent="0.3">
      <c r="A4648" t="s">
        <v>17</v>
      </c>
      <c r="B4648" t="str">
        <f>"605178"</f>
        <v>605178</v>
      </c>
      <c r="C4648" t="s">
        <v>9645</v>
      </c>
      <c r="D4648" t="s">
        <v>1150</v>
      </c>
      <c r="F4648">
        <v>-269601370</v>
      </c>
      <c r="G4648">
        <v>-45883555</v>
      </c>
      <c r="H4648">
        <v>-229727796</v>
      </c>
      <c r="I4648">
        <v>122393630</v>
      </c>
      <c r="J4648">
        <v>82076718</v>
      </c>
      <c r="P4648">
        <v>49</v>
      </c>
      <c r="Q4648" t="s">
        <v>9646</v>
      </c>
    </row>
    <row r="4649" spans="1:17" x14ac:dyDescent="0.3">
      <c r="A4649" t="s">
        <v>59</v>
      </c>
      <c r="B4649" t="str">
        <f>"000599"</f>
        <v>000599</v>
      </c>
      <c r="C4649" t="s">
        <v>9647</v>
      </c>
      <c r="D4649" t="s">
        <v>767</v>
      </c>
      <c r="F4649">
        <v>-86582212</v>
      </c>
      <c r="G4649">
        <v>80936513</v>
      </c>
      <c r="H4649">
        <v>-231076663</v>
      </c>
      <c r="I4649">
        <v>-229026018</v>
      </c>
      <c r="J4649">
        <v>-609043612</v>
      </c>
      <c r="K4649">
        <v>29364140</v>
      </c>
      <c r="L4649">
        <v>124213381</v>
      </c>
      <c r="M4649">
        <v>554702251</v>
      </c>
      <c r="N4649">
        <v>475966814</v>
      </c>
      <c r="O4649">
        <v>273671589</v>
      </c>
      <c r="P4649">
        <v>119</v>
      </c>
      <c r="Q4649" t="s">
        <v>9648</v>
      </c>
    </row>
    <row r="4650" spans="1:17" x14ac:dyDescent="0.3">
      <c r="A4650" t="s">
        <v>59</v>
      </c>
      <c r="B4650" t="str">
        <f>"002193"</f>
        <v>002193</v>
      </c>
      <c r="C4650" t="s">
        <v>9649</v>
      </c>
      <c r="D4650" t="s">
        <v>3101</v>
      </c>
      <c r="F4650">
        <v>-262721050</v>
      </c>
      <c r="G4650">
        <v>145340194</v>
      </c>
      <c r="H4650">
        <v>-231718441</v>
      </c>
      <c r="I4650">
        <v>92044800</v>
      </c>
      <c r="J4650">
        <v>129194493</v>
      </c>
      <c r="K4650">
        <v>394699519</v>
      </c>
      <c r="L4650">
        <v>361785741</v>
      </c>
      <c r="M4650">
        <v>69041002</v>
      </c>
      <c r="N4650">
        <v>8454554</v>
      </c>
      <c r="O4650">
        <v>66959874</v>
      </c>
      <c r="P4650">
        <v>93</v>
      </c>
      <c r="Q4650" t="s">
        <v>9650</v>
      </c>
    </row>
    <row r="4651" spans="1:17" x14ac:dyDescent="0.3">
      <c r="A4651" t="s">
        <v>17</v>
      </c>
      <c r="B4651" t="str">
        <f>"600381"</f>
        <v>600381</v>
      </c>
      <c r="C4651" t="s">
        <v>9651</v>
      </c>
      <c r="D4651" t="s">
        <v>1301</v>
      </c>
      <c r="F4651">
        <v>-63933807</v>
      </c>
      <c r="G4651">
        <v>-77950990</v>
      </c>
      <c r="H4651">
        <v>-236299693</v>
      </c>
      <c r="I4651">
        <v>-183969888</v>
      </c>
      <c r="J4651">
        <v>95735929</v>
      </c>
      <c r="K4651">
        <v>344988735</v>
      </c>
      <c r="L4651">
        <v>832165161</v>
      </c>
      <c r="M4651">
        <v>-89638611</v>
      </c>
      <c r="N4651">
        <v>-28090593</v>
      </c>
      <c r="O4651">
        <v>-703612951</v>
      </c>
      <c r="P4651">
        <v>131</v>
      </c>
      <c r="Q4651" t="s">
        <v>9652</v>
      </c>
    </row>
    <row r="4652" spans="1:17" x14ac:dyDescent="0.3">
      <c r="A4652" t="s">
        <v>17</v>
      </c>
      <c r="B4652" t="str">
        <f>"600139"</f>
        <v>600139</v>
      </c>
      <c r="C4652" t="s">
        <v>9653</v>
      </c>
      <c r="D4652" t="s">
        <v>187</v>
      </c>
      <c r="F4652">
        <v>-77696059</v>
      </c>
      <c r="G4652">
        <v>116661148</v>
      </c>
      <c r="H4652">
        <v>-237816655</v>
      </c>
      <c r="I4652">
        <v>116258354</v>
      </c>
      <c r="J4652">
        <v>61725068</v>
      </c>
      <c r="K4652">
        <v>-166929845</v>
      </c>
      <c r="L4652">
        <v>299147188</v>
      </c>
      <c r="M4652">
        <v>70199335</v>
      </c>
      <c r="N4652">
        <v>77085284</v>
      </c>
      <c r="O4652">
        <v>296231192</v>
      </c>
      <c r="P4652">
        <v>90</v>
      </c>
      <c r="Q4652" t="s">
        <v>9654</v>
      </c>
    </row>
    <row r="4653" spans="1:17" x14ac:dyDescent="0.3">
      <c r="A4653" t="s">
        <v>59</v>
      </c>
      <c r="B4653" t="str">
        <f>"002431"</f>
        <v>002431</v>
      </c>
      <c r="C4653" t="s">
        <v>9655</v>
      </c>
      <c r="D4653" t="s">
        <v>1489</v>
      </c>
      <c r="F4653">
        <v>-339257116</v>
      </c>
      <c r="G4653">
        <v>90676356</v>
      </c>
      <c r="H4653">
        <v>-242289253</v>
      </c>
      <c r="I4653">
        <v>222336198</v>
      </c>
      <c r="J4653">
        <v>226073793</v>
      </c>
      <c r="K4653">
        <v>67040378</v>
      </c>
      <c r="L4653">
        <v>-668693440</v>
      </c>
      <c r="M4653">
        <v>-264209701</v>
      </c>
      <c r="N4653">
        <v>-166430880</v>
      </c>
      <c r="O4653">
        <v>-491078923</v>
      </c>
      <c r="P4653">
        <v>124</v>
      </c>
      <c r="Q4653" t="s">
        <v>9656</v>
      </c>
    </row>
    <row r="4654" spans="1:17" x14ac:dyDescent="0.3">
      <c r="A4654" t="s">
        <v>59</v>
      </c>
      <c r="B4654" t="str">
        <f>"002813"</f>
        <v>002813</v>
      </c>
      <c r="C4654" t="s">
        <v>9657</v>
      </c>
      <c r="D4654" t="s">
        <v>575</v>
      </c>
      <c r="F4654">
        <v>66473079</v>
      </c>
      <c r="G4654">
        <v>52436363</v>
      </c>
      <c r="H4654">
        <v>-242959585</v>
      </c>
      <c r="I4654">
        <v>-240941137</v>
      </c>
      <c r="J4654">
        <v>-159112150</v>
      </c>
      <c r="K4654">
        <v>-119342304</v>
      </c>
      <c r="L4654">
        <v>58874631</v>
      </c>
      <c r="M4654">
        <v>108483283</v>
      </c>
      <c r="N4654">
        <v>67898736</v>
      </c>
      <c r="P4654">
        <v>113</v>
      </c>
      <c r="Q4654" t="s">
        <v>9658</v>
      </c>
    </row>
    <row r="4655" spans="1:17" x14ac:dyDescent="0.3">
      <c r="A4655" t="s">
        <v>59</v>
      </c>
      <c r="B4655" t="str">
        <f>"000628"</f>
        <v>000628</v>
      </c>
      <c r="C4655" t="s">
        <v>9659</v>
      </c>
      <c r="D4655" t="s">
        <v>503</v>
      </c>
      <c r="F4655">
        <v>458904110</v>
      </c>
      <c r="G4655">
        <v>160279652</v>
      </c>
      <c r="H4655">
        <v>-243347316</v>
      </c>
      <c r="I4655">
        <v>-154266150</v>
      </c>
      <c r="J4655">
        <v>112988991</v>
      </c>
      <c r="K4655">
        <v>64011646</v>
      </c>
      <c r="L4655">
        <v>-100512415</v>
      </c>
      <c r="M4655">
        <v>150673184</v>
      </c>
      <c r="N4655">
        <v>134632957</v>
      </c>
      <c r="O4655">
        <v>131870383</v>
      </c>
      <c r="P4655">
        <v>127</v>
      </c>
      <c r="Q4655" t="s">
        <v>9660</v>
      </c>
    </row>
    <row r="4656" spans="1:17" x14ac:dyDescent="0.3">
      <c r="A4656" t="s">
        <v>59</v>
      </c>
      <c r="B4656" t="str">
        <f>"002211"</f>
        <v>002211</v>
      </c>
      <c r="C4656" t="s">
        <v>9661</v>
      </c>
      <c r="D4656" t="s">
        <v>1900</v>
      </c>
      <c r="F4656">
        <v>-29211624</v>
      </c>
      <c r="G4656">
        <v>-336068198</v>
      </c>
      <c r="H4656">
        <v>-245379153</v>
      </c>
      <c r="I4656">
        <v>122523089</v>
      </c>
      <c r="J4656">
        <v>111095189</v>
      </c>
      <c r="K4656">
        <v>250309287</v>
      </c>
      <c r="L4656">
        <v>23556232</v>
      </c>
      <c r="M4656">
        <v>83299970</v>
      </c>
      <c r="N4656">
        <v>-94117945</v>
      </c>
      <c r="O4656">
        <v>236312489</v>
      </c>
      <c r="P4656">
        <v>85</v>
      </c>
      <c r="Q4656" t="s">
        <v>9662</v>
      </c>
    </row>
    <row r="4657" spans="1:17" x14ac:dyDescent="0.3">
      <c r="A4657" t="s">
        <v>17</v>
      </c>
      <c r="B4657" t="str">
        <f>"688788"</f>
        <v>688788</v>
      </c>
      <c r="C4657" t="s">
        <v>9663</v>
      </c>
      <c r="D4657" t="s">
        <v>1983</v>
      </c>
      <c r="F4657">
        <v>-90491407</v>
      </c>
      <c r="G4657">
        <v>55297985</v>
      </c>
      <c r="H4657">
        <v>-245705833</v>
      </c>
      <c r="I4657">
        <v>-59604730</v>
      </c>
      <c r="J4657">
        <v>-34704883</v>
      </c>
      <c r="P4657">
        <v>57</v>
      </c>
      <c r="Q4657" t="s">
        <v>9664</v>
      </c>
    </row>
    <row r="4658" spans="1:17" x14ac:dyDescent="0.3">
      <c r="A4658" t="s">
        <v>17</v>
      </c>
      <c r="B4658" t="str">
        <f>"600716"</f>
        <v>600716</v>
      </c>
      <c r="C4658" t="s">
        <v>9665</v>
      </c>
      <c r="D4658" t="s">
        <v>61</v>
      </c>
      <c r="F4658">
        <v>-127182249</v>
      </c>
      <c r="G4658">
        <v>915997129</v>
      </c>
      <c r="H4658">
        <v>-246608047</v>
      </c>
      <c r="I4658">
        <v>42546449</v>
      </c>
      <c r="J4658">
        <v>209056344</v>
      </c>
      <c r="K4658">
        <v>712818525</v>
      </c>
      <c r="L4658">
        <v>411394741</v>
      </c>
      <c r="M4658">
        <v>325910960</v>
      </c>
      <c r="N4658">
        <v>-416945786</v>
      </c>
      <c r="O4658">
        <v>9233965</v>
      </c>
      <c r="P4658">
        <v>95</v>
      </c>
      <c r="Q4658" t="s">
        <v>9666</v>
      </c>
    </row>
    <row r="4659" spans="1:17" x14ac:dyDescent="0.3">
      <c r="A4659" t="s">
        <v>59</v>
      </c>
      <c r="B4659" t="str">
        <f>"002082"</f>
        <v>002082</v>
      </c>
      <c r="C4659" t="s">
        <v>9667</v>
      </c>
      <c r="D4659" t="s">
        <v>238</v>
      </c>
      <c r="F4659">
        <v>22085188</v>
      </c>
      <c r="G4659">
        <v>151006121</v>
      </c>
      <c r="H4659">
        <v>-248693353</v>
      </c>
      <c r="I4659">
        <v>135396101</v>
      </c>
      <c r="J4659">
        <v>-17604583</v>
      </c>
      <c r="K4659">
        <v>310712849</v>
      </c>
      <c r="L4659">
        <v>16762923</v>
      </c>
      <c r="M4659">
        <v>140310214</v>
      </c>
      <c r="N4659">
        <v>234352540</v>
      </c>
      <c r="O4659">
        <v>202732246</v>
      </c>
      <c r="P4659">
        <v>135</v>
      </c>
      <c r="Q4659" t="s">
        <v>9668</v>
      </c>
    </row>
    <row r="4660" spans="1:17" x14ac:dyDescent="0.3">
      <c r="A4660" t="s">
        <v>59</v>
      </c>
      <c r="B4660" t="str">
        <f>"300919"</f>
        <v>300919</v>
      </c>
      <c r="C4660" t="s">
        <v>9669</v>
      </c>
      <c r="D4660" t="s">
        <v>1444</v>
      </c>
      <c r="F4660">
        <v>-1658738595</v>
      </c>
      <c r="G4660">
        <v>463587802</v>
      </c>
      <c r="H4660">
        <v>-250642403</v>
      </c>
      <c r="I4660">
        <v>-208465957</v>
      </c>
      <c r="J4660">
        <v>-215973675</v>
      </c>
      <c r="P4660">
        <v>175</v>
      </c>
      <c r="Q4660" t="s">
        <v>9670</v>
      </c>
    </row>
    <row r="4661" spans="1:17" x14ac:dyDescent="0.3">
      <c r="A4661" t="s">
        <v>17</v>
      </c>
      <c r="B4661" t="str">
        <f>"600611"</f>
        <v>600611</v>
      </c>
      <c r="C4661" t="s">
        <v>9671</v>
      </c>
      <c r="D4661" t="s">
        <v>2487</v>
      </c>
      <c r="F4661">
        <v>1422900984</v>
      </c>
      <c r="G4661">
        <v>-700220711</v>
      </c>
      <c r="H4661">
        <v>-252298264</v>
      </c>
      <c r="I4661">
        <v>449400869</v>
      </c>
      <c r="J4661">
        <v>621806693</v>
      </c>
      <c r="K4661">
        <v>1413972745</v>
      </c>
      <c r="L4661">
        <v>1245267838</v>
      </c>
      <c r="M4661">
        <v>639990366</v>
      </c>
      <c r="N4661">
        <v>373703655</v>
      </c>
      <c r="O4661">
        <v>-174671418</v>
      </c>
      <c r="P4661">
        <v>243</v>
      </c>
      <c r="Q4661" t="s">
        <v>9672</v>
      </c>
    </row>
    <row r="4662" spans="1:17" x14ac:dyDescent="0.3">
      <c r="A4662" t="s">
        <v>17</v>
      </c>
      <c r="B4662" t="str">
        <f>"688509"</f>
        <v>688509</v>
      </c>
      <c r="C4662" t="s">
        <v>9673</v>
      </c>
      <c r="D4662" t="s">
        <v>1189</v>
      </c>
      <c r="F4662">
        <v>32981217</v>
      </c>
      <c r="G4662">
        <v>28566761</v>
      </c>
      <c r="H4662">
        <v>-252357862</v>
      </c>
      <c r="I4662">
        <v>-196398248</v>
      </c>
      <c r="J4662">
        <v>52796600</v>
      </c>
      <c r="P4662">
        <v>17</v>
      </c>
      <c r="Q4662" t="s">
        <v>9674</v>
      </c>
    </row>
    <row r="4663" spans="1:17" x14ac:dyDescent="0.3">
      <c r="A4663" t="s">
        <v>17</v>
      </c>
      <c r="B4663" t="str">
        <f>"600545"</f>
        <v>600545</v>
      </c>
      <c r="C4663" t="s">
        <v>9675</v>
      </c>
      <c r="D4663" t="s">
        <v>3970</v>
      </c>
      <c r="F4663">
        <v>85912000</v>
      </c>
      <c r="G4663">
        <v>-1092621000</v>
      </c>
      <c r="H4663">
        <v>-252733000</v>
      </c>
      <c r="I4663">
        <v>-1042763000</v>
      </c>
      <c r="J4663">
        <v>676157000</v>
      </c>
      <c r="K4663">
        <v>-393708714</v>
      </c>
      <c r="L4663">
        <v>-18023302</v>
      </c>
      <c r="M4663">
        <v>240790375</v>
      </c>
      <c r="N4663">
        <v>22886543</v>
      </c>
      <c r="O4663">
        <v>-120889971</v>
      </c>
      <c r="P4663">
        <v>134</v>
      </c>
      <c r="Q4663" t="s">
        <v>9676</v>
      </c>
    </row>
    <row r="4664" spans="1:17" x14ac:dyDescent="0.3">
      <c r="A4664" t="s">
        <v>59</v>
      </c>
      <c r="B4664" t="str">
        <f>"002488"</f>
        <v>002488</v>
      </c>
      <c r="C4664" t="s">
        <v>9677</v>
      </c>
      <c r="D4664" t="s">
        <v>767</v>
      </c>
      <c r="F4664">
        <v>-260747852</v>
      </c>
      <c r="G4664">
        <v>-73739055</v>
      </c>
      <c r="H4664">
        <v>-253976262</v>
      </c>
      <c r="I4664">
        <v>-438838388</v>
      </c>
      <c r="J4664">
        <v>-384524311</v>
      </c>
      <c r="K4664">
        <v>-78474804</v>
      </c>
      <c r="L4664">
        <v>-23616701</v>
      </c>
      <c r="M4664">
        <v>329796059</v>
      </c>
      <c r="N4664">
        <v>12408484</v>
      </c>
      <c r="O4664">
        <v>63720228</v>
      </c>
      <c r="P4664">
        <v>152</v>
      </c>
      <c r="Q4664" t="s">
        <v>9678</v>
      </c>
    </row>
    <row r="4665" spans="1:17" x14ac:dyDescent="0.3">
      <c r="A4665" t="s">
        <v>59</v>
      </c>
      <c r="B4665" t="str">
        <f>"300724"</f>
        <v>300724</v>
      </c>
      <c r="C4665" t="s">
        <v>9679</v>
      </c>
      <c r="D4665" t="s">
        <v>2062</v>
      </c>
      <c r="F4665">
        <v>1349496089</v>
      </c>
      <c r="G4665">
        <v>333765091</v>
      </c>
      <c r="H4665">
        <v>-254268049</v>
      </c>
      <c r="I4665">
        <v>-60350996</v>
      </c>
      <c r="J4665">
        <v>117565648</v>
      </c>
      <c r="K4665">
        <v>237566073</v>
      </c>
      <c r="L4665">
        <v>58372911</v>
      </c>
      <c r="P4665">
        <v>573</v>
      </c>
      <c r="Q4665" t="s">
        <v>9680</v>
      </c>
    </row>
    <row r="4666" spans="1:17" x14ac:dyDescent="0.3">
      <c r="A4666" t="s">
        <v>59</v>
      </c>
      <c r="B4666" t="str">
        <f>"000070"</f>
        <v>000070</v>
      </c>
      <c r="C4666" t="s">
        <v>9681</v>
      </c>
      <c r="D4666" t="s">
        <v>754</v>
      </c>
      <c r="F4666">
        <v>-577731148</v>
      </c>
      <c r="G4666">
        <v>64751953</v>
      </c>
      <c r="H4666">
        <v>-254983835</v>
      </c>
      <c r="I4666">
        <v>-81135219</v>
      </c>
      <c r="J4666">
        <v>252935861</v>
      </c>
      <c r="K4666">
        <v>300472395</v>
      </c>
      <c r="L4666">
        <v>178889142</v>
      </c>
      <c r="M4666">
        <v>143097009</v>
      </c>
      <c r="N4666">
        <v>14402356</v>
      </c>
      <c r="O4666">
        <v>81469913</v>
      </c>
      <c r="P4666">
        <v>334</v>
      </c>
      <c r="Q4666" t="s">
        <v>9682</v>
      </c>
    </row>
    <row r="4667" spans="1:17" x14ac:dyDescent="0.3">
      <c r="A4667" t="s">
        <v>59</v>
      </c>
      <c r="B4667" t="str">
        <f>"301150"</f>
        <v>301150</v>
      </c>
      <c r="C4667" t="s">
        <v>9683</v>
      </c>
      <c r="F4667">
        <v>3006801</v>
      </c>
      <c r="G4667">
        <v>-71595553</v>
      </c>
      <c r="H4667">
        <v>-257667525</v>
      </c>
      <c r="I4667">
        <v>-103338282</v>
      </c>
      <c r="J4667">
        <v>-58518120</v>
      </c>
      <c r="P4667">
        <v>7</v>
      </c>
      <c r="Q4667" t="s">
        <v>9684</v>
      </c>
    </row>
    <row r="4668" spans="1:17" x14ac:dyDescent="0.3">
      <c r="A4668" t="s">
        <v>17</v>
      </c>
      <c r="B4668" t="str">
        <f>"688578"</f>
        <v>688578</v>
      </c>
      <c r="C4668" t="s">
        <v>9685</v>
      </c>
      <c r="D4668" t="s">
        <v>592</v>
      </c>
      <c r="F4668">
        <v>29291075</v>
      </c>
      <c r="G4668">
        <v>-196745030</v>
      </c>
      <c r="H4668">
        <v>-259373946</v>
      </c>
      <c r="I4668">
        <v>-97254544</v>
      </c>
      <c r="J4668">
        <v>10112163</v>
      </c>
      <c r="P4668">
        <v>47</v>
      </c>
      <c r="Q4668" t="s">
        <v>9686</v>
      </c>
    </row>
    <row r="4669" spans="1:17" x14ac:dyDescent="0.3">
      <c r="A4669" t="s">
        <v>59</v>
      </c>
      <c r="B4669" t="str">
        <f>"300495"</f>
        <v>300495</v>
      </c>
      <c r="C4669" t="s">
        <v>9687</v>
      </c>
      <c r="D4669" t="s">
        <v>1489</v>
      </c>
      <c r="F4669">
        <v>-808041066</v>
      </c>
      <c r="G4669">
        <v>-20362050</v>
      </c>
      <c r="H4669">
        <v>-259630992</v>
      </c>
      <c r="I4669">
        <v>163568677</v>
      </c>
      <c r="J4669">
        <v>-196384522</v>
      </c>
      <c r="K4669">
        <v>-184404765</v>
      </c>
      <c r="L4669">
        <v>-143201810</v>
      </c>
      <c r="M4669">
        <v>754581</v>
      </c>
      <c r="N4669">
        <v>28596723</v>
      </c>
      <c r="O4669">
        <v>30190022</v>
      </c>
      <c r="P4669">
        <v>103</v>
      </c>
      <c r="Q4669" t="s">
        <v>9688</v>
      </c>
    </row>
    <row r="4670" spans="1:17" x14ac:dyDescent="0.3">
      <c r="A4670" t="s">
        <v>59</v>
      </c>
      <c r="B4670" t="str">
        <f>"002168"</f>
        <v>002168</v>
      </c>
      <c r="C4670" t="s">
        <v>9689</v>
      </c>
      <c r="D4670" t="s">
        <v>689</v>
      </c>
      <c r="F4670">
        <v>207763904</v>
      </c>
      <c r="G4670">
        <v>126934949</v>
      </c>
      <c r="H4670">
        <v>-267042883</v>
      </c>
      <c r="I4670">
        <v>308950004</v>
      </c>
      <c r="J4670">
        <v>-5470547</v>
      </c>
      <c r="K4670">
        <v>-646210</v>
      </c>
      <c r="L4670">
        <v>2863726</v>
      </c>
      <c r="M4670">
        <v>57850331</v>
      </c>
      <c r="N4670">
        <v>69548576</v>
      </c>
      <c r="O4670">
        <v>14317174</v>
      </c>
      <c r="P4670">
        <v>158</v>
      </c>
      <c r="Q4670" t="s">
        <v>9690</v>
      </c>
    </row>
    <row r="4671" spans="1:17" x14ac:dyDescent="0.3">
      <c r="A4671" t="s">
        <v>17</v>
      </c>
      <c r="B4671" t="str">
        <f>"600423"</f>
        <v>600423</v>
      </c>
      <c r="C4671" t="s">
        <v>9691</v>
      </c>
      <c r="D4671" t="s">
        <v>2751</v>
      </c>
      <c r="F4671">
        <v>6055847</v>
      </c>
      <c r="G4671">
        <v>-130308847</v>
      </c>
      <c r="H4671">
        <v>-274337507</v>
      </c>
      <c r="I4671">
        <v>24160336</v>
      </c>
      <c r="J4671">
        <v>281600504</v>
      </c>
      <c r="K4671">
        <v>26752510</v>
      </c>
      <c r="L4671">
        <v>80584626</v>
      </c>
      <c r="M4671">
        <v>487417994</v>
      </c>
      <c r="N4671">
        <v>414240361</v>
      </c>
      <c r="O4671">
        <v>304427376</v>
      </c>
      <c r="P4671">
        <v>74</v>
      </c>
      <c r="Q4671" t="s">
        <v>9692</v>
      </c>
    </row>
    <row r="4672" spans="1:17" x14ac:dyDescent="0.3">
      <c r="A4672" t="s">
        <v>59</v>
      </c>
      <c r="B4672" t="str">
        <f>"000720"</f>
        <v>000720</v>
      </c>
      <c r="C4672" t="s">
        <v>9693</v>
      </c>
      <c r="D4672" t="s">
        <v>6266</v>
      </c>
      <c r="F4672">
        <v>-709955436</v>
      </c>
      <c r="G4672">
        <v>416952464</v>
      </c>
      <c r="H4672">
        <v>-276264071</v>
      </c>
      <c r="I4672">
        <v>1340356456</v>
      </c>
      <c r="J4672">
        <v>412585273</v>
      </c>
      <c r="K4672">
        <v>486458040</v>
      </c>
      <c r="L4672">
        <v>745896781</v>
      </c>
      <c r="M4672">
        <v>495112903</v>
      </c>
      <c r="N4672">
        <v>710720343</v>
      </c>
      <c r="O4672">
        <v>422380729</v>
      </c>
      <c r="P4672">
        <v>122</v>
      </c>
      <c r="Q4672" t="s">
        <v>9694</v>
      </c>
    </row>
    <row r="4673" spans="1:17" x14ac:dyDescent="0.3">
      <c r="A4673" t="s">
        <v>17</v>
      </c>
      <c r="B4673" t="str">
        <f>"600248"</f>
        <v>600248</v>
      </c>
      <c r="C4673" t="s">
        <v>9695</v>
      </c>
      <c r="D4673" t="s">
        <v>503</v>
      </c>
      <c r="F4673">
        <v>-3059955232</v>
      </c>
      <c r="G4673">
        <v>-2668587198</v>
      </c>
      <c r="H4673">
        <v>-276322904</v>
      </c>
      <c r="I4673">
        <v>113913730</v>
      </c>
      <c r="J4673">
        <v>543327993</v>
      </c>
      <c r="K4673">
        <v>4264538</v>
      </c>
      <c r="L4673">
        <v>-282225051</v>
      </c>
      <c r="M4673">
        <v>288419194</v>
      </c>
      <c r="N4673">
        <v>76193751</v>
      </c>
      <c r="O4673">
        <v>262981145</v>
      </c>
      <c r="P4673">
        <v>143</v>
      </c>
      <c r="Q4673" t="s">
        <v>9696</v>
      </c>
    </row>
    <row r="4674" spans="1:17" x14ac:dyDescent="0.3">
      <c r="A4674" t="s">
        <v>17</v>
      </c>
      <c r="B4674" t="str">
        <f>"600311"</f>
        <v>600311</v>
      </c>
      <c r="C4674" t="s">
        <v>9697</v>
      </c>
      <c r="D4674" t="s">
        <v>530</v>
      </c>
      <c r="F4674">
        <v>-7499973</v>
      </c>
      <c r="G4674">
        <v>115241298</v>
      </c>
      <c r="H4674">
        <v>-276765202</v>
      </c>
      <c r="I4674">
        <v>-31248126</v>
      </c>
      <c r="J4674">
        <v>32565580</v>
      </c>
      <c r="K4674">
        <v>-24779076</v>
      </c>
      <c r="L4674">
        <v>52129553</v>
      </c>
      <c r="M4674">
        <v>12901670</v>
      </c>
      <c r="N4674">
        <v>-18756841</v>
      </c>
      <c r="O4674">
        <v>134171503</v>
      </c>
      <c r="P4674">
        <v>53</v>
      </c>
      <c r="Q4674" t="s">
        <v>9698</v>
      </c>
    </row>
    <row r="4675" spans="1:17" x14ac:dyDescent="0.3">
      <c r="A4675" t="s">
        <v>17</v>
      </c>
      <c r="B4675" t="str">
        <f>"688331"</f>
        <v>688331</v>
      </c>
      <c r="C4675" t="s">
        <v>9699</v>
      </c>
      <c r="F4675">
        <v>281582454</v>
      </c>
      <c r="G4675">
        <v>-658022619</v>
      </c>
      <c r="H4675">
        <v>-280712138</v>
      </c>
      <c r="I4675">
        <v>-126479152</v>
      </c>
      <c r="P4675">
        <v>5</v>
      </c>
      <c r="Q4675" t="s">
        <v>9700</v>
      </c>
    </row>
    <row r="4676" spans="1:17" x14ac:dyDescent="0.3">
      <c r="A4676" t="s">
        <v>17</v>
      </c>
      <c r="B4676" t="str">
        <f>"600792"</f>
        <v>600792</v>
      </c>
      <c r="C4676" t="s">
        <v>9701</v>
      </c>
      <c r="D4676" t="s">
        <v>841</v>
      </c>
      <c r="F4676">
        <v>258193219</v>
      </c>
      <c r="G4676">
        <v>28029778</v>
      </c>
      <c r="H4676">
        <v>-280905083</v>
      </c>
      <c r="I4676">
        <v>517667103</v>
      </c>
      <c r="J4676">
        <v>389795893</v>
      </c>
      <c r="K4676">
        <v>628395567</v>
      </c>
      <c r="L4676">
        <v>615802604</v>
      </c>
      <c r="M4676">
        <v>288624506</v>
      </c>
      <c r="N4676">
        <v>81874101</v>
      </c>
      <c r="O4676">
        <v>-283441629</v>
      </c>
      <c r="P4676">
        <v>97</v>
      </c>
      <c r="Q4676" t="s">
        <v>9702</v>
      </c>
    </row>
    <row r="4677" spans="1:17" x14ac:dyDescent="0.3">
      <c r="A4677" t="s">
        <v>59</v>
      </c>
      <c r="B4677" t="str">
        <f>"002632"</f>
        <v>002632</v>
      </c>
      <c r="C4677" t="s">
        <v>9703</v>
      </c>
      <c r="D4677" t="s">
        <v>1674</v>
      </c>
      <c r="F4677">
        <v>549057604</v>
      </c>
      <c r="G4677">
        <v>783408808</v>
      </c>
      <c r="H4677">
        <v>-281693301</v>
      </c>
      <c r="I4677">
        <v>137023983</v>
      </c>
      <c r="J4677">
        <v>123658977</v>
      </c>
      <c r="K4677">
        <v>77157089</v>
      </c>
      <c r="L4677">
        <v>68599498</v>
      </c>
      <c r="M4677">
        <v>134413135</v>
      </c>
      <c r="N4677">
        <v>7365758</v>
      </c>
      <c r="O4677">
        <v>44691827</v>
      </c>
      <c r="P4677">
        <v>144</v>
      </c>
      <c r="Q4677" t="s">
        <v>9704</v>
      </c>
    </row>
    <row r="4678" spans="1:17" x14ac:dyDescent="0.3">
      <c r="A4678" t="s">
        <v>59</v>
      </c>
      <c r="B4678" t="str">
        <f>"002368"</f>
        <v>002368</v>
      </c>
      <c r="C4678" t="s">
        <v>9705</v>
      </c>
      <c r="D4678" t="s">
        <v>1189</v>
      </c>
      <c r="F4678">
        <v>739291699</v>
      </c>
      <c r="G4678">
        <v>1083975055</v>
      </c>
      <c r="H4678">
        <v>-282559563</v>
      </c>
      <c r="I4678">
        <v>680464245</v>
      </c>
      <c r="J4678">
        <v>321195197</v>
      </c>
      <c r="K4678">
        <v>110526524</v>
      </c>
      <c r="L4678">
        <v>247809506</v>
      </c>
      <c r="M4678">
        <v>-16906483</v>
      </c>
      <c r="N4678">
        <v>389309826</v>
      </c>
      <c r="O4678">
        <v>190740587</v>
      </c>
      <c r="P4678">
        <v>373</v>
      </c>
      <c r="Q4678" t="s">
        <v>9706</v>
      </c>
    </row>
    <row r="4679" spans="1:17" x14ac:dyDescent="0.3">
      <c r="A4679" t="s">
        <v>59</v>
      </c>
      <c r="B4679" t="str">
        <f>"002769"</f>
        <v>002769</v>
      </c>
      <c r="C4679" t="s">
        <v>9707</v>
      </c>
      <c r="D4679" t="s">
        <v>838</v>
      </c>
      <c r="F4679">
        <v>-404901243</v>
      </c>
      <c r="G4679">
        <v>10945198</v>
      </c>
      <c r="H4679">
        <v>-282988420</v>
      </c>
      <c r="I4679">
        <v>-512397055</v>
      </c>
      <c r="J4679">
        <v>367339509</v>
      </c>
      <c r="K4679">
        <v>-618541351</v>
      </c>
      <c r="L4679">
        <v>155600771</v>
      </c>
      <c r="M4679">
        <v>35683448</v>
      </c>
      <c r="N4679">
        <v>50128941</v>
      </c>
      <c r="O4679">
        <v>-56544408</v>
      </c>
      <c r="P4679">
        <v>96</v>
      </c>
      <c r="Q4679" t="s">
        <v>9708</v>
      </c>
    </row>
    <row r="4680" spans="1:17" x14ac:dyDescent="0.3">
      <c r="A4680" t="s">
        <v>17</v>
      </c>
      <c r="B4680" t="str">
        <f>"600664"</f>
        <v>600664</v>
      </c>
      <c r="C4680" t="s">
        <v>9709</v>
      </c>
      <c r="D4680" t="s">
        <v>592</v>
      </c>
      <c r="F4680">
        <v>-162437381</v>
      </c>
      <c r="G4680">
        <v>-728154258</v>
      </c>
      <c r="H4680">
        <v>-284938535</v>
      </c>
      <c r="I4680">
        <v>692724936</v>
      </c>
      <c r="J4680">
        <v>149221463</v>
      </c>
      <c r="K4680">
        <v>2778011579</v>
      </c>
      <c r="L4680">
        <v>1660015400</v>
      </c>
      <c r="M4680">
        <v>1136099588</v>
      </c>
      <c r="N4680">
        <v>141639697</v>
      </c>
      <c r="O4680">
        <v>557829738</v>
      </c>
      <c r="P4680">
        <v>499</v>
      </c>
      <c r="Q4680" t="s">
        <v>9710</v>
      </c>
    </row>
    <row r="4681" spans="1:17" x14ac:dyDescent="0.3">
      <c r="A4681" t="s">
        <v>59</v>
      </c>
      <c r="B4681" t="str">
        <f>"300297"</f>
        <v>300297</v>
      </c>
      <c r="C4681" t="s">
        <v>9711</v>
      </c>
      <c r="D4681" t="s">
        <v>1189</v>
      </c>
      <c r="F4681">
        <v>-235653150</v>
      </c>
      <c r="G4681">
        <v>148000690</v>
      </c>
      <c r="H4681">
        <v>-288458944</v>
      </c>
      <c r="I4681">
        <v>169254449</v>
      </c>
      <c r="J4681">
        <v>25352087</v>
      </c>
      <c r="K4681">
        <v>343196379</v>
      </c>
      <c r="L4681">
        <v>110958169</v>
      </c>
      <c r="M4681">
        <v>35544859</v>
      </c>
      <c r="N4681">
        <v>49937840</v>
      </c>
      <c r="O4681">
        <v>35472527</v>
      </c>
      <c r="P4681">
        <v>342</v>
      </c>
      <c r="Q4681" t="s">
        <v>9712</v>
      </c>
    </row>
    <row r="4682" spans="1:17" x14ac:dyDescent="0.3">
      <c r="A4682" t="s">
        <v>17</v>
      </c>
      <c r="B4682" t="str">
        <f>"600604"</f>
        <v>600604</v>
      </c>
      <c r="C4682" t="s">
        <v>9713</v>
      </c>
      <c r="D4682" t="s">
        <v>6266</v>
      </c>
      <c r="F4682">
        <v>-450986517</v>
      </c>
      <c r="G4682">
        <v>-1544780919</v>
      </c>
      <c r="H4682">
        <v>-292149799</v>
      </c>
      <c r="I4682">
        <v>-3991997594</v>
      </c>
      <c r="J4682">
        <v>-730697989</v>
      </c>
      <c r="K4682">
        <v>22965693</v>
      </c>
      <c r="L4682">
        <v>-1269250446</v>
      </c>
      <c r="M4682">
        <v>-582968128</v>
      </c>
      <c r="N4682">
        <v>-268443672</v>
      </c>
      <c r="O4682">
        <v>6391420</v>
      </c>
      <c r="P4682">
        <v>138</v>
      </c>
      <c r="Q4682" t="s">
        <v>9714</v>
      </c>
    </row>
    <row r="4683" spans="1:17" x14ac:dyDescent="0.3">
      <c r="A4683" t="s">
        <v>59</v>
      </c>
      <c r="B4683" t="str">
        <f>"000573"</f>
        <v>000573</v>
      </c>
      <c r="C4683" t="s">
        <v>9715</v>
      </c>
      <c r="D4683" t="s">
        <v>61</v>
      </c>
      <c r="F4683">
        <v>119316162</v>
      </c>
      <c r="G4683">
        <v>265125814</v>
      </c>
      <c r="H4683">
        <v>-292783061</v>
      </c>
      <c r="I4683">
        <v>438757685</v>
      </c>
      <c r="J4683">
        <v>-154177649</v>
      </c>
      <c r="K4683">
        <v>593281850</v>
      </c>
      <c r="L4683">
        <v>129076071</v>
      </c>
      <c r="M4683">
        <v>33858741</v>
      </c>
      <c r="N4683">
        <v>-42211167</v>
      </c>
      <c r="O4683">
        <v>12542573</v>
      </c>
      <c r="P4683">
        <v>130</v>
      </c>
      <c r="Q4683" t="s">
        <v>9716</v>
      </c>
    </row>
    <row r="4684" spans="1:17" x14ac:dyDescent="0.3">
      <c r="A4684" t="s">
        <v>17</v>
      </c>
      <c r="B4684" t="str">
        <f>"600090"</f>
        <v>600090</v>
      </c>
      <c r="C4684" t="s">
        <v>9717</v>
      </c>
      <c r="D4684" t="s">
        <v>396</v>
      </c>
      <c r="G4684">
        <v>16784982</v>
      </c>
      <c r="H4684">
        <v>-293024652</v>
      </c>
      <c r="I4684">
        <v>-710805020</v>
      </c>
      <c r="J4684">
        <v>206171541</v>
      </c>
      <c r="K4684">
        <v>160208462</v>
      </c>
      <c r="L4684">
        <v>246216234</v>
      </c>
      <c r="M4684">
        <v>196115949</v>
      </c>
      <c r="N4684">
        <v>215015878</v>
      </c>
      <c r="O4684">
        <v>207598451</v>
      </c>
      <c r="P4684">
        <v>214</v>
      </c>
      <c r="Q4684" t="s">
        <v>9718</v>
      </c>
    </row>
    <row r="4685" spans="1:17" x14ac:dyDescent="0.3">
      <c r="A4685" t="s">
        <v>59</v>
      </c>
      <c r="B4685" t="str">
        <f>"301099"</f>
        <v>301099</v>
      </c>
      <c r="C4685" t="s">
        <v>9719</v>
      </c>
      <c r="D4685" t="s">
        <v>1180</v>
      </c>
      <c r="F4685">
        <v>-319964709</v>
      </c>
      <c r="G4685">
        <v>-383081046</v>
      </c>
      <c r="H4685">
        <v>-297885014</v>
      </c>
      <c r="I4685">
        <v>-417069531</v>
      </c>
      <c r="J4685">
        <v>-254532680</v>
      </c>
      <c r="P4685">
        <v>16</v>
      </c>
      <c r="Q4685" t="s">
        <v>9720</v>
      </c>
    </row>
    <row r="4686" spans="1:17" x14ac:dyDescent="0.3">
      <c r="A4686" t="s">
        <v>17</v>
      </c>
      <c r="B4686" t="str">
        <f>"603717"</f>
        <v>603717</v>
      </c>
      <c r="C4686" t="s">
        <v>9721</v>
      </c>
      <c r="D4686" t="s">
        <v>1489</v>
      </c>
      <c r="F4686">
        <v>-223316026</v>
      </c>
      <c r="G4686">
        <v>-86511975</v>
      </c>
      <c r="H4686">
        <v>-303095938</v>
      </c>
      <c r="I4686">
        <v>2773812</v>
      </c>
      <c r="J4686">
        <v>-228465287</v>
      </c>
      <c r="K4686">
        <v>129111675</v>
      </c>
      <c r="L4686">
        <v>-213207472</v>
      </c>
      <c r="M4686">
        <v>-51118949</v>
      </c>
      <c r="P4686">
        <v>55</v>
      </c>
      <c r="Q4686" t="s">
        <v>9722</v>
      </c>
    </row>
    <row r="4687" spans="1:17" x14ac:dyDescent="0.3">
      <c r="A4687" t="s">
        <v>59</v>
      </c>
      <c r="B4687" t="str">
        <f>"000793"</f>
        <v>000793</v>
      </c>
      <c r="C4687" t="s">
        <v>9723</v>
      </c>
      <c r="D4687" t="s">
        <v>914</v>
      </c>
      <c r="F4687">
        <v>-114089261</v>
      </c>
      <c r="G4687">
        <v>-101621325</v>
      </c>
      <c r="H4687">
        <v>-307341645</v>
      </c>
      <c r="I4687">
        <v>-361420752</v>
      </c>
      <c r="J4687">
        <v>657864762</v>
      </c>
      <c r="K4687">
        <v>680584036</v>
      </c>
      <c r="L4687">
        <v>822643024</v>
      </c>
      <c r="M4687">
        <v>799167052</v>
      </c>
      <c r="N4687">
        <v>931544095</v>
      </c>
      <c r="O4687">
        <v>185951923</v>
      </c>
      <c r="P4687">
        <v>141</v>
      </c>
      <c r="Q4687" t="s">
        <v>9724</v>
      </c>
    </row>
    <row r="4688" spans="1:17" x14ac:dyDescent="0.3">
      <c r="A4688" t="s">
        <v>17</v>
      </c>
      <c r="B4688" t="str">
        <f>"603458"</f>
        <v>603458</v>
      </c>
      <c r="C4688" t="s">
        <v>9725</v>
      </c>
      <c r="D4688" t="s">
        <v>2254</v>
      </c>
      <c r="F4688">
        <v>139883856</v>
      </c>
      <c r="G4688">
        <v>250390852</v>
      </c>
      <c r="H4688">
        <v>-308532923</v>
      </c>
      <c r="I4688">
        <v>-113944384</v>
      </c>
      <c r="J4688">
        <v>75374578</v>
      </c>
      <c r="K4688">
        <v>308759056</v>
      </c>
      <c r="L4688">
        <v>46369654</v>
      </c>
      <c r="M4688">
        <v>282214450</v>
      </c>
      <c r="P4688">
        <v>474</v>
      </c>
      <c r="Q4688" t="s">
        <v>9726</v>
      </c>
    </row>
    <row r="4689" spans="1:17" x14ac:dyDescent="0.3">
      <c r="A4689" t="s">
        <v>59</v>
      </c>
      <c r="B4689" t="str">
        <f>"002051"</f>
        <v>002051</v>
      </c>
      <c r="C4689" t="s">
        <v>9727</v>
      </c>
      <c r="D4689" t="s">
        <v>2071</v>
      </c>
      <c r="F4689">
        <v>-414671227</v>
      </c>
      <c r="G4689">
        <v>341798563</v>
      </c>
      <c r="H4689">
        <v>-315643224</v>
      </c>
      <c r="I4689">
        <v>2833969281</v>
      </c>
      <c r="J4689">
        <v>-2489426500</v>
      </c>
      <c r="K4689">
        <v>-795995518</v>
      </c>
      <c r="L4689">
        <v>1364956554</v>
      </c>
      <c r="M4689">
        <v>408940474</v>
      </c>
      <c r="N4689">
        <v>968247523</v>
      </c>
      <c r="O4689">
        <v>913381517</v>
      </c>
      <c r="P4689">
        <v>556</v>
      </c>
      <c r="Q4689" t="s">
        <v>9728</v>
      </c>
    </row>
    <row r="4690" spans="1:17" x14ac:dyDescent="0.3">
      <c r="A4690" t="s">
        <v>59</v>
      </c>
      <c r="B4690" t="str">
        <f>"002118"</f>
        <v>002118</v>
      </c>
      <c r="C4690" t="s">
        <v>9729</v>
      </c>
      <c r="D4690" t="s">
        <v>455</v>
      </c>
      <c r="G4690">
        <v>-1428604</v>
      </c>
      <c r="H4690">
        <v>-323279896</v>
      </c>
      <c r="I4690">
        <v>-767432118</v>
      </c>
      <c r="J4690">
        <v>-1320518734</v>
      </c>
      <c r="K4690">
        <v>-231882651</v>
      </c>
      <c r="L4690">
        <v>217319945</v>
      </c>
      <c r="M4690">
        <v>4619573</v>
      </c>
      <c r="N4690">
        <v>-471386147</v>
      </c>
      <c r="O4690">
        <v>-195448045</v>
      </c>
      <c r="P4690">
        <v>226</v>
      </c>
      <c r="Q4690" t="s">
        <v>9730</v>
      </c>
    </row>
    <row r="4691" spans="1:17" x14ac:dyDescent="0.3">
      <c r="A4691" t="s">
        <v>17</v>
      </c>
      <c r="B4691" t="str">
        <f>"900912"</f>
        <v>900912</v>
      </c>
      <c r="C4691" t="s">
        <v>9731</v>
      </c>
      <c r="G4691">
        <v>639821977.08809996</v>
      </c>
      <c r="H4691">
        <v>-323702289.41759998</v>
      </c>
      <c r="I4691">
        <v>104144625.9508</v>
      </c>
      <c r="J4691">
        <v>437390573.41439998</v>
      </c>
      <c r="K4691">
        <v>-77153343.695999995</v>
      </c>
      <c r="L4691">
        <v>-53226385.057999998</v>
      </c>
      <c r="M4691">
        <v>39609969.053199999</v>
      </c>
      <c r="N4691">
        <v>-97091613.441200003</v>
      </c>
      <c r="O4691">
        <v>374689625.079</v>
      </c>
      <c r="P4691">
        <v>18</v>
      </c>
      <c r="Q4691" t="s">
        <v>9732</v>
      </c>
    </row>
    <row r="4692" spans="1:17" x14ac:dyDescent="0.3">
      <c r="A4692" t="s">
        <v>59</v>
      </c>
      <c r="B4692" t="str">
        <f>"300083"</f>
        <v>300083</v>
      </c>
      <c r="C4692" t="s">
        <v>9733</v>
      </c>
      <c r="D4692" t="s">
        <v>1426</v>
      </c>
      <c r="F4692">
        <v>337847011</v>
      </c>
      <c r="G4692">
        <v>182982297</v>
      </c>
      <c r="H4692">
        <v>-324897975</v>
      </c>
      <c r="I4692">
        <v>-88133002</v>
      </c>
      <c r="J4692">
        <v>-176633274</v>
      </c>
      <c r="K4692">
        <v>-337352373</v>
      </c>
      <c r="L4692">
        <v>-529943219</v>
      </c>
      <c r="M4692">
        <v>-121712930</v>
      </c>
      <c r="N4692">
        <v>411567616</v>
      </c>
      <c r="O4692">
        <v>238713038</v>
      </c>
      <c r="P4692">
        <v>487</v>
      </c>
      <c r="Q4692" t="s">
        <v>9734</v>
      </c>
    </row>
    <row r="4693" spans="1:17" x14ac:dyDescent="0.3">
      <c r="A4693" t="s">
        <v>59</v>
      </c>
      <c r="B4693" t="str">
        <f>"000973"</f>
        <v>000973</v>
      </c>
      <c r="C4693" t="s">
        <v>9735</v>
      </c>
      <c r="D4693" t="s">
        <v>1674</v>
      </c>
      <c r="F4693">
        <v>289038760</v>
      </c>
      <c r="G4693">
        <v>376633290</v>
      </c>
      <c r="H4693">
        <v>-328991299</v>
      </c>
      <c r="I4693">
        <v>1096757032</v>
      </c>
      <c r="J4693">
        <v>698886261</v>
      </c>
      <c r="K4693">
        <v>308376999</v>
      </c>
      <c r="L4693">
        <v>497324915</v>
      </c>
      <c r="M4693">
        <v>162411298</v>
      </c>
      <c r="N4693">
        <v>292873989</v>
      </c>
      <c r="O4693">
        <v>457005709</v>
      </c>
      <c r="P4693">
        <v>123</v>
      </c>
      <c r="Q4693" t="s">
        <v>9736</v>
      </c>
    </row>
    <row r="4694" spans="1:17" x14ac:dyDescent="0.3">
      <c r="A4694" t="s">
        <v>59</v>
      </c>
      <c r="B4694" t="str">
        <f>"300783"</f>
        <v>300783</v>
      </c>
      <c r="C4694" t="s">
        <v>9737</v>
      </c>
      <c r="D4694" t="s">
        <v>2353</v>
      </c>
      <c r="F4694">
        <v>588467807</v>
      </c>
      <c r="G4694">
        <v>1199090382</v>
      </c>
      <c r="H4694">
        <v>-329244934</v>
      </c>
      <c r="I4694">
        <v>636500254</v>
      </c>
      <c r="J4694">
        <v>447003173</v>
      </c>
      <c r="K4694">
        <v>109551791</v>
      </c>
      <c r="P4694">
        <v>730</v>
      </c>
      <c r="Q4694" t="s">
        <v>9738</v>
      </c>
    </row>
    <row r="4695" spans="1:17" x14ac:dyDescent="0.3">
      <c r="A4695" t="s">
        <v>17</v>
      </c>
      <c r="B4695" t="str">
        <f>"600246"</f>
        <v>600246</v>
      </c>
      <c r="C4695" t="s">
        <v>9739</v>
      </c>
      <c r="D4695" t="s">
        <v>61</v>
      </c>
      <c r="F4695">
        <v>55693016</v>
      </c>
      <c r="G4695">
        <v>1224419649</v>
      </c>
      <c r="H4695">
        <v>-338856950</v>
      </c>
      <c r="I4695">
        <v>330520359</v>
      </c>
      <c r="J4695">
        <v>982017859</v>
      </c>
      <c r="K4695">
        <v>1323304571</v>
      </c>
      <c r="L4695">
        <v>24068403</v>
      </c>
      <c r="M4695">
        <v>-1183327745</v>
      </c>
      <c r="N4695">
        <v>-546081399</v>
      </c>
      <c r="O4695">
        <v>555622411</v>
      </c>
      <c r="P4695">
        <v>122</v>
      </c>
      <c r="Q4695" t="s">
        <v>9740</v>
      </c>
    </row>
    <row r="4696" spans="1:17" x14ac:dyDescent="0.3">
      <c r="A4696" t="s">
        <v>17</v>
      </c>
      <c r="B4696" t="str">
        <f>"600775"</f>
        <v>600775</v>
      </c>
      <c r="C4696" t="s">
        <v>9741</v>
      </c>
      <c r="D4696" t="s">
        <v>1650</v>
      </c>
      <c r="F4696">
        <v>208170561</v>
      </c>
      <c r="G4696">
        <v>534653617</v>
      </c>
      <c r="H4696">
        <v>-341233848</v>
      </c>
      <c r="I4696">
        <v>45563018</v>
      </c>
      <c r="J4696">
        <v>157549565</v>
      </c>
      <c r="K4696">
        <v>53146797</v>
      </c>
      <c r="L4696">
        <v>108995230</v>
      </c>
      <c r="M4696">
        <v>44034014</v>
      </c>
      <c r="N4696">
        <v>-86545584</v>
      </c>
      <c r="O4696">
        <v>-82211026</v>
      </c>
      <c r="P4696">
        <v>179</v>
      </c>
      <c r="Q4696" t="s">
        <v>9742</v>
      </c>
    </row>
    <row r="4697" spans="1:17" x14ac:dyDescent="0.3">
      <c r="A4697" t="s">
        <v>59</v>
      </c>
      <c r="B4697" t="str">
        <f>"000965"</f>
        <v>000965</v>
      </c>
      <c r="C4697" t="s">
        <v>9743</v>
      </c>
      <c r="D4697" t="s">
        <v>61</v>
      </c>
      <c r="F4697">
        <v>1005679282</v>
      </c>
      <c r="G4697">
        <v>-1109287591</v>
      </c>
      <c r="H4697">
        <v>-341578570</v>
      </c>
      <c r="I4697">
        <v>-1971935777</v>
      </c>
      <c r="J4697">
        <v>-1289409871</v>
      </c>
      <c r="K4697">
        <v>1384642454</v>
      </c>
      <c r="L4697">
        <v>613720797</v>
      </c>
      <c r="M4697">
        <v>348287925</v>
      </c>
      <c r="N4697">
        <v>231465394</v>
      </c>
      <c r="O4697">
        <v>51174218</v>
      </c>
      <c r="P4697">
        <v>116</v>
      </c>
      <c r="Q4697" t="s">
        <v>9744</v>
      </c>
    </row>
    <row r="4698" spans="1:17" x14ac:dyDescent="0.3">
      <c r="A4698" t="s">
        <v>59</v>
      </c>
      <c r="B4698" t="str">
        <f>"002298"</f>
        <v>002298</v>
      </c>
      <c r="C4698" t="s">
        <v>9745</v>
      </c>
      <c r="D4698" t="s">
        <v>1528</v>
      </c>
      <c r="F4698">
        <v>-22531400</v>
      </c>
      <c r="G4698">
        <v>59217362</v>
      </c>
      <c r="H4698">
        <v>-345038391</v>
      </c>
      <c r="I4698">
        <v>-202702849</v>
      </c>
      <c r="J4698">
        <v>150965819</v>
      </c>
      <c r="K4698">
        <v>294660017</v>
      </c>
      <c r="L4698">
        <v>244632330</v>
      </c>
      <c r="M4698">
        <v>22122069</v>
      </c>
      <c r="N4698">
        <v>-83848189</v>
      </c>
      <c r="O4698">
        <v>46176495</v>
      </c>
      <c r="P4698">
        <v>182</v>
      </c>
      <c r="Q4698" t="s">
        <v>9746</v>
      </c>
    </row>
    <row r="4699" spans="1:17" x14ac:dyDescent="0.3">
      <c r="A4699" t="s">
        <v>59</v>
      </c>
      <c r="B4699" t="str">
        <f>"300541"</f>
        <v>300541</v>
      </c>
      <c r="C4699" t="s">
        <v>9747</v>
      </c>
      <c r="D4699" t="s">
        <v>1189</v>
      </c>
      <c r="F4699">
        <v>300586115</v>
      </c>
      <c r="G4699">
        <v>325585435</v>
      </c>
      <c r="H4699">
        <v>-350845748</v>
      </c>
      <c r="I4699">
        <v>87476464</v>
      </c>
      <c r="J4699">
        <v>-138529062</v>
      </c>
      <c r="K4699">
        <v>-76818714</v>
      </c>
      <c r="L4699">
        <v>23004863</v>
      </c>
      <c r="M4699">
        <v>30702693</v>
      </c>
      <c r="N4699">
        <v>8187536</v>
      </c>
      <c r="P4699">
        <v>177</v>
      </c>
      <c r="Q4699" t="s">
        <v>9748</v>
      </c>
    </row>
    <row r="4700" spans="1:17" x14ac:dyDescent="0.3">
      <c r="A4700" t="s">
        <v>17</v>
      </c>
      <c r="B4700" t="str">
        <f>"688062"</f>
        <v>688062</v>
      </c>
      <c r="C4700" t="s">
        <v>9749</v>
      </c>
      <c r="D4700" t="s">
        <v>592</v>
      </c>
      <c r="F4700">
        <v>-422402976</v>
      </c>
      <c r="G4700">
        <v>-514987372</v>
      </c>
      <c r="H4700">
        <v>-354350709</v>
      </c>
      <c r="I4700">
        <v>-155510600</v>
      </c>
      <c r="J4700">
        <v>-94397044</v>
      </c>
      <c r="P4700">
        <v>14</v>
      </c>
      <c r="Q4700" t="s">
        <v>9750</v>
      </c>
    </row>
    <row r="4701" spans="1:17" x14ac:dyDescent="0.3">
      <c r="A4701" t="s">
        <v>59</v>
      </c>
      <c r="B4701" t="str">
        <f>"300047"</f>
        <v>300047</v>
      </c>
      <c r="C4701" t="s">
        <v>9751</v>
      </c>
      <c r="D4701" t="s">
        <v>1528</v>
      </c>
      <c r="F4701">
        <v>122869578</v>
      </c>
      <c r="G4701">
        <v>23966595</v>
      </c>
      <c r="H4701">
        <v>-362483066</v>
      </c>
      <c r="I4701">
        <v>-94002279</v>
      </c>
      <c r="J4701">
        <v>77094475</v>
      </c>
      <c r="K4701">
        <v>-212574270</v>
      </c>
      <c r="L4701">
        <v>-67059306</v>
      </c>
      <c r="M4701">
        <v>-126725861</v>
      </c>
      <c r="N4701">
        <v>-19132502</v>
      </c>
      <c r="O4701">
        <v>24220065</v>
      </c>
      <c r="P4701">
        <v>338</v>
      </c>
      <c r="Q4701" t="s">
        <v>9752</v>
      </c>
    </row>
    <row r="4702" spans="1:17" x14ac:dyDescent="0.3">
      <c r="A4702" t="s">
        <v>17</v>
      </c>
      <c r="B4702" t="str">
        <f>"600146"</f>
        <v>600146</v>
      </c>
      <c r="C4702" t="s">
        <v>9753</v>
      </c>
      <c r="D4702" t="s">
        <v>646</v>
      </c>
      <c r="G4702">
        <v>-60025714</v>
      </c>
      <c r="H4702">
        <v>-362633560</v>
      </c>
      <c r="I4702">
        <v>-408649787</v>
      </c>
      <c r="J4702">
        <v>115392447</v>
      </c>
      <c r="K4702">
        <v>-77319905</v>
      </c>
      <c r="L4702">
        <v>-41592590</v>
      </c>
      <c r="M4702">
        <v>-29611056</v>
      </c>
      <c r="N4702">
        <v>-37229433</v>
      </c>
      <c r="O4702">
        <v>-5784704</v>
      </c>
      <c r="P4702">
        <v>70</v>
      </c>
      <c r="Q4702" t="s">
        <v>9754</v>
      </c>
    </row>
    <row r="4703" spans="1:17" x14ac:dyDescent="0.3">
      <c r="A4703" t="s">
        <v>17</v>
      </c>
      <c r="B4703" t="str">
        <f>"688192"</f>
        <v>688192</v>
      </c>
      <c r="C4703" t="s">
        <v>9755</v>
      </c>
      <c r="D4703" t="s">
        <v>592</v>
      </c>
      <c r="F4703">
        <v>-492277561</v>
      </c>
      <c r="G4703">
        <v>-410012499</v>
      </c>
      <c r="H4703">
        <v>-365626851</v>
      </c>
      <c r="I4703">
        <v>-136426229</v>
      </c>
      <c r="P4703">
        <v>11</v>
      </c>
      <c r="Q4703" t="s">
        <v>9756</v>
      </c>
    </row>
    <row r="4704" spans="1:17" x14ac:dyDescent="0.3">
      <c r="A4704" t="s">
        <v>17</v>
      </c>
      <c r="B4704" t="str">
        <f>"601399"</f>
        <v>601399</v>
      </c>
      <c r="C4704" t="s">
        <v>9757</v>
      </c>
      <c r="D4704" t="s">
        <v>741</v>
      </c>
      <c r="F4704">
        <v>596870487</v>
      </c>
      <c r="G4704">
        <v>-1118033131</v>
      </c>
      <c r="H4704">
        <v>-369461900</v>
      </c>
      <c r="I4704">
        <v>1002218786</v>
      </c>
      <c r="J4704">
        <v>203443892</v>
      </c>
      <c r="N4704">
        <v>-572640840</v>
      </c>
      <c r="O4704">
        <v>-1599464428</v>
      </c>
      <c r="P4704">
        <v>53</v>
      </c>
      <c r="Q4704" t="s">
        <v>9758</v>
      </c>
    </row>
    <row r="4705" spans="1:17" x14ac:dyDescent="0.3">
      <c r="A4705" t="s">
        <v>17</v>
      </c>
      <c r="B4705" t="str">
        <f>"601238"</f>
        <v>601238</v>
      </c>
      <c r="C4705" t="s">
        <v>9759</v>
      </c>
      <c r="D4705" t="s">
        <v>57</v>
      </c>
      <c r="F4705">
        <v>-5589261967</v>
      </c>
      <c r="G4705">
        <v>-2887231594</v>
      </c>
      <c r="H4705">
        <v>-380571401</v>
      </c>
      <c r="I4705">
        <v>-1268116293</v>
      </c>
      <c r="J4705">
        <v>15097882093</v>
      </c>
      <c r="K4705">
        <v>5498358276</v>
      </c>
      <c r="L4705">
        <v>5081828813</v>
      </c>
      <c r="M4705">
        <v>1104781789</v>
      </c>
      <c r="N4705">
        <v>978390727</v>
      </c>
      <c r="O4705">
        <v>956076280</v>
      </c>
      <c r="P4705">
        <v>1300</v>
      </c>
      <c r="Q4705" t="s">
        <v>9760</v>
      </c>
    </row>
    <row r="4706" spans="1:17" x14ac:dyDescent="0.3">
      <c r="A4706" t="s">
        <v>17</v>
      </c>
      <c r="B4706" t="str">
        <f>"600010"</f>
        <v>600010</v>
      </c>
      <c r="C4706" t="s">
        <v>9761</v>
      </c>
      <c r="D4706" t="s">
        <v>120</v>
      </c>
      <c r="F4706">
        <v>10974430211</v>
      </c>
      <c r="G4706">
        <v>3873508153</v>
      </c>
      <c r="H4706">
        <v>-386829261</v>
      </c>
      <c r="I4706">
        <v>7148748710</v>
      </c>
      <c r="J4706">
        <v>7328968104</v>
      </c>
      <c r="K4706">
        <v>6460822407</v>
      </c>
      <c r="L4706">
        <v>-974796862</v>
      </c>
      <c r="M4706">
        <v>2964567367</v>
      </c>
      <c r="N4706">
        <v>7148991337</v>
      </c>
      <c r="O4706">
        <v>5490156130</v>
      </c>
      <c r="P4706">
        <v>623</v>
      </c>
      <c r="Q4706" t="s">
        <v>9762</v>
      </c>
    </row>
    <row r="4707" spans="1:17" x14ac:dyDescent="0.3">
      <c r="A4707" t="s">
        <v>59</v>
      </c>
      <c r="B4707" t="str">
        <f>"000417"</f>
        <v>000417</v>
      </c>
      <c r="C4707" t="s">
        <v>9763</v>
      </c>
      <c r="D4707" t="s">
        <v>1361</v>
      </c>
      <c r="F4707">
        <v>967914427</v>
      </c>
      <c r="G4707">
        <v>273174443</v>
      </c>
      <c r="H4707">
        <v>-393519600</v>
      </c>
      <c r="I4707">
        <v>692754824</v>
      </c>
      <c r="J4707">
        <v>634124860</v>
      </c>
      <c r="K4707">
        <v>656946875</v>
      </c>
      <c r="L4707">
        <v>292359488</v>
      </c>
      <c r="M4707">
        <v>450194963</v>
      </c>
      <c r="N4707">
        <v>375396775</v>
      </c>
      <c r="O4707">
        <v>665532273</v>
      </c>
      <c r="P4707">
        <v>145</v>
      </c>
      <c r="Q4707" t="s">
        <v>9764</v>
      </c>
    </row>
    <row r="4708" spans="1:17" x14ac:dyDescent="0.3">
      <c r="A4708" t="s">
        <v>59</v>
      </c>
      <c r="B4708" t="str">
        <f>"300140"</f>
        <v>300140</v>
      </c>
      <c r="C4708" t="s">
        <v>9765</v>
      </c>
      <c r="D4708" t="s">
        <v>1337</v>
      </c>
      <c r="F4708">
        <v>220528167</v>
      </c>
      <c r="G4708">
        <v>-130382013</v>
      </c>
      <c r="H4708">
        <v>-400730859</v>
      </c>
      <c r="I4708">
        <v>-118476276</v>
      </c>
      <c r="J4708">
        <v>-69124975</v>
      </c>
      <c r="K4708">
        <v>-239207880</v>
      </c>
      <c r="L4708">
        <v>-942346</v>
      </c>
      <c r="M4708">
        <v>-7702525</v>
      </c>
      <c r="N4708">
        <v>-14334249</v>
      </c>
      <c r="O4708">
        <v>11418120</v>
      </c>
      <c r="P4708">
        <v>103</v>
      </c>
      <c r="Q4708" t="s">
        <v>9766</v>
      </c>
    </row>
    <row r="4709" spans="1:17" x14ac:dyDescent="0.3">
      <c r="A4709" t="s">
        <v>59</v>
      </c>
      <c r="B4709" t="str">
        <f>"000796"</f>
        <v>000796</v>
      </c>
      <c r="C4709" t="s">
        <v>9767</v>
      </c>
      <c r="D4709" t="s">
        <v>3549</v>
      </c>
      <c r="F4709">
        <v>-84654020</v>
      </c>
      <c r="G4709">
        <v>308065022</v>
      </c>
      <c r="H4709">
        <v>-404949254</v>
      </c>
      <c r="I4709">
        <v>226148422</v>
      </c>
      <c r="J4709">
        <v>497566412</v>
      </c>
      <c r="K4709">
        <v>323050133</v>
      </c>
      <c r="L4709">
        <v>287915759</v>
      </c>
      <c r="M4709">
        <v>161592652</v>
      </c>
      <c r="N4709">
        <v>47204418</v>
      </c>
      <c r="O4709">
        <v>69224901</v>
      </c>
      <c r="P4709">
        <v>224</v>
      </c>
      <c r="Q4709" t="s">
        <v>9768</v>
      </c>
    </row>
    <row r="4710" spans="1:17" x14ac:dyDescent="0.3">
      <c r="A4710" t="s">
        <v>17</v>
      </c>
      <c r="B4710" t="str">
        <f>"601005"</f>
        <v>601005</v>
      </c>
      <c r="C4710" t="s">
        <v>9769</v>
      </c>
      <c r="D4710" t="s">
        <v>120</v>
      </c>
      <c r="F4710">
        <v>5621431000</v>
      </c>
      <c r="G4710">
        <v>1337765000</v>
      </c>
      <c r="H4710">
        <v>-405326000</v>
      </c>
      <c r="I4710">
        <v>1338195000</v>
      </c>
      <c r="J4710">
        <v>505815000</v>
      </c>
      <c r="K4710">
        <v>-449021000</v>
      </c>
      <c r="L4710">
        <v>-1678179000</v>
      </c>
      <c r="M4710">
        <v>2796783000</v>
      </c>
      <c r="N4710">
        <v>1955331000</v>
      </c>
      <c r="O4710">
        <v>5314613000</v>
      </c>
      <c r="P4710">
        <v>249</v>
      </c>
      <c r="Q4710" t="s">
        <v>9770</v>
      </c>
    </row>
    <row r="4711" spans="1:17" x14ac:dyDescent="0.3">
      <c r="A4711" t="s">
        <v>17</v>
      </c>
      <c r="B4711" t="str">
        <f>"688538"</f>
        <v>688538</v>
      </c>
      <c r="C4711" t="s">
        <v>9771</v>
      </c>
      <c r="D4711" t="s">
        <v>139</v>
      </c>
      <c r="F4711">
        <v>94107189</v>
      </c>
      <c r="G4711">
        <v>-178853625</v>
      </c>
      <c r="H4711">
        <v>-408682553</v>
      </c>
      <c r="I4711">
        <v>-329048613</v>
      </c>
      <c r="J4711">
        <v>-566859796</v>
      </c>
      <c r="P4711">
        <v>37</v>
      </c>
      <c r="Q4711" t="s">
        <v>9772</v>
      </c>
    </row>
    <row r="4712" spans="1:17" x14ac:dyDescent="0.3">
      <c r="A4712" t="s">
        <v>17</v>
      </c>
      <c r="B4712" t="str">
        <f>"600829"</f>
        <v>600829</v>
      </c>
      <c r="C4712" t="s">
        <v>9773</v>
      </c>
      <c r="D4712" t="s">
        <v>396</v>
      </c>
      <c r="F4712">
        <v>-233004243</v>
      </c>
      <c r="G4712">
        <v>-9221872</v>
      </c>
      <c r="H4712">
        <v>-411603708</v>
      </c>
      <c r="I4712">
        <v>366451822</v>
      </c>
      <c r="J4712">
        <v>139074594</v>
      </c>
      <c r="K4712">
        <v>46010726</v>
      </c>
      <c r="L4712">
        <v>333987605</v>
      </c>
      <c r="M4712">
        <v>392578770</v>
      </c>
      <c r="N4712">
        <v>-158312271</v>
      </c>
      <c r="O4712">
        <v>221573403</v>
      </c>
      <c r="P4712">
        <v>1902</v>
      </c>
      <c r="Q4712" t="s">
        <v>9774</v>
      </c>
    </row>
    <row r="4713" spans="1:17" x14ac:dyDescent="0.3">
      <c r="A4713" t="s">
        <v>59</v>
      </c>
      <c r="B4713" t="str">
        <f>"002411"</f>
        <v>002411</v>
      </c>
      <c r="C4713" t="s">
        <v>9775</v>
      </c>
      <c r="D4713" t="s">
        <v>396</v>
      </c>
      <c r="G4713">
        <v>-365035994</v>
      </c>
      <c r="H4713">
        <v>-416391820</v>
      </c>
      <c r="I4713">
        <v>403220830</v>
      </c>
      <c r="J4713">
        <v>35624513</v>
      </c>
      <c r="K4713">
        <v>1512820872</v>
      </c>
      <c r="L4713">
        <v>685418937</v>
      </c>
      <c r="M4713">
        <v>-94341737</v>
      </c>
      <c r="N4713">
        <v>102001319</v>
      </c>
      <c r="O4713">
        <v>15476359</v>
      </c>
      <c r="P4713">
        <v>244</v>
      </c>
      <c r="Q4713" t="s">
        <v>9776</v>
      </c>
    </row>
    <row r="4714" spans="1:17" x14ac:dyDescent="0.3">
      <c r="A4714" t="s">
        <v>59</v>
      </c>
      <c r="B4714" t="str">
        <f>"300742"</f>
        <v>300742</v>
      </c>
      <c r="C4714" t="s">
        <v>9777</v>
      </c>
      <c r="D4714" t="s">
        <v>156</v>
      </c>
      <c r="F4714">
        <v>-112357412</v>
      </c>
      <c r="G4714">
        <v>-158965710</v>
      </c>
      <c r="H4714">
        <v>-420342756</v>
      </c>
      <c r="I4714">
        <v>-115546035</v>
      </c>
      <c r="J4714">
        <v>-193376097</v>
      </c>
      <c r="K4714">
        <v>-153741158</v>
      </c>
      <c r="L4714">
        <v>-115837140</v>
      </c>
      <c r="P4714">
        <v>90</v>
      </c>
      <c r="Q4714" t="s">
        <v>9778</v>
      </c>
    </row>
    <row r="4715" spans="1:17" x14ac:dyDescent="0.3">
      <c r="A4715" t="s">
        <v>59</v>
      </c>
      <c r="B4715" t="str">
        <f>"000982"</f>
        <v>000982</v>
      </c>
      <c r="C4715" t="s">
        <v>9779</v>
      </c>
      <c r="D4715" t="s">
        <v>3101</v>
      </c>
      <c r="F4715">
        <v>21697002</v>
      </c>
      <c r="G4715">
        <v>-42097210</v>
      </c>
      <c r="H4715">
        <v>-431969807</v>
      </c>
      <c r="I4715">
        <v>-49087691</v>
      </c>
      <c r="J4715">
        <v>-51235004</v>
      </c>
      <c r="K4715">
        <v>116819991</v>
      </c>
      <c r="L4715">
        <v>-196199541</v>
      </c>
      <c r="M4715">
        <v>490219006</v>
      </c>
      <c r="N4715">
        <v>-534410729</v>
      </c>
      <c r="O4715">
        <v>-403687470</v>
      </c>
      <c r="P4715">
        <v>83</v>
      </c>
      <c r="Q4715" t="s">
        <v>9780</v>
      </c>
    </row>
    <row r="4716" spans="1:17" x14ac:dyDescent="0.3">
      <c r="A4716" t="s">
        <v>59</v>
      </c>
      <c r="B4716" t="str">
        <f>"300355"</f>
        <v>300355</v>
      </c>
      <c r="C4716" t="s">
        <v>9781</v>
      </c>
      <c r="D4716" t="s">
        <v>1489</v>
      </c>
      <c r="F4716">
        <v>579662541</v>
      </c>
      <c r="G4716">
        <v>-436771929</v>
      </c>
      <c r="H4716">
        <v>-442183852</v>
      </c>
      <c r="I4716">
        <v>-1871835227</v>
      </c>
      <c r="J4716">
        <v>420324305</v>
      </c>
      <c r="K4716">
        <v>105675611</v>
      </c>
      <c r="L4716">
        <v>84538132</v>
      </c>
      <c r="M4716">
        <v>-64016217</v>
      </c>
      <c r="N4716">
        <v>-193026521</v>
      </c>
      <c r="O4716">
        <v>-102742448</v>
      </c>
      <c r="P4716">
        <v>406</v>
      </c>
      <c r="Q4716" t="s">
        <v>9782</v>
      </c>
    </row>
    <row r="4717" spans="1:17" x14ac:dyDescent="0.3">
      <c r="A4717" t="s">
        <v>59</v>
      </c>
      <c r="B4717" t="str">
        <f>"300376"</f>
        <v>300376</v>
      </c>
      <c r="C4717" t="s">
        <v>9783</v>
      </c>
      <c r="D4717" t="s">
        <v>1746</v>
      </c>
      <c r="F4717">
        <v>1136205402</v>
      </c>
      <c r="G4717">
        <v>1171556370</v>
      </c>
      <c r="H4717">
        <v>-475005312</v>
      </c>
      <c r="I4717">
        <v>381824757</v>
      </c>
      <c r="J4717">
        <v>362367403</v>
      </c>
      <c r="K4717">
        <v>562651733</v>
      </c>
      <c r="L4717">
        <v>221017473</v>
      </c>
      <c r="M4717">
        <v>53218418</v>
      </c>
      <c r="N4717">
        <v>60100097</v>
      </c>
      <c r="O4717">
        <v>98500839</v>
      </c>
      <c r="P4717">
        <v>849</v>
      </c>
      <c r="Q4717" t="s">
        <v>9784</v>
      </c>
    </row>
    <row r="4718" spans="1:17" x14ac:dyDescent="0.3">
      <c r="A4718" t="s">
        <v>59</v>
      </c>
      <c r="B4718" t="str">
        <f>"002383"</f>
        <v>002383</v>
      </c>
      <c r="C4718" t="s">
        <v>9785</v>
      </c>
      <c r="D4718" t="s">
        <v>1983</v>
      </c>
      <c r="F4718">
        <v>-11673510</v>
      </c>
      <c r="G4718">
        <v>-56808797</v>
      </c>
      <c r="H4718">
        <v>-483561849</v>
      </c>
      <c r="I4718">
        <v>-255265243</v>
      </c>
      <c r="J4718">
        <v>-847062753</v>
      </c>
      <c r="K4718">
        <v>-87037650</v>
      </c>
      <c r="L4718">
        <v>-74135464</v>
      </c>
      <c r="M4718">
        <v>-66669587</v>
      </c>
      <c r="N4718">
        <v>-15713893</v>
      </c>
      <c r="O4718">
        <v>-3826773</v>
      </c>
      <c r="P4718">
        <v>211</v>
      </c>
      <c r="Q4718" t="s">
        <v>9786</v>
      </c>
    </row>
    <row r="4719" spans="1:17" x14ac:dyDescent="0.3">
      <c r="A4719" t="s">
        <v>17</v>
      </c>
      <c r="B4719" t="str">
        <f>"688520"</f>
        <v>688520</v>
      </c>
      <c r="C4719" t="s">
        <v>9787</v>
      </c>
      <c r="D4719" t="s">
        <v>1062</v>
      </c>
      <c r="F4719">
        <v>-862824462</v>
      </c>
      <c r="G4719">
        <v>-537405096</v>
      </c>
      <c r="H4719">
        <v>-485102965</v>
      </c>
      <c r="I4719">
        <v>-88019303</v>
      </c>
      <c r="J4719">
        <v>-93278608</v>
      </c>
      <c r="K4719">
        <v>-40279331</v>
      </c>
      <c r="P4719">
        <v>90</v>
      </c>
      <c r="Q4719" t="s">
        <v>9788</v>
      </c>
    </row>
    <row r="4720" spans="1:17" x14ac:dyDescent="0.3">
      <c r="A4720" t="s">
        <v>59</v>
      </c>
      <c r="B4720" t="str">
        <f>"002313"</f>
        <v>002313</v>
      </c>
      <c r="C4720" t="s">
        <v>9789</v>
      </c>
      <c r="D4720" t="s">
        <v>1650</v>
      </c>
      <c r="F4720">
        <v>440001485</v>
      </c>
      <c r="G4720">
        <v>-7704741</v>
      </c>
      <c r="H4720">
        <v>-494326756</v>
      </c>
      <c r="I4720">
        <v>-816190441</v>
      </c>
      <c r="J4720">
        <v>71942006</v>
      </c>
      <c r="K4720">
        <v>298246359</v>
      </c>
      <c r="L4720">
        <v>370620584</v>
      </c>
      <c r="M4720">
        <v>251008552</v>
      </c>
      <c r="N4720">
        <v>-385820808</v>
      </c>
      <c r="O4720">
        <v>-147501024</v>
      </c>
      <c r="P4720">
        <v>243</v>
      </c>
      <c r="Q4720" t="s">
        <v>9790</v>
      </c>
    </row>
    <row r="4721" spans="1:17" x14ac:dyDescent="0.3">
      <c r="A4721" t="s">
        <v>59</v>
      </c>
      <c r="B4721" t="str">
        <f>"000018"</f>
        <v>000018</v>
      </c>
      <c r="C4721" t="s">
        <v>9791</v>
      </c>
      <c r="H4721">
        <v>-499708029</v>
      </c>
      <c r="I4721">
        <v>827879055</v>
      </c>
      <c r="J4721">
        <v>-1781868619</v>
      </c>
      <c r="K4721">
        <v>-1687875814</v>
      </c>
      <c r="L4721">
        <v>-292051257</v>
      </c>
      <c r="M4721">
        <v>1381988</v>
      </c>
      <c r="N4721">
        <v>1708608</v>
      </c>
      <c r="O4721">
        <v>-384418</v>
      </c>
      <c r="P4721">
        <v>99</v>
      </c>
      <c r="Q4721" t="s">
        <v>9792</v>
      </c>
    </row>
    <row r="4722" spans="1:17" x14ac:dyDescent="0.3">
      <c r="A4722" t="s">
        <v>17</v>
      </c>
      <c r="B4722" t="str">
        <f>"688327"</f>
        <v>688327</v>
      </c>
      <c r="C4722" t="s">
        <v>9793</v>
      </c>
      <c r="F4722">
        <v>-546797482</v>
      </c>
      <c r="G4722">
        <v>-461887767</v>
      </c>
      <c r="H4722">
        <v>-505871725</v>
      </c>
      <c r="I4722">
        <v>-271458798</v>
      </c>
      <c r="J4722">
        <v>-67892468</v>
      </c>
      <c r="Q4722" t="s">
        <v>9794</v>
      </c>
    </row>
    <row r="4723" spans="1:17" x14ac:dyDescent="0.3">
      <c r="A4723" t="s">
        <v>17</v>
      </c>
      <c r="B4723" t="str">
        <f>"600077"</f>
        <v>600077</v>
      </c>
      <c r="C4723" t="s">
        <v>9795</v>
      </c>
      <c r="D4723" t="s">
        <v>61</v>
      </c>
      <c r="F4723">
        <v>2796561973</v>
      </c>
      <c r="G4723">
        <v>193000513</v>
      </c>
      <c r="H4723">
        <v>-519250134</v>
      </c>
      <c r="I4723">
        <v>3578286305</v>
      </c>
      <c r="J4723">
        <v>8050024</v>
      </c>
      <c r="K4723">
        <v>2584957586</v>
      </c>
      <c r="L4723">
        <v>2108185797</v>
      </c>
      <c r="M4723">
        <v>-970116807</v>
      </c>
      <c r="N4723">
        <v>-677638673</v>
      </c>
      <c r="O4723">
        <v>1364258558</v>
      </c>
      <c r="P4723">
        <v>126</v>
      </c>
      <c r="Q4723" t="s">
        <v>9796</v>
      </c>
    </row>
    <row r="4724" spans="1:17" x14ac:dyDescent="0.3">
      <c r="A4724" t="s">
        <v>59</v>
      </c>
      <c r="B4724" t="str">
        <f>"000151"</f>
        <v>000151</v>
      </c>
      <c r="C4724" t="s">
        <v>9797</v>
      </c>
      <c r="D4724" t="s">
        <v>659</v>
      </c>
      <c r="F4724">
        <v>-17247071</v>
      </c>
      <c r="G4724">
        <v>25539587</v>
      </c>
      <c r="H4724">
        <v>-526157266</v>
      </c>
      <c r="I4724">
        <v>-459646245</v>
      </c>
      <c r="J4724">
        <v>108496775</v>
      </c>
      <c r="K4724">
        <v>-350478174</v>
      </c>
      <c r="L4724">
        <v>-450875343</v>
      </c>
      <c r="M4724">
        <v>768365620</v>
      </c>
      <c r="N4724">
        <v>730131608</v>
      </c>
      <c r="O4724">
        <v>542243398</v>
      </c>
      <c r="P4724">
        <v>95</v>
      </c>
      <c r="Q4724" t="s">
        <v>9798</v>
      </c>
    </row>
    <row r="4725" spans="1:17" x14ac:dyDescent="0.3">
      <c r="A4725" t="s">
        <v>59</v>
      </c>
      <c r="B4725" t="str">
        <f>"000536"</f>
        <v>000536</v>
      </c>
      <c r="C4725" t="s">
        <v>9799</v>
      </c>
      <c r="D4725" t="s">
        <v>139</v>
      </c>
      <c r="F4725">
        <v>620763745</v>
      </c>
      <c r="G4725">
        <v>458350212</v>
      </c>
      <c r="H4725">
        <v>-527560241</v>
      </c>
      <c r="I4725">
        <v>-1082559223</v>
      </c>
      <c r="J4725">
        <v>439546949</v>
      </c>
      <c r="K4725">
        <v>-173689843</v>
      </c>
      <c r="L4725">
        <v>1988338161</v>
      </c>
      <c r="M4725">
        <v>1457051283</v>
      </c>
      <c r="N4725">
        <v>57063767</v>
      </c>
      <c r="O4725">
        <v>497524960</v>
      </c>
      <c r="P4725">
        <v>142</v>
      </c>
      <c r="Q4725" t="s">
        <v>9800</v>
      </c>
    </row>
    <row r="4726" spans="1:17" x14ac:dyDescent="0.3">
      <c r="A4726" t="s">
        <v>59</v>
      </c>
      <c r="B4726" t="str">
        <f>"000802"</f>
        <v>000802</v>
      </c>
      <c r="C4726" t="s">
        <v>9801</v>
      </c>
      <c r="D4726" t="s">
        <v>1059</v>
      </c>
      <c r="F4726">
        <v>204388866</v>
      </c>
      <c r="G4726">
        <v>18481529</v>
      </c>
      <c r="H4726">
        <v>-528199247</v>
      </c>
      <c r="I4726">
        <v>89923829</v>
      </c>
      <c r="J4726">
        <v>-394446989</v>
      </c>
      <c r="K4726">
        <v>194666</v>
      </c>
      <c r="L4726">
        <v>51323162</v>
      </c>
      <c r="M4726">
        <v>-166072312</v>
      </c>
      <c r="N4726">
        <v>17327643</v>
      </c>
      <c r="O4726">
        <v>41535902</v>
      </c>
      <c r="P4726">
        <v>205</v>
      </c>
      <c r="Q4726" t="s">
        <v>9802</v>
      </c>
    </row>
    <row r="4727" spans="1:17" x14ac:dyDescent="0.3">
      <c r="A4727" t="s">
        <v>59</v>
      </c>
      <c r="B4727" t="str">
        <f>"002700"</f>
        <v>002700</v>
      </c>
      <c r="C4727" t="s">
        <v>9803</v>
      </c>
      <c r="D4727" t="s">
        <v>883</v>
      </c>
      <c r="F4727">
        <v>118261958</v>
      </c>
      <c r="G4727">
        <v>197314214</v>
      </c>
      <c r="H4727">
        <v>-528764142</v>
      </c>
      <c r="I4727">
        <v>80064503</v>
      </c>
      <c r="J4727">
        <v>108684281</v>
      </c>
      <c r="K4727">
        <v>129842733</v>
      </c>
      <c r="L4727">
        <v>120734269</v>
      </c>
      <c r="M4727">
        <v>120579495</v>
      </c>
      <c r="N4727">
        <v>98403782</v>
      </c>
      <c r="O4727">
        <v>82859641</v>
      </c>
      <c r="P4727">
        <v>53</v>
      </c>
      <c r="Q4727" t="s">
        <v>9804</v>
      </c>
    </row>
    <row r="4728" spans="1:17" x14ac:dyDescent="0.3">
      <c r="A4728" t="s">
        <v>17</v>
      </c>
      <c r="B4728" t="str">
        <f>"603555"</f>
        <v>603555</v>
      </c>
      <c r="C4728" t="s">
        <v>9805</v>
      </c>
      <c r="D4728" t="s">
        <v>7718</v>
      </c>
      <c r="F4728">
        <v>-410930028</v>
      </c>
      <c r="G4728">
        <v>-11130205</v>
      </c>
      <c r="H4728">
        <v>-535998196</v>
      </c>
      <c r="I4728">
        <v>559482272</v>
      </c>
      <c r="J4728">
        <v>633306310</v>
      </c>
      <c r="K4728">
        <v>236023831</v>
      </c>
      <c r="L4728">
        <v>599369191</v>
      </c>
      <c r="M4728">
        <v>96988781</v>
      </c>
      <c r="N4728">
        <v>202063364</v>
      </c>
      <c r="O4728">
        <v>468200138</v>
      </c>
      <c r="P4728">
        <v>81</v>
      </c>
      <c r="Q4728" t="s">
        <v>9806</v>
      </c>
    </row>
    <row r="4729" spans="1:17" x14ac:dyDescent="0.3">
      <c r="A4729" t="s">
        <v>59</v>
      </c>
      <c r="B4729" t="str">
        <f>"300178"</f>
        <v>300178</v>
      </c>
      <c r="C4729" t="s">
        <v>9807</v>
      </c>
      <c r="D4729" t="s">
        <v>3549</v>
      </c>
      <c r="F4729">
        <v>89290725</v>
      </c>
      <c r="G4729">
        <v>-77250932</v>
      </c>
      <c r="H4729">
        <v>-537380824</v>
      </c>
      <c r="I4729">
        <v>-1471627607</v>
      </c>
      <c r="J4729">
        <v>-193760035</v>
      </c>
      <c r="K4729">
        <v>201503585</v>
      </c>
      <c r="L4729">
        <v>-117429491</v>
      </c>
      <c r="M4729">
        <v>-249176545</v>
      </c>
      <c r="N4729">
        <v>-52692158</v>
      </c>
      <c r="O4729">
        <v>49528428</v>
      </c>
      <c r="P4729">
        <v>152</v>
      </c>
      <c r="Q4729" t="s">
        <v>9808</v>
      </c>
    </row>
    <row r="4730" spans="1:17" x14ac:dyDescent="0.3">
      <c r="A4730" t="s">
        <v>17</v>
      </c>
      <c r="B4730" t="str">
        <f>"688220"</f>
        <v>688220</v>
      </c>
      <c r="C4730" t="s">
        <v>9809</v>
      </c>
      <c r="D4730" t="s">
        <v>759</v>
      </c>
      <c r="F4730">
        <v>-638871633</v>
      </c>
      <c r="G4730">
        <v>-557512289</v>
      </c>
      <c r="H4730">
        <v>-542299115</v>
      </c>
      <c r="I4730">
        <v>-427930161</v>
      </c>
      <c r="J4730">
        <v>-312393831</v>
      </c>
      <c r="P4730">
        <v>19</v>
      </c>
      <c r="Q4730" t="s">
        <v>9810</v>
      </c>
    </row>
    <row r="4731" spans="1:17" x14ac:dyDescent="0.3">
      <c r="A4731" t="s">
        <v>59</v>
      </c>
      <c r="B4731" t="str">
        <f>"000523"</f>
        <v>000523</v>
      </c>
      <c r="C4731" t="s">
        <v>9811</v>
      </c>
      <c r="D4731" t="s">
        <v>4966</v>
      </c>
      <c r="F4731">
        <v>-141606637</v>
      </c>
      <c r="G4731">
        <v>-1899112753</v>
      </c>
      <c r="H4731">
        <v>-556824311</v>
      </c>
      <c r="I4731">
        <v>-475722581</v>
      </c>
      <c r="J4731">
        <v>-159718852</v>
      </c>
      <c r="K4731">
        <v>-695383775</v>
      </c>
      <c r="L4731">
        <v>-41072841</v>
      </c>
      <c r="M4731">
        <v>-45595093</v>
      </c>
      <c r="N4731">
        <v>124345649</v>
      </c>
      <c r="O4731">
        <v>-28014654</v>
      </c>
      <c r="P4731">
        <v>97</v>
      </c>
      <c r="Q4731" t="s">
        <v>9812</v>
      </c>
    </row>
    <row r="4732" spans="1:17" x14ac:dyDescent="0.3">
      <c r="A4732" t="s">
        <v>59</v>
      </c>
      <c r="B4732" t="str">
        <f>"002961"</f>
        <v>002961</v>
      </c>
      <c r="C4732" t="s">
        <v>9813</v>
      </c>
      <c r="D4732" t="s">
        <v>1233</v>
      </c>
      <c r="F4732">
        <v>-434871620</v>
      </c>
      <c r="G4732">
        <v>-31895574</v>
      </c>
      <c r="H4732">
        <v>-556904542</v>
      </c>
      <c r="I4732">
        <v>-164370013</v>
      </c>
      <c r="J4732">
        <v>-1425100397</v>
      </c>
      <c r="K4732">
        <v>2111478546</v>
      </c>
      <c r="L4732">
        <v>-697046003</v>
      </c>
      <c r="M4732">
        <v>869111067</v>
      </c>
      <c r="N4732">
        <v>-529097475</v>
      </c>
      <c r="O4732">
        <v>-7012230</v>
      </c>
      <c r="P4732">
        <v>121</v>
      </c>
      <c r="Q4732" t="s">
        <v>9814</v>
      </c>
    </row>
    <row r="4733" spans="1:17" x14ac:dyDescent="0.3">
      <c r="A4733" t="s">
        <v>59</v>
      </c>
      <c r="B4733" t="str">
        <f>"200018"</f>
        <v>200018</v>
      </c>
      <c r="C4733" t="s">
        <v>9815</v>
      </c>
      <c r="H4733">
        <v>-558923430.43649995</v>
      </c>
      <c r="I4733">
        <v>942540304.11749995</v>
      </c>
      <c r="J4733">
        <v>-2138598716.5237999</v>
      </c>
      <c r="K4733">
        <v>-1884006983.5868001</v>
      </c>
      <c r="L4733">
        <v>-348621585.57639998</v>
      </c>
      <c r="M4733">
        <v>1728037.7952000001</v>
      </c>
      <c r="N4733">
        <v>2189922.8736</v>
      </c>
      <c r="O4733">
        <v>-478446.64279999997</v>
      </c>
      <c r="P4733">
        <v>13</v>
      </c>
      <c r="Q4733" t="s">
        <v>9816</v>
      </c>
    </row>
    <row r="4734" spans="1:17" x14ac:dyDescent="0.3">
      <c r="A4734" t="s">
        <v>59</v>
      </c>
      <c r="B4734" t="str">
        <f>"300367"</f>
        <v>300367</v>
      </c>
      <c r="C4734" t="s">
        <v>9817</v>
      </c>
      <c r="D4734" t="s">
        <v>344</v>
      </c>
      <c r="F4734">
        <v>-12724161</v>
      </c>
      <c r="G4734">
        <v>-72474637</v>
      </c>
      <c r="H4734">
        <v>-568713777</v>
      </c>
      <c r="I4734">
        <v>10235660</v>
      </c>
      <c r="J4734">
        <v>88827253</v>
      </c>
      <c r="K4734">
        <v>85520898</v>
      </c>
      <c r="L4734">
        <v>141491017</v>
      </c>
      <c r="M4734">
        <v>10617897</v>
      </c>
      <c r="N4734">
        <v>28627056</v>
      </c>
      <c r="O4734">
        <v>6861382</v>
      </c>
      <c r="P4734">
        <v>196</v>
      </c>
      <c r="Q4734" t="s">
        <v>9818</v>
      </c>
    </row>
    <row r="4735" spans="1:17" x14ac:dyDescent="0.3">
      <c r="A4735" t="s">
        <v>59</v>
      </c>
      <c r="B4735" t="str">
        <f>"000038"</f>
        <v>000038</v>
      </c>
      <c r="C4735" t="s">
        <v>9819</v>
      </c>
      <c r="D4735" t="s">
        <v>672</v>
      </c>
      <c r="F4735">
        <v>-253474187</v>
      </c>
      <c r="G4735">
        <v>-318833886</v>
      </c>
      <c r="H4735">
        <v>-577482744</v>
      </c>
      <c r="I4735">
        <v>-649886684</v>
      </c>
      <c r="J4735">
        <v>-73913262</v>
      </c>
      <c r="K4735">
        <v>355917763</v>
      </c>
      <c r="L4735">
        <v>70114726</v>
      </c>
      <c r="M4735">
        <v>16345908</v>
      </c>
      <c r="N4735">
        <v>44954268</v>
      </c>
      <c r="O4735">
        <v>52953904</v>
      </c>
      <c r="P4735">
        <v>113</v>
      </c>
      <c r="Q4735" t="s">
        <v>9820</v>
      </c>
    </row>
    <row r="4736" spans="1:17" x14ac:dyDescent="0.3">
      <c r="A4736" t="s">
        <v>59</v>
      </c>
      <c r="B4736" t="str">
        <f>"000718"</f>
        <v>000718</v>
      </c>
      <c r="C4736" t="s">
        <v>9821</v>
      </c>
      <c r="D4736" t="s">
        <v>61</v>
      </c>
      <c r="F4736">
        <v>376841266</v>
      </c>
      <c r="G4736">
        <v>98384434</v>
      </c>
      <c r="H4736">
        <v>-593490156</v>
      </c>
      <c r="I4736">
        <v>804474007</v>
      </c>
      <c r="J4736">
        <v>1987489632</v>
      </c>
      <c r="K4736">
        <v>3570703711</v>
      </c>
      <c r="L4736">
        <v>3151748815</v>
      </c>
      <c r="M4736">
        <v>802468269</v>
      </c>
      <c r="N4736">
        <v>2374061204</v>
      </c>
      <c r="O4736">
        <v>2059055720</v>
      </c>
      <c r="P4736">
        <v>659</v>
      </c>
      <c r="Q4736" t="s">
        <v>9822</v>
      </c>
    </row>
    <row r="4737" spans="1:17" x14ac:dyDescent="0.3">
      <c r="A4737" t="s">
        <v>17</v>
      </c>
      <c r="B4737" t="str">
        <f>"688177"</f>
        <v>688177</v>
      </c>
      <c r="C4737" t="s">
        <v>9823</v>
      </c>
      <c r="D4737" t="s">
        <v>1062</v>
      </c>
      <c r="F4737">
        <v>236270933</v>
      </c>
      <c r="G4737">
        <v>-358036788</v>
      </c>
      <c r="H4737">
        <v>-597975665</v>
      </c>
      <c r="I4737">
        <v>-528249563</v>
      </c>
      <c r="J4737">
        <v>-236682999</v>
      </c>
      <c r="K4737">
        <v>-116175598</v>
      </c>
      <c r="P4737">
        <v>98</v>
      </c>
      <c r="Q4737" t="s">
        <v>9824</v>
      </c>
    </row>
    <row r="4738" spans="1:17" x14ac:dyDescent="0.3">
      <c r="A4738" t="s">
        <v>17</v>
      </c>
      <c r="B4738" t="str">
        <f>"600834"</f>
        <v>600834</v>
      </c>
      <c r="C4738" t="s">
        <v>9825</v>
      </c>
      <c r="D4738" t="s">
        <v>2487</v>
      </c>
      <c r="F4738">
        <v>618193361</v>
      </c>
      <c r="G4738">
        <v>-115519738</v>
      </c>
      <c r="H4738">
        <v>-602573579</v>
      </c>
      <c r="I4738">
        <v>113206484</v>
      </c>
      <c r="J4738">
        <v>-33338371</v>
      </c>
      <c r="K4738">
        <v>189819779</v>
      </c>
      <c r="L4738">
        <v>14077560</v>
      </c>
      <c r="M4738">
        <v>-293380534</v>
      </c>
      <c r="N4738">
        <v>212197313</v>
      </c>
      <c r="O4738">
        <v>223511696</v>
      </c>
      <c r="P4738">
        <v>120</v>
      </c>
      <c r="Q4738" t="s">
        <v>9826</v>
      </c>
    </row>
    <row r="4739" spans="1:17" x14ac:dyDescent="0.3">
      <c r="A4739" t="s">
        <v>17</v>
      </c>
      <c r="B4739" t="str">
        <f>"600118"</f>
        <v>600118</v>
      </c>
      <c r="C4739" t="s">
        <v>9827</v>
      </c>
      <c r="D4739" t="s">
        <v>1056</v>
      </c>
      <c r="F4739">
        <v>2064858990</v>
      </c>
      <c r="G4739">
        <v>-71849761</v>
      </c>
      <c r="H4739">
        <v>-605766807</v>
      </c>
      <c r="I4739">
        <v>867655406</v>
      </c>
      <c r="J4739">
        <v>-371453916</v>
      </c>
      <c r="K4739">
        <v>630653858</v>
      </c>
      <c r="L4739">
        <v>116153962</v>
      </c>
      <c r="M4739">
        <v>232788713</v>
      </c>
      <c r="N4739">
        <v>78940152</v>
      </c>
      <c r="O4739">
        <v>380311877</v>
      </c>
      <c r="P4739">
        <v>3372</v>
      </c>
      <c r="Q4739" t="s">
        <v>9828</v>
      </c>
    </row>
    <row r="4740" spans="1:17" x14ac:dyDescent="0.3">
      <c r="A4740" t="s">
        <v>59</v>
      </c>
      <c r="B4740" t="str">
        <f>"300712"</f>
        <v>300712</v>
      </c>
      <c r="C4740" t="s">
        <v>9829</v>
      </c>
      <c r="D4740" t="s">
        <v>199</v>
      </c>
      <c r="F4740">
        <v>181196848</v>
      </c>
      <c r="G4740">
        <v>82988060</v>
      </c>
      <c r="H4740">
        <v>-608351782</v>
      </c>
      <c r="I4740">
        <v>20123744</v>
      </c>
      <c r="J4740">
        <v>56365714</v>
      </c>
      <c r="K4740">
        <v>72991218</v>
      </c>
      <c r="L4740">
        <v>-6447201</v>
      </c>
      <c r="M4740">
        <v>46698837</v>
      </c>
      <c r="P4740">
        <v>125</v>
      </c>
      <c r="Q4740" t="s">
        <v>9830</v>
      </c>
    </row>
    <row r="4741" spans="1:17" x14ac:dyDescent="0.3">
      <c r="A4741" t="s">
        <v>17</v>
      </c>
      <c r="B4741" t="str">
        <f>"600815"</f>
        <v>600815</v>
      </c>
      <c r="C4741" t="s">
        <v>9831</v>
      </c>
      <c r="D4741" t="s">
        <v>235</v>
      </c>
      <c r="F4741">
        <v>-114001737</v>
      </c>
      <c r="G4741">
        <v>-310052867</v>
      </c>
      <c r="H4741">
        <v>-614667509</v>
      </c>
      <c r="I4741">
        <v>477550347</v>
      </c>
      <c r="J4741">
        <v>545576289</v>
      </c>
      <c r="K4741">
        <v>146378463</v>
      </c>
      <c r="L4741">
        <v>211343027</v>
      </c>
      <c r="M4741">
        <v>-296324705</v>
      </c>
      <c r="N4741">
        <v>243563674</v>
      </c>
      <c r="O4741">
        <v>-1509881560</v>
      </c>
      <c r="P4741">
        <v>67</v>
      </c>
      <c r="Q4741" t="s">
        <v>9832</v>
      </c>
    </row>
    <row r="4742" spans="1:17" x14ac:dyDescent="0.3">
      <c r="A4742" t="s">
        <v>59</v>
      </c>
      <c r="B4742" t="str">
        <f>"002172"</f>
        <v>002172</v>
      </c>
      <c r="C4742" t="s">
        <v>9833</v>
      </c>
      <c r="D4742" t="s">
        <v>1756</v>
      </c>
      <c r="F4742">
        <v>-33465580</v>
      </c>
      <c r="G4742">
        <v>125329179</v>
      </c>
      <c r="H4742">
        <v>-627620903</v>
      </c>
      <c r="I4742">
        <v>-179619215</v>
      </c>
      <c r="J4742">
        <v>99606133</v>
      </c>
      <c r="K4742">
        <v>555087085</v>
      </c>
      <c r="L4742">
        <v>334683988</v>
      </c>
      <c r="M4742">
        <v>494924499</v>
      </c>
      <c r="N4742">
        <v>238730309</v>
      </c>
      <c r="O4742">
        <v>544264366</v>
      </c>
      <c r="P4742">
        <v>141</v>
      </c>
      <c r="Q4742" t="s">
        <v>9834</v>
      </c>
    </row>
    <row r="4743" spans="1:17" x14ac:dyDescent="0.3">
      <c r="A4743" t="s">
        <v>59</v>
      </c>
      <c r="B4743" t="str">
        <f>"002788"</f>
        <v>002788</v>
      </c>
      <c r="C4743" t="s">
        <v>9835</v>
      </c>
      <c r="D4743" t="s">
        <v>396</v>
      </c>
      <c r="F4743">
        <v>-372020788</v>
      </c>
      <c r="G4743">
        <v>77222645</v>
      </c>
      <c r="H4743">
        <v>-629139618</v>
      </c>
      <c r="I4743">
        <v>126770170</v>
      </c>
      <c r="J4743">
        <v>-447163765</v>
      </c>
      <c r="K4743">
        <v>-128027512</v>
      </c>
      <c r="L4743">
        <v>219309</v>
      </c>
      <c r="M4743">
        <v>177889035</v>
      </c>
      <c r="N4743">
        <v>-76465344</v>
      </c>
      <c r="O4743">
        <v>-32943693</v>
      </c>
      <c r="P4743">
        <v>162</v>
      </c>
      <c r="Q4743" t="s">
        <v>9836</v>
      </c>
    </row>
    <row r="4744" spans="1:17" x14ac:dyDescent="0.3">
      <c r="A4744" t="s">
        <v>17</v>
      </c>
      <c r="B4744" t="str">
        <f>"603876"</f>
        <v>603876</v>
      </c>
      <c r="C4744" t="s">
        <v>9837</v>
      </c>
      <c r="D4744" t="s">
        <v>238</v>
      </c>
      <c r="F4744">
        <v>699281165</v>
      </c>
      <c r="G4744">
        <v>-744789347</v>
      </c>
      <c r="H4744">
        <v>-636492253</v>
      </c>
      <c r="I4744">
        <v>157296507</v>
      </c>
      <c r="J4744">
        <v>-58554574</v>
      </c>
      <c r="K4744">
        <v>-411683559</v>
      </c>
      <c r="L4744">
        <v>726905679</v>
      </c>
      <c r="P4744">
        <v>143</v>
      </c>
      <c r="Q4744" t="s">
        <v>9838</v>
      </c>
    </row>
    <row r="4745" spans="1:17" x14ac:dyDescent="0.3">
      <c r="A4745" t="s">
        <v>59</v>
      </c>
      <c r="B4745" t="str">
        <f>"300226"</f>
        <v>300226</v>
      </c>
      <c r="C4745" t="s">
        <v>9839</v>
      </c>
      <c r="D4745" t="s">
        <v>1528</v>
      </c>
      <c r="F4745">
        <v>725802969</v>
      </c>
      <c r="G4745">
        <v>-1194437408</v>
      </c>
      <c r="H4745">
        <v>-638203228</v>
      </c>
      <c r="I4745">
        <v>-335301905</v>
      </c>
      <c r="J4745">
        <v>-1257798829</v>
      </c>
      <c r="K4745">
        <v>-770553119</v>
      </c>
      <c r="L4745">
        <v>-158153633</v>
      </c>
      <c r="M4745">
        <v>-430370799</v>
      </c>
      <c r="N4745">
        <v>3273982</v>
      </c>
      <c r="O4745">
        <v>-19741646</v>
      </c>
      <c r="P4745">
        <v>253</v>
      </c>
      <c r="Q4745" t="s">
        <v>9840</v>
      </c>
    </row>
    <row r="4746" spans="1:17" x14ac:dyDescent="0.3">
      <c r="A4746" t="s">
        <v>59</v>
      </c>
      <c r="B4746" t="str">
        <f>"000852"</f>
        <v>000852</v>
      </c>
      <c r="C4746" t="s">
        <v>9841</v>
      </c>
      <c r="D4746" t="s">
        <v>741</v>
      </c>
      <c r="F4746">
        <v>275644517</v>
      </c>
      <c r="G4746">
        <v>225111219</v>
      </c>
      <c r="H4746">
        <v>-638968772</v>
      </c>
      <c r="I4746">
        <v>-293654221</v>
      </c>
      <c r="J4746">
        <v>47692921</v>
      </c>
      <c r="K4746">
        <v>-119359147</v>
      </c>
      <c r="L4746">
        <v>130295982</v>
      </c>
      <c r="M4746">
        <v>134648848</v>
      </c>
      <c r="N4746">
        <v>33801332</v>
      </c>
      <c r="O4746">
        <v>165395801</v>
      </c>
      <c r="P4746">
        <v>155</v>
      </c>
      <c r="Q4746" t="s">
        <v>9842</v>
      </c>
    </row>
    <row r="4747" spans="1:17" x14ac:dyDescent="0.3">
      <c r="A4747" t="s">
        <v>17</v>
      </c>
      <c r="B4747" t="str">
        <f>"600653"</f>
        <v>600653</v>
      </c>
      <c r="C4747" t="s">
        <v>9843</v>
      </c>
      <c r="D4747" t="s">
        <v>337</v>
      </c>
      <c r="F4747">
        <v>429737977</v>
      </c>
      <c r="G4747">
        <v>396195118</v>
      </c>
      <c r="H4747">
        <v>-654196215</v>
      </c>
      <c r="I4747">
        <v>304981506</v>
      </c>
      <c r="J4747">
        <v>-468421762</v>
      </c>
      <c r="K4747">
        <v>-480575998</v>
      </c>
      <c r="L4747">
        <v>296509834</v>
      </c>
      <c r="M4747">
        <v>51373719</v>
      </c>
      <c r="N4747">
        <v>-175778368</v>
      </c>
      <c r="O4747">
        <v>-203850943</v>
      </c>
      <c r="P4747">
        <v>93</v>
      </c>
      <c r="Q4747" t="s">
        <v>9844</v>
      </c>
    </row>
    <row r="4748" spans="1:17" x14ac:dyDescent="0.3">
      <c r="A4748" t="s">
        <v>59</v>
      </c>
      <c r="B4748" t="str">
        <f>"300325"</f>
        <v>300325</v>
      </c>
      <c r="C4748" t="s">
        <v>9845</v>
      </c>
      <c r="D4748" t="s">
        <v>2104</v>
      </c>
      <c r="F4748">
        <v>69856873</v>
      </c>
      <c r="G4748">
        <v>6375383</v>
      </c>
      <c r="H4748">
        <v>-671621069</v>
      </c>
      <c r="I4748">
        <v>21979151</v>
      </c>
      <c r="J4748">
        <v>-244480288</v>
      </c>
      <c r="K4748">
        <v>-353105605</v>
      </c>
      <c r="L4748">
        <v>57403915</v>
      </c>
      <c r="M4748">
        <v>74770250</v>
      </c>
      <c r="N4748">
        <v>68847284</v>
      </c>
      <c r="O4748">
        <v>88445111</v>
      </c>
      <c r="P4748">
        <v>81</v>
      </c>
      <c r="Q4748" t="s">
        <v>9846</v>
      </c>
    </row>
    <row r="4749" spans="1:17" x14ac:dyDescent="0.3">
      <c r="A4749" t="s">
        <v>59</v>
      </c>
      <c r="B4749" t="str">
        <f>"002074"</f>
        <v>002074</v>
      </c>
      <c r="C4749" t="s">
        <v>9847</v>
      </c>
      <c r="D4749" t="s">
        <v>232</v>
      </c>
      <c r="F4749">
        <v>1058210033</v>
      </c>
      <c r="G4749">
        <v>684953831</v>
      </c>
      <c r="H4749">
        <v>-683194198</v>
      </c>
      <c r="I4749">
        <v>-1558639731</v>
      </c>
      <c r="J4749">
        <v>-99683521</v>
      </c>
      <c r="K4749">
        <v>1274658621</v>
      </c>
      <c r="L4749">
        <v>520395985</v>
      </c>
      <c r="M4749">
        <v>57183742</v>
      </c>
      <c r="N4749">
        <v>141011668</v>
      </c>
      <c r="O4749">
        <v>-19479653</v>
      </c>
      <c r="P4749">
        <v>1003</v>
      </c>
      <c r="Q4749" t="s">
        <v>9848</v>
      </c>
    </row>
    <row r="4750" spans="1:17" x14ac:dyDescent="0.3">
      <c r="A4750" t="s">
        <v>17</v>
      </c>
      <c r="B4750" t="str">
        <f>"900928"</f>
        <v>900928</v>
      </c>
      <c r="C4750" t="s">
        <v>9849</v>
      </c>
      <c r="G4750">
        <v>-130458590.91940001</v>
      </c>
      <c r="H4750">
        <v>-690712685.71200001</v>
      </c>
      <c r="I4750">
        <v>-217913375.1742</v>
      </c>
      <c r="J4750">
        <v>-24171070.310400002</v>
      </c>
      <c r="K4750">
        <v>-20356711.344000001</v>
      </c>
      <c r="L4750">
        <v>-70890489.978</v>
      </c>
      <c r="M4750">
        <v>10732350.0648</v>
      </c>
      <c r="N4750">
        <v>4420844.1815999998</v>
      </c>
      <c r="O4750">
        <v>1435173.8265</v>
      </c>
      <c r="P4750">
        <v>14</v>
      </c>
      <c r="Q4750" t="s">
        <v>9850</v>
      </c>
    </row>
    <row r="4751" spans="1:17" x14ac:dyDescent="0.3">
      <c r="A4751" t="s">
        <v>17</v>
      </c>
      <c r="B4751" t="str">
        <f>"600122"</f>
        <v>600122</v>
      </c>
      <c r="C4751" t="s">
        <v>9851</v>
      </c>
      <c r="D4751" t="s">
        <v>1194</v>
      </c>
      <c r="F4751">
        <v>49440466</v>
      </c>
      <c r="G4751">
        <v>36847655</v>
      </c>
      <c r="H4751">
        <v>-692429806</v>
      </c>
      <c r="I4751">
        <v>-5139307211</v>
      </c>
      <c r="J4751">
        <v>776177612</v>
      </c>
      <c r="K4751">
        <v>818862434</v>
      </c>
      <c r="L4751">
        <v>513982004</v>
      </c>
      <c r="M4751">
        <v>409793890</v>
      </c>
      <c r="N4751">
        <v>404840707</v>
      </c>
      <c r="O4751">
        <v>-1068345676</v>
      </c>
      <c r="P4751">
        <v>96</v>
      </c>
      <c r="Q4751" t="s">
        <v>9852</v>
      </c>
    </row>
    <row r="4752" spans="1:17" x14ac:dyDescent="0.3">
      <c r="A4752" t="s">
        <v>59</v>
      </c>
      <c r="B4752" t="str">
        <f>"000927"</f>
        <v>000927</v>
      </c>
      <c r="C4752" t="s">
        <v>9853</v>
      </c>
      <c r="D4752" t="s">
        <v>57</v>
      </c>
      <c r="F4752">
        <v>299945376</v>
      </c>
      <c r="G4752">
        <v>291234774</v>
      </c>
      <c r="H4752">
        <v>-702593579</v>
      </c>
      <c r="I4752">
        <v>-1305949935</v>
      </c>
      <c r="J4752">
        <v>-1684065377</v>
      </c>
      <c r="K4752">
        <v>-2180312385</v>
      </c>
      <c r="L4752">
        <v>-1802976521</v>
      </c>
      <c r="M4752">
        <v>-1483743976</v>
      </c>
      <c r="N4752">
        <v>-1667319649</v>
      </c>
      <c r="O4752">
        <v>-1024378749</v>
      </c>
      <c r="P4752">
        <v>131</v>
      </c>
      <c r="Q4752" t="s">
        <v>9854</v>
      </c>
    </row>
    <row r="4753" spans="1:17" x14ac:dyDescent="0.3">
      <c r="A4753" t="s">
        <v>59</v>
      </c>
      <c r="B4753" t="str">
        <f>"000567"</f>
        <v>000567</v>
      </c>
      <c r="C4753" t="s">
        <v>9855</v>
      </c>
      <c r="D4753" t="s">
        <v>3832</v>
      </c>
      <c r="F4753">
        <v>-955327782</v>
      </c>
      <c r="G4753">
        <v>209451391</v>
      </c>
      <c r="H4753">
        <v>-706770834</v>
      </c>
      <c r="I4753">
        <v>-673714324</v>
      </c>
      <c r="J4753">
        <v>-2313505537</v>
      </c>
      <c r="K4753">
        <v>-914749429</v>
      </c>
      <c r="L4753">
        <v>5858692</v>
      </c>
      <c r="M4753">
        <v>-34765368</v>
      </c>
      <c r="N4753">
        <v>-86997618</v>
      </c>
      <c r="O4753">
        <v>-12841227</v>
      </c>
      <c r="P4753">
        <v>117</v>
      </c>
      <c r="Q4753" t="s">
        <v>9856</v>
      </c>
    </row>
    <row r="4754" spans="1:17" x14ac:dyDescent="0.3">
      <c r="A4754" t="s">
        <v>17</v>
      </c>
      <c r="B4754" t="str">
        <f>"603815"</f>
        <v>603815</v>
      </c>
      <c r="C4754" t="s">
        <v>9857</v>
      </c>
      <c r="D4754" t="s">
        <v>85</v>
      </c>
      <c r="F4754">
        <v>-253895340</v>
      </c>
      <c r="G4754">
        <v>-103003077</v>
      </c>
      <c r="H4754">
        <v>-722934506</v>
      </c>
      <c r="I4754">
        <v>-45512091</v>
      </c>
      <c r="J4754">
        <v>118945778</v>
      </c>
      <c r="K4754">
        <v>83458231</v>
      </c>
      <c r="P4754">
        <v>85</v>
      </c>
      <c r="Q4754" t="s">
        <v>9858</v>
      </c>
    </row>
    <row r="4755" spans="1:17" x14ac:dyDescent="0.3">
      <c r="A4755" t="s">
        <v>59</v>
      </c>
      <c r="B4755" t="str">
        <f>"002341"</f>
        <v>002341</v>
      </c>
      <c r="C4755" t="s">
        <v>9859</v>
      </c>
      <c r="D4755" t="s">
        <v>1674</v>
      </c>
      <c r="F4755">
        <v>101408997</v>
      </c>
      <c r="G4755">
        <v>350188824</v>
      </c>
      <c r="H4755">
        <v>-733692838</v>
      </c>
      <c r="I4755">
        <v>269592307</v>
      </c>
      <c r="J4755">
        <v>-9593532</v>
      </c>
      <c r="K4755">
        <v>106672317</v>
      </c>
      <c r="L4755">
        <v>129720781</v>
      </c>
      <c r="M4755">
        <v>163025531</v>
      </c>
      <c r="N4755">
        <v>-30549921</v>
      </c>
      <c r="O4755">
        <v>-78603301</v>
      </c>
      <c r="P4755">
        <v>276</v>
      </c>
      <c r="Q4755" t="s">
        <v>9860</v>
      </c>
    </row>
    <row r="4756" spans="1:17" x14ac:dyDescent="0.3">
      <c r="A4756" t="s">
        <v>17</v>
      </c>
      <c r="B4756" t="str">
        <f>"688303"</f>
        <v>688303</v>
      </c>
      <c r="C4756" t="s">
        <v>9861</v>
      </c>
      <c r="D4756" t="s">
        <v>322</v>
      </c>
      <c r="F4756">
        <v>2643857536</v>
      </c>
      <c r="G4756">
        <v>416441078</v>
      </c>
      <c r="H4756">
        <v>-757716012</v>
      </c>
      <c r="I4756">
        <v>-415644463</v>
      </c>
      <c r="J4756">
        <v>403412016</v>
      </c>
      <c r="P4756">
        <v>108</v>
      </c>
      <c r="Q4756" t="s">
        <v>9862</v>
      </c>
    </row>
    <row r="4757" spans="1:17" x14ac:dyDescent="0.3">
      <c r="A4757" t="s">
        <v>17</v>
      </c>
      <c r="B4757" t="str">
        <f>"600266"</f>
        <v>600266</v>
      </c>
      <c r="C4757" t="s">
        <v>9863</v>
      </c>
      <c r="D4757" t="s">
        <v>61</v>
      </c>
      <c r="F4757">
        <v>3091898687</v>
      </c>
      <c r="G4757">
        <v>-903764004</v>
      </c>
      <c r="H4757">
        <v>-759014629</v>
      </c>
      <c r="I4757">
        <v>-8620767258</v>
      </c>
      <c r="J4757">
        <v>-13936075866</v>
      </c>
      <c r="K4757">
        <v>-1743013931</v>
      </c>
      <c r="L4757">
        <v>-5631326015</v>
      </c>
      <c r="M4757">
        <v>-6106030730</v>
      </c>
      <c r="N4757">
        <v>-4181083491</v>
      </c>
      <c r="O4757">
        <v>1393297627</v>
      </c>
      <c r="P4757">
        <v>338</v>
      </c>
      <c r="Q4757" t="s">
        <v>9864</v>
      </c>
    </row>
    <row r="4758" spans="1:17" x14ac:dyDescent="0.3">
      <c r="A4758" t="s">
        <v>59</v>
      </c>
      <c r="B4758" t="str">
        <f>"000851"</f>
        <v>000851</v>
      </c>
      <c r="C4758" t="s">
        <v>9865</v>
      </c>
      <c r="D4758" t="s">
        <v>352</v>
      </c>
      <c r="F4758">
        <v>195222587</v>
      </c>
      <c r="G4758">
        <v>-208320666</v>
      </c>
      <c r="H4758">
        <v>-774319365</v>
      </c>
      <c r="I4758">
        <v>-464868211</v>
      </c>
      <c r="J4758">
        <v>168323239</v>
      </c>
      <c r="K4758">
        <v>322287958</v>
      </c>
      <c r="L4758">
        <v>633101586</v>
      </c>
      <c r="M4758">
        <v>-354300791</v>
      </c>
      <c r="N4758">
        <v>150421427</v>
      </c>
      <c r="O4758">
        <v>-36572232</v>
      </c>
      <c r="P4758">
        <v>224</v>
      </c>
      <c r="Q4758" t="s">
        <v>9866</v>
      </c>
    </row>
    <row r="4759" spans="1:17" x14ac:dyDescent="0.3">
      <c r="A4759" t="s">
        <v>59</v>
      </c>
      <c r="B4759" t="str">
        <f>"002450"</f>
        <v>002450</v>
      </c>
      <c r="C4759" t="s">
        <v>9867</v>
      </c>
      <c r="G4759">
        <v>11248829</v>
      </c>
      <c r="H4759">
        <v>-780924951</v>
      </c>
      <c r="I4759">
        <v>1310362800</v>
      </c>
      <c r="J4759">
        <v>3661761691</v>
      </c>
      <c r="K4759">
        <v>-47582841</v>
      </c>
      <c r="L4759">
        <v>906538876</v>
      </c>
      <c r="M4759">
        <v>429685348</v>
      </c>
      <c r="N4759">
        <v>225523563</v>
      </c>
      <c r="O4759">
        <v>272807542</v>
      </c>
      <c r="P4759">
        <v>1520</v>
      </c>
      <c r="Q4759" t="s">
        <v>9868</v>
      </c>
    </row>
    <row r="4760" spans="1:17" x14ac:dyDescent="0.3">
      <c r="A4760" t="s">
        <v>59</v>
      </c>
      <c r="B4760" t="str">
        <f>"000587"</f>
        <v>000587</v>
      </c>
      <c r="C4760" t="s">
        <v>9869</v>
      </c>
      <c r="D4760" t="s">
        <v>2025</v>
      </c>
      <c r="F4760">
        <v>-14723189</v>
      </c>
      <c r="G4760">
        <v>-762524490</v>
      </c>
      <c r="H4760">
        <v>-783103031</v>
      </c>
      <c r="I4760">
        <v>-3038364556</v>
      </c>
      <c r="J4760">
        <v>1193918262</v>
      </c>
      <c r="K4760">
        <v>1550288828</v>
      </c>
      <c r="L4760">
        <v>93671823</v>
      </c>
      <c r="M4760">
        <v>-141256679</v>
      </c>
      <c r="N4760">
        <v>707601121</v>
      </c>
      <c r="O4760">
        <v>-259460997</v>
      </c>
      <c r="P4760">
        <v>114</v>
      </c>
      <c r="Q4760" t="s">
        <v>9870</v>
      </c>
    </row>
    <row r="4761" spans="1:17" x14ac:dyDescent="0.3">
      <c r="A4761" t="s">
        <v>17</v>
      </c>
      <c r="B4761" t="str">
        <f>"600365"</f>
        <v>600365</v>
      </c>
      <c r="C4761" t="s">
        <v>9871</v>
      </c>
      <c r="D4761" t="s">
        <v>1964</v>
      </c>
      <c r="F4761">
        <v>-250448059</v>
      </c>
      <c r="G4761">
        <v>-176912460</v>
      </c>
      <c r="H4761">
        <v>-804237540</v>
      </c>
      <c r="I4761">
        <v>-573225096</v>
      </c>
      <c r="J4761">
        <v>-548977525</v>
      </c>
      <c r="K4761">
        <v>-287998799</v>
      </c>
      <c r="L4761">
        <v>-115992392</v>
      </c>
      <c r="M4761">
        <v>-26073158</v>
      </c>
      <c r="N4761">
        <v>-67050326</v>
      </c>
      <c r="O4761">
        <v>-9065648</v>
      </c>
      <c r="P4761">
        <v>90</v>
      </c>
      <c r="Q4761" t="s">
        <v>9872</v>
      </c>
    </row>
    <row r="4762" spans="1:17" x14ac:dyDescent="0.3">
      <c r="A4762" t="s">
        <v>59</v>
      </c>
      <c r="B4762" t="str">
        <f>"002628"</f>
        <v>002628</v>
      </c>
      <c r="C4762" t="s">
        <v>9873</v>
      </c>
      <c r="D4762" t="s">
        <v>85</v>
      </c>
      <c r="F4762">
        <v>-335218389</v>
      </c>
      <c r="G4762">
        <v>-1013675790</v>
      </c>
      <c r="H4762">
        <v>-809547252</v>
      </c>
      <c r="I4762">
        <v>-43173858</v>
      </c>
      <c r="J4762">
        <v>225331735</v>
      </c>
      <c r="K4762">
        <v>583526191</v>
      </c>
      <c r="L4762">
        <v>380470716</v>
      </c>
      <c r="M4762">
        <v>-17758102</v>
      </c>
      <c r="N4762">
        <v>-423929040</v>
      </c>
      <c r="O4762">
        <v>-701747837</v>
      </c>
      <c r="P4762">
        <v>91</v>
      </c>
      <c r="Q4762" t="s">
        <v>9874</v>
      </c>
    </row>
    <row r="4763" spans="1:17" x14ac:dyDescent="0.3">
      <c r="A4763" t="s">
        <v>59</v>
      </c>
      <c r="B4763" t="str">
        <f>"002761"</f>
        <v>002761</v>
      </c>
      <c r="C4763" t="s">
        <v>9875</v>
      </c>
      <c r="D4763" t="s">
        <v>503</v>
      </c>
      <c r="F4763">
        <v>884978901</v>
      </c>
      <c r="G4763">
        <v>721435461</v>
      </c>
      <c r="H4763">
        <v>-811563359</v>
      </c>
      <c r="I4763">
        <v>101336233</v>
      </c>
      <c r="J4763">
        <v>51878766</v>
      </c>
      <c r="K4763">
        <v>24823223</v>
      </c>
      <c r="L4763">
        <v>31855164</v>
      </c>
      <c r="M4763">
        <v>96843368</v>
      </c>
      <c r="N4763">
        <v>50800586</v>
      </c>
      <c r="O4763">
        <v>67399605</v>
      </c>
      <c r="P4763">
        <v>195</v>
      </c>
      <c r="Q4763" t="s">
        <v>9876</v>
      </c>
    </row>
    <row r="4764" spans="1:17" x14ac:dyDescent="0.3">
      <c r="A4764" t="s">
        <v>17</v>
      </c>
      <c r="B4764" t="str">
        <f>"600675"</f>
        <v>600675</v>
      </c>
      <c r="C4764" t="s">
        <v>9877</v>
      </c>
      <c r="D4764" t="s">
        <v>61</v>
      </c>
      <c r="F4764">
        <v>2870195777</v>
      </c>
      <c r="G4764">
        <v>2600121329</v>
      </c>
      <c r="H4764">
        <v>-815816877</v>
      </c>
      <c r="I4764">
        <v>8554392858</v>
      </c>
      <c r="J4764">
        <v>5268583205</v>
      </c>
      <c r="K4764">
        <v>8986094273</v>
      </c>
      <c r="L4764">
        <v>4927874418</v>
      </c>
      <c r="M4764">
        <v>-124996561</v>
      </c>
      <c r="N4764">
        <v>-536313926</v>
      </c>
      <c r="O4764">
        <v>1643505261</v>
      </c>
      <c r="P4764">
        <v>186</v>
      </c>
      <c r="Q4764" t="s">
        <v>9878</v>
      </c>
    </row>
    <row r="4765" spans="1:17" x14ac:dyDescent="0.3">
      <c r="A4765" t="s">
        <v>17</v>
      </c>
      <c r="B4765" t="str">
        <f>"603117"</f>
        <v>603117</v>
      </c>
      <c r="C4765" t="s">
        <v>9879</v>
      </c>
      <c r="D4765" t="s">
        <v>677</v>
      </c>
      <c r="F4765">
        <v>-902043316</v>
      </c>
      <c r="G4765">
        <v>-1167146714</v>
      </c>
      <c r="H4765">
        <v>-818538800</v>
      </c>
      <c r="I4765">
        <v>-672457971</v>
      </c>
      <c r="J4765">
        <v>-440499943</v>
      </c>
      <c r="K4765">
        <v>-206637954</v>
      </c>
      <c r="L4765">
        <v>9232997</v>
      </c>
      <c r="M4765">
        <v>192278459</v>
      </c>
      <c r="N4765">
        <v>291608820</v>
      </c>
      <c r="O4765">
        <v>155560876</v>
      </c>
      <c r="P4765">
        <v>64</v>
      </c>
      <c r="Q4765" t="s">
        <v>9880</v>
      </c>
    </row>
    <row r="4766" spans="1:17" x14ac:dyDescent="0.3">
      <c r="A4766" t="s">
        <v>59</v>
      </c>
      <c r="B4766" t="str">
        <f>"002528"</f>
        <v>002528</v>
      </c>
      <c r="C4766" t="s">
        <v>9881</v>
      </c>
      <c r="D4766" t="s">
        <v>344</v>
      </c>
      <c r="F4766">
        <v>118531851</v>
      </c>
      <c r="G4766">
        <v>-571401705</v>
      </c>
      <c r="H4766">
        <v>-830369321</v>
      </c>
      <c r="I4766">
        <v>-295922977</v>
      </c>
      <c r="J4766">
        <v>-28592250</v>
      </c>
      <c r="K4766">
        <v>-67487918</v>
      </c>
      <c r="L4766">
        <v>39921078</v>
      </c>
      <c r="M4766">
        <v>12579750</v>
      </c>
      <c r="N4766">
        <v>-32333139</v>
      </c>
      <c r="O4766">
        <v>84741934</v>
      </c>
      <c r="P4766">
        <v>169</v>
      </c>
      <c r="Q4766" t="s">
        <v>9882</v>
      </c>
    </row>
    <row r="4767" spans="1:17" x14ac:dyDescent="0.3">
      <c r="A4767" t="s">
        <v>17</v>
      </c>
      <c r="B4767" t="str">
        <f>"603707"</f>
        <v>603707</v>
      </c>
      <c r="C4767" t="s">
        <v>9883</v>
      </c>
      <c r="D4767" t="s">
        <v>592</v>
      </c>
      <c r="F4767">
        <v>683631821</v>
      </c>
      <c r="G4767">
        <v>-565848347</v>
      </c>
      <c r="H4767">
        <v>-841381295</v>
      </c>
      <c r="I4767">
        <v>62368494</v>
      </c>
      <c r="J4767">
        <v>-234586487</v>
      </c>
      <c r="K4767">
        <v>-286786674</v>
      </c>
      <c r="L4767">
        <v>137280565</v>
      </c>
      <c r="M4767">
        <v>178740926</v>
      </c>
      <c r="P4767">
        <v>771</v>
      </c>
      <c r="Q4767" t="s">
        <v>9884</v>
      </c>
    </row>
    <row r="4768" spans="1:17" x14ac:dyDescent="0.3">
      <c r="A4768" t="s">
        <v>59</v>
      </c>
      <c r="B4768" t="str">
        <f>"000042"</f>
        <v>000042</v>
      </c>
      <c r="C4768" t="s">
        <v>9885</v>
      </c>
      <c r="D4768" t="s">
        <v>61</v>
      </c>
      <c r="F4768">
        <v>143889921</v>
      </c>
      <c r="G4768">
        <v>1227711579</v>
      </c>
      <c r="H4768">
        <v>-842590796</v>
      </c>
      <c r="I4768">
        <v>3001582490</v>
      </c>
      <c r="J4768">
        <v>-5184055620</v>
      </c>
      <c r="K4768">
        <v>1748423570</v>
      </c>
      <c r="L4768">
        <v>-846828689</v>
      </c>
      <c r="M4768">
        <v>-1625124896</v>
      </c>
      <c r="N4768">
        <v>165754441</v>
      </c>
      <c r="O4768">
        <v>363360335</v>
      </c>
      <c r="P4768">
        <v>121</v>
      </c>
      <c r="Q4768" t="s">
        <v>9886</v>
      </c>
    </row>
    <row r="4769" spans="1:17" x14ac:dyDescent="0.3">
      <c r="A4769" t="s">
        <v>59</v>
      </c>
      <c r="B4769" t="str">
        <f>"300208"</f>
        <v>300208</v>
      </c>
      <c r="C4769" t="s">
        <v>9887</v>
      </c>
      <c r="D4769" t="s">
        <v>672</v>
      </c>
      <c r="F4769">
        <v>682438229</v>
      </c>
      <c r="G4769">
        <v>88911673</v>
      </c>
      <c r="H4769">
        <v>-848572348</v>
      </c>
      <c r="I4769">
        <v>-625468540</v>
      </c>
      <c r="J4769">
        <v>-127716182</v>
      </c>
      <c r="K4769">
        <v>-181954046</v>
      </c>
      <c r="L4769">
        <v>568713207</v>
      </c>
      <c r="M4769">
        <v>138405423</v>
      </c>
      <c r="N4769">
        <v>105320673</v>
      </c>
      <c r="O4769">
        <v>44601361</v>
      </c>
      <c r="P4769">
        <v>144</v>
      </c>
      <c r="Q4769" t="s">
        <v>9888</v>
      </c>
    </row>
    <row r="4770" spans="1:17" x14ac:dyDescent="0.3">
      <c r="A4770" t="s">
        <v>17</v>
      </c>
      <c r="B4770" t="str">
        <f>"600853"</f>
        <v>600853</v>
      </c>
      <c r="C4770" t="s">
        <v>9889</v>
      </c>
      <c r="D4770" t="s">
        <v>85</v>
      </c>
      <c r="F4770">
        <v>-1254849156</v>
      </c>
      <c r="G4770">
        <v>2343837128</v>
      </c>
      <c r="H4770">
        <v>-851123569</v>
      </c>
      <c r="I4770">
        <v>-985675005</v>
      </c>
      <c r="J4770">
        <v>-1286952397</v>
      </c>
      <c r="K4770">
        <v>-1418127934</v>
      </c>
      <c r="L4770">
        <v>571707799</v>
      </c>
      <c r="M4770">
        <v>-405393024</v>
      </c>
      <c r="N4770">
        <v>13927750</v>
      </c>
      <c r="O4770">
        <v>-148570578</v>
      </c>
      <c r="P4770">
        <v>94</v>
      </c>
      <c r="Q4770" t="s">
        <v>9890</v>
      </c>
    </row>
    <row r="4771" spans="1:17" x14ac:dyDescent="0.3">
      <c r="A4771" t="s">
        <v>17</v>
      </c>
      <c r="B4771" t="str">
        <f>"600459"</f>
        <v>600459</v>
      </c>
      <c r="C4771" t="s">
        <v>9891</v>
      </c>
      <c r="D4771" t="s">
        <v>987</v>
      </c>
      <c r="F4771">
        <v>-909462650</v>
      </c>
      <c r="G4771">
        <v>56537649</v>
      </c>
      <c r="H4771">
        <v>-851368571</v>
      </c>
      <c r="I4771">
        <v>317773398</v>
      </c>
      <c r="J4771">
        <v>-942981927</v>
      </c>
      <c r="K4771">
        <v>33467497</v>
      </c>
      <c r="L4771">
        <v>-217530338</v>
      </c>
      <c r="M4771">
        <v>34797527</v>
      </c>
      <c r="N4771">
        <v>-35256296</v>
      </c>
      <c r="O4771">
        <v>20056049</v>
      </c>
      <c r="P4771">
        <v>308</v>
      </c>
      <c r="Q4771" t="s">
        <v>9892</v>
      </c>
    </row>
    <row r="4772" spans="1:17" x14ac:dyDescent="0.3">
      <c r="A4772" t="s">
        <v>17</v>
      </c>
      <c r="B4772" t="str">
        <f>"600436"</f>
        <v>600436</v>
      </c>
      <c r="C4772" t="s">
        <v>9893</v>
      </c>
      <c r="D4772" t="s">
        <v>455</v>
      </c>
      <c r="F4772">
        <v>462272405</v>
      </c>
      <c r="G4772">
        <v>1467076541</v>
      </c>
      <c r="H4772">
        <v>-879372169</v>
      </c>
      <c r="I4772">
        <v>612310819</v>
      </c>
      <c r="J4772">
        <v>676933316</v>
      </c>
      <c r="K4772">
        <v>394537199</v>
      </c>
      <c r="L4772">
        <v>305510312</v>
      </c>
      <c r="M4772">
        <v>264499645</v>
      </c>
      <c r="N4772">
        <v>274336210</v>
      </c>
      <c r="O4772">
        <v>162398129</v>
      </c>
      <c r="P4772">
        <v>64361</v>
      </c>
      <c r="Q4772" t="s">
        <v>9894</v>
      </c>
    </row>
    <row r="4773" spans="1:17" x14ac:dyDescent="0.3">
      <c r="A4773" t="s">
        <v>59</v>
      </c>
      <c r="B4773" t="str">
        <f>"000421"</f>
        <v>000421</v>
      </c>
      <c r="C4773" t="s">
        <v>9895</v>
      </c>
      <c r="D4773" t="s">
        <v>883</v>
      </c>
      <c r="F4773">
        <v>1044227384</v>
      </c>
      <c r="G4773">
        <v>-1883294756</v>
      </c>
      <c r="H4773">
        <v>-906643525</v>
      </c>
      <c r="I4773">
        <v>939806273</v>
      </c>
      <c r="J4773">
        <v>3123808780</v>
      </c>
      <c r="K4773">
        <v>-137062143</v>
      </c>
      <c r="L4773">
        <v>-103097132</v>
      </c>
      <c r="M4773">
        <v>292042865</v>
      </c>
      <c r="N4773">
        <v>190799281</v>
      </c>
      <c r="O4773">
        <v>370302341</v>
      </c>
      <c r="P4773">
        <v>159</v>
      </c>
      <c r="Q4773" t="s">
        <v>9896</v>
      </c>
    </row>
    <row r="4774" spans="1:17" x14ac:dyDescent="0.3">
      <c r="A4774" t="s">
        <v>59</v>
      </c>
      <c r="B4774" t="str">
        <f>"002371"</f>
        <v>002371</v>
      </c>
      <c r="C4774" t="s">
        <v>9897</v>
      </c>
      <c r="D4774" t="s">
        <v>5407</v>
      </c>
      <c r="F4774">
        <v>-776859120</v>
      </c>
      <c r="G4774">
        <v>1385139595</v>
      </c>
      <c r="H4774">
        <v>-941473334</v>
      </c>
      <c r="I4774">
        <v>-20447601</v>
      </c>
      <c r="J4774">
        <v>31620679</v>
      </c>
      <c r="K4774">
        <v>-201418443</v>
      </c>
      <c r="L4774">
        <v>-43554942</v>
      </c>
      <c r="M4774">
        <v>92833252</v>
      </c>
      <c r="N4774">
        <v>-26147460</v>
      </c>
      <c r="O4774">
        <v>-21844412</v>
      </c>
      <c r="P4774">
        <v>1587</v>
      </c>
      <c r="Q4774" t="s">
        <v>9898</v>
      </c>
    </row>
    <row r="4775" spans="1:17" x14ac:dyDescent="0.3">
      <c r="A4775" t="s">
        <v>59</v>
      </c>
      <c r="B4775" t="str">
        <f>"002535"</f>
        <v>002535</v>
      </c>
      <c r="C4775" t="s">
        <v>9899</v>
      </c>
      <c r="D4775" t="s">
        <v>741</v>
      </c>
      <c r="F4775">
        <v>378363127</v>
      </c>
      <c r="G4775">
        <v>98672725</v>
      </c>
      <c r="H4775">
        <v>-976117433</v>
      </c>
      <c r="I4775">
        <v>502091835</v>
      </c>
      <c r="J4775">
        <v>213549614</v>
      </c>
      <c r="K4775">
        <v>-521607624</v>
      </c>
      <c r="L4775">
        <v>-232135320</v>
      </c>
      <c r="M4775">
        <v>-79795709</v>
      </c>
      <c r="N4775">
        <v>89462104</v>
      </c>
      <c r="O4775">
        <v>79014105</v>
      </c>
      <c r="P4775">
        <v>89</v>
      </c>
      <c r="Q4775" t="s">
        <v>9900</v>
      </c>
    </row>
    <row r="4776" spans="1:17" x14ac:dyDescent="0.3">
      <c r="A4776" t="s">
        <v>17</v>
      </c>
      <c r="B4776" t="str">
        <f>"600825"</f>
        <v>600825</v>
      </c>
      <c r="C4776" t="s">
        <v>9901</v>
      </c>
      <c r="D4776" t="s">
        <v>914</v>
      </c>
      <c r="F4776">
        <v>525940836</v>
      </c>
      <c r="G4776">
        <v>366273721</v>
      </c>
      <c r="H4776">
        <v>-995487948</v>
      </c>
      <c r="I4776">
        <v>540081448</v>
      </c>
      <c r="J4776">
        <v>170788818</v>
      </c>
      <c r="K4776">
        <v>289324219</v>
      </c>
      <c r="L4776">
        <v>248358569</v>
      </c>
      <c r="M4776">
        <v>-27698916</v>
      </c>
      <c r="N4776">
        <v>116277762</v>
      </c>
      <c r="O4776">
        <v>31618947</v>
      </c>
      <c r="P4776">
        <v>84</v>
      </c>
      <c r="Q4776" t="s">
        <v>9902</v>
      </c>
    </row>
    <row r="4777" spans="1:17" x14ac:dyDescent="0.3">
      <c r="A4777" t="s">
        <v>59</v>
      </c>
      <c r="B4777" t="str">
        <f>"002482"</f>
        <v>002482</v>
      </c>
      <c r="C4777" t="s">
        <v>9903</v>
      </c>
      <c r="D4777" t="s">
        <v>1150</v>
      </c>
      <c r="F4777">
        <v>-904796362</v>
      </c>
      <c r="G4777">
        <v>603017422</v>
      </c>
      <c r="H4777">
        <v>-997165223</v>
      </c>
      <c r="I4777">
        <v>449285824</v>
      </c>
      <c r="J4777">
        <v>1051385705</v>
      </c>
      <c r="K4777">
        <v>214922628</v>
      </c>
      <c r="L4777">
        <v>-815568110</v>
      </c>
      <c r="M4777">
        <v>245268918</v>
      </c>
      <c r="N4777">
        <v>-57535842</v>
      </c>
      <c r="O4777">
        <v>-758611069</v>
      </c>
      <c r="P4777">
        <v>112</v>
      </c>
      <c r="Q4777" t="s">
        <v>9904</v>
      </c>
    </row>
    <row r="4778" spans="1:17" x14ac:dyDescent="0.3">
      <c r="A4778" t="s">
        <v>59</v>
      </c>
      <c r="B4778" t="str">
        <f>"000021"</f>
        <v>000021</v>
      </c>
      <c r="C4778" t="s">
        <v>9905</v>
      </c>
      <c r="D4778" t="s">
        <v>349</v>
      </c>
      <c r="F4778">
        <v>867605722</v>
      </c>
      <c r="G4778">
        <v>3122476020</v>
      </c>
      <c r="H4778">
        <v>-1000166847</v>
      </c>
      <c r="I4778">
        <v>420770432</v>
      </c>
      <c r="J4778">
        <v>719672524</v>
      </c>
      <c r="K4778">
        <v>356539062</v>
      </c>
      <c r="L4778">
        <v>490461264</v>
      </c>
      <c r="M4778">
        <v>-99091667</v>
      </c>
      <c r="N4778">
        <v>448850592</v>
      </c>
      <c r="O4778">
        <v>287847989</v>
      </c>
      <c r="P4778">
        <v>442</v>
      </c>
      <c r="Q4778" t="s">
        <v>9906</v>
      </c>
    </row>
    <row r="4779" spans="1:17" x14ac:dyDescent="0.3">
      <c r="A4779" t="s">
        <v>59</v>
      </c>
      <c r="B4779" t="str">
        <f>"300064"</f>
        <v>300064</v>
      </c>
      <c r="C4779" t="s">
        <v>9907</v>
      </c>
      <c r="D4779" t="s">
        <v>1636</v>
      </c>
      <c r="F4779">
        <v>50879070</v>
      </c>
      <c r="G4779">
        <v>27798376</v>
      </c>
      <c r="H4779">
        <v>-1015472852</v>
      </c>
      <c r="I4779">
        <v>-463579828</v>
      </c>
      <c r="J4779">
        <v>-199609</v>
      </c>
      <c r="K4779">
        <v>37465026</v>
      </c>
      <c r="L4779">
        <v>156627692</v>
      </c>
      <c r="M4779">
        <v>122386170</v>
      </c>
      <c r="N4779">
        <v>19241509</v>
      </c>
      <c r="O4779">
        <v>95140668</v>
      </c>
      <c r="P4779">
        <v>77</v>
      </c>
      <c r="Q4779" t="s">
        <v>9908</v>
      </c>
    </row>
    <row r="4780" spans="1:17" x14ac:dyDescent="0.3">
      <c r="A4780" t="s">
        <v>17</v>
      </c>
      <c r="B4780" t="str">
        <f>"601028"</f>
        <v>601028</v>
      </c>
      <c r="C4780" t="s">
        <v>9909</v>
      </c>
      <c r="D4780" t="s">
        <v>659</v>
      </c>
      <c r="F4780">
        <v>49523630</v>
      </c>
      <c r="G4780">
        <v>-293046374</v>
      </c>
      <c r="H4780">
        <v>-1051380899</v>
      </c>
      <c r="I4780">
        <v>-89225971</v>
      </c>
      <c r="J4780">
        <v>190158951</v>
      </c>
      <c r="K4780">
        <v>261033078</v>
      </c>
      <c r="L4780">
        <v>253466127</v>
      </c>
      <c r="M4780">
        <v>332718503</v>
      </c>
      <c r="N4780">
        <v>-122870201</v>
      </c>
      <c r="O4780">
        <v>446566019</v>
      </c>
      <c r="P4780">
        <v>87</v>
      </c>
      <c r="Q4780" t="s">
        <v>9910</v>
      </c>
    </row>
    <row r="4781" spans="1:17" x14ac:dyDescent="0.3">
      <c r="A4781" t="s">
        <v>59</v>
      </c>
      <c r="B4781" t="str">
        <f>"002470"</f>
        <v>002470</v>
      </c>
      <c r="C4781" t="s">
        <v>9911</v>
      </c>
      <c r="D4781" t="s">
        <v>1317</v>
      </c>
      <c r="F4781">
        <v>487693856</v>
      </c>
      <c r="G4781">
        <v>-1365664120</v>
      </c>
      <c r="H4781">
        <v>-1099096675</v>
      </c>
      <c r="I4781">
        <v>-1537598285</v>
      </c>
      <c r="J4781">
        <v>1490221666</v>
      </c>
      <c r="K4781">
        <v>9456336</v>
      </c>
      <c r="L4781">
        <v>2254532713</v>
      </c>
      <c r="M4781">
        <v>183247121</v>
      </c>
      <c r="N4781">
        <v>1152475185</v>
      </c>
      <c r="O4781">
        <v>458451780</v>
      </c>
      <c r="P4781">
        <v>4918</v>
      </c>
      <c r="Q4781" t="s">
        <v>9912</v>
      </c>
    </row>
    <row r="4782" spans="1:17" x14ac:dyDescent="0.3">
      <c r="A4782" t="s">
        <v>17</v>
      </c>
      <c r="B4782" t="str">
        <f>"688561"</f>
        <v>688561</v>
      </c>
      <c r="C4782" t="s">
        <v>9913</v>
      </c>
      <c r="D4782" t="s">
        <v>789</v>
      </c>
      <c r="F4782">
        <v>-1301961130</v>
      </c>
      <c r="G4782">
        <v>-688556343</v>
      </c>
      <c r="H4782">
        <v>-1113929154</v>
      </c>
      <c r="I4782">
        <v>-956441636</v>
      </c>
      <c r="J4782">
        <v>-515718534</v>
      </c>
      <c r="P4782">
        <v>192</v>
      </c>
      <c r="Q4782" t="s">
        <v>9914</v>
      </c>
    </row>
    <row r="4783" spans="1:17" x14ac:dyDescent="0.3">
      <c r="A4783" t="s">
        <v>59</v>
      </c>
      <c r="B4783" t="str">
        <f>"000423"</f>
        <v>000423</v>
      </c>
      <c r="C4783" t="s">
        <v>9915</v>
      </c>
      <c r="D4783" t="s">
        <v>455</v>
      </c>
      <c r="F4783">
        <v>2800902528</v>
      </c>
      <c r="G4783">
        <v>800834184</v>
      </c>
      <c r="H4783">
        <v>-1119993997</v>
      </c>
      <c r="I4783">
        <v>1009049053</v>
      </c>
      <c r="J4783">
        <v>1757389211</v>
      </c>
      <c r="K4783">
        <v>624572513</v>
      </c>
      <c r="L4783">
        <v>977610167</v>
      </c>
      <c r="M4783">
        <v>657105721</v>
      </c>
      <c r="N4783">
        <v>879093683</v>
      </c>
      <c r="O4783">
        <v>858044199</v>
      </c>
      <c r="P4783">
        <v>24620</v>
      </c>
      <c r="Q4783" t="s">
        <v>9916</v>
      </c>
    </row>
    <row r="4784" spans="1:17" x14ac:dyDescent="0.3">
      <c r="A4784" t="s">
        <v>17</v>
      </c>
      <c r="B4784" t="str">
        <f>"601777"</f>
        <v>601777</v>
      </c>
      <c r="C4784" t="s">
        <v>9917</v>
      </c>
      <c r="D4784" t="s">
        <v>1639</v>
      </c>
      <c r="F4784">
        <v>375500567</v>
      </c>
      <c r="G4784">
        <v>234608073</v>
      </c>
      <c r="H4784">
        <v>-1130814076</v>
      </c>
      <c r="I4784">
        <v>56954008</v>
      </c>
      <c r="J4784">
        <v>-330390082</v>
      </c>
      <c r="K4784">
        <v>-893521483</v>
      </c>
      <c r="L4784">
        <v>-1458047918</v>
      </c>
      <c r="M4784">
        <v>-368054156</v>
      </c>
      <c r="N4784">
        <v>-520041011</v>
      </c>
      <c r="O4784">
        <v>-639428183</v>
      </c>
      <c r="P4784">
        <v>154</v>
      </c>
      <c r="Q4784" t="s">
        <v>9918</v>
      </c>
    </row>
    <row r="4785" spans="1:17" x14ac:dyDescent="0.3">
      <c r="A4785" t="s">
        <v>17</v>
      </c>
      <c r="B4785" t="str">
        <f>"600760"</f>
        <v>600760</v>
      </c>
      <c r="C4785" t="s">
        <v>9919</v>
      </c>
      <c r="D4785" t="s">
        <v>448</v>
      </c>
      <c r="F4785">
        <v>10094886730</v>
      </c>
      <c r="G4785">
        <v>6319894353</v>
      </c>
      <c r="H4785">
        <v>-1147887623</v>
      </c>
      <c r="I4785">
        <v>235195590</v>
      </c>
      <c r="J4785">
        <v>3266348008</v>
      </c>
      <c r="K4785">
        <v>132553003</v>
      </c>
      <c r="L4785">
        <v>100772602</v>
      </c>
      <c r="M4785">
        <v>66383629</v>
      </c>
      <c r="N4785">
        <v>71214448</v>
      </c>
      <c r="O4785">
        <v>216311663</v>
      </c>
      <c r="P4785">
        <v>827</v>
      </c>
      <c r="Q4785" t="s">
        <v>9920</v>
      </c>
    </row>
    <row r="4786" spans="1:17" x14ac:dyDescent="0.3">
      <c r="A4786" t="s">
        <v>17</v>
      </c>
      <c r="B4786" t="str">
        <f>"688180"</f>
        <v>688180</v>
      </c>
      <c r="C4786" t="s">
        <v>9921</v>
      </c>
      <c r="D4786" t="s">
        <v>1062</v>
      </c>
      <c r="F4786">
        <v>-605049954</v>
      </c>
      <c r="G4786">
        <v>-1456376578</v>
      </c>
      <c r="H4786">
        <v>-1179475317</v>
      </c>
      <c r="I4786">
        <v>-516951280</v>
      </c>
      <c r="J4786">
        <v>-311300006</v>
      </c>
      <c r="K4786">
        <v>-184527227</v>
      </c>
      <c r="P4786">
        <v>206</v>
      </c>
      <c r="Q4786" t="s">
        <v>9922</v>
      </c>
    </row>
    <row r="4787" spans="1:17" x14ac:dyDescent="0.3">
      <c r="A4787" t="s">
        <v>17</v>
      </c>
      <c r="B4787" t="str">
        <f>"600612"</f>
        <v>600612</v>
      </c>
      <c r="C4787" t="s">
        <v>9923</v>
      </c>
      <c r="D4787" t="s">
        <v>2025</v>
      </c>
      <c r="F4787">
        <v>1989782737</v>
      </c>
      <c r="G4787">
        <v>2347749152</v>
      </c>
      <c r="H4787">
        <v>-1253965537</v>
      </c>
      <c r="I4787">
        <v>-370631144</v>
      </c>
      <c r="J4787">
        <v>1248249648</v>
      </c>
      <c r="K4787">
        <v>-978589267</v>
      </c>
      <c r="L4787">
        <v>956729899</v>
      </c>
      <c r="M4787">
        <v>2579291610</v>
      </c>
      <c r="N4787">
        <v>1522213497</v>
      </c>
      <c r="O4787">
        <v>750528304</v>
      </c>
      <c r="P4787">
        <v>45897</v>
      </c>
      <c r="Q4787" t="s">
        <v>9924</v>
      </c>
    </row>
    <row r="4788" spans="1:17" x14ac:dyDescent="0.3">
      <c r="A4788" t="s">
        <v>59</v>
      </c>
      <c r="B4788" t="str">
        <f>"002310"</f>
        <v>002310</v>
      </c>
      <c r="C4788" t="s">
        <v>9925</v>
      </c>
      <c r="D4788" t="s">
        <v>1489</v>
      </c>
      <c r="F4788">
        <v>754543826</v>
      </c>
      <c r="G4788">
        <v>-746222484</v>
      </c>
      <c r="H4788">
        <v>-1327470824</v>
      </c>
      <c r="I4788">
        <v>50929244</v>
      </c>
      <c r="J4788">
        <v>2923561888</v>
      </c>
      <c r="K4788">
        <v>1567968338</v>
      </c>
      <c r="L4788">
        <v>367756571</v>
      </c>
      <c r="M4788">
        <v>-303498044</v>
      </c>
      <c r="N4788">
        <v>-263219727</v>
      </c>
      <c r="O4788">
        <v>-251492765</v>
      </c>
      <c r="P4788">
        <v>1194</v>
      </c>
      <c r="Q4788" t="s">
        <v>9926</v>
      </c>
    </row>
    <row r="4789" spans="1:17" x14ac:dyDescent="0.3">
      <c r="A4789" t="s">
        <v>17</v>
      </c>
      <c r="B4789" t="str">
        <f>"600120"</f>
        <v>600120</v>
      </c>
      <c r="C4789" t="s">
        <v>9927</v>
      </c>
      <c r="D4789" t="s">
        <v>117</v>
      </c>
      <c r="F4789">
        <v>1474272615</v>
      </c>
      <c r="G4789">
        <v>-100836411</v>
      </c>
      <c r="H4789">
        <v>-1354370949</v>
      </c>
      <c r="I4789">
        <v>-1115344530</v>
      </c>
      <c r="J4789">
        <v>840638891</v>
      </c>
      <c r="K4789">
        <v>-204170085</v>
      </c>
      <c r="L4789">
        <v>394817206</v>
      </c>
      <c r="M4789">
        <v>-212869303</v>
      </c>
      <c r="N4789">
        <v>-1037895429</v>
      </c>
      <c r="O4789">
        <v>-471518855</v>
      </c>
      <c r="P4789">
        <v>193</v>
      </c>
      <c r="Q4789" t="s">
        <v>9928</v>
      </c>
    </row>
    <row r="4790" spans="1:17" x14ac:dyDescent="0.3">
      <c r="A4790" t="s">
        <v>17</v>
      </c>
      <c r="B4790" t="str">
        <f>"600639"</f>
        <v>600639</v>
      </c>
      <c r="C4790" t="s">
        <v>9929</v>
      </c>
      <c r="D4790" t="s">
        <v>6266</v>
      </c>
      <c r="F4790">
        <v>1081724894</v>
      </c>
      <c r="G4790">
        <v>3268397248</v>
      </c>
      <c r="H4790">
        <v>-1367303203</v>
      </c>
      <c r="I4790">
        <v>-475242269</v>
      </c>
      <c r="J4790">
        <v>-106671257</v>
      </c>
      <c r="K4790">
        <v>1104659054</v>
      </c>
      <c r="L4790">
        <v>-1876590376</v>
      </c>
      <c r="M4790">
        <v>288762334</v>
      </c>
      <c r="N4790">
        <v>209099456</v>
      </c>
      <c r="O4790">
        <v>-54697921</v>
      </c>
      <c r="P4790">
        <v>189</v>
      </c>
      <c r="Q4790" t="s">
        <v>9930</v>
      </c>
    </row>
    <row r="4791" spans="1:17" x14ac:dyDescent="0.3">
      <c r="A4791" t="s">
        <v>59</v>
      </c>
      <c r="B4791" t="str">
        <f>"002726"</f>
        <v>002726</v>
      </c>
      <c r="C4791" t="s">
        <v>9931</v>
      </c>
      <c r="D4791" t="s">
        <v>514</v>
      </c>
      <c r="F4791">
        <v>-87677769</v>
      </c>
      <c r="G4791">
        <v>1325020083</v>
      </c>
      <c r="H4791">
        <v>-1371330220</v>
      </c>
      <c r="I4791">
        <v>-106552210</v>
      </c>
      <c r="J4791">
        <v>88753555</v>
      </c>
      <c r="K4791">
        <v>291002995</v>
      </c>
      <c r="L4791">
        <v>258633657</v>
      </c>
      <c r="M4791">
        <v>44896827</v>
      </c>
      <c r="N4791">
        <v>21382941</v>
      </c>
      <c r="O4791">
        <v>-50820723</v>
      </c>
      <c r="P4791">
        <v>1021</v>
      </c>
      <c r="Q4791" t="s">
        <v>9932</v>
      </c>
    </row>
    <row r="4792" spans="1:17" x14ac:dyDescent="0.3">
      <c r="A4792" t="s">
        <v>59</v>
      </c>
      <c r="B4792" t="str">
        <f>"000563"</f>
        <v>000563</v>
      </c>
      <c r="C4792" t="s">
        <v>9933</v>
      </c>
      <c r="D4792" t="s">
        <v>2215</v>
      </c>
      <c r="F4792">
        <v>-1569804476</v>
      </c>
      <c r="G4792">
        <v>-1155711678</v>
      </c>
      <c r="H4792">
        <v>-1401958227</v>
      </c>
      <c r="I4792">
        <v>-1297219358</v>
      </c>
      <c r="J4792">
        <v>1042625907</v>
      </c>
      <c r="K4792">
        <v>157891243</v>
      </c>
      <c r="L4792">
        <v>356311670</v>
      </c>
      <c r="M4792">
        <v>-300853688</v>
      </c>
      <c r="N4792">
        <v>-86034755</v>
      </c>
      <c r="O4792">
        <v>-580955335</v>
      </c>
      <c r="P4792">
        <v>205</v>
      </c>
      <c r="Q4792" t="s">
        <v>9934</v>
      </c>
    </row>
    <row r="4793" spans="1:17" x14ac:dyDescent="0.3">
      <c r="A4793" t="s">
        <v>59</v>
      </c>
      <c r="B4793" t="str">
        <f>"000797"</f>
        <v>000797</v>
      </c>
      <c r="C4793" t="s">
        <v>9935</v>
      </c>
      <c r="D4793" t="s">
        <v>61</v>
      </c>
      <c r="F4793">
        <v>755405499</v>
      </c>
      <c r="G4793">
        <v>1713304749</v>
      </c>
      <c r="H4793">
        <v>-1447374859</v>
      </c>
      <c r="I4793">
        <v>-1084676686</v>
      </c>
      <c r="J4793">
        <v>-1653181504</v>
      </c>
      <c r="K4793">
        <v>1376417322</v>
      </c>
      <c r="L4793">
        <v>-526590168</v>
      </c>
      <c r="M4793">
        <v>-81352713</v>
      </c>
      <c r="N4793">
        <v>-936404433</v>
      </c>
      <c r="O4793">
        <v>733598073</v>
      </c>
      <c r="P4793">
        <v>121</v>
      </c>
      <c r="Q4793" t="s">
        <v>9936</v>
      </c>
    </row>
    <row r="4794" spans="1:17" x14ac:dyDescent="0.3">
      <c r="A4794" t="s">
        <v>59</v>
      </c>
      <c r="B4794" t="str">
        <f>"002429"</f>
        <v>002429</v>
      </c>
      <c r="C4794" t="s">
        <v>9937</v>
      </c>
      <c r="D4794" t="s">
        <v>1131</v>
      </c>
      <c r="F4794">
        <v>2105485519</v>
      </c>
      <c r="G4794">
        <v>-9085053</v>
      </c>
      <c r="H4794">
        <v>-1479973963</v>
      </c>
      <c r="I4794">
        <v>897262766</v>
      </c>
      <c r="J4794">
        <v>-1145074164</v>
      </c>
      <c r="K4794">
        <v>636761936</v>
      </c>
      <c r="L4794">
        <v>28198701</v>
      </c>
      <c r="M4794">
        <v>1026219378</v>
      </c>
      <c r="N4794">
        <v>86888924</v>
      </c>
      <c r="O4794">
        <v>359819720</v>
      </c>
      <c r="P4794">
        <v>454</v>
      </c>
      <c r="Q4794" t="s">
        <v>9938</v>
      </c>
    </row>
    <row r="4795" spans="1:17" x14ac:dyDescent="0.3">
      <c r="A4795" t="s">
        <v>17</v>
      </c>
      <c r="B4795" t="str">
        <f>"600061"</f>
        <v>600061</v>
      </c>
      <c r="C4795" t="s">
        <v>9939</v>
      </c>
      <c r="D4795" t="s">
        <v>117</v>
      </c>
      <c r="F4795">
        <v>2657698409</v>
      </c>
      <c r="G4795">
        <v>-3993772702</v>
      </c>
      <c r="H4795">
        <v>-1485042510</v>
      </c>
      <c r="I4795">
        <v>-13924838115</v>
      </c>
      <c r="J4795">
        <v>-13235201921</v>
      </c>
      <c r="K4795">
        <v>-3941720012</v>
      </c>
      <c r="L4795">
        <v>10863666073</v>
      </c>
      <c r="M4795">
        <v>172806572</v>
      </c>
      <c r="N4795">
        <v>-48568201</v>
      </c>
      <c r="O4795">
        <v>105760313</v>
      </c>
      <c r="P4795">
        <v>1304</v>
      </c>
      <c r="Q4795" t="s">
        <v>9940</v>
      </c>
    </row>
    <row r="4796" spans="1:17" x14ac:dyDescent="0.3">
      <c r="A4796" t="s">
        <v>17</v>
      </c>
      <c r="B4796" t="str">
        <f>"601179"</f>
        <v>601179</v>
      </c>
      <c r="C4796" t="s">
        <v>9941</v>
      </c>
      <c r="D4796" t="s">
        <v>560</v>
      </c>
      <c r="F4796">
        <v>1596821059</v>
      </c>
      <c r="G4796">
        <v>43664380</v>
      </c>
      <c r="H4796">
        <v>-1508290646</v>
      </c>
      <c r="I4796">
        <v>-655348765</v>
      </c>
      <c r="J4796">
        <v>-336032432</v>
      </c>
      <c r="K4796">
        <v>674440094</v>
      </c>
      <c r="L4796">
        <v>3158833228</v>
      </c>
      <c r="M4796">
        <v>2772441</v>
      </c>
      <c r="N4796">
        <v>290152476</v>
      </c>
      <c r="O4796">
        <v>1139532514</v>
      </c>
      <c r="P4796">
        <v>329</v>
      </c>
      <c r="Q4796" t="s">
        <v>9942</v>
      </c>
    </row>
    <row r="4797" spans="1:17" x14ac:dyDescent="0.3">
      <c r="A4797" t="s">
        <v>17</v>
      </c>
      <c r="B4797" t="str">
        <f>"600415"</f>
        <v>600415</v>
      </c>
      <c r="C4797" t="s">
        <v>9943</v>
      </c>
      <c r="D4797" t="s">
        <v>548</v>
      </c>
      <c r="F4797">
        <v>2033082508</v>
      </c>
      <c r="G4797">
        <v>828788262</v>
      </c>
      <c r="H4797">
        <v>-1538907258</v>
      </c>
      <c r="I4797">
        <v>1307247227</v>
      </c>
      <c r="J4797">
        <v>273872116</v>
      </c>
      <c r="K4797">
        <v>1097323306</v>
      </c>
      <c r="L4797">
        <v>6826388116</v>
      </c>
      <c r="M4797">
        <v>1132069607</v>
      </c>
      <c r="N4797">
        <v>-325596623</v>
      </c>
      <c r="O4797">
        <v>1938789716</v>
      </c>
      <c r="P4797">
        <v>327</v>
      </c>
      <c r="Q4797" t="s">
        <v>9944</v>
      </c>
    </row>
    <row r="4798" spans="1:17" x14ac:dyDescent="0.3">
      <c r="A4798" t="s">
        <v>59</v>
      </c>
      <c r="B4798" t="str">
        <f>"000016"</f>
        <v>000016</v>
      </c>
      <c r="C4798" t="s">
        <v>9945</v>
      </c>
      <c r="D4798" t="s">
        <v>1131</v>
      </c>
      <c r="F4798">
        <v>808756394</v>
      </c>
      <c r="G4798">
        <v>178616528</v>
      </c>
      <c r="H4798">
        <v>-1543947285</v>
      </c>
      <c r="I4798">
        <v>-3229823873</v>
      </c>
      <c r="J4798">
        <v>-4314257622</v>
      </c>
      <c r="K4798">
        <v>-972135787</v>
      </c>
      <c r="L4798">
        <v>1289600483</v>
      </c>
      <c r="M4798">
        <v>-640385182</v>
      </c>
      <c r="N4798">
        <v>2283254201</v>
      </c>
      <c r="O4798">
        <v>-359244915</v>
      </c>
      <c r="P4798">
        <v>266</v>
      </c>
      <c r="Q4798" t="s">
        <v>9946</v>
      </c>
    </row>
    <row r="4799" spans="1:17" x14ac:dyDescent="0.3">
      <c r="A4799" t="s">
        <v>59</v>
      </c>
      <c r="B4799" t="str">
        <f>"000065"</f>
        <v>000065</v>
      </c>
      <c r="C4799" t="s">
        <v>9947</v>
      </c>
      <c r="D4799" t="s">
        <v>2071</v>
      </c>
      <c r="F4799">
        <v>1497433161</v>
      </c>
      <c r="G4799">
        <v>-1273680346</v>
      </c>
      <c r="H4799">
        <v>-1578507979</v>
      </c>
      <c r="I4799">
        <v>182382415</v>
      </c>
      <c r="J4799">
        <v>1322880093</v>
      </c>
      <c r="K4799">
        <v>144061812</v>
      </c>
      <c r="L4799">
        <v>379266123</v>
      </c>
      <c r="M4799">
        <v>169967121</v>
      </c>
      <c r="N4799">
        <v>757969887</v>
      </c>
      <c r="O4799">
        <v>-6164194</v>
      </c>
      <c r="P4799">
        <v>394</v>
      </c>
      <c r="Q4799" t="s">
        <v>9948</v>
      </c>
    </row>
    <row r="4800" spans="1:17" x14ac:dyDescent="0.3">
      <c r="A4800" t="s">
        <v>59</v>
      </c>
      <c r="B4800" t="str">
        <f>"002941"</f>
        <v>002941</v>
      </c>
      <c r="C4800" t="s">
        <v>9949</v>
      </c>
      <c r="D4800" t="s">
        <v>85</v>
      </c>
      <c r="F4800">
        <v>1688668820</v>
      </c>
      <c r="G4800">
        <v>60278984</v>
      </c>
      <c r="H4800">
        <v>-1607835880</v>
      </c>
      <c r="I4800">
        <v>-336783187</v>
      </c>
      <c r="J4800">
        <v>-1273436890</v>
      </c>
      <c r="K4800">
        <v>303198367</v>
      </c>
      <c r="L4800">
        <v>131519840</v>
      </c>
      <c r="P4800">
        <v>145</v>
      </c>
      <c r="Q4800" t="s">
        <v>9950</v>
      </c>
    </row>
    <row r="4801" spans="1:17" x14ac:dyDescent="0.3">
      <c r="A4801" t="s">
        <v>17</v>
      </c>
      <c r="B4801" t="str">
        <f>"601512"</f>
        <v>601512</v>
      </c>
      <c r="C4801" t="s">
        <v>9951</v>
      </c>
      <c r="D4801" t="s">
        <v>6266</v>
      </c>
      <c r="F4801">
        <v>373734357</v>
      </c>
      <c r="G4801">
        <v>-841663574</v>
      </c>
      <c r="H4801">
        <v>-1683726561</v>
      </c>
      <c r="I4801">
        <v>1253694893</v>
      </c>
      <c r="J4801">
        <v>2383805659</v>
      </c>
      <c r="K4801">
        <v>2892396947</v>
      </c>
      <c r="P4801">
        <v>103</v>
      </c>
      <c r="Q4801" t="s">
        <v>9952</v>
      </c>
    </row>
    <row r="4802" spans="1:17" x14ac:dyDescent="0.3">
      <c r="A4802" t="s">
        <v>17</v>
      </c>
      <c r="B4802" t="str">
        <f>"600978"</f>
        <v>600978</v>
      </c>
      <c r="C4802" t="s">
        <v>9953</v>
      </c>
      <c r="H4802">
        <v>-1721544093</v>
      </c>
      <c r="I4802">
        <v>225792550</v>
      </c>
      <c r="J4802">
        <v>1307609015</v>
      </c>
      <c r="K4802">
        <v>1277981408</v>
      </c>
      <c r="L4802">
        <v>1047354666</v>
      </c>
      <c r="M4802">
        <v>590445938</v>
      </c>
      <c r="N4802">
        <v>670301997</v>
      </c>
      <c r="O4802">
        <v>538610270</v>
      </c>
      <c r="P4802">
        <v>167</v>
      </c>
      <c r="Q4802" t="s">
        <v>9954</v>
      </c>
    </row>
    <row r="4803" spans="1:17" x14ac:dyDescent="0.3">
      <c r="A4803" t="s">
        <v>59</v>
      </c>
      <c r="B4803" t="str">
        <f>"200016"</f>
        <v>200016</v>
      </c>
      <c r="C4803" t="s">
        <v>9955</v>
      </c>
      <c r="F4803">
        <v>988947318.58319998</v>
      </c>
      <c r="G4803">
        <v>211857063.8608</v>
      </c>
      <c r="H4803">
        <v>-1726905038.2725</v>
      </c>
      <c r="I4803">
        <v>-3677154479.4105</v>
      </c>
      <c r="J4803">
        <v>-5177971997.9244003</v>
      </c>
      <c r="K4803">
        <v>-1085097965.4493999</v>
      </c>
      <c r="L4803">
        <v>1539396096.5571001</v>
      </c>
      <c r="M4803">
        <v>-800737631.57280004</v>
      </c>
      <c r="N4803">
        <v>2926446909.4217</v>
      </c>
      <c r="O4803">
        <v>-447116221.20899999</v>
      </c>
      <c r="P4803">
        <v>36</v>
      </c>
      <c r="Q4803" t="s">
        <v>9956</v>
      </c>
    </row>
    <row r="4804" spans="1:17" x14ac:dyDescent="0.3">
      <c r="A4804" t="s">
        <v>59</v>
      </c>
      <c r="B4804" t="str">
        <f>"000537"</f>
        <v>000537</v>
      </c>
      <c r="C4804" t="s">
        <v>9957</v>
      </c>
      <c r="D4804" t="s">
        <v>61</v>
      </c>
      <c r="F4804">
        <v>143866532</v>
      </c>
      <c r="G4804">
        <v>-6384692667</v>
      </c>
      <c r="H4804">
        <v>-1788133183</v>
      </c>
      <c r="I4804">
        <v>5964555913</v>
      </c>
      <c r="J4804">
        <v>8027502422</v>
      </c>
      <c r="K4804">
        <v>-6649339583</v>
      </c>
      <c r="L4804">
        <v>-2614696622</v>
      </c>
      <c r="M4804">
        <v>-468866935</v>
      </c>
      <c r="N4804">
        <v>865993187</v>
      </c>
      <c r="O4804">
        <v>770299674</v>
      </c>
      <c r="P4804">
        <v>604</v>
      </c>
      <c r="Q4804" t="s">
        <v>9958</v>
      </c>
    </row>
    <row r="4805" spans="1:17" x14ac:dyDescent="0.3">
      <c r="A4805" t="s">
        <v>17</v>
      </c>
      <c r="B4805" t="str">
        <f>"600109"</f>
        <v>600109</v>
      </c>
      <c r="C4805" t="s">
        <v>9959</v>
      </c>
      <c r="D4805" t="s">
        <v>75</v>
      </c>
      <c r="F4805">
        <v>-3618555755</v>
      </c>
      <c r="G4805">
        <v>-3415491924</v>
      </c>
      <c r="H4805">
        <v>-1874236165</v>
      </c>
      <c r="I4805">
        <v>2597501224</v>
      </c>
      <c r="J4805">
        <v>-10507819186</v>
      </c>
      <c r="K4805">
        <v>-6977224533</v>
      </c>
      <c r="L4805">
        <v>13633513598</v>
      </c>
      <c r="M4805">
        <v>2888201453</v>
      </c>
      <c r="N4805">
        <v>-559079585</v>
      </c>
      <c r="O4805">
        <v>-201986987</v>
      </c>
      <c r="P4805">
        <v>1128</v>
      </c>
      <c r="Q4805" t="s">
        <v>9960</v>
      </c>
    </row>
    <row r="4806" spans="1:17" x14ac:dyDescent="0.3">
      <c r="A4806" t="s">
        <v>59</v>
      </c>
      <c r="B4806" t="str">
        <f>"002721"</f>
        <v>002721</v>
      </c>
      <c r="C4806" t="s">
        <v>9961</v>
      </c>
      <c r="D4806" t="s">
        <v>2025</v>
      </c>
      <c r="F4806">
        <v>403528081</v>
      </c>
      <c r="G4806">
        <v>-55823607</v>
      </c>
      <c r="H4806">
        <v>-1991127335</v>
      </c>
      <c r="I4806">
        <v>1501325583</v>
      </c>
      <c r="J4806">
        <v>-1665087992</v>
      </c>
      <c r="K4806">
        <v>-523991292</v>
      </c>
      <c r="L4806">
        <v>-270884319</v>
      </c>
      <c r="M4806">
        <v>-67041564</v>
      </c>
      <c r="N4806">
        <v>103080284</v>
      </c>
      <c r="O4806">
        <v>-237888728</v>
      </c>
      <c r="P4806">
        <v>89</v>
      </c>
      <c r="Q4806" t="s">
        <v>9962</v>
      </c>
    </row>
    <row r="4807" spans="1:17" x14ac:dyDescent="0.3">
      <c r="A4807" t="s">
        <v>59</v>
      </c>
      <c r="B4807" t="str">
        <f>"002305"</f>
        <v>002305</v>
      </c>
      <c r="C4807" t="s">
        <v>9963</v>
      </c>
      <c r="D4807" t="s">
        <v>70</v>
      </c>
      <c r="F4807">
        <v>2197315403</v>
      </c>
      <c r="G4807">
        <v>3696918441</v>
      </c>
      <c r="H4807">
        <v>-2029500453</v>
      </c>
      <c r="I4807">
        <v>2344024241</v>
      </c>
      <c r="J4807">
        <v>1650219841</v>
      </c>
      <c r="K4807">
        <v>470170206</v>
      </c>
      <c r="L4807">
        <v>-4924489359</v>
      </c>
      <c r="M4807">
        <v>-681889422</v>
      </c>
      <c r="N4807">
        <v>-955205347</v>
      </c>
      <c r="O4807">
        <v>441524031</v>
      </c>
      <c r="P4807">
        <v>107</v>
      </c>
      <c r="Q4807" t="s">
        <v>9964</v>
      </c>
    </row>
    <row r="4808" spans="1:17" x14ac:dyDescent="0.3">
      <c r="A4808" t="s">
        <v>59</v>
      </c>
      <c r="B4808" t="str">
        <f>"002493"</f>
        <v>002493</v>
      </c>
      <c r="C4808" t="s">
        <v>9965</v>
      </c>
      <c r="D4808" t="s">
        <v>24</v>
      </c>
      <c r="F4808">
        <v>33564785434</v>
      </c>
      <c r="G4808">
        <v>17506772760</v>
      </c>
      <c r="H4808">
        <v>-2051878647</v>
      </c>
      <c r="I4808">
        <v>4834686101</v>
      </c>
      <c r="J4808">
        <v>4032757762</v>
      </c>
      <c r="K4808">
        <v>2820490994</v>
      </c>
      <c r="L4808">
        <v>-1070447484</v>
      </c>
      <c r="M4808">
        <v>3712063100</v>
      </c>
      <c r="N4808">
        <v>-2160032293</v>
      </c>
      <c r="O4808">
        <v>957897736</v>
      </c>
      <c r="P4808">
        <v>852</v>
      </c>
      <c r="Q4808" t="s">
        <v>9966</v>
      </c>
    </row>
    <row r="4809" spans="1:17" x14ac:dyDescent="0.3">
      <c r="A4809" t="s">
        <v>59</v>
      </c>
      <c r="B4809" t="str">
        <f>"000958"</f>
        <v>000958</v>
      </c>
      <c r="C4809" t="s">
        <v>9967</v>
      </c>
      <c r="D4809" t="s">
        <v>98</v>
      </c>
      <c r="F4809">
        <v>-4863267803</v>
      </c>
      <c r="G4809">
        <v>1067150823</v>
      </c>
      <c r="H4809">
        <v>-2244042539</v>
      </c>
      <c r="I4809">
        <v>589129458</v>
      </c>
      <c r="J4809">
        <v>415300234</v>
      </c>
      <c r="K4809">
        <v>473938170</v>
      </c>
      <c r="L4809">
        <v>721422320</v>
      </c>
      <c r="M4809">
        <v>39106763</v>
      </c>
      <c r="N4809">
        <v>263907514</v>
      </c>
      <c r="O4809">
        <v>56619090</v>
      </c>
      <c r="P4809">
        <v>162</v>
      </c>
      <c r="Q4809" t="s">
        <v>9968</v>
      </c>
    </row>
    <row r="4810" spans="1:17" x14ac:dyDescent="0.3">
      <c r="A4810" t="s">
        <v>17</v>
      </c>
      <c r="B4810" t="str">
        <f>"600648"</f>
        <v>600648</v>
      </c>
      <c r="C4810" t="s">
        <v>9969</v>
      </c>
      <c r="D4810" t="s">
        <v>6266</v>
      </c>
      <c r="F4810">
        <v>3533436403</v>
      </c>
      <c r="G4810">
        <v>4184304343</v>
      </c>
      <c r="H4810">
        <v>-2254194216</v>
      </c>
      <c r="I4810">
        <v>716262902</v>
      </c>
      <c r="J4810">
        <v>2847594879</v>
      </c>
      <c r="K4810">
        <v>-535787109</v>
      </c>
      <c r="L4810">
        <v>-345625877</v>
      </c>
      <c r="M4810">
        <v>245719411</v>
      </c>
      <c r="N4810">
        <v>-587721631</v>
      </c>
      <c r="O4810">
        <v>2334514798</v>
      </c>
      <c r="P4810">
        <v>139</v>
      </c>
      <c r="Q4810" t="s">
        <v>9970</v>
      </c>
    </row>
    <row r="4811" spans="1:17" x14ac:dyDescent="0.3">
      <c r="A4811" t="s">
        <v>17</v>
      </c>
      <c r="B4811" t="str">
        <f>"600658"</f>
        <v>600658</v>
      </c>
      <c r="C4811" t="s">
        <v>9971</v>
      </c>
      <c r="D4811" t="s">
        <v>6266</v>
      </c>
      <c r="F4811">
        <v>2479662143</v>
      </c>
      <c r="G4811">
        <v>1024650881</v>
      </c>
      <c r="H4811">
        <v>-2292067824</v>
      </c>
      <c r="I4811">
        <v>-3835243083</v>
      </c>
      <c r="J4811">
        <v>507986885</v>
      </c>
      <c r="K4811">
        <v>-400263843</v>
      </c>
      <c r="L4811">
        <v>590383662</v>
      </c>
      <c r="M4811">
        <v>395981996</v>
      </c>
      <c r="N4811">
        <v>81697243</v>
      </c>
      <c r="O4811">
        <v>577725471</v>
      </c>
      <c r="P4811">
        <v>136</v>
      </c>
      <c r="Q4811" t="s">
        <v>9972</v>
      </c>
    </row>
    <row r="4812" spans="1:17" x14ac:dyDescent="0.3">
      <c r="A4812" t="s">
        <v>17</v>
      </c>
      <c r="B4812" t="str">
        <f>"600533"</f>
        <v>600533</v>
      </c>
      <c r="C4812" t="s">
        <v>9973</v>
      </c>
      <c r="D4812" t="s">
        <v>61</v>
      </c>
      <c r="F4812">
        <v>2808019937</v>
      </c>
      <c r="G4812">
        <v>-233667493</v>
      </c>
      <c r="H4812">
        <v>-2331696556</v>
      </c>
      <c r="I4812">
        <v>1919254411</v>
      </c>
      <c r="J4812">
        <v>-1367256027</v>
      </c>
      <c r="K4812">
        <v>-2325094888</v>
      </c>
      <c r="L4812">
        <v>1540195423</v>
      </c>
      <c r="M4812">
        <v>961835859</v>
      </c>
      <c r="N4812">
        <v>806611662</v>
      </c>
      <c r="O4812">
        <v>310280524</v>
      </c>
      <c r="P4812">
        <v>199</v>
      </c>
      <c r="Q4812" t="s">
        <v>9974</v>
      </c>
    </row>
    <row r="4813" spans="1:17" x14ac:dyDescent="0.3">
      <c r="A4813" t="s">
        <v>59</v>
      </c>
      <c r="B4813" t="str">
        <f>"002314"</f>
        <v>002314</v>
      </c>
      <c r="C4813" t="s">
        <v>9975</v>
      </c>
      <c r="D4813" t="s">
        <v>61</v>
      </c>
      <c r="F4813">
        <v>3012097751</v>
      </c>
      <c r="G4813">
        <v>-1396325082</v>
      </c>
      <c r="H4813">
        <v>-2346685655</v>
      </c>
      <c r="I4813">
        <v>837495760</v>
      </c>
      <c r="J4813">
        <v>-491860519</v>
      </c>
      <c r="K4813">
        <v>977484439</v>
      </c>
      <c r="L4813">
        <v>2061935183</v>
      </c>
      <c r="M4813">
        <v>-3847867</v>
      </c>
      <c r="N4813">
        <v>72824823</v>
      </c>
      <c r="O4813">
        <v>149511496</v>
      </c>
      <c r="P4813">
        <v>206</v>
      </c>
      <c r="Q4813" t="s">
        <v>9976</v>
      </c>
    </row>
    <row r="4814" spans="1:17" x14ac:dyDescent="0.3">
      <c r="A4814" t="s">
        <v>17</v>
      </c>
      <c r="B4814" t="str">
        <f>"600339"</f>
        <v>600339</v>
      </c>
      <c r="C4814" t="s">
        <v>9977</v>
      </c>
      <c r="D4814" t="s">
        <v>3536</v>
      </c>
      <c r="F4814">
        <v>3864274112</v>
      </c>
      <c r="G4814">
        <v>-347380005</v>
      </c>
      <c r="H4814">
        <v>-2392623845</v>
      </c>
      <c r="I4814">
        <v>8614045937</v>
      </c>
      <c r="J4814">
        <v>2811226693</v>
      </c>
      <c r="K4814">
        <v>1182410322</v>
      </c>
      <c r="L4814">
        <v>117218527</v>
      </c>
      <c r="M4814">
        <v>87635260</v>
      </c>
      <c r="N4814">
        <v>355357485</v>
      </c>
      <c r="O4814">
        <v>219155587</v>
      </c>
      <c r="P4814">
        <v>232</v>
      </c>
      <c r="Q4814" t="s">
        <v>9978</v>
      </c>
    </row>
    <row r="4815" spans="1:17" x14ac:dyDescent="0.3">
      <c r="A4815" t="s">
        <v>59</v>
      </c>
      <c r="B4815" t="str">
        <f>"002939"</f>
        <v>002939</v>
      </c>
      <c r="C4815" t="s">
        <v>9979</v>
      </c>
      <c r="D4815" t="s">
        <v>75</v>
      </c>
      <c r="F4815">
        <v>-1229285409</v>
      </c>
      <c r="G4815">
        <v>-4766011920</v>
      </c>
      <c r="H4815">
        <v>-2689834391</v>
      </c>
      <c r="I4815">
        <v>-4183674795</v>
      </c>
      <c r="J4815">
        <v>-6141186633</v>
      </c>
      <c r="K4815">
        <v>-3291045278</v>
      </c>
      <c r="L4815">
        <v>1227412322</v>
      </c>
      <c r="M4815">
        <v>5650955474</v>
      </c>
      <c r="N4815">
        <v>340555421</v>
      </c>
      <c r="O4815">
        <v>-374254685</v>
      </c>
      <c r="P4815">
        <v>832</v>
      </c>
      <c r="Q4815" t="s">
        <v>9980</v>
      </c>
    </row>
    <row r="4816" spans="1:17" x14ac:dyDescent="0.3">
      <c r="A4816" t="s">
        <v>17</v>
      </c>
      <c r="B4816" t="str">
        <f>"600736"</f>
        <v>600736</v>
      </c>
      <c r="C4816" t="s">
        <v>9981</v>
      </c>
      <c r="D4816" t="s">
        <v>61</v>
      </c>
      <c r="F4816">
        <v>-2547476013</v>
      </c>
      <c r="G4816">
        <v>4205544629</v>
      </c>
      <c r="H4816">
        <v>-2705253237</v>
      </c>
      <c r="I4816">
        <v>-4496004643</v>
      </c>
      <c r="J4816">
        <v>4145912678</v>
      </c>
      <c r="K4816">
        <v>1580341770</v>
      </c>
      <c r="L4816">
        <v>1027841</v>
      </c>
      <c r="M4816">
        <v>282801699</v>
      </c>
      <c r="N4816">
        <v>-931201407</v>
      </c>
      <c r="O4816">
        <v>-264702589</v>
      </c>
      <c r="P4816">
        <v>142</v>
      </c>
      <c r="Q4816" t="s">
        <v>9982</v>
      </c>
    </row>
    <row r="4817" spans="1:17" x14ac:dyDescent="0.3">
      <c r="A4817" t="s">
        <v>17</v>
      </c>
      <c r="B4817" t="str">
        <f>"601963"</f>
        <v>601963</v>
      </c>
      <c r="C4817" t="s">
        <v>9983</v>
      </c>
      <c r="D4817" t="s">
        <v>64</v>
      </c>
      <c r="F4817">
        <v>5085209000</v>
      </c>
      <c r="G4817">
        <v>32211063000</v>
      </c>
      <c r="H4817">
        <v>-2711725000</v>
      </c>
      <c r="I4817">
        <v>-34163311000</v>
      </c>
      <c r="J4817">
        <v>-6934186000</v>
      </c>
      <c r="K4817">
        <v>-20216460000</v>
      </c>
      <c r="L4817">
        <v>16716424000</v>
      </c>
      <c r="M4817">
        <v>25604056000</v>
      </c>
      <c r="N4817">
        <v>17941786000</v>
      </c>
      <c r="O4817">
        <v>14038955000</v>
      </c>
      <c r="P4817">
        <v>149</v>
      </c>
      <c r="Q4817" t="s">
        <v>9984</v>
      </c>
    </row>
    <row r="4818" spans="1:17" x14ac:dyDescent="0.3">
      <c r="A4818" t="s">
        <v>17</v>
      </c>
      <c r="B4818" t="str">
        <f>"600239"</f>
        <v>600239</v>
      </c>
      <c r="C4818" t="s">
        <v>9985</v>
      </c>
      <c r="D4818" t="s">
        <v>61</v>
      </c>
      <c r="F4818">
        <v>27377429885</v>
      </c>
      <c r="G4818">
        <v>557909180</v>
      </c>
      <c r="H4818">
        <v>-2736991521</v>
      </c>
      <c r="I4818">
        <v>-2242630606</v>
      </c>
      <c r="J4818">
        <v>3668374831</v>
      </c>
      <c r="K4818">
        <v>-1934857659</v>
      </c>
      <c r="L4818">
        <v>-1205628885</v>
      </c>
      <c r="M4818">
        <v>-2566711173</v>
      </c>
      <c r="N4818">
        <v>-1730474566</v>
      </c>
      <c r="O4818">
        <v>-1804616269</v>
      </c>
      <c r="P4818">
        <v>128</v>
      </c>
      <c r="Q4818" t="s">
        <v>9986</v>
      </c>
    </row>
    <row r="4819" spans="1:17" x14ac:dyDescent="0.3">
      <c r="A4819" t="s">
        <v>59</v>
      </c>
      <c r="B4819" t="str">
        <f>"000701"</f>
        <v>000701</v>
      </c>
      <c r="C4819" t="s">
        <v>9987</v>
      </c>
      <c r="D4819" t="s">
        <v>595</v>
      </c>
      <c r="F4819">
        <v>2988248816</v>
      </c>
      <c r="G4819">
        <v>82283127</v>
      </c>
      <c r="H4819">
        <v>-2874785742</v>
      </c>
      <c r="I4819">
        <v>-551872771</v>
      </c>
      <c r="J4819">
        <v>320105654</v>
      </c>
      <c r="K4819">
        <v>636605429</v>
      </c>
      <c r="L4819">
        <v>270279652</v>
      </c>
      <c r="M4819">
        <v>480976213</v>
      </c>
      <c r="N4819">
        <v>30526220</v>
      </c>
      <c r="O4819">
        <v>-1062479401</v>
      </c>
      <c r="P4819">
        <v>120</v>
      </c>
      <c r="Q4819" t="s">
        <v>9988</v>
      </c>
    </row>
    <row r="4820" spans="1:17" x14ac:dyDescent="0.3">
      <c r="A4820" t="s">
        <v>17</v>
      </c>
      <c r="B4820" t="str">
        <f>"601162"</f>
        <v>601162</v>
      </c>
      <c r="C4820" t="s">
        <v>9989</v>
      </c>
      <c r="D4820" t="s">
        <v>75</v>
      </c>
      <c r="F4820">
        <v>5244841535</v>
      </c>
      <c r="G4820">
        <v>-3354490668</v>
      </c>
      <c r="H4820">
        <v>-2945165051</v>
      </c>
      <c r="I4820">
        <v>1150059001</v>
      </c>
      <c r="J4820">
        <v>-684813074</v>
      </c>
      <c r="K4820">
        <v>-2622153075</v>
      </c>
      <c r="L4820">
        <v>-2220342990</v>
      </c>
      <c r="M4820">
        <v>-1016996875</v>
      </c>
      <c r="N4820">
        <v>-25219060</v>
      </c>
      <c r="O4820">
        <v>-778814135</v>
      </c>
      <c r="P4820">
        <v>897</v>
      </c>
      <c r="Q4820" t="s">
        <v>9990</v>
      </c>
    </row>
    <row r="4821" spans="1:17" x14ac:dyDescent="0.3">
      <c r="A4821" t="s">
        <v>59</v>
      </c>
      <c r="B4821" t="str">
        <f>"000413"</f>
        <v>000413</v>
      </c>
      <c r="C4821" t="s">
        <v>9991</v>
      </c>
      <c r="D4821" t="s">
        <v>139</v>
      </c>
      <c r="F4821">
        <v>1315355043</v>
      </c>
      <c r="G4821">
        <v>2041305561</v>
      </c>
      <c r="H4821">
        <v>-3012699649</v>
      </c>
      <c r="I4821">
        <v>388252005</v>
      </c>
      <c r="J4821">
        <v>1265773428</v>
      </c>
      <c r="K4821">
        <v>1390048492</v>
      </c>
      <c r="L4821">
        <v>1780128963</v>
      </c>
      <c r="M4821">
        <v>-44057409</v>
      </c>
      <c r="N4821">
        <v>-1837218835</v>
      </c>
      <c r="O4821">
        <v>-466992746</v>
      </c>
      <c r="P4821">
        <v>525</v>
      </c>
      <c r="Q4821" t="s">
        <v>9992</v>
      </c>
    </row>
    <row r="4822" spans="1:17" x14ac:dyDescent="0.3">
      <c r="A4822" t="s">
        <v>17</v>
      </c>
      <c r="B4822" t="str">
        <f>"600223"</f>
        <v>600223</v>
      </c>
      <c r="C4822" t="s">
        <v>9993</v>
      </c>
      <c r="D4822" t="s">
        <v>61</v>
      </c>
      <c r="F4822">
        <v>6848228116</v>
      </c>
      <c r="G4822">
        <v>4448018884</v>
      </c>
      <c r="H4822">
        <v>-3307182481</v>
      </c>
      <c r="I4822">
        <v>2095276854</v>
      </c>
      <c r="J4822">
        <v>1555133569</v>
      </c>
      <c r="K4822">
        <v>-2468118717</v>
      </c>
      <c r="L4822">
        <v>-1797507829</v>
      </c>
      <c r="M4822">
        <v>-2363097628</v>
      </c>
      <c r="N4822">
        <v>-1087851083</v>
      </c>
      <c r="O4822">
        <v>103585907</v>
      </c>
      <c r="P4822">
        <v>361</v>
      </c>
      <c r="Q4822" t="s">
        <v>9994</v>
      </c>
    </row>
    <row r="4823" spans="1:17" x14ac:dyDescent="0.3">
      <c r="A4823" t="s">
        <v>59</v>
      </c>
      <c r="B4823" t="str">
        <f>"200413"</f>
        <v>200413</v>
      </c>
      <c r="C4823" t="s">
        <v>9995</v>
      </c>
      <c r="G4823">
        <v>2421192525.9021001</v>
      </c>
      <c r="H4823">
        <v>-3369704557.4064999</v>
      </c>
      <c r="I4823">
        <v>442024907.6925</v>
      </c>
      <c r="J4823">
        <v>1519181268.2855999</v>
      </c>
      <c r="K4823">
        <v>1551572126.7704</v>
      </c>
      <c r="L4823">
        <v>2124939943.1331</v>
      </c>
      <c r="M4823">
        <v>-55089384.213600002</v>
      </c>
      <c r="N4823">
        <v>-2354763380.8195</v>
      </c>
      <c r="O4823">
        <v>-581219171.67159998</v>
      </c>
      <c r="P4823">
        <v>44</v>
      </c>
      <c r="Q4823" t="s">
        <v>9996</v>
      </c>
    </row>
    <row r="4824" spans="1:17" x14ac:dyDescent="0.3">
      <c r="A4824" t="s">
        <v>17</v>
      </c>
      <c r="B4824" t="str">
        <f>"600755"</f>
        <v>600755</v>
      </c>
      <c r="C4824" t="s">
        <v>9997</v>
      </c>
      <c r="D4824" t="s">
        <v>250</v>
      </c>
      <c r="F4824">
        <v>7877577963</v>
      </c>
      <c r="G4824">
        <v>-1684676267</v>
      </c>
      <c r="H4824">
        <v>-3578451354</v>
      </c>
      <c r="I4824">
        <v>4308431083</v>
      </c>
      <c r="J4824">
        <v>-8422830087</v>
      </c>
      <c r="K4824">
        <v>2288036191</v>
      </c>
      <c r="L4824">
        <v>3161411578</v>
      </c>
      <c r="M4824">
        <v>-3725713263</v>
      </c>
      <c r="N4824">
        <v>-688069906</v>
      </c>
      <c r="O4824">
        <v>2247750546</v>
      </c>
      <c r="P4824">
        <v>742</v>
      </c>
      <c r="Q4824" t="s">
        <v>9998</v>
      </c>
    </row>
    <row r="4825" spans="1:17" x14ac:dyDescent="0.3">
      <c r="A4825" t="s">
        <v>59</v>
      </c>
      <c r="B4825" t="str">
        <f>"001227"</f>
        <v>001227</v>
      </c>
      <c r="C4825" t="s">
        <v>9999</v>
      </c>
      <c r="D4825" t="s">
        <v>64</v>
      </c>
      <c r="F4825">
        <v>12520648347</v>
      </c>
      <c r="G4825">
        <v>-4663480748</v>
      </c>
      <c r="H4825">
        <v>-3671181283</v>
      </c>
      <c r="I4825">
        <v>13628545356</v>
      </c>
      <c r="J4825">
        <v>-9795229000</v>
      </c>
      <c r="K4825">
        <v>27836151000</v>
      </c>
      <c r="P4825">
        <v>31</v>
      </c>
      <c r="Q4825" t="s">
        <v>10000</v>
      </c>
    </row>
    <row r="4826" spans="1:17" x14ac:dyDescent="0.3">
      <c r="A4826" t="s">
        <v>59</v>
      </c>
      <c r="B4826" t="str">
        <f>"002839"</f>
        <v>002839</v>
      </c>
      <c r="C4826" t="s">
        <v>10001</v>
      </c>
      <c r="D4826" t="s">
        <v>153</v>
      </c>
      <c r="F4826">
        <v>158217198</v>
      </c>
      <c r="G4826">
        <v>7616831140</v>
      </c>
      <c r="H4826">
        <v>-3775770426</v>
      </c>
      <c r="I4826">
        <v>-3796034672</v>
      </c>
      <c r="J4826">
        <v>5505786558</v>
      </c>
      <c r="K4826">
        <v>6265543563</v>
      </c>
      <c r="L4826">
        <v>7901911738</v>
      </c>
      <c r="M4826">
        <v>-3478318520</v>
      </c>
      <c r="N4826">
        <v>-5422140726</v>
      </c>
      <c r="O4826">
        <v>2402999200</v>
      </c>
      <c r="P4826">
        <v>474</v>
      </c>
      <c r="Q4826" t="s">
        <v>10002</v>
      </c>
    </row>
    <row r="4827" spans="1:17" x14ac:dyDescent="0.3">
      <c r="A4827" t="s">
        <v>17</v>
      </c>
      <c r="B4827" t="str">
        <f>"601611"</f>
        <v>601611</v>
      </c>
      <c r="C4827" t="s">
        <v>10003</v>
      </c>
      <c r="D4827" t="s">
        <v>85</v>
      </c>
      <c r="F4827">
        <v>2406257445</v>
      </c>
      <c r="G4827">
        <v>2166252040</v>
      </c>
      <c r="H4827">
        <v>-3943063651</v>
      </c>
      <c r="I4827">
        <v>639652248</v>
      </c>
      <c r="J4827">
        <v>2372169919</v>
      </c>
      <c r="K4827">
        <v>-2731020816</v>
      </c>
      <c r="L4827">
        <v>676680004</v>
      </c>
      <c r="M4827">
        <v>-2531116909</v>
      </c>
      <c r="N4827">
        <v>-779286819</v>
      </c>
      <c r="P4827">
        <v>345</v>
      </c>
      <c r="Q4827" t="s">
        <v>10004</v>
      </c>
    </row>
    <row r="4828" spans="1:17" x14ac:dyDescent="0.3">
      <c r="A4828" t="s">
        <v>17</v>
      </c>
      <c r="B4828" t="str">
        <f>"600743"</f>
        <v>600743</v>
      </c>
      <c r="C4828" t="s">
        <v>10005</v>
      </c>
      <c r="D4828" t="s">
        <v>61</v>
      </c>
      <c r="F4828">
        <v>7347263356</v>
      </c>
      <c r="G4828">
        <v>6314489370</v>
      </c>
      <c r="H4828">
        <v>-4254623469</v>
      </c>
      <c r="I4828">
        <v>-3101588928</v>
      </c>
      <c r="J4828">
        <v>683949701</v>
      </c>
      <c r="K4828">
        <v>2154709283</v>
      </c>
      <c r="L4828">
        <v>-221101472</v>
      </c>
      <c r="M4828">
        <v>-1503104222</v>
      </c>
      <c r="N4828">
        <v>-910898526</v>
      </c>
      <c r="O4828">
        <v>899696005</v>
      </c>
      <c r="P4828">
        <v>603</v>
      </c>
      <c r="Q4828" t="s">
        <v>10006</v>
      </c>
    </row>
    <row r="4829" spans="1:17" x14ac:dyDescent="0.3">
      <c r="A4829" t="s">
        <v>59</v>
      </c>
      <c r="B4829" t="str">
        <f>"000736"</f>
        <v>000736</v>
      </c>
      <c r="C4829" t="s">
        <v>10007</v>
      </c>
      <c r="D4829" t="s">
        <v>61</v>
      </c>
      <c r="F4829">
        <v>-4451995693</v>
      </c>
      <c r="G4829">
        <v>-18740017674</v>
      </c>
      <c r="H4829">
        <v>-4611721890</v>
      </c>
      <c r="I4829">
        <v>5796489386</v>
      </c>
      <c r="J4829">
        <v>-3614017892</v>
      </c>
      <c r="K4829">
        <v>157226254</v>
      </c>
      <c r="L4829">
        <v>-581700401</v>
      </c>
      <c r="M4829">
        <v>-1381580701</v>
      </c>
      <c r="N4829">
        <v>-1589488097</v>
      </c>
      <c r="O4829">
        <v>297751480</v>
      </c>
      <c r="P4829">
        <v>189</v>
      </c>
      <c r="Q4829" t="s">
        <v>10008</v>
      </c>
    </row>
    <row r="4830" spans="1:17" x14ac:dyDescent="0.3">
      <c r="A4830" t="s">
        <v>17</v>
      </c>
      <c r="B4830" t="str">
        <f>"601258"</f>
        <v>601258</v>
      </c>
      <c r="C4830" t="s">
        <v>10009</v>
      </c>
      <c r="D4830" t="s">
        <v>337</v>
      </c>
      <c r="F4830">
        <v>-128677156</v>
      </c>
      <c r="G4830">
        <v>-460205498</v>
      </c>
      <c r="H4830">
        <v>-4724693578</v>
      </c>
      <c r="I4830">
        <v>-12231901289</v>
      </c>
      <c r="J4830">
        <v>-2488872940</v>
      </c>
      <c r="K4830">
        <v>1131159904</v>
      </c>
      <c r="L4830">
        <v>-1613143204</v>
      </c>
      <c r="M4830">
        <v>5641141059</v>
      </c>
      <c r="N4830">
        <v>11192077046</v>
      </c>
      <c r="O4830">
        <v>-1996733228</v>
      </c>
      <c r="P4830">
        <v>133</v>
      </c>
      <c r="Q4830" t="s">
        <v>10010</v>
      </c>
    </row>
    <row r="4831" spans="1:17" x14ac:dyDescent="0.3">
      <c r="A4831" t="s">
        <v>17</v>
      </c>
      <c r="B4831" t="str">
        <f>"600708"</f>
        <v>600708</v>
      </c>
      <c r="C4831" t="s">
        <v>10011</v>
      </c>
      <c r="D4831" t="s">
        <v>61</v>
      </c>
      <c r="F4831">
        <v>6127350800</v>
      </c>
      <c r="G4831">
        <v>4171897924</v>
      </c>
      <c r="H4831">
        <v>-4789084876</v>
      </c>
      <c r="I4831">
        <v>-8734303407</v>
      </c>
      <c r="J4831">
        <v>1678713224</v>
      </c>
      <c r="K4831">
        <v>9150855225</v>
      </c>
      <c r="L4831">
        <v>917846969</v>
      </c>
      <c r="M4831">
        <v>255089493</v>
      </c>
      <c r="N4831">
        <v>504026426</v>
      </c>
      <c r="O4831">
        <v>485551526</v>
      </c>
      <c r="P4831">
        <v>677</v>
      </c>
      <c r="Q4831" t="s">
        <v>10012</v>
      </c>
    </row>
    <row r="4832" spans="1:17" x14ac:dyDescent="0.3">
      <c r="A4832" t="s">
        <v>17</v>
      </c>
      <c r="B4832" t="str">
        <f>"600848"</f>
        <v>600848</v>
      </c>
      <c r="C4832" t="s">
        <v>10013</v>
      </c>
      <c r="D4832" t="s">
        <v>6266</v>
      </c>
      <c r="F4832">
        <v>108266150</v>
      </c>
      <c r="G4832">
        <v>-853172395</v>
      </c>
      <c r="H4832">
        <v>-4809976920</v>
      </c>
      <c r="I4832">
        <v>-1498716473</v>
      </c>
      <c r="J4832">
        <v>-157363739</v>
      </c>
      <c r="K4832">
        <v>-141366051</v>
      </c>
      <c r="L4832">
        <v>-460327857</v>
      </c>
      <c r="M4832">
        <v>66577854</v>
      </c>
      <c r="N4832">
        <v>26760558</v>
      </c>
      <c r="O4832">
        <v>8941893</v>
      </c>
      <c r="P4832">
        <v>271</v>
      </c>
      <c r="Q4832" t="s">
        <v>10014</v>
      </c>
    </row>
    <row r="4833" spans="1:17" x14ac:dyDescent="0.3">
      <c r="A4833" t="s">
        <v>59</v>
      </c>
      <c r="B4833" t="str">
        <f>"002958"</f>
        <v>002958</v>
      </c>
      <c r="C4833" t="s">
        <v>10015</v>
      </c>
      <c r="D4833" t="s">
        <v>153</v>
      </c>
      <c r="F4833">
        <v>780283000</v>
      </c>
      <c r="G4833">
        <v>6332848000</v>
      </c>
      <c r="H4833">
        <v>-4840569000</v>
      </c>
      <c r="I4833">
        <v>-2363993000</v>
      </c>
      <c r="J4833">
        <v>2123285000</v>
      </c>
      <c r="K4833">
        <v>19414249000</v>
      </c>
      <c r="L4833">
        <v>13310824000</v>
      </c>
      <c r="M4833">
        <v>7830186043</v>
      </c>
      <c r="N4833">
        <v>8859651000</v>
      </c>
      <c r="O4833">
        <v>4923341000</v>
      </c>
      <c r="P4833">
        <v>416</v>
      </c>
      <c r="Q4833" t="s">
        <v>10016</v>
      </c>
    </row>
    <row r="4834" spans="1:17" x14ac:dyDescent="0.3">
      <c r="A4834" t="s">
        <v>17</v>
      </c>
      <c r="B4834" t="str">
        <f>"600705"</f>
        <v>600705</v>
      </c>
      <c r="C4834" t="s">
        <v>10017</v>
      </c>
      <c r="D4834" t="s">
        <v>117</v>
      </c>
      <c r="F4834">
        <v>45212138114</v>
      </c>
      <c r="G4834">
        <v>10034411042</v>
      </c>
      <c r="H4834">
        <v>-4950238384</v>
      </c>
      <c r="I4834">
        <v>-38971558165</v>
      </c>
      <c r="J4834">
        <v>24934292444</v>
      </c>
      <c r="K4834">
        <v>-12759303854</v>
      </c>
      <c r="L4834">
        <v>19355071681</v>
      </c>
      <c r="M4834">
        <v>2916383654</v>
      </c>
      <c r="N4834">
        <v>1530559974</v>
      </c>
      <c r="O4834">
        <v>3477803583</v>
      </c>
      <c r="P4834">
        <v>440</v>
      </c>
      <c r="Q4834" t="s">
        <v>10018</v>
      </c>
    </row>
    <row r="4835" spans="1:17" x14ac:dyDescent="0.3">
      <c r="A4835" t="s">
        <v>59</v>
      </c>
      <c r="B4835" t="str">
        <f>"000069"</f>
        <v>000069</v>
      </c>
      <c r="C4835" t="s">
        <v>10019</v>
      </c>
      <c r="D4835" t="s">
        <v>70</v>
      </c>
      <c r="F4835">
        <v>19237911899</v>
      </c>
      <c r="G4835">
        <v>21218614689</v>
      </c>
      <c r="H4835">
        <v>-5187770194</v>
      </c>
      <c r="I4835">
        <v>-9984217377</v>
      </c>
      <c r="J4835">
        <v>-7700131348</v>
      </c>
      <c r="K4835">
        <v>4403850146</v>
      </c>
      <c r="L4835">
        <v>-1872300603</v>
      </c>
      <c r="M4835">
        <v>-2588443956</v>
      </c>
      <c r="N4835">
        <v>7197969658</v>
      </c>
      <c r="O4835">
        <v>7147981018</v>
      </c>
      <c r="P4835">
        <v>3953</v>
      </c>
      <c r="Q4835" t="s">
        <v>10020</v>
      </c>
    </row>
    <row r="4836" spans="1:17" x14ac:dyDescent="0.3">
      <c r="A4836" t="s">
        <v>17</v>
      </c>
      <c r="B4836" t="str">
        <f>"600791"</f>
        <v>600791</v>
      </c>
      <c r="C4836" t="s">
        <v>10021</v>
      </c>
      <c r="D4836" t="s">
        <v>61</v>
      </c>
      <c r="F4836">
        <v>2185861040</v>
      </c>
      <c r="G4836">
        <v>-518719182</v>
      </c>
      <c r="H4836">
        <v>-5331183633</v>
      </c>
      <c r="I4836">
        <v>-460834412</v>
      </c>
      <c r="J4836">
        <v>-1011195837</v>
      </c>
      <c r="K4836">
        <v>-65151279</v>
      </c>
      <c r="L4836">
        <v>-225047563</v>
      </c>
      <c r="M4836">
        <v>493561679</v>
      </c>
      <c r="N4836">
        <v>1403845256</v>
      </c>
      <c r="O4836">
        <v>-768749503</v>
      </c>
      <c r="P4836">
        <v>105</v>
      </c>
      <c r="Q4836" t="s">
        <v>10022</v>
      </c>
    </row>
    <row r="4837" spans="1:17" x14ac:dyDescent="0.3">
      <c r="A4837" t="s">
        <v>17</v>
      </c>
      <c r="B4837" t="str">
        <f>"688235"</f>
        <v>688235</v>
      </c>
      <c r="C4837" t="s">
        <v>10023</v>
      </c>
      <c r="D4837" t="s">
        <v>1062</v>
      </c>
      <c r="F4837">
        <v>-8284748000</v>
      </c>
      <c r="G4837">
        <v>-5179535000</v>
      </c>
      <c r="H4837">
        <v>-5546151000</v>
      </c>
      <c r="I4837">
        <v>-4200360000</v>
      </c>
      <c r="J4837">
        <v>58453000</v>
      </c>
      <c r="P4837">
        <v>58</v>
      </c>
      <c r="Q4837" t="s">
        <v>10024</v>
      </c>
    </row>
    <row r="4838" spans="1:17" x14ac:dyDescent="0.3">
      <c r="A4838" t="s">
        <v>59</v>
      </c>
      <c r="B4838" t="str">
        <f>"000980"</f>
        <v>000980</v>
      </c>
      <c r="C4838" t="s">
        <v>10025</v>
      </c>
      <c r="D4838" t="s">
        <v>575</v>
      </c>
      <c r="F4838">
        <v>-1346248896</v>
      </c>
      <c r="G4838">
        <v>-1407503466</v>
      </c>
      <c r="H4838">
        <v>-5790979927</v>
      </c>
      <c r="I4838">
        <v>-2313504406</v>
      </c>
      <c r="J4838">
        <v>9025435</v>
      </c>
      <c r="K4838">
        <v>-5345467</v>
      </c>
      <c r="L4838">
        <v>144930036</v>
      </c>
      <c r="M4838">
        <v>-336819632</v>
      </c>
      <c r="N4838">
        <v>73451837</v>
      </c>
      <c r="O4838">
        <v>197110530</v>
      </c>
      <c r="P4838">
        <v>161</v>
      </c>
      <c r="Q4838" t="s">
        <v>10026</v>
      </c>
    </row>
    <row r="4839" spans="1:17" x14ac:dyDescent="0.3">
      <c r="A4839" t="s">
        <v>17</v>
      </c>
      <c r="B4839" t="str">
        <f>"600649"</f>
        <v>600649</v>
      </c>
      <c r="C4839" t="s">
        <v>10027</v>
      </c>
      <c r="D4839" t="s">
        <v>61</v>
      </c>
      <c r="F4839">
        <v>-12678714608</v>
      </c>
      <c r="G4839">
        <v>1071524212</v>
      </c>
      <c r="H4839">
        <v>-5852854083</v>
      </c>
      <c r="I4839">
        <v>56665200</v>
      </c>
      <c r="J4839">
        <v>-532371825</v>
      </c>
      <c r="K4839">
        <v>1693210070</v>
      </c>
      <c r="L4839">
        <v>3143808129</v>
      </c>
      <c r="M4839">
        <v>1126953572</v>
      </c>
      <c r="N4839">
        <v>616342036</v>
      </c>
      <c r="O4839">
        <v>-783428017</v>
      </c>
      <c r="P4839">
        <v>205</v>
      </c>
      <c r="Q4839" t="s">
        <v>10028</v>
      </c>
    </row>
    <row r="4840" spans="1:17" x14ac:dyDescent="0.3">
      <c r="A4840" t="s">
        <v>17</v>
      </c>
      <c r="B4840" t="str">
        <f>"600733"</f>
        <v>600733</v>
      </c>
      <c r="C4840" t="s">
        <v>10029</v>
      </c>
      <c r="D4840" t="s">
        <v>57</v>
      </c>
      <c r="F4840">
        <v>4985342191</v>
      </c>
      <c r="G4840">
        <v>-6621357412</v>
      </c>
      <c r="H4840">
        <v>-6377970074</v>
      </c>
      <c r="I4840">
        <v>-3554230209</v>
      </c>
      <c r="J4840">
        <v>-37308625</v>
      </c>
      <c r="K4840">
        <v>-84154835</v>
      </c>
      <c r="L4840">
        <v>-21379604</v>
      </c>
      <c r="M4840">
        <v>-76742902</v>
      </c>
      <c r="N4840">
        <v>-18767572</v>
      </c>
      <c r="O4840">
        <v>-82942617</v>
      </c>
      <c r="P4840">
        <v>369</v>
      </c>
      <c r="Q4840" t="s">
        <v>10030</v>
      </c>
    </row>
    <row r="4841" spans="1:17" x14ac:dyDescent="0.3">
      <c r="A4841" t="s">
        <v>17</v>
      </c>
      <c r="B4841" t="str">
        <f>"600502"</f>
        <v>600502</v>
      </c>
      <c r="C4841" t="s">
        <v>10031</v>
      </c>
      <c r="D4841" t="s">
        <v>503</v>
      </c>
      <c r="F4841">
        <v>-5491885424</v>
      </c>
      <c r="G4841">
        <v>-4656337499</v>
      </c>
      <c r="H4841">
        <v>-6698055187</v>
      </c>
      <c r="I4841">
        <v>-2060324111</v>
      </c>
      <c r="J4841">
        <v>-9231232458</v>
      </c>
      <c r="K4841">
        <v>331893048</v>
      </c>
      <c r="L4841">
        <v>620441783</v>
      </c>
      <c r="M4841">
        <v>-943213787</v>
      </c>
      <c r="N4841">
        <v>-222380100</v>
      </c>
      <c r="O4841">
        <v>-91507031</v>
      </c>
      <c r="P4841">
        <v>410</v>
      </c>
      <c r="Q4841" t="s">
        <v>10032</v>
      </c>
    </row>
    <row r="4842" spans="1:17" x14ac:dyDescent="0.3">
      <c r="A4842" t="s">
        <v>17</v>
      </c>
      <c r="B4842" t="str">
        <f>"600895"</f>
        <v>600895</v>
      </c>
      <c r="C4842" t="s">
        <v>10033</v>
      </c>
      <c r="D4842" t="s">
        <v>6266</v>
      </c>
      <c r="F4842">
        <v>-427946016</v>
      </c>
      <c r="G4842">
        <v>164607764</v>
      </c>
      <c r="H4842">
        <v>-6731829838</v>
      </c>
      <c r="I4842">
        <v>313862945</v>
      </c>
      <c r="J4842">
        <v>258174782</v>
      </c>
      <c r="K4842">
        <v>446475655</v>
      </c>
      <c r="L4842">
        <v>1468590662</v>
      </c>
      <c r="M4842">
        <v>1464305549</v>
      </c>
      <c r="N4842">
        <v>148245199</v>
      </c>
      <c r="O4842">
        <v>860917596</v>
      </c>
      <c r="P4842">
        <v>336</v>
      </c>
      <c r="Q4842" t="s">
        <v>10034</v>
      </c>
    </row>
    <row r="4843" spans="1:17" x14ac:dyDescent="0.3">
      <c r="A4843" t="s">
        <v>59</v>
      </c>
      <c r="B4843" t="str">
        <f>"002948"</f>
        <v>002948</v>
      </c>
      <c r="C4843" t="s">
        <v>10035</v>
      </c>
      <c r="D4843" t="s">
        <v>64</v>
      </c>
      <c r="F4843">
        <v>3005001000</v>
      </c>
      <c r="G4843">
        <v>45293459000</v>
      </c>
      <c r="H4843">
        <v>-7005735000</v>
      </c>
      <c r="I4843">
        <v>-20854480000</v>
      </c>
      <c r="J4843">
        <v>-25646229000</v>
      </c>
      <c r="K4843">
        <v>44160567000</v>
      </c>
      <c r="L4843">
        <v>8513108000</v>
      </c>
      <c r="M4843">
        <v>11196260000</v>
      </c>
      <c r="N4843">
        <v>10374213000</v>
      </c>
      <c r="O4843">
        <v>10677425000</v>
      </c>
      <c r="P4843">
        <v>458</v>
      </c>
      <c r="Q4843" t="s">
        <v>10036</v>
      </c>
    </row>
    <row r="4844" spans="1:17" x14ac:dyDescent="0.3">
      <c r="A4844" t="s">
        <v>17</v>
      </c>
      <c r="B4844" t="str">
        <f>"601236"</f>
        <v>601236</v>
      </c>
      <c r="C4844" t="s">
        <v>10037</v>
      </c>
      <c r="D4844" t="s">
        <v>75</v>
      </c>
      <c r="F4844">
        <v>-594535025</v>
      </c>
      <c r="G4844">
        <v>4958557564</v>
      </c>
      <c r="H4844">
        <v>-7062582928</v>
      </c>
      <c r="I4844">
        <v>-7809933957</v>
      </c>
      <c r="J4844">
        <v>-1484742662</v>
      </c>
      <c r="K4844">
        <v>1251837206</v>
      </c>
      <c r="L4844">
        <v>-1489311400</v>
      </c>
      <c r="M4844">
        <v>889563800</v>
      </c>
      <c r="N4844">
        <v>-832235919</v>
      </c>
      <c r="O4844">
        <v>-1327497636</v>
      </c>
      <c r="P4844">
        <v>879</v>
      </c>
      <c r="Q4844" t="s">
        <v>10038</v>
      </c>
    </row>
    <row r="4845" spans="1:17" x14ac:dyDescent="0.3">
      <c r="A4845" t="s">
        <v>17</v>
      </c>
      <c r="B4845" t="str">
        <f>"600683"</f>
        <v>600683</v>
      </c>
      <c r="C4845" t="s">
        <v>10039</v>
      </c>
      <c r="D4845" t="s">
        <v>61</v>
      </c>
      <c r="F4845">
        <v>7538629979</v>
      </c>
      <c r="G4845">
        <v>9869146502</v>
      </c>
      <c r="H4845">
        <v>-7241802983</v>
      </c>
      <c r="I4845">
        <v>146512515</v>
      </c>
      <c r="J4845">
        <v>-186599420</v>
      </c>
      <c r="K4845">
        <v>5055283140</v>
      </c>
      <c r="L4845">
        <v>3498944255</v>
      </c>
      <c r="M4845">
        <v>183568069</v>
      </c>
      <c r="N4845">
        <v>-8298597221</v>
      </c>
      <c r="O4845">
        <v>-727892855</v>
      </c>
      <c r="P4845">
        <v>224</v>
      </c>
      <c r="Q4845" t="s">
        <v>10040</v>
      </c>
    </row>
    <row r="4846" spans="1:17" x14ac:dyDescent="0.3">
      <c r="A4846" t="s">
        <v>17</v>
      </c>
      <c r="B4846" t="str">
        <f>"601187"</f>
        <v>601187</v>
      </c>
      <c r="C4846" t="s">
        <v>10041</v>
      </c>
      <c r="D4846" t="s">
        <v>64</v>
      </c>
      <c r="F4846">
        <v>-21957145928</v>
      </c>
      <c r="G4846">
        <v>-11899806456</v>
      </c>
      <c r="H4846">
        <v>-7652601866</v>
      </c>
      <c r="I4846">
        <v>-36168798756</v>
      </c>
      <c r="J4846">
        <v>-2911951621</v>
      </c>
      <c r="K4846">
        <v>9902428000</v>
      </c>
      <c r="L4846">
        <v>25544044000</v>
      </c>
      <c r="M4846">
        <v>-630507000</v>
      </c>
      <c r="N4846">
        <v>19364330892</v>
      </c>
      <c r="O4846">
        <v>9433548900</v>
      </c>
      <c r="P4846">
        <v>177</v>
      </c>
      <c r="Q4846" t="s">
        <v>10042</v>
      </c>
    </row>
    <row r="4847" spans="1:17" x14ac:dyDescent="0.3">
      <c r="A4847" t="s">
        <v>59</v>
      </c>
      <c r="B4847" t="str">
        <f>"002936"</f>
        <v>002936</v>
      </c>
      <c r="C4847" t="s">
        <v>10043</v>
      </c>
      <c r="D4847" t="s">
        <v>64</v>
      </c>
      <c r="F4847">
        <v>-42619059000</v>
      </c>
      <c r="G4847">
        <v>-11179309000</v>
      </c>
      <c r="H4847">
        <v>-7850803000</v>
      </c>
      <c r="I4847">
        <v>-25819469000</v>
      </c>
      <c r="J4847">
        <v>-1981394000</v>
      </c>
      <c r="K4847">
        <v>54036394000</v>
      </c>
      <c r="L4847">
        <v>7720162000</v>
      </c>
      <c r="M4847">
        <v>29447228000</v>
      </c>
      <c r="N4847">
        <v>11718171000</v>
      </c>
      <c r="O4847">
        <v>9583544000</v>
      </c>
      <c r="P4847">
        <v>469</v>
      </c>
      <c r="Q4847" t="s">
        <v>10044</v>
      </c>
    </row>
    <row r="4848" spans="1:17" x14ac:dyDescent="0.3">
      <c r="A4848" t="s">
        <v>17</v>
      </c>
      <c r="B4848" t="str">
        <f>"601229"</f>
        <v>601229</v>
      </c>
      <c r="C4848" t="s">
        <v>10045</v>
      </c>
      <c r="D4848" t="s">
        <v>64</v>
      </c>
      <c r="F4848">
        <v>-11058759000</v>
      </c>
      <c r="G4848">
        <v>12471951000</v>
      </c>
      <c r="H4848">
        <v>-7932395000</v>
      </c>
      <c r="I4848">
        <v>-21732994000</v>
      </c>
      <c r="J4848">
        <v>-60767289000</v>
      </c>
      <c r="K4848">
        <v>170845912000</v>
      </c>
      <c r="L4848">
        <v>60143077000</v>
      </c>
      <c r="M4848">
        <v>106041273000</v>
      </c>
      <c r="N4848">
        <v>129533696000</v>
      </c>
      <c r="O4848">
        <v>3879167000</v>
      </c>
      <c r="P4848">
        <v>1546</v>
      </c>
      <c r="Q4848" t="s">
        <v>10046</v>
      </c>
    </row>
    <row r="4849" spans="1:17" x14ac:dyDescent="0.3">
      <c r="A4849" t="s">
        <v>17</v>
      </c>
      <c r="B4849" t="str">
        <f>"601916"</f>
        <v>601916</v>
      </c>
      <c r="C4849" t="s">
        <v>10047</v>
      </c>
      <c r="D4849" t="s">
        <v>41</v>
      </c>
      <c r="F4849">
        <v>-37083000000</v>
      </c>
      <c r="G4849">
        <v>49580000000</v>
      </c>
      <c r="H4849">
        <v>-11544555000</v>
      </c>
      <c r="I4849">
        <v>-140315543000</v>
      </c>
      <c r="J4849">
        <v>-92428749000</v>
      </c>
      <c r="K4849">
        <v>105839950000</v>
      </c>
      <c r="L4849">
        <v>207329259000</v>
      </c>
      <c r="M4849">
        <v>143328870000</v>
      </c>
      <c r="N4849">
        <v>566087000</v>
      </c>
      <c r="O4849">
        <v>24954661000</v>
      </c>
      <c r="P4849">
        <v>537</v>
      </c>
      <c r="Q4849" t="s">
        <v>10048</v>
      </c>
    </row>
    <row r="4850" spans="1:17" x14ac:dyDescent="0.3">
      <c r="A4850" t="s">
        <v>59</v>
      </c>
      <c r="B4850" t="str">
        <f>"002966"</f>
        <v>002966</v>
      </c>
      <c r="C4850" t="s">
        <v>10049</v>
      </c>
      <c r="D4850" t="s">
        <v>64</v>
      </c>
      <c r="F4850">
        <v>-7630232896</v>
      </c>
      <c r="G4850">
        <v>19134870718</v>
      </c>
      <c r="H4850">
        <v>-13900735108</v>
      </c>
      <c r="I4850">
        <v>-8547925140</v>
      </c>
      <c r="J4850">
        <v>6948503677</v>
      </c>
      <c r="K4850">
        <v>-15833466811</v>
      </c>
      <c r="L4850">
        <v>9534951000</v>
      </c>
      <c r="M4850">
        <v>15721223000</v>
      </c>
      <c r="N4850">
        <v>15333335000</v>
      </c>
      <c r="O4850">
        <v>20339495851</v>
      </c>
      <c r="P4850">
        <v>365</v>
      </c>
      <c r="Q4850" t="s">
        <v>10050</v>
      </c>
    </row>
    <row r="4851" spans="1:17" x14ac:dyDescent="0.3">
      <c r="A4851" t="s">
        <v>17</v>
      </c>
      <c r="B4851" t="str">
        <f>"601995"</f>
        <v>601995</v>
      </c>
      <c r="C4851" t="s">
        <v>10051</v>
      </c>
      <c r="D4851" t="s">
        <v>75</v>
      </c>
      <c r="F4851">
        <v>31949716725</v>
      </c>
      <c r="G4851">
        <v>-21250576720</v>
      </c>
      <c r="H4851">
        <v>-17104414224</v>
      </c>
      <c r="I4851">
        <v>4727463213</v>
      </c>
      <c r="J4851">
        <v>-14788353428</v>
      </c>
      <c r="K4851">
        <v>-17681986901</v>
      </c>
      <c r="L4851">
        <v>7990172185</v>
      </c>
      <c r="M4851">
        <v>6891184643</v>
      </c>
      <c r="N4851">
        <v>-4235336532</v>
      </c>
      <c r="O4851">
        <v>-3119088071</v>
      </c>
      <c r="P4851">
        <v>986</v>
      </c>
      <c r="Q4851" t="s">
        <v>10052</v>
      </c>
    </row>
    <row r="4852" spans="1:17" x14ac:dyDescent="0.3">
      <c r="A4852" t="s">
        <v>59</v>
      </c>
      <c r="B4852" t="str">
        <f>"002024"</f>
        <v>002024</v>
      </c>
      <c r="C4852" t="s">
        <v>10053</v>
      </c>
      <c r="D4852" t="s">
        <v>3193</v>
      </c>
      <c r="F4852">
        <v>-6430227000</v>
      </c>
      <c r="G4852">
        <v>-1621846000</v>
      </c>
      <c r="H4852">
        <v>-17864555000</v>
      </c>
      <c r="I4852">
        <v>-13874467000</v>
      </c>
      <c r="J4852">
        <v>-6605293000</v>
      </c>
      <c r="K4852">
        <v>3839235000</v>
      </c>
      <c r="L4852">
        <v>1733339000</v>
      </c>
      <c r="M4852">
        <v>-1381419000</v>
      </c>
      <c r="N4852">
        <v>2238484000</v>
      </c>
      <c r="O4852">
        <v>5299441000</v>
      </c>
      <c r="P4852">
        <v>1902</v>
      </c>
      <c r="Q4852" t="s">
        <v>10054</v>
      </c>
    </row>
    <row r="4853" spans="1:17" x14ac:dyDescent="0.3">
      <c r="A4853" t="s">
        <v>17</v>
      </c>
      <c r="B4853" t="str">
        <f>"601577"</f>
        <v>601577</v>
      </c>
      <c r="C4853" t="s">
        <v>10055</v>
      </c>
      <c r="D4853" t="s">
        <v>64</v>
      </c>
      <c r="F4853">
        <v>3610500000</v>
      </c>
      <c r="G4853">
        <v>20921872000</v>
      </c>
      <c r="H4853">
        <v>-25788568000</v>
      </c>
      <c r="I4853">
        <v>-38262213000</v>
      </c>
      <c r="J4853">
        <v>28238392000</v>
      </c>
      <c r="K4853">
        <v>25141346000</v>
      </c>
      <c r="L4853">
        <v>33446313000</v>
      </c>
      <c r="M4853">
        <v>-11615007000</v>
      </c>
      <c r="N4853">
        <v>15292841000</v>
      </c>
      <c r="O4853">
        <v>38167656000</v>
      </c>
      <c r="P4853">
        <v>927</v>
      </c>
      <c r="Q4853" t="s">
        <v>10056</v>
      </c>
    </row>
    <row r="4854" spans="1:17" x14ac:dyDescent="0.3">
      <c r="A4854" t="s">
        <v>17</v>
      </c>
      <c r="B4854" t="str">
        <f>"600340"</f>
        <v>600340</v>
      </c>
      <c r="C4854" t="s">
        <v>10057</v>
      </c>
      <c r="D4854" t="s">
        <v>6266</v>
      </c>
      <c r="F4854">
        <v>-2646103151</v>
      </c>
      <c r="G4854">
        <v>-23159667028</v>
      </c>
      <c r="H4854">
        <v>-31819098425</v>
      </c>
      <c r="I4854">
        <v>-7427812399</v>
      </c>
      <c r="J4854">
        <v>-16227729027</v>
      </c>
      <c r="K4854">
        <v>7763064206</v>
      </c>
      <c r="L4854">
        <v>7449722701</v>
      </c>
      <c r="M4854">
        <v>-4954009890</v>
      </c>
      <c r="N4854">
        <v>-3474422591</v>
      </c>
      <c r="O4854">
        <v>217530243</v>
      </c>
      <c r="P4854">
        <v>22451</v>
      </c>
      <c r="Q4854" t="s">
        <v>10058</v>
      </c>
    </row>
    <row r="4855" spans="1:17" x14ac:dyDescent="0.3">
      <c r="A4855" t="s">
        <v>17</v>
      </c>
      <c r="B4855" t="str">
        <f>"601668"</f>
        <v>601668</v>
      </c>
      <c r="C4855" t="s">
        <v>10059</v>
      </c>
      <c r="D4855" t="s">
        <v>503</v>
      </c>
      <c r="F4855">
        <v>14361321000</v>
      </c>
      <c r="G4855">
        <v>20271781000</v>
      </c>
      <c r="H4855">
        <v>-34220077000</v>
      </c>
      <c r="I4855">
        <v>10311290000</v>
      </c>
      <c r="J4855">
        <v>-43456932000</v>
      </c>
      <c r="K4855">
        <v>107047858000</v>
      </c>
      <c r="L4855">
        <v>54603641000</v>
      </c>
      <c r="M4855">
        <v>24906341000</v>
      </c>
      <c r="N4855">
        <v>2618829000</v>
      </c>
      <c r="O4855">
        <v>2393300000</v>
      </c>
      <c r="P4855">
        <v>10290</v>
      </c>
      <c r="Q4855" t="s">
        <v>10060</v>
      </c>
    </row>
    <row r="4856" spans="1:17" x14ac:dyDescent="0.3">
      <c r="A4856" t="s">
        <v>59</v>
      </c>
      <c r="B4856" t="str">
        <f>"000001"</f>
        <v>000001</v>
      </c>
      <c r="C4856" t="s">
        <v>10061</v>
      </c>
      <c r="D4856" t="s">
        <v>41</v>
      </c>
      <c r="F4856">
        <v>-192733000000</v>
      </c>
      <c r="G4856">
        <v>-16161000000</v>
      </c>
      <c r="H4856">
        <v>-40025000000</v>
      </c>
      <c r="I4856">
        <v>-57323000000</v>
      </c>
      <c r="J4856">
        <v>-118780000000</v>
      </c>
      <c r="K4856">
        <v>10989000000</v>
      </c>
      <c r="L4856">
        <v>-1826000000</v>
      </c>
      <c r="M4856">
        <v>25321000000</v>
      </c>
      <c r="N4856">
        <v>91674000000</v>
      </c>
      <c r="O4856">
        <v>185838461000</v>
      </c>
      <c r="P4856">
        <v>6180</v>
      </c>
      <c r="Q4856" t="s">
        <v>10062</v>
      </c>
    </row>
    <row r="4857" spans="1:17" x14ac:dyDescent="0.3">
      <c r="A4857" t="s">
        <v>17</v>
      </c>
      <c r="B4857" t="str">
        <f>"600291"</f>
        <v>600291</v>
      </c>
      <c r="C4857" t="s">
        <v>10063</v>
      </c>
      <c r="D4857" t="s">
        <v>29</v>
      </c>
      <c r="F4857">
        <v>37584364</v>
      </c>
      <c r="G4857">
        <v>-1283621309</v>
      </c>
      <c r="H4857">
        <v>-55691960728</v>
      </c>
      <c r="I4857">
        <v>-120026746139</v>
      </c>
      <c r="J4857">
        <v>-90914903535</v>
      </c>
      <c r="K4857">
        <v>105130683015</v>
      </c>
      <c r="L4857">
        <v>95002935277</v>
      </c>
      <c r="M4857">
        <v>25480486840</v>
      </c>
      <c r="N4857">
        <v>852993263.97000003</v>
      </c>
      <c r="O4857">
        <v>302482747.81</v>
      </c>
      <c r="P4857">
        <v>276</v>
      </c>
      <c r="Q4857" t="s">
        <v>10064</v>
      </c>
    </row>
    <row r="4858" spans="1:17" x14ac:dyDescent="0.3">
      <c r="A4858" t="s">
        <v>17</v>
      </c>
      <c r="B4858" t="str">
        <f>"600919"</f>
        <v>600919</v>
      </c>
      <c r="C4858" t="s">
        <v>10065</v>
      </c>
      <c r="D4858" t="s">
        <v>64</v>
      </c>
      <c r="F4858">
        <v>71771507000</v>
      </c>
      <c r="G4858">
        <v>-19283730000</v>
      </c>
      <c r="H4858">
        <v>-57957767000</v>
      </c>
      <c r="I4858">
        <v>-92048408000</v>
      </c>
      <c r="J4858">
        <v>-105138467000</v>
      </c>
      <c r="K4858">
        <v>82617306000</v>
      </c>
      <c r="L4858">
        <v>148568272000</v>
      </c>
      <c r="M4858">
        <v>175461820000</v>
      </c>
      <c r="N4858">
        <v>47970742000</v>
      </c>
      <c r="O4858">
        <v>59510620000</v>
      </c>
      <c r="P4858">
        <v>1465</v>
      </c>
      <c r="Q4858" t="s">
        <v>10066</v>
      </c>
    </row>
    <row r="4859" spans="1:17" x14ac:dyDescent="0.3">
      <c r="A4859" t="s">
        <v>17</v>
      </c>
      <c r="B4859" t="str">
        <f>"600000"</f>
        <v>600000</v>
      </c>
      <c r="C4859" t="s">
        <v>10067</v>
      </c>
      <c r="D4859" t="s">
        <v>41</v>
      </c>
      <c r="F4859">
        <v>-257192000000</v>
      </c>
      <c r="G4859">
        <v>126385000000</v>
      </c>
      <c r="H4859">
        <v>-68628000000</v>
      </c>
      <c r="I4859">
        <v>-338360000000</v>
      </c>
      <c r="J4859">
        <v>-140673000000</v>
      </c>
      <c r="K4859">
        <v>-191993000000</v>
      </c>
      <c r="L4859">
        <v>358820000000</v>
      </c>
      <c r="M4859">
        <v>191158000000</v>
      </c>
      <c r="N4859">
        <v>308406000000</v>
      </c>
      <c r="O4859">
        <v>92578000000</v>
      </c>
      <c r="P4859">
        <v>17547</v>
      </c>
      <c r="Q4859" t="s">
        <v>10068</v>
      </c>
    </row>
    <row r="4860" spans="1:17" x14ac:dyDescent="0.3">
      <c r="A4860" t="s">
        <v>17</v>
      </c>
      <c r="B4860" t="str">
        <f>"601328"</f>
        <v>601328</v>
      </c>
      <c r="C4860" t="s">
        <v>10069</v>
      </c>
      <c r="D4860" t="s">
        <v>19</v>
      </c>
      <c r="F4860">
        <v>-34775000000</v>
      </c>
      <c r="G4860">
        <v>149398000000</v>
      </c>
      <c r="H4860">
        <v>-82545000000</v>
      </c>
      <c r="I4860">
        <v>123892000000</v>
      </c>
      <c r="J4860">
        <v>10727000000</v>
      </c>
      <c r="K4860">
        <v>485066000000</v>
      </c>
      <c r="L4860">
        <v>379122000000</v>
      </c>
      <c r="M4860">
        <v>49715000000</v>
      </c>
      <c r="N4860">
        <v>139183000000</v>
      </c>
      <c r="O4860">
        <v>76604000000</v>
      </c>
      <c r="P4860">
        <v>4577</v>
      </c>
      <c r="Q4860" t="s">
        <v>10070</v>
      </c>
    </row>
    <row r="4861" spans="1:17" x14ac:dyDescent="0.3">
      <c r="A4861" t="s">
        <v>17</v>
      </c>
      <c r="B4861" t="str">
        <f>"600016"</f>
        <v>600016</v>
      </c>
      <c r="C4861" t="s">
        <v>10071</v>
      </c>
      <c r="D4861" t="s">
        <v>41</v>
      </c>
      <c r="F4861">
        <v>155417000000</v>
      </c>
      <c r="G4861">
        <v>-82402000000</v>
      </c>
      <c r="H4861">
        <v>-84927000000</v>
      </c>
      <c r="I4861">
        <v>-395498000000</v>
      </c>
      <c r="J4861">
        <v>-257059000000</v>
      </c>
      <c r="K4861">
        <v>1028855000000</v>
      </c>
      <c r="L4861">
        <v>225121000000</v>
      </c>
      <c r="M4861">
        <v>229163000000</v>
      </c>
      <c r="N4861">
        <v>-35238000000</v>
      </c>
      <c r="O4861">
        <v>-19889000000</v>
      </c>
      <c r="P4861">
        <v>20730</v>
      </c>
      <c r="Q4861" t="s">
        <v>10072</v>
      </c>
    </row>
    <row r="4862" spans="1:17" x14ac:dyDescent="0.3">
      <c r="A4862" t="s">
        <v>17</v>
      </c>
      <c r="B4862" t="str">
        <f>"601988"</f>
        <v>601988</v>
      </c>
      <c r="C4862" t="s">
        <v>10073</v>
      </c>
      <c r="D4862" t="s">
        <v>19</v>
      </c>
      <c r="F4862">
        <v>843258000000</v>
      </c>
      <c r="G4862">
        <v>73028000000</v>
      </c>
      <c r="H4862">
        <v>-484266000000</v>
      </c>
      <c r="I4862">
        <v>662358000000</v>
      </c>
      <c r="J4862">
        <v>406136000000</v>
      </c>
      <c r="K4862">
        <v>182081000000</v>
      </c>
      <c r="L4862">
        <v>672094000000</v>
      </c>
      <c r="M4862">
        <v>126918000000</v>
      </c>
      <c r="N4862">
        <v>222840000000</v>
      </c>
      <c r="O4862">
        <v>263924000000</v>
      </c>
      <c r="P4862">
        <v>4259</v>
      </c>
      <c r="Q4862" t="s">
        <v>10074</v>
      </c>
    </row>
    <row r="4863" spans="1:17" x14ac:dyDescent="0.3">
      <c r="A4863" t="s">
        <v>17</v>
      </c>
      <c r="B4863" t="str">
        <f>"601166"</f>
        <v>601166</v>
      </c>
      <c r="C4863" t="s">
        <v>10075</v>
      </c>
      <c r="D4863" t="s">
        <v>41</v>
      </c>
      <c r="F4863">
        <v>-389771000000</v>
      </c>
      <c r="G4863">
        <v>-34228000000</v>
      </c>
      <c r="H4863">
        <v>-588009000000</v>
      </c>
      <c r="I4863">
        <v>-356099000000</v>
      </c>
      <c r="J4863">
        <v>-162642000000</v>
      </c>
      <c r="K4863">
        <v>203017000000</v>
      </c>
      <c r="L4863">
        <v>818693000000</v>
      </c>
      <c r="M4863">
        <v>682060000000</v>
      </c>
      <c r="N4863">
        <v>209119000000</v>
      </c>
      <c r="O4863">
        <v>116701000000</v>
      </c>
      <c r="P4863">
        <v>24372</v>
      </c>
      <c r="Q4863" t="s">
        <v>10076</v>
      </c>
    </row>
    <row r="4864" spans="1:17" x14ac:dyDescent="0.3">
      <c r="A4864" t="s">
        <v>17</v>
      </c>
      <c r="B4864" t="str">
        <f>"600005"</f>
        <v>600005</v>
      </c>
      <c r="C4864" t="s">
        <v>10077</v>
      </c>
      <c r="K4864">
        <v>5940285932.21</v>
      </c>
      <c r="L4864">
        <v>-2699984040.6599998</v>
      </c>
      <c r="M4864">
        <v>7704041191.6400003</v>
      </c>
      <c r="N4864">
        <v>4228154479.77</v>
      </c>
      <c r="O4864">
        <v>3854637916.7800002</v>
      </c>
      <c r="P4864">
        <v>25</v>
      </c>
      <c r="Q4864" t="s">
        <v>10078</v>
      </c>
    </row>
    <row r="4865" spans="1:17" x14ac:dyDescent="0.3">
      <c r="A4865" t="s">
        <v>17</v>
      </c>
      <c r="B4865" t="str">
        <f>"600065"</f>
        <v>600065</v>
      </c>
      <c r="C4865" t="s">
        <v>10079</v>
      </c>
      <c r="K4865">
        <v>-109047495.89</v>
      </c>
      <c r="L4865">
        <v>15391459.24</v>
      </c>
      <c r="M4865">
        <v>-84044346.930000007</v>
      </c>
      <c r="N4865">
        <v>-34900367.439999998</v>
      </c>
      <c r="O4865">
        <v>-11540534.189999999</v>
      </c>
      <c r="P4865">
        <v>4</v>
      </c>
      <c r="Q4865" t="s">
        <v>10080</v>
      </c>
    </row>
    <row r="4866" spans="1:17" x14ac:dyDescent="0.3">
      <c r="A4866" t="s">
        <v>17</v>
      </c>
      <c r="B4866" t="str">
        <f>"600087"</f>
        <v>600087</v>
      </c>
      <c r="C4866" t="s">
        <v>10081</v>
      </c>
      <c r="K4866">
        <v>1301130894.0999999</v>
      </c>
      <c r="L4866">
        <v>1127510510.9300001</v>
      </c>
      <c r="M4866">
        <v>251523034.88999999</v>
      </c>
      <c r="N4866">
        <v>843912001.04999995</v>
      </c>
      <c r="O4866">
        <v>-184939787.63999999</v>
      </c>
      <c r="P4866">
        <v>7</v>
      </c>
      <c r="Q4866" t="s">
        <v>10082</v>
      </c>
    </row>
    <row r="4867" spans="1:17" x14ac:dyDescent="0.3">
      <c r="A4867" t="s">
        <v>17</v>
      </c>
      <c r="B4867" t="str">
        <f>"600092"</f>
        <v>600092</v>
      </c>
      <c r="C4867" t="s">
        <v>10083</v>
      </c>
      <c r="K4867">
        <v>-140571.71</v>
      </c>
      <c r="L4867">
        <v>-13791.37</v>
      </c>
      <c r="M4867">
        <v>7391.56</v>
      </c>
      <c r="N4867">
        <v>-41621.11</v>
      </c>
      <c r="O4867">
        <v>20611</v>
      </c>
      <c r="P4867">
        <v>3</v>
      </c>
      <c r="Q4867" t="s">
        <v>10084</v>
      </c>
    </row>
    <row r="4868" spans="1:17" x14ac:dyDescent="0.3">
      <c r="A4868" t="s">
        <v>17</v>
      </c>
      <c r="B4868" t="str">
        <f>"600102"</f>
        <v>600102</v>
      </c>
      <c r="C4868" t="s">
        <v>10085</v>
      </c>
      <c r="N4868">
        <v>3181512230.48</v>
      </c>
      <c r="O4868">
        <v>3091903547.48</v>
      </c>
      <c r="P4868">
        <v>12</v>
      </c>
      <c r="Q4868" t="s">
        <v>10086</v>
      </c>
    </row>
    <row r="4869" spans="1:17" x14ac:dyDescent="0.3">
      <c r="A4869" t="s">
        <v>17</v>
      </c>
      <c r="B4869" t="str">
        <f>"600253"</f>
        <v>600253</v>
      </c>
      <c r="C4869" t="s">
        <v>10087</v>
      </c>
      <c r="O4869">
        <v>10382986.949999999</v>
      </c>
      <c r="P4869">
        <v>3</v>
      </c>
      <c r="Q4869" t="s">
        <v>10088</v>
      </c>
    </row>
    <row r="4870" spans="1:17" x14ac:dyDescent="0.3">
      <c r="A4870" t="s">
        <v>17</v>
      </c>
      <c r="B4870" t="str">
        <f>"600270"</f>
        <v>600270</v>
      </c>
      <c r="C4870" t="s">
        <v>10089</v>
      </c>
      <c r="J4870">
        <v>382780109</v>
      </c>
      <c r="K4870">
        <v>-93438020</v>
      </c>
      <c r="L4870">
        <v>54316205.159999996</v>
      </c>
      <c r="M4870">
        <v>34477038.719999999</v>
      </c>
      <c r="N4870">
        <v>32939497.010000002</v>
      </c>
      <c r="O4870">
        <v>-57308744.920000002</v>
      </c>
      <c r="P4870">
        <v>101</v>
      </c>
      <c r="Q4870" t="s">
        <v>10090</v>
      </c>
    </row>
    <row r="4871" spans="1:17" x14ac:dyDescent="0.3">
      <c r="A4871" t="s">
        <v>17</v>
      </c>
      <c r="B4871" t="str">
        <f>"600286"</f>
        <v>600286</v>
      </c>
      <c r="C4871" t="s">
        <v>10091</v>
      </c>
      <c r="K4871">
        <v>-41158106.890000001</v>
      </c>
      <c r="L4871">
        <v>-3469356.67</v>
      </c>
      <c r="M4871">
        <v>17229.189999999999</v>
      </c>
      <c r="N4871">
        <v>89139.77</v>
      </c>
      <c r="O4871">
        <v>216339.31</v>
      </c>
      <c r="P4871">
        <v>18</v>
      </c>
      <c r="Q4871" t="s">
        <v>10092</v>
      </c>
    </row>
    <row r="4872" spans="1:17" x14ac:dyDescent="0.3">
      <c r="A4872" t="s">
        <v>17</v>
      </c>
      <c r="B4872" t="str">
        <f>"600401"</f>
        <v>600401</v>
      </c>
      <c r="C4872" t="s">
        <v>10093</v>
      </c>
      <c r="I4872">
        <v>197181362</v>
      </c>
      <c r="J4872">
        <v>-71529656</v>
      </c>
      <c r="K4872">
        <v>-901799315</v>
      </c>
      <c r="L4872">
        <v>1056120498.83</v>
      </c>
      <c r="M4872">
        <v>-522528567.69</v>
      </c>
      <c r="N4872">
        <v>1383746030.97</v>
      </c>
      <c r="O4872">
        <v>100629125.52</v>
      </c>
      <c r="P4872">
        <v>22</v>
      </c>
      <c r="Q4872" t="s">
        <v>10094</v>
      </c>
    </row>
    <row r="4873" spans="1:17" x14ac:dyDescent="0.3">
      <c r="A4873" t="s">
        <v>17</v>
      </c>
      <c r="B4873" t="str">
        <f>"600432"</f>
        <v>600432</v>
      </c>
      <c r="C4873" t="s">
        <v>10095</v>
      </c>
      <c r="J4873">
        <v>590203443</v>
      </c>
      <c r="K4873">
        <v>374779954</v>
      </c>
      <c r="L4873">
        <v>762200336.60000002</v>
      </c>
      <c r="M4873">
        <v>-700871593.15999997</v>
      </c>
      <c r="N4873">
        <v>82626811.030000001</v>
      </c>
      <c r="O4873">
        <v>570608888.29999995</v>
      </c>
      <c r="P4873">
        <v>14</v>
      </c>
      <c r="Q4873" t="s">
        <v>10096</v>
      </c>
    </row>
    <row r="4874" spans="1:17" x14ac:dyDescent="0.3">
      <c r="A4874" t="s">
        <v>17</v>
      </c>
      <c r="B4874" t="str">
        <f>"600625"</f>
        <v>600625</v>
      </c>
      <c r="C4874" t="s">
        <v>10097</v>
      </c>
      <c r="K4874">
        <v>16776400.560000001</v>
      </c>
      <c r="L4874">
        <v>7238804.5099999998</v>
      </c>
      <c r="M4874">
        <v>-16018445.189999999</v>
      </c>
      <c r="N4874">
        <v>642086.19999999995</v>
      </c>
      <c r="O4874">
        <v>-4405765.75</v>
      </c>
      <c r="P4874">
        <v>5</v>
      </c>
      <c r="Q4874" t="s">
        <v>10098</v>
      </c>
    </row>
    <row r="4875" spans="1:17" x14ac:dyDescent="0.3">
      <c r="A4875" t="s">
        <v>17</v>
      </c>
      <c r="B4875" t="str">
        <f>"600631"</f>
        <v>600631</v>
      </c>
      <c r="C4875" t="s">
        <v>828</v>
      </c>
      <c r="N4875">
        <v>3843414929.4200001</v>
      </c>
      <c r="O4875">
        <v>1671251531.47</v>
      </c>
      <c r="P4875">
        <v>18</v>
      </c>
      <c r="Q4875" t="s">
        <v>10099</v>
      </c>
    </row>
    <row r="4876" spans="1:17" x14ac:dyDescent="0.3">
      <c r="A4876" t="s">
        <v>17</v>
      </c>
      <c r="B4876" t="str">
        <f>"600646"</f>
        <v>600646</v>
      </c>
      <c r="C4876" t="s">
        <v>10100</v>
      </c>
      <c r="P4876">
        <v>2</v>
      </c>
      <c r="Q4876" t="s">
        <v>10101</v>
      </c>
    </row>
    <row r="4877" spans="1:17" x14ac:dyDescent="0.3">
      <c r="A4877" t="s">
        <v>17</v>
      </c>
      <c r="B4877" t="str">
        <f>"600656"</f>
        <v>600656</v>
      </c>
      <c r="C4877" t="s">
        <v>10102</v>
      </c>
      <c r="L4877">
        <v>99255.71</v>
      </c>
      <c r="M4877">
        <v>-46389888.649999999</v>
      </c>
      <c r="N4877">
        <v>124361463.3</v>
      </c>
      <c r="O4877">
        <v>-13738602.640000001</v>
      </c>
      <c r="P4877">
        <v>3</v>
      </c>
      <c r="Q4877" t="s">
        <v>10103</v>
      </c>
    </row>
    <row r="4878" spans="1:17" x14ac:dyDescent="0.3">
      <c r="A4878" t="s">
        <v>17</v>
      </c>
      <c r="B4878" t="str">
        <f>"600669"</f>
        <v>600669</v>
      </c>
      <c r="C4878" t="s">
        <v>10104</v>
      </c>
      <c r="K4878">
        <v>67641659.030000001</v>
      </c>
      <c r="L4878">
        <v>-76697853.799999997</v>
      </c>
      <c r="P4878">
        <v>2</v>
      </c>
      <c r="Q4878" t="s">
        <v>10105</v>
      </c>
    </row>
    <row r="4879" spans="1:17" x14ac:dyDescent="0.3">
      <c r="A4879" t="s">
        <v>17</v>
      </c>
      <c r="B4879" t="str">
        <f>"600670"</f>
        <v>600670</v>
      </c>
      <c r="C4879" t="s">
        <v>10106</v>
      </c>
      <c r="K4879">
        <v>24989720.789999999</v>
      </c>
      <c r="L4879">
        <v>-2091906.39</v>
      </c>
      <c r="N4879">
        <v>30927.66</v>
      </c>
      <c r="P4879">
        <v>2</v>
      </c>
      <c r="Q4879" t="s">
        <v>10107</v>
      </c>
    </row>
    <row r="4880" spans="1:17" x14ac:dyDescent="0.3">
      <c r="A4880" t="s">
        <v>17</v>
      </c>
      <c r="B4880" t="str">
        <f>"600672"</f>
        <v>600672</v>
      </c>
      <c r="C4880" t="s">
        <v>10108</v>
      </c>
      <c r="K4880">
        <v>15833001.27</v>
      </c>
      <c r="L4880">
        <v>25461329.370000001</v>
      </c>
      <c r="M4880">
        <v>-716.38</v>
      </c>
      <c r="N4880">
        <v>-714.84</v>
      </c>
      <c r="P4880">
        <v>2</v>
      </c>
      <c r="Q4880" t="s">
        <v>10109</v>
      </c>
    </row>
    <row r="4881" spans="1:17" x14ac:dyDescent="0.3">
      <c r="A4881" t="s">
        <v>17</v>
      </c>
      <c r="B4881" t="str">
        <f>"600700"</f>
        <v>600700</v>
      </c>
      <c r="C4881" t="s">
        <v>10110</v>
      </c>
      <c r="K4881">
        <v>-852124.89</v>
      </c>
      <c r="L4881">
        <v>-824810.69</v>
      </c>
      <c r="M4881">
        <v>-253464.31</v>
      </c>
      <c r="N4881">
        <v>16503.490000000002</v>
      </c>
      <c r="O4881">
        <v>-261673.95</v>
      </c>
      <c r="P4881">
        <v>5</v>
      </c>
      <c r="Q4881" t="s">
        <v>10111</v>
      </c>
    </row>
    <row r="4882" spans="1:17" x14ac:dyDescent="0.3">
      <c r="A4882" t="s">
        <v>17</v>
      </c>
      <c r="B4882" t="str">
        <f>"600709"</f>
        <v>600709</v>
      </c>
      <c r="C4882" t="s">
        <v>10112</v>
      </c>
      <c r="K4882">
        <v>-423482.74</v>
      </c>
      <c r="L4882">
        <v>7425604.5800000001</v>
      </c>
      <c r="M4882">
        <v>4977640.9000000004</v>
      </c>
      <c r="N4882">
        <v>7885893.2599999998</v>
      </c>
      <c r="P4882">
        <v>4</v>
      </c>
      <c r="Q4882" t="s">
        <v>10113</v>
      </c>
    </row>
    <row r="4883" spans="1:17" x14ac:dyDescent="0.3">
      <c r="A4883" t="s">
        <v>17</v>
      </c>
      <c r="B4883" t="str">
        <f>"600752"</f>
        <v>600752</v>
      </c>
      <c r="C4883" t="s">
        <v>10114</v>
      </c>
      <c r="K4883">
        <v>2870.25</v>
      </c>
      <c r="L4883">
        <v>4303.66</v>
      </c>
      <c r="M4883">
        <v>-114</v>
      </c>
      <c r="N4883">
        <v>-3538</v>
      </c>
      <c r="O4883">
        <v>4255.43</v>
      </c>
      <c r="P4883">
        <v>2</v>
      </c>
      <c r="Q4883" t="s">
        <v>10115</v>
      </c>
    </row>
    <row r="4884" spans="1:17" x14ac:dyDescent="0.3">
      <c r="A4884" t="s">
        <v>17</v>
      </c>
      <c r="B4884" t="str">
        <f>"600788"</f>
        <v>600788</v>
      </c>
      <c r="C4884" t="s">
        <v>10116</v>
      </c>
      <c r="K4884">
        <v>142522.75</v>
      </c>
      <c r="P4884">
        <v>5</v>
      </c>
      <c r="Q4884" t="s">
        <v>10117</v>
      </c>
    </row>
    <row r="4885" spans="1:17" x14ac:dyDescent="0.3">
      <c r="A4885" t="s">
        <v>17</v>
      </c>
      <c r="B4885" t="str">
        <f>"600806"</f>
        <v>600806</v>
      </c>
      <c r="C4885" t="s">
        <v>10118</v>
      </c>
      <c r="J4885">
        <v>-820981</v>
      </c>
      <c r="K4885">
        <v>-74672630</v>
      </c>
      <c r="L4885">
        <v>-163568963.03</v>
      </c>
      <c r="M4885">
        <v>-132256016.53</v>
      </c>
      <c r="N4885">
        <v>-77588452.040000007</v>
      </c>
      <c r="O4885">
        <v>7571011.2999999998</v>
      </c>
      <c r="P4885">
        <v>11</v>
      </c>
      <c r="Q4885" t="s">
        <v>10119</v>
      </c>
    </row>
    <row r="4886" spans="1:17" x14ac:dyDescent="0.3">
      <c r="A4886" t="s">
        <v>17</v>
      </c>
      <c r="B4886" t="str">
        <f>"600813"</f>
        <v>600813</v>
      </c>
      <c r="C4886" t="s">
        <v>10120</v>
      </c>
      <c r="K4886">
        <v>21192182.140000001</v>
      </c>
      <c r="L4886">
        <v>-204039369.53</v>
      </c>
      <c r="M4886">
        <v>78633.649999999994</v>
      </c>
      <c r="N4886">
        <v>-10044755.689999999</v>
      </c>
      <c r="O4886">
        <v>-33020114.649999999</v>
      </c>
      <c r="P4886">
        <v>2</v>
      </c>
      <c r="Q4886" t="s">
        <v>10121</v>
      </c>
    </row>
    <row r="4887" spans="1:17" x14ac:dyDescent="0.3">
      <c r="A4887" t="s">
        <v>17</v>
      </c>
      <c r="B4887" t="str">
        <f>"600832"</f>
        <v>600832</v>
      </c>
      <c r="C4887" t="s">
        <v>774</v>
      </c>
      <c r="M4887">
        <v>1484465408.25</v>
      </c>
      <c r="N4887">
        <v>1875519774.9000001</v>
      </c>
      <c r="O4887">
        <v>682151830.26999998</v>
      </c>
      <c r="P4887">
        <v>15</v>
      </c>
      <c r="Q4887" t="s">
        <v>10122</v>
      </c>
    </row>
    <row r="4888" spans="1:17" x14ac:dyDescent="0.3">
      <c r="A4888" t="s">
        <v>17</v>
      </c>
      <c r="B4888" t="str">
        <f>"600849"</f>
        <v>600849</v>
      </c>
      <c r="C4888" t="s">
        <v>395</v>
      </c>
      <c r="K4888">
        <v>1946667000</v>
      </c>
      <c r="L4888">
        <v>1349162853.3299999</v>
      </c>
      <c r="M4888">
        <v>1335674135.3699999</v>
      </c>
      <c r="N4888">
        <v>973449693.95000005</v>
      </c>
      <c r="O4888">
        <v>1150774970.9000001</v>
      </c>
      <c r="P4888">
        <v>3</v>
      </c>
      <c r="Q4888" t="s">
        <v>10123</v>
      </c>
    </row>
    <row r="4889" spans="1:17" x14ac:dyDescent="0.3">
      <c r="A4889" t="s">
        <v>17</v>
      </c>
      <c r="B4889" t="str">
        <f>"600852"</f>
        <v>600852</v>
      </c>
      <c r="C4889" t="s">
        <v>10124</v>
      </c>
      <c r="K4889">
        <v>124051.19</v>
      </c>
      <c r="L4889">
        <v>39795.980000000003</v>
      </c>
      <c r="M4889">
        <v>62528.26</v>
      </c>
      <c r="N4889">
        <v>-124287.87</v>
      </c>
      <c r="O4889">
        <v>-28791058.98</v>
      </c>
      <c r="P4889">
        <v>3</v>
      </c>
      <c r="Q4889" t="s">
        <v>10125</v>
      </c>
    </row>
    <row r="4890" spans="1:17" x14ac:dyDescent="0.3">
      <c r="A4890" t="s">
        <v>17</v>
      </c>
      <c r="B4890" t="str">
        <f>"600878"</f>
        <v>600878</v>
      </c>
      <c r="C4890" t="s">
        <v>10126</v>
      </c>
      <c r="K4890">
        <v>-13232448.42</v>
      </c>
      <c r="P4890">
        <v>2</v>
      </c>
      <c r="Q4890" t="s">
        <v>10127</v>
      </c>
    </row>
    <row r="4891" spans="1:17" x14ac:dyDescent="0.3">
      <c r="A4891" t="s">
        <v>17</v>
      </c>
      <c r="B4891" t="str">
        <f>"601206"</f>
        <v>601206</v>
      </c>
      <c r="C4891" t="s">
        <v>10128</v>
      </c>
      <c r="D4891" t="s">
        <v>10129</v>
      </c>
      <c r="L4891">
        <v>148251522</v>
      </c>
      <c r="M4891">
        <v>144596440</v>
      </c>
      <c r="N4891">
        <v>161809270</v>
      </c>
      <c r="P4891">
        <v>19</v>
      </c>
      <c r="Q4891" t="s">
        <v>10130</v>
      </c>
    </row>
    <row r="4892" spans="1:17" x14ac:dyDescent="0.3">
      <c r="A4892" t="s">
        <v>17</v>
      </c>
      <c r="B4892" t="str">
        <f>"601268"</f>
        <v>601268</v>
      </c>
      <c r="C4892" t="s">
        <v>10131</v>
      </c>
      <c r="K4892">
        <v>102184676.95</v>
      </c>
      <c r="L4892">
        <v>-1977847756.03</v>
      </c>
      <c r="M4892">
        <v>-910365364.25999999</v>
      </c>
      <c r="N4892">
        <v>-572640840.36000001</v>
      </c>
      <c r="O4892">
        <v>-1599464427.6900001</v>
      </c>
      <c r="P4892">
        <v>2</v>
      </c>
      <c r="Q4892" t="s">
        <v>10132</v>
      </c>
    </row>
    <row r="4893" spans="1:17" x14ac:dyDescent="0.3">
      <c r="A4893" t="s">
        <v>17</v>
      </c>
      <c r="B4893" t="str">
        <f>"601299"</f>
        <v>601299</v>
      </c>
      <c r="C4893" t="s">
        <v>10133</v>
      </c>
      <c r="M4893">
        <v>14756443000</v>
      </c>
      <c r="N4893">
        <v>4886783000</v>
      </c>
      <c r="O4893">
        <v>1904325000</v>
      </c>
      <c r="P4893">
        <v>12</v>
      </c>
      <c r="Q4893" t="s">
        <v>10134</v>
      </c>
    </row>
    <row r="4894" spans="1:17" x14ac:dyDescent="0.3">
      <c r="A4894" t="s">
        <v>17</v>
      </c>
      <c r="B4894" t="str">
        <f>"601313"</f>
        <v>601313</v>
      </c>
      <c r="C4894" t="s">
        <v>10135</v>
      </c>
      <c r="J4894">
        <v>4142529000</v>
      </c>
      <c r="K4894">
        <v>45143317</v>
      </c>
      <c r="L4894">
        <v>172392555.36000001</v>
      </c>
      <c r="M4894">
        <v>276660615.29000002</v>
      </c>
      <c r="N4894">
        <v>223323851.94999999</v>
      </c>
      <c r="O4894">
        <v>210603447.75999999</v>
      </c>
      <c r="P4894">
        <v>53</v>
      </c>
      <c r="Q4894" t="s">
        <v>10136</v>
      </c>
    </row>
    <row r="4895" spans="1:17" x14ac:dyDescent="0.3">
      <c r="A4895" t="s">
        <v>17</v>
      </c>
      <c r="B4895" t="str">
        <f>"601868"</f>
        <v>601868</v>
      </c>
      <c r="C4895" t="s">
        <v>10137</v>
      </c>
      <c r="D4895" t="s">
        <v>85</v>
      </c>
      <c r="F4895">
        <v>8844178000</v>
      </c>
      <c r="P4895">
        <v>152</v>
      </c>
      <c r="Q4895" t="s">
        <v>10138</v>
      </c>
    </row>
    <row r="4896" spans="1:17" x14ac:dyDescent="0.3">
      <c r="A4896" t="s">
        <v>17</v>
      </c>
      <c r="B4896" t="str">
        <f>"603302"</f>
        <v>603302</v>
      </c>
      <c r="C4896" t="s">
        <v>10139</v>
      </c>
      <c r="K4896">
        <v>157713878</v>
      </c>
      <c r="L4896">
        <v>204633818</v>
      </c>
      <c r="M4896">
        <v>15283037</v>
      </c>
      <c r="P4896">
        <v>19</v>
      </c>
      <c r="Q4896" t="s">
        <v>10140</v>
      </c>
    </row>
    <row r="4897" spans="1:17" x14ac:dyDescent="0.3">
      <c r="A4897" t="s">
        <v>17</v>
      </c>
      <c r="B4897" t="str">
        <f>"900931"</f>
        <v>900931</v>
      </c>
      <c r="C4897" t="s">
        <v>10141</v>
      </c>
      <c r="K4897">
        <v>2415801.6806000001</v>
      </c>
      <c r="L4897">
        <v>1114775.8944999999</v>
      </c>
      <c r="M4897">
        <v>-2582173.3646</v>
      </c>
      <c r="N4897">
        <v>106072.64019999999</v>
      </c>
      <c r="O4897">
        <v>-707125.40289999999</v>
      </c>
      <c r="P4897">
        <v>1</v>
      </c>
      <c r="Q4897" t="s">
        <v>10142</v>
      </c>
    </row>
    <row r="4898" spans="1:17" x14ac:dyDescent="0.3">
      <c r="A4898" t="s">
        <v>17</v>
      </c>
      <c r="B4898" t="str">
        <f>"900935"</f>
        <v>900935</v>
      </c>
      <c r="C4898" t="s">
        <v>10143</v>
      </c>
      <c r="L4898">
        <v>42490261.924900003</v>
      </c>
      <c r="M4898">
        <v>48103755.240400001</v>
      </c>
      <c r="N4898">
        <v>51815870.798</v>
      </c>
      <c r="O4898">
        <v>55203699.904600002</v>
      </c>
      <c r="P4898">
        <v>1</v>
      </c>
      <c r="Q4898" t="s">
        <v>10144</v>
      </c>
    </row>
    <row r="4899" spans="1:17" x14ac:dyDescent="0.3">
      <c r="A4899" t="s">
        <v>17</v>
      </c>
      <c r="B4899" t="str">
        <f>"900949"</f>
        <v>900949</v>
      </c>
      <c r="C4899" t="s">
        <v>10145</v>
      </c>
      <c r="O4899">
        <v>196390261.59330001</v>
      </c>
      <c r="P4899">
        <v>2</v>
      </c>
      <c r="Q4899" t="s">
        <v>10146</v>
      </c>
    </row>
    <row r="4900" spans="1:17" x14ac:dyDescent="0.3">
      <c r="A4900" t="s">
        <v>17</v>
      </c>
      <c r="B4900" t="str">
        <f>"900950"</f>
        <v>900950</v>
      </c>
      <c r="C4900" t="s">
        <v>10147</v>
      </c>
      <c r="M4900">
        <v>488997708.55239999</v>
      </c>
      <c r="N4900">
        <v>-35325678.471699998</v>
      </c>
      <c r="O4900">
        <v>320701433.07539999</v>
      </c>
      <c r="P4900">
        <v>7</v>
      </c>
      <c r="Q4900" t="s">
        <v>10148</v>
      </c>
    </row>
    <row r="4901" spans="1:17" x14ac:dyDescent="0.3">
      <c r="A4901" t="s">
        <v>59</v>
      </c>
      <c r="B4901" t="str">
        <f>"000003"</f>
        <v>000003</v>
      </c>
      <c r="C4901" t="s">
        <v>10149</v>
      </c>
      <c r="K4901">
        <v>-38490400.850000001</v>
      </c>
      <c r="L4901">
        <v>2242688.5</v>
      </c>
      <c r="M4901">
        <v>1023293.77</v>
      </c>
      <c r="N4901">
        <v>-4183574.42</v>
      </c>
      <c r="O4901">
        <v>318201.63</v>
      </c>
      <c r="P4901">
        <v>12</v>
      </c>
      <c r="Q4901" t="s">
        <v>10150</v>
      </c>
    </row>
    <row r="4902" spans="1:17" x14ac:dyDescent="0.3">
      <c r="A4902" t="s">
        <v>59</v>
      </c>
      <c r="B4902" t="str">
        <f>"000015"</f>
        <v>000015</v>
      </c>
      <c r="C4902" t="s">
        <v>10151</v>
      </c>
      <c r="K4902">
        <v>-34486565.520000003</v>
      </c>
      <c r="L4902">
        <v>51766946.009999998</v>
      </c>
      <c r="P4902">
        <v>13</v>
      </c>
      <c r="Q4902" t="s">
        <v>10152</v>
      </c>
    </row>
    <row r="4903" spans="1:17" x14ac:dyDescent="0.3">
      <c r="A4903" t="s">
        <v>59</v>
      </c>
      <c r="B4903" t="str">
        <f>"000022"</f>
        <v>000022</v>
      </c>
      <c r="C4903" t="s">
        <v>10153</v>
      </c>
      <c r="J4903">
        <v>1162281754</v>
      </c>
      <c r="K4903">
        <v>827754904</v>
      </c>
      <c r="L4903">
        <v>977850737.45000005</v>
      </c>
      <c r="M4903">
        <v>818315147.74000001</v>
      </c>
      <c r="N4903">
        <v>897178297.23000002</v>
      </c>
      <c r="O4903">
        <v>698472452</v>
      </c>
      <c r="P4903">
        <v>83</v>
      </c>
      <c r="Q4903" t="s">
        <v>10154</v>
      </c>
    </row>
    <row r="4904" spans="1:17" x14ac:dyDescent="0.3">
      <c r="A4904" t="s">
        <v>59</v>
      </c>
      <c r="B4904" t="str">
        <f>"000024"</f>
        <v>000024</v>
      </c>
      <c r="C4904" t="s">
        <v>10155</v>
      </c>
      <c r="M4904">
        <v>-6447055480.1199999</v>
      </c>
      <c r="N4904">
        <v>495923554.50999999</v>
      </c>
      <c r="O4904">
        <v>5098777753.7299995</v>
      </c>
      <c r="P4904">
        <v>36</v>
      </c>
      <c r="Q4904" t="s">
        <v>10156</v>
      </c>
    </row>
    <row r="4905" spans="1:17" x14ac:dyDescent="0.3">
      <c r="A4905" t="s">
        <v>59</v>
      </c>
      <c r="B4905" t="str">
        <f>"000033"</f>
        <v>000033</v>
      </c>
      <c r="C4905" t="s">
        <v>10157</v>
      </c>
      <c r="K4905">
        <v>-30228818.039999999</v>
      </c>
      <c r="L4905">
        <v>43900623.060000002</v>
      </c>
      <c r="M4905">
        <v>4464971.7</v>
      </c>
      <c r="N4905">
        <v>42822709.57</v>
      </c>
      <c r="O4905">
        <v>13799450.810000001</v>
      </c>
      <c r="P4905">
        <v>7</v>
      </c>
      <c r="Q4905" t="s">
        <v>10158</v>
      </c>
    </row>
    <row r="4906" spans="1:17" x14ac:dyDescent="0.3">
      <c r="A4906" t="s">
        <v>59</v>
      </c>
      <c r="B4906" t="str">
        <f>"000047"</f>
        <v>000047</v>
      </c>
      <c r="C4906" t="s">
        <v>10159</v>
      </c>
      <c r="K4906">
        <v>-37824041.130000003</v>
      </c>
      <c r="L4906">
        <v>-748053.51</v>
      </c>
      <c r="M4906">
        <v>-257938.53</v>
      </c>
      <c r="N4906">
        <v>-412226.42</v>
      </c>
      <c r="O4906">
        <v>-362856.25</v>
      </c>
      <c r="P4906">
        <v>6</v>
      </c>
      <c r="Q4906" t="s">
        <v>10160</v>
      </c>
    </row>
    <row r="4907" spans="1:17" x14ac:dyDescent="0.3">
      <c r="A4907" t="s">
        <v>59</v>
      </c>
      <c r="B4907" t="str">
        <f>"000405"</f>
        <v>000405</v>
      </c>
      <c r="C4907" t="s">
        <v>10161</v>
      </c>
      <c r="K4907">
        <v>16090513.66</v>
      </c>
      <c r="L4907">
        <v>-45538512.93</v>
      </c>
      <c r="M4907">
        <v>-15641586.18</v>
      </c>
      <c r="N4907">
        <v>34312.36</v>
      </c>
      <c r="O4907">
        <v>27262.92</v>
      </c>
      <c r="P4907">
        <v>3</v>
      </c>
      <c r="Q4907" t="s">
        <v>10162</v>
      </c>
    </row>
    <row r="4908" spans="1:17" x14ac:dyDescent="0.3">
      <c r="A4908" t="s">
        <v>59</v>
      </c>
      <c r="B4908" t="str">
        <f>"000418"</f>
        <v>000418</v>
      </c>
      <c r="C4908" t="s">
        <v>10163</v>
      </c>
      <c r="I4908">
        <v>2624892821</v>
      </c>
      <c r="J4908">
        <v>2015753818</v>
      </c>
      <c r="K4908">
        <v>3896072787</v>
      </c>
      <c r="L4908">
        <v>3598695468.8000002</v>
      </c>
      <c r="M4908">
        <v>1657114317.3299999</v>
      </c>
      <c r="N4908">
        <v>904882101.00999999</v>
      </c>
      <c r="O4908">
        <v>344757698.14999998</v>
      </c>
      <c r="P4908">
        <v>653</v>
      </c>
      <c r="Q4908" t="s">
        <v>10164</v>
      </c>
    </row>
    <row r="4909" spans="1:17" x14ac:dyDescent="0.3">
      <c r="A4909" t="s">
        <v>59</v>
      </c>
      <c r="B4909" t="str">
        <f>"000511"</f>
        <v>000511</v>
      </c>
      <c r="C4909" t="s">
        <v>10165</v>
      </c>
      <c r="J4909">
        <v>244159538</v>
      </c>
      <c r="K4909">
        <v>-281941293</v>
      </c>
      <c r="L4909">
        <v>-454119039.06999999</v>
      </c>
      <c r="M4909">
        <v>68654363.319999993</v>
      </c>
      <c r="N4909">
        <v>229057792.16</v>
      </c>
      <c r="O4909">
        <v>234511879.16999999</v>
      </c>
      <c r="P4909">
        <v>14</v>
      </c>
      <c r="Q4909" t="s">
        <v>10166</v>
      </c>
    </row>
    <row r="4910" spans="1:17" x14ac:dyDescent="0.3">
      <c r="A4910" t="s">
        <v>59</v>
      </c>
      <c r="B4910" t="str">
        <f>"000522"</f>
        <v>000522</v>
      </c>
      <c r="C4910" t="s">
        <v>10167</v>
      </c>
      <c r="N4910">
        <v>1339140138.8199999</v>
      </c>
      <c r="O4910">
        <v>515023067.04000002</v>
      </c>
      <c r="P4910">
        <v>63</v>
      </c>
      <c r="Q4910" t="s">
        <v>10168</v>
      </c>
    </row>
    <row r="4911" spans="1:17" x14ac:dyDescent="0.3">
      <c r="A4911" t="s">
        <v>59</v>
      </c>
      <c r="B4911" t="str">
        <f>"000527"</f>
        <v>000527</v>
      </c>
      <c r="C4911" t="s">
        <v>10169</v>
      </c>
      <c r="O4911">
        <v>4306545280</v>
      </c>
      <c r="P4911">
        <v>296</v>
      </c>
      <c r="Q4911" t="s">
        <v>10170</v>
      </c>
    </row>
    <row r="4912" spans="1:17" x14ac:dyDescent="0.3">
      <c r="A4912" t="s">
        <v>59</v>
      </c>
      <c r="B4912" t="str">
        <f>"000556"</f>
        <v>000556</v>
      </c>
      <c r="C4912" t="s">
        <v>10171</v>
      </c>
      <c r="K4912">
        <v>12867842.41</v>
      </c>
      <c r="L4912">
        <v>2094527.77</v>
      </c>
      <c r="M4912">
        <v>-5197.7</v>
      </c>
      <c r="N4912">
        <v>-128420.56</v>
      </c>
      <c r="O4912">
        <v>1163613.58</v>
      </c>
      <c r="P4912">
        <v>4</v>
      </c>
      <c r="Q4912" t="s">
        <v>10172</v>
      </c>
    </row>
    <row r="4913" spans="1:17" x14ac:dyDescent="0.3">
      <c r="A4913" t="s">
        <v>59</v>
      </c>
      <c r="B4913" t="str">
        <f>"000562"</f>
        <v>000562</v>
      </c>
      <c r="C4913" t="s">
        <v>10173</v>
      </c>
      <c r="N4913">
        <v>-451063489.82999998</v>
      </c>
      <c r="O4913">
        <v>-6650428130.6099997</v>
      </c>
      <c r="P4913">
        <v>18</v>
      </c>
      <c r="Q4913" t="s">
        <v>10174</v>
      </c>
    </row>
    <row r="4914" spans="1:17" x14ac:dyDescent="0.3">
      <c r="A4914" t="s">
        <v>59</v>
      </c>
      <c r="B4914" t="str">
        <f>"000578"</f>
        <v>000578</v>
      </c>
      <c r="C4914" t="s">
        <v>10175</v>
      </c>
      <c r="N4914">
        <v>133938866.67</v>
      </c>
      <c r="O4914">
        <v>1487176109.95</v>
      </c>
      <c r="P4914">
        <v>12</v>
      </c>
      <c r="Q4914" t="s">
        <v>10176</v>
      </c>
    </row>
    <row r="4915" spans="1:17" x14ac:dyDescent="0.3">
      <c r="A4915" t="s">
        <v>59</v>
      </c>
      <c r="B4915" t="str">
        <f>"000583"</f>
        <v>000583</v>
      </c>
      <c r="C4915" t="s">
        <v>10177</v>
      </c>
      <c r="K4915">
        <v>13980.68</v>
      </c>
      <c r="L4915">
        <v>1728.16</v>
      </c>
      <c r="M4915">
        <v>-7027.9</v>
      </c>
      <c r="N4915">
        <v>5995.34</v>
      </c>
      <c r="O4915">
        <v>-273.23</v>
      </c>
      <c r="P4915">
        <v>3</v>
      </c>
      <c r="Q4915" t="s">
        <v>10178</v>
      </c>
    </row>
    <row r="4916" spans="1:17" x14ac:dyDescent="0.3">
      <c r="A4916" t="s">
        <v>59</v>
      </c>
      <c r="B4916" t="str">
        <f>"000588"</f>
        <v>000588</v>
      </c>
      <c r="C4916" t="s">
        <v>10179</v>
      </c>
      <c r="K4916">
        <v>45695433.509999998</v>
      </c>
      <c r="L4916">
        <v>-28327994.809999999</v>
      </c>
      <c r="M4916">
        <v>-28056907.309999999</v>
      </c>
      <c r="P4916">
        <v>5</v>
      </c>
      <c r="Q4916" t="s">
        <v>10180</v>
      </c>
    </row>
    <row r="4917" spans="1:17" x14ac:dyDescent="0.3">
      <c r="A4917" t="s">
        <v>59</v>
      </c>
      <c r="B4917" t="str">
        <f>"000594"</f>
        <v>000594</v>
      </c>
      <c r="C4917" t="s">
        <v>10181</v>
      </c>
      <c r="L4917">
        <v>-43520179.859999999</v>
      </c>
      <c r="M4917">
        <v>-19228224.199999999</v>
      </c>
      <c r="N4917">
        <v>-809973763.07000005</v>
      </c>
      <c r="O4917">
        <v>496649861.75</v>
      </c>
      <c r="P4917">
        <v>3</v>
      </c>
      <c r="Q4917" t="s">
        <v>10182</v>
      </c>
    </row>
    <row r="4918" spans="1:17" x14ac:dyDescent="0.3">
      <c r="A4918" t="s">
        <v>59</v>
      </c>
      <c r="B4918" t="str">
        <f>"000602"</f>
        <v>000602</v>
      </c>
      <c r="C4918" t="s">
        <v>10183</v>
      </c>
      <c r="O4918">
        <v>964545843.21000004</v>
      </c>
      <c r="P4918">
        <v>5</v>
      </c>
      <c r="Q4918" t="s">
        <v>10184</v>
      </c>
    </row>
    <row r="4919" spans="1:17" x14ac:dyDescent="0.3">
      <c r="A4919" t="s">
        <v>59</v>
      </c>
      <c r="B4919" t="str">
        <f>"000658"</f>
        <v>000658</v>
      </c>
      <c r="C4919" t="s">
        <v>10185</v>
      </c>
      <c r="K4919">
        <v>-68006836.230000004</v>
      </c>
      <c r="L4919">
        <v>-48145.69</v>
      </c>
      <c r="M4919">
        <v>19203260.98</v>
      </c>
      <c r="N4919">
        <v>6437.14</v>
      </c>
      <c r="O4919">
        <v>10038.1</v>
      </c>
      <c r="P4919">
        <v>5</v>
      </c>
      <c r="Q4919" t="s">
        <v>10186</v>
      </c>
    </row>
    <row r="4920" spans="1:17" x14ac:dyDescent="0.3">
      <c r="A4920" t="s">
        <v>59</v>
      </c>
      <c r="B4920" t="str">
        <f>"000660"</f>
        <v>000660</v>
      </c>
      <c r="C4920" t="s">
        <v>10187</v>
      </c>
      <c r="K4920">
        <v>-101931947.43000001</v>
      </c>
      <c r="L4920">
        <v>-4677247.53</v>
      </c>
      <c r="N4920">
        <v>-825389.7</v>
      </c>
      <c r="O4920">
        <v>-1966155.18</v>
      </c>
      <c r="P4920">
        <v>6</v>
      </c>
      <c r="Q4920" t="s">
        <v>10188</v>
      </c>
    </row>
    <row r="4921" spans="1:17" x14ac:dyDescent="0.3">
      <c r="A4921" t="s">
        <v>59</v>
      </c>
      <c r="B4921" t="str">
        <f>"000675"</f>
        <v>000675</v>
      </c>
      <c r="C4921" t="s">
        <v>10189</v>
      </c>
      <c r="K4921">
        <v>-373895.49</v>
      </c>
      <c r="M4921">
        <v>1091231.1499999999</v>
      </c>
      <c r="N4921">
        <v>-656578.99</v>
      </c>
      <c r="O4921">
        <v>201589.88</v>
      </c>
      <c r="P4921">
        <v>5</v>
      </c>
      <c r="Q4921" t="s">
        <v>10190</v>
      </c>
    </row>
    <row r="4922" spans="1:17" x14ac:dyDescent="0.3">
      <c r="A4922" t="s">
        <v>59</v>
      </c>
      <c r="B4922" t="str">
        <f>"000689"</f>
        <v>000689</v>
      </c>
      <c r="C4922" t="s">
        <v>10191</v>
      </c>
      <c r="K4922">
        <v>-16189.47</v>
      </c>
      <c r="L4922">
        <v>71792.31</v>
      </c>
      <c r="M4922">
        <v>18811.84</v>
      </c>
      <c r="N4922">
        <v>-5990.2</v>
      </c>
      <c r="O4922">
        <v>-22119.89</v>
      </c>
      <c r="P4922">
        <v>5</v>
      </c>
      <c r="Q4922" t="s">
        <v>10192</v>
      </c>
    </row>
    <row r="4923" spans="1:17" x14ac:dyDescent="0.3">
      <c r="A4923" t="s">
        <v>59</v>
      </c>
      <c r="B4923" t="str">
        <f>"000693"</f>
        <v>000693</v>
      </c>
      <c r="C4923" t="s">
        <v>10193</v>
      </c>
      <c r="J4923">
        <v>-1274912</v>
      </c>
      <c r="K4923">
        <v>-806641556</v>
      </c>
      <c r="L4923">
        <v>6888633.9199999999</v>
      </c>
      <c r="M4923">
        <v>428218870.99000001</v>
      </c>
      <c r="N4923">
        <v>151541572.46000001</v>
      </c>
      <c r="O4923">
        <v>2588615.08</v>
      </c>
      <c r="P4923">
        <v>17</v>
      </c>
      <c r="Q4923" t="s">
        <v>10194</v>
      </c>
    </row>
    <row r="4924" spans="1:17" x14ac:dyDescent="0.3">
      <c r="A4924" t="s">
        <v>59</v>
      </c>
      <c r="B4924" t="str">
        <f>"000699"</f>
        <v>000699</v>
      </c>
      <c r="C4924" t="s">
        <v>10195</v>
      </c>
      <c r="L4924">
        <v>199215.53</v>
      </c>
      <c r="P4924">
        <v>4</v>
      </c>
      <c r="Q4924" t="s">
        <v>10196</v>
      </c>
    </row>
    <row r="4925" spans="1:17" x14ac:dyDescent="0.3">
      <c r="A4925" t="s">
        <v>59</v>
      </c>
      <c r="B4925" t="str">
        <f>"000730"</f>
        <v>000730</v>
      </c>
      <c r="C4925" t="s">
        <v>10197</v>
      </c>
      <c r="K4925">
        <v>31948153.559999999</v>
      </c>
      <c r="L4925">
        <v>1853431.03</v>
      </c>
      <c r="M4925">
        <v>791149.88</v>
      </c>
      <c r="O4925">
        <v>3363.28</v>
      </c>
      <c r="P4925">
        <v>4</v>
      </c>
      <c r="Q4925" t="s">
        <v>10198</v>
      </c>
    </row>
    <row r="4926" spans="1:17" x14ac:dyDescent="0.3">
      <c r="A4926" t="s">
        <v>59</v>
      </c>
      <c r="B4926" t="str">
        <f>"000748"</f>
        <v>000748</v>
      </c>
      <c r="C4926" t="s">
        <v>10199</v>
      </c>
      <c r="K4926">
        <v>328839180.60000002</v>
      </c>
      <c r="L4926">
        <v>192407909.66999999</v>
      </c>
      <c r="M4926">
        <v>186329792.63999999</v>
      </c>
      <c r="N4926">
        <v>-57905207.270000003</v>
      </c>
      <c r="O4926">
        <v>39171742.170000002</v>
      </c>
      <c r="P4926">
        <v>8</v>
      </c>
      <c r="Q4926" t="s">
        <v>10200</v>
      </c>
    </row>
    <row r="4927" spans="1:17" x14ac:dyDescent="0.3">
      <c r="A4927" t="s">
        <v>59</v>
      </c>
      <c r="B4927" t="str">
        <f>"000765"</f>
        <v>000765</v>
      </c>
      <c r="C4927" t="s">
        <v>10201</v>
      </c>
      <c r="K4927">
        <v>-26018388.43</v>
      </c>
      <c r="L4927">
        <v>-6434264.3499999996</v>
      </c>
      <c r="M4927">
        <v>2260442.5</v>
      </c>
      <c r="N4927">
        <v>-114980.61</v>
      </c>
      <c r="O4927">
        <v>415548.1</v>
      </c>
      <c r="P4927">
        <v>4</v>
      </c>
      <c r="Q4927" t="s">
        <v>10202</v>
      </c>
    </row>
    <row r="4928" spans="1:17" x14ac:dyDescent="0.3">
      <c r="A4928" t="s">
        <v>59</v>
      </c>
      <c r="B4928" t="str">
        <f>"000769"</f>
        <v>000769</v>
      </c>
      <c r="C4928" t="s">
        <v>10203</v>
      </c>
      <c r="K4928">
        <v>30429.31</v>
      </c>
      <c r="L4928">
        <v>63785</v>
      </c>
      <c r="P4928">
        <v>3</v>
      </c>
      <c r="Q4928" t="s">
        <v>10204</v>
      </c>
    </row>
    <row r="4929" spans="1:17" x14ac:dyDescent="0.3">
      <c r="A4929" t="s">
        <v>59</v>
      </c>
      <c r="B4929" t="str">
        <f>"000787"</f>
        <v>000787</v>
      </c>
      <c r="C4929" t="s">
        <v>10205</v>
      </c>
      <c r="K4929">
        <v>-417439238.31</v>
      </c>
      <c r="L4929">
        <v>379169460.02999997</v>
      </c>
      <c r="M4929">
        <v>244828323.50999999</v>
      </c>
      <c r="N4929">
        <v>-1547473.33</v>
      </c>
      <c r="O4929">
        <v>22062606.359999999</v>
      </c>
      <c r="P4929">
        <v>3</v>
      </c>
      <c r="Q4929" t="s">
        <v>10206</v>
      </c>
    </row>
    <row r="4930" spans="1:17" x14ac:dyDescent="0.3">
      <c r="A4930" t="s">
        <v>59</v>
      </c>
      <c r="B4930" t="str">
        <f>"000805"</f>
        <v>000805</v>
      </c>
      <c r="C4930" t="s">
        <v>10207</v>
      </c>
      <c r="K4930">
        <v>12854885.42</v>
      </c>
      <c r="L4930">
        <v>2984646.95</v>
      </c>
      <c r="M4930">
        <v>8588297.4600000009</v>
      </c>
      <c r="N4930">
        <v>-2819397.36</v>
      </c>
      <c r="O4930">
        <v>-31585228.73</v>
      </c>
      <c r="P4930">
        <v>3</v>
      </c>
      <c r="Q4930" t="s">
        <v>10208</v>
      </c>
    </row>
    <row r="4931" spans="1:17" x14ac:dyDescent="0.3">
      <c r="A4931" t="s">
        <v>59</v>
      </c>
      <c r="B4931" t="str">
        <f>"000832"</f>
        <v>000832</v>
      </c>
      <c r="C4931" t="s">
        <v>10209</v>
      </c>
      <c r="K4931">
        <v>786494.44</v>
      </c>
      <c r="L4931">
        <v>785376.74</v>
      </c>
      <c r="M4931">
        <v>413460.27</v>
      </c>
      <c r="N4931">
        <v>-375904.4</v>
      </c>
      <c r="O4931">
        <v>657082.17000000004</v>
      </c>
      <c r="P4931">
        <v>6</v>
      </c>
      <c r="Q4931" t="s">
        <v>10210</v>
      </c>
    </row>
    <row r="4932" spans="1:17" x14ac:dyDescent="0.3">
      <c r="A4932" t="s">
        <v>59</v>
      </c>
      <c r="B4932" t="str">
        <f>"000916"</f>
        <v>000916</v>
      </c>
      <c r="C4932" t="s">
        <v>10211</v>
      </c>
      <c r="K4932">
        <v>535357102</v>
      </c>
      <c r="L4932">
        <v>316311870.95999998</v>
      </c>
      <c r="M4932">
        <v>416810854.32999998</v>
      </c>
      <c r="N4932">
        <v>230615659.06</v>
      </c>
      <c r="O4932">
        <v>322192726.77999997</v>
      </c>
      <c r="P4932">
        <v>27</v>
      </c>
      <c r="Q4932" t="s">
        <v>10212</v>
      </c>
    </row>
    <row r="4933" spans="1:17" x14ac:dyDescent="0.3">
      <c r="A4933" t="s">
        <v>59</v>
      </c>
      <c r="B4933" t="str">
        <f>"000979"</f>
        <v>000979</v>
      </c>
      <c r="C4933" t="s">
        <v>10213</v>
      </c>
      <c r="J4933">
        <v>-2074839575</v>
      </c>
      <c r="K4933">
        <v>-2911490102</v>
      </c>
      <c r="L4933">
        <v>-431249219.56999999</v>
      </c>
      <c r="M4933">
        <v>-3827801703.2199998</v>
      </c>
      <c r="N4933">
        <v>-1433618554.9100001</v>
      </c>
      <c r="O4933">
        <v>372974624.60000002</v>
      </c>
      <c r="P4933">
        <v>30</v>
      </c>
      <c r="Q4933" t="s">
        <v>10214</v>
      </c>
    </row>
    <row r="4934" spans="1:17" x14ac:dyDescent="0.3">
      <c r="A4934" t="s">
        <v>59</v>
      </c>
      <c r="B4934" t="str">
        <f>"001289"</f>
        <v>001289</v>
      </c>
      <c r="C4934" t="s">
        <v>10215</v>
      </c>
      <c r="F4934">
        <v>16755015207</v>
      </c>
      <c r="P4934">
        <v>28</v>
      </c>
      <c r="Q4934" t="s">
        <v>10216</v>
      </c>
    </row>
    <row r="4935" spans="1:17" x14ac:dyDescent="0.3">
      <c r="A4935" t="s">
        <v>59</v>
      </c>
      <c r="B4935" t="str">
        <f>"002070"</f>
        <v>002070</v>
      </c>
      <c r="C4935" t="s">
        <v>10217</v>
      </c>
      <c r="I4935">
        <v>-31897704</v>
      </c>
      <c r="J4935">
        <v>51922225</v>
      </c>
      <c r="K4935">
        <v>145877388</v>
      </c>
      <c r="L4935">
        <v>8323302</v>
      </c>
      <c r="M4935">
        <v>113840816.09</v>
      </c>
      <c r="N4935">
        <v>-6165343.2300000004</v>
      </c>
      <c r="O4935">
        <v>55902591.159999996</v>
      </c>
      <c r="P4935">
        <v>27</v>
      </c>
      <c r="Q4935" t="s">
        <v>10218</v>
      </c>
    </row>
    <row r="4936" spans="1:17" x14ac:dyDescent="0.3">
      <c r="A4936" t="s">
        <v>59</v>
      </c>
      <c r="B4936" t="str">
        <f>"002143"</f>
        <v>002143</v>
      </c>
      <c r="C4936" t="s">
        <v>10219</v>
      </c>
      <c r="I4936">
        <v>-423186032</v>
      </c>
      <c r="J4936">
        <v>335570268</v>
      </c>
      <c r="K4936">
        <v>50868779</v>
      </c>
      <c r="L4936">
        <v>184458327</v>
      </c>
      <c r="M4936">
        <v>-212028263</v>
      </c>
      <c r="N4936">
        <v>222399354</v>
      </c>
      <c r="O4936">
        <v>-83389414</v>
      </c>
      <c r="P4936">
        <v>59</v>
      </c>
      <c r="Q4936" t="s">
        <v>10220</v>
      </c>
    </row>
    <row r="4937" spans="1:17" x14ac:dyDescent="0.3">
      <c r="A4937" t="s">
        <v>59</v>
      </c>
      <c r="B4937" t="str">
        <f>"002477"</f>
        <v>002477</v>
      </c>
      <c r="C4937" t="s">
        <v>10221</v>
      </c>
      <c r="I4937">
        <v>-833516444</v>
      </c>
      <c r="J4937">
        <v>76254003</v>
      </c>
      <c r="K4937">
        <v>1800710573</v>
      </c>
      <c r="L4937">
        <v>-273171689</v>
      </c>
      <c r="M4937">
        <v>-150798659</v>
      </c>
      <c r="N4937">
        <v>234684847</v>
      </c>
      <c r="O4937">
        <v>-90889490</v>
      </c>
      <c r="P4937">
        <v>126</v>
      </c>
      <c r="Q4937" t="s">
        <v>10222</v>
      </c>
    </row>
    <row r="4938" spans="1:17" x14ac:dyDescent="0.3">
      <c r="A4938" t="s">
        <v>59</v>
      </c>
      <c r="B4938" t="str">
        <f>"002680"</f>
        <v>002680</v>
      </c>
      <c r="C4938" t="s">
        <v>10223</v>
      </c>
      <c r="J4938">
        <v>485890141</v>
      </c>
      <c r="K4938">
        <v>296518992</v>
      </c>
      <c r="L4938">
        <v>187142286</v>
      </c>
      <c r="M4938">
        <v>17383286</v>
      </c>
      <c r="N4938">
        <v>19316113</v>
      </c>
      <c r="O4938">
        <v>74541440</v>
      </c>
      <c r="P4938">
        <v>221</v>
      </c>
      <c r="Q4938" t="s">
        <v>10224</v>
      </c>
    </row>
    <row r="4939" spans="1:17" x14ac:dyDescent="0.3">
      <c r="A4939" t="s">
        <v>59</v>
      </c>
      <c r="B4939" t="str">
        <f>"002710"</f>
        <v>002710</v>
      </c>
      <c r="C4939" t="s">
        <v>10225</v>
      </c>
      <c r="D4939" t="s">
        <v>10226</v>
      </c>
      <c r="O4939">
        <v>127544372</v>
      </c>
      <c r="P4939">
        <v>8</v>
      </c>
      <c r="Q4939" t="s">
        <v>10227</v>
      </c>
    </row>
    <row r="4940" spans="1:17" x14ac:dyDescent="0.3">
      <c r="A4940" t="s">
        <v>59</v>
      </c>
      <c r="B4940" t="str">
        <f>"002720"</f>
        <v>002720</v>
      </c>
      <c r="C4940" t="s">
        <v>10228</v>
      </c>
      <c r="D4940" t="s">
        <v>2635</v>
      </c>
      <c r="O4940">
        <v>-157012501</v>
      </c>
      <c r="P4940">
        <v>11</v>
      </c>
      <c r="Q4940" t="s">
        <v>10229</v>
      </c>
    </row>
    <row r="4941" spans="1:17" x14ac:dyDescent="0.3">
      <c r="A4941" t="s">
        <v>59</v>
      </c>
      <c r="B4941" t="str">
        <f>"200002"</f>
        <v>200002</v>
      </c>
      <c r="C4941" t="s">
        <v>10230</v>
      </c>
      <c r="K4941">
        <v>44163713214.010399</v>
      </c>
      <c r="L4941">
        <v>19154134899.4436</v>
      </c>
      <c r="M4941">
        <v>52172713819.345299</v>
      </c>
      <c r="N4941">
        <v>2465822756.1719999</v>
      </c>
      <c r="O4941">
        <v>4637327914.8984003</v>
      </c>
      <c r="P4941">
        <v>22</v>
      </c>
      <c r="Q4941" t="s">
        <v>10231</v>
      </c>
    </row>
    <row r="4942" spans="1:17" x14ac:dyDescent="0.3">
      <c r="A4942" t="s">
        <v>59</v>
      </c>
      <c r="B4942" t="str">
        <f>"200003"</f>
        <v>200003</v>
      </c>
      <c r="C4942" t="s">
        <v>10232</v>
      </c>
      <c r="K4942">
        <v>-42962985.428800002</v>
      </c>
      <c r="L4942">
        <v>2677097.2625000002</v>
      </c>
      <c r="M4942">
        <v>1279526.53</v>
      </c>
      <c r="N4942">
        <v>-5362087.3340999996</v>
      </c>
      <c r="O4942">
        <v>396033.7487</v>
      </c>
      <c r="P4942">
        <v>1</v>
      </c>
      <c r="Q4942" t="s">
        <v>10233</v>
      </c>
    </row>
    <row r="4943" spans="1:17" x14ac:dyDescent="0.3">
      <c r="A4943" t="s">
        <v>59</v>
      </c>
      <c r="B4943" t="str">
        <f>"200015"</f>
        <v>200015</v>
      </c>
      <c r="C4943" t="s">
        <v>10234</v>
      </c>
      <c r="K4943">
        <v>-38493904.433399998</v>
      </c>
      <c r="L4943">
        <v>61794203.452100001</v>
      </c>
      <c r="P4943">
        <v>0</v>
      </c>
      <c r="Q4943" t="s">
        <v>10235</v>
      </c>
    </row>
    <row r="4944" spans="1:17" x14ac:dyDescent="0.3">
      <c r="A4944" t="s">
        <v>59</v>
      </c>
      <c r="B4944" t="str">
        <f>"200022"</f>
        <v>200022</v>
      </c>
      <c r="C4944" t="s">
        <v>10236</v>
      </c>
      <c r="J4944">
        <v>1394970561.1508</v>
      </c>
      <c r="K4944">
        <v>923940023.8448</v>
      </c>
      <c r="L4944">
        <v>1167260425.2941</v>
      </c>
      <c r="M4944">
        <v>1023221260.7341</v>
      </c>
      <c r="N4944">
        <v>1149913423.5597</v>
      </c>
      <c r="O4944">
        <v>869318813.75919998</v>
      </c>
      <c r="P4944">
        <v>41</v>
      </c>
      <c r="Q4944" t="s">
        <v>10237</v>
      </c>
    </row>
    <row r="4945" spans="1:17" x14ac:dyDescent="0.3">
      <c r="A4945" t="s">
        <v>59</v>
      </c>
      <c r="B4945" t="str">
        <f>"200024"</f>
        <v>200024</v>
      </c>
      <c r="C4945" t="s">
        <v>10238</v>
      </c>
      <c r="M4945">
        <v>-8061398172.342</v>
      </c>
      <c r="N4945">
        <v>635625219.81550002</v>
      </c>
      <c r="O4945">
        <v>6345938792.2924004</v>
      </c>
      <c r="P4945">
        <v>0</v>
      </c>
      <c r="Q4945" t="s">
        <v>10239</v>
      </c>
    </row>
    <row r="4946" spans="1:17" x14ac:dyDescent="0.3">
      <c r="A4946" t="s">
        <v>59</v>
      </c>
      <c r="B4946" t="str">
        <f>"200039"</f>
        <v>200039</v>
      </c>
      <c r="C4946" t="s">
        <v>10240</v>
      </c>
      <c r="K4946">
        <v>2613715127.8000002</v>
      </c>
      <c r="L4946">
        <v>-4309523195.1000004</v>
      </c>
      <c r="M4946">
        <v>8045670040.8000002</v>
      </c>
      <c r="N4946">
        <v>3524580154.1999998</v>
      </c>
      <c r="O4946">
        <v>2791536987.4000001</v>
      </c>
      <c r="P4946">
        <v>0</v>
      </c>
      <c r="Q4946" t="s">
        <v>10241</v>
      </c>
    </row>
    <row r="4947" spans="1:17" x14ac:dyDescent="0.3">
      <c r="A4947" t="s">
        <v>59</v>
      </c>
      <c r="B4947" t="str">
        <f>"200053"</f>
        <v>200053</v>
      </c>
      <c r="C4947" t="s">
        <v>10242</v>
      </c>
      <c r="J4947">
        <v>456628323.63859999</v>
      </c>
      <c r="K4947">
        <v>414640095.85839999</v>
      </c>
      <c r="L4947">
        <v>397091886.71390003</v>
      </c>
      <c r="M4947">
        <v>518129198.36650002</v>
      </c>
      <c r="N4947">
        <v>558130427.97730005</v>
      </c>
      <c r="O4947">
        <v>407829434.35750002</v>
      </c>
      <c r="P4947">
        <v>15</v>
      </c>
      <c r="Q4947" t="s">
        <v>10243</v>
      </c>
    </row>
    <row r="4948" spans="1:17" x14ac:dyDescent="0.3">
      <c r="A4948" t="s">
        <v>59</v>
      </c>
      <c r="B4948" t="str">
        <f>"200418"</f>
        <v>200418</v>
      </c>
      <c r="C4948" t="s">
        <v>10244</v>
      </c>
      <c r="I4948">
        <v>2988440476.7084999</v>
      </c>
      <c r="J4948">
        <v>2419307732.3635998</v>
      </c>
      <c r="K4948">
        <v>4348796444.8493996</v>
      </c>
      <c r="L4948">
        <v>4295762781.1065998</v>
      </c>
      <c r="M4948">
        <v>2072055742.3894</v>
      </c>
      <c r="N4948">
        <v>1159787388.8645</v>
      </c>
      <c r="O4948">
        <v>429085431.11750001</v>
      </c>
      <c r="P4948">
        <v>89</v>
      </c>
      <c r="Q4948" t="s">
        <v>10245</v>
      </c>
    </row>
    <row r="4949" spans="1:17" x14ac:dyDescent="0.3">
      <c r="A4949" t="s">
        <v>59</v>
      </c>
      <c r="B4949" t="str">
        <f>"200513"</f>
        <v>200513</v>
      </c>
      <c r="C4949" t="s">
        <v>10246</v>
      </c>
      <c r="K4949">
        <v>1427859824.8798001</v>
      </c>
      <c r="L4949">
        <v>1107501085.0840001</v>
      </c>
      <c r="M4949">
        <v>897029324.49489999</v>
      </c>
      <c r="N4949">
        <v>563930729.97689998</v>
      </c>
      <c r="O4949">
        <v>739248421.18780005</v>
      </c>
      <c r="P4949">
        <v>1</v>
      </c>
      <c r="Q4949" t="s">
        <v>10247</v>
      </c>
    </row>
    <row r="4950" spans="1:17" x14ac:dyDescent="0.3">
      <c r="A4950" t="s">
        <v>59</v>
      </c>
      <c r="B4950" t="str">
        <f>"200770"</f>
        <v>200770</v>
      </c>
      <c r="C4950" t="s">
        <v>10248</v>
      </c>
      <c r="K4950">
        <v>-87354285.056700006</v>
      </c>
      <c r="L4950">
        <v>371884993.90490001</v>
      </c>
      <c r="M4950">
        <v>278571045.15539998</v>
      </c>
      <c r="N4950">
        <v>66311287.137800001</v>
      </c>
      <c r="O4950">
        <v>104152928.6213</v>
      </c>
      <c r="P4950">
        <v>0</v>
      </c>
      <c r="Q4950" t="s">
        <v>10249</v>
      </c>
    </row>
    <row r="4951" spans="1:17" x14ac:dyDescent="0.3">
      <c r="A4951" t="s">
        <v>59</v>
      </c>
      <c r="B4951" t="str">
        <f>"300156"</f>
        <v>300156</v>
      </c>
      <c r="C4951" t="s">
        <v>10250</v>
      </c>
      <c r="I4951">
        <v>-381353185</v>
      </c>
      <c r="J4951">
        <v>-1358338619</v>
      </c>
      <c r="K4951">
        <v>217525065</v>
      </c>
      <c r="L4951">
        <v>109314931</v>
      </c>
      <c r="M4951">
        <v>269947878</v>
      </c>
      <c r="N4951">
        <v>-549906828</v>
      </c>
      <c r="O4951">
        <v>-59934900</v>
      </c>
      <c r="P4951">
        <v>300</v>
      </c>
      <c r="Q4951" t="s">
        <v>10251</v>
      </c>
    </row>
    <row r="4952" spans="1:17" x14ac:dyDescent="0.3">
      <c r="A4952" t="s">
        <v>59</v>
      </c>
      <c r="B4952" t="str">
        <f>"300186"</f>
        <v>300186</v>
      </c>
      <c r="C4952" t="s">
        <v>10252</v>
      </c>
      <c r="M4952">
        <v>156595188.88</v>
      </c>
      <c r="N4952">
        <v>166436045.93000001</v>
      </c>
      <c r="O4952">
        <v>176270894.52000001</v>
      </c>
      <c r="P4952">
        <v>5</v>
      </c>
      <c r="Q4952" t="s">
        <v>10253</v>
      </c>
    </row>
    <row r="4953" spans="1:17" x14ac:dyDescent="0.3">
      <c r="A4953" t="s">
        <v>59</v>
      </c>
      <c r="B4953" t="str">
        <f>"300361"</f>
        <v>300361</v>
      </c>
      <c r="C4953" t="s">
        <v>2613</v>
      </c>
      <c r="D4953" t="s">
        <v>592</v>
      </c>
      <c r="P4953">
        <v>8</v>
      </c>
      <c r="Q4953" t="s">
        <v>10254</v>
      </c>
    </row>
    <row r="4954" spans="1:17" x14ac:dyDescent="0.3">
      <c r="A4954" t="s">
        <v>59</v>
      </c>
      <c r="B4954" t="str">
        <f>"300372"</f>
        <v>300372</v>
      </c>
      <c r="C4954" t="s">
        <v>10255</v>
      </c>
      <c r="K4954">
        <v>-98934300</v>
      </c>
      <c r="L4954">
        <v>19332313.640000001</v>
      </c>
      <c r="M4954">
        <v>-9802549</v>
      </c>
      <c r="N4954">
        <v>40959845.82</v>
      </c>
      <c r="O4954">
        <v>56052561.619999997</v>
      </c>
      <c r="P4954">
        <v>5</v>
      </c>
      <c r="Q4954" t="s">
        <v>10256</v>
      </c>
    </row>
    <row r="4955" spans="1:17" x14ac:dyDescent="0.3">
      <c r="A4955" t="s">
        <v>59</v>
      </c>
      <c r="B4955" t="str">
        <f>"300431"</f>
        <v>300431</v>
      </c>
      <c r="C4955" t="s">
        <v>10257</v>
      </c>
      <c r="I4955">
        <v>185827360</v>
      </c>
      <c r="J4955">
        <v>-493490047</v>
      </c>
      <c r="K4955">
        <v>-175717643</v>
      </c>
      <c r="L4955">
        <v>88583498</v>
      </c>
      <c r="M4955">
        <v>80722175</v>
      </c>
      <c r="N4955">
        <v>71750839</v>
      </c>
      <c r="O4955">
        <v>38551448</v>
      </c>
      <c r="P4955">
        <v>145</v>
      </c>
      <c r="Q4955" t="s">
        <v>10258</v>
      </c>
    </row>
    <row r="4956" spans="1:17" x14ac:dyDescent="0.3">
      <c r="A4956" t="s">
        <v>59</v>
      </c>
      <c r="B4956" t="str">
        <f>"300646"</f>
        <v>300646</v>
      </c>
      <c r="C4956" t="s">
        <v>10259</v>
      </c>
      <c r="D4956" t="s">
        <v>1252</v>
      </c>
      <c r="P4956">
        <v>14</v>
      </c>
      <c r="Q4956" t="s">
        <v>10260</v>
      </c>
    </row>
    <row r="4957" spans="1:17" x14ac:dyDescent="0.3">
      <c r="A4957" t="s">
        <v>59</v>
      </c>
      <c r="B4957" t="str">
        <f>"300728"</f>
        <v>300728</v>
      </c>
      <c r="C4957" t="s">
        <v>10261</v>
      </c>
      <c r="K4957">
        <v>83963040</v>
      </c>
      <c r="L4957">
        <v>116834352</v>
      </c>
      <c r="M4957">
        <v>161568092</v>
      </c>
      <c r="P4957">
        <v>10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筛选器_大陆_20220502_020850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2022-05-01T18:09:08Z</dcterms:created>
  <dcterms:modified xsi:type="dcterms:W3CDTF">2022-05-01T18:09:08Z</dcterms:modified>
</cp:coreProperties>
</file>