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53877AB-C148-4BEB-82DB-63D9E11D0CB6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3155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<sst xmlns="http://schemas.openxmlformats.org/spreadsheetml/2006/main" count="19434" uniqueCount="9912">
  <si>
    <t>交易所</t>
  </si>
  <si>
    <t>代码</t>
  </si>
  <si>
    <t>公司</t>
  </si>
  <si>
    <t>行业</t>
  </si>
  <si>
    <t>自由现金流量 累积 2022-03-31 (元)</t>
  </si>
  <si>
    <t>自由现金流量 累积 2021-03-31 (元)</t>
  </si>
  <si>
    <t>自由现金流量 累积 2020-03-31 (元)</t>
  </si>
  <si>
    <t>自由现金流量 累积 2019-03-31 (元)</t>
  </si>
  <si>
    <t>自由现金流量 累积 2018-03-31 (元)</t>
  </si>
  <si>
    <t>自由现金流量 累积 2017-03-31 (元)</t>
  </si>
  <si>
    <t>自由现金流量 累积 2016-03-31 (元)</t>
  </si>
  <si>
    <t>自由现金流量 累积 2015-03-31 (元)</t>
  </si>
  <si>
    <t>自由现金流量 累积 2014-03-31 (元)</t>
  </si>
  <si>
    <t>自由现金流量 累积 2013-03-31 (元)</t>
  </si>
  <si>
    <t>自由现金流量 累积 2012-03-31 (元)</t>
  </si>
  <si>
    <t>关注度</t>
  </si>
  <si>
    <t>理杏仁Url</t>
  </si>
  <si>
    <t>sh</t>
  </si>
  <si>
    <t>工商银行</t>
  </si>
  <si>
    <t>银行</t>
  </si>
  <si>
    <t>www.lixinger.com/analytics/company/sh/601398/601398/detail</t>
  </si>
  <si>
    <t>建设银行</t>
  </si>
  <si>
    <t>www.lixinger.com/analytics/company/sh/601939/601939/detail</t>
  </si>
  <si>
    <t>农业银行</t>
  </si>
  <si>
    <t>www.lixinger.com/analytics/company/sh/601288/601288/detail</t>
  </si>
  <si>
    <t>中国平安</t>
  </si>
  <si>
    <t>非银金融</t>
  </si>
  <si>
    <t>www.lixinger.com/analytics/company/sh/601318/601318/detail</t>
  </si>
  <si>
    <t>中国人寿</t>
  </si>
  <si>
    <t>www.lixinger.com/analytics/company/sh/601628/601628/detail</t>
  </si>
  <si>
    <t>江苏银行</t>
  </si>
  <si>
    <t>www.lixinger.com/analytics/company/sh/600919/600919/detail</t>
  </si>
  <si>
    <t>sz</t>
  </si>
  <si>
    <t>宁波银行</t>
  </si>
  <si>
    <t>www.lixinger.com/analytics/company/sz/002142/2142/detail</t>
  </si>
  <si>
    <t>平安银行</t>
  </si>
  <si>
    <t>www.lixinger.com/analytics/company/sz/000001/1/detail</t>
  </si>
  <si>
    <t>民生银行</t>
  </si>
  <si>
    <t>www.lixinger.com/analytics/company/sh/600016/600016/detail</t>
  </si>
  <si>
    <t>邮储银行</t>
  </si>
  <si>
    <t>www.lixinger.com/analytics/company/sh/601658/601658/detail</t>
  </si>
  <si>
    <t>交通银行</t>
  </si>
  <si>
    <t>www.lixinger.com/analytics/company/sh/601328/601328/detail</t>
  </si>
  <si>
    <t>中信证券</t>
  </si>
  <si>
    <t>www.lixinger.com/analytics/company/sh/600030/600030/detail</t>
  </si>
  <si>
    <t>中远海控</t>
  </si>
  <si>
    <t>交通运输</t>
  </si>
  <si>
    <t>www.lixinger.com/analytics/company/sh/601919/601919/detail</t>
  </si>
  <si>
    <t>渝农商行</t>
  </si>
  <si>
    <t>www.lixinger.com/analytics/company/sh/601077/601077/detail</t>
  </si>
  <si>
    <t>浙商银行</t>
  </si>
  <si>
    <t>www.lixinger.com/analytics/company/sh/601916/601916/detail</t>
  </si>
  <si>
    <t>中国太保</t>
  </si>
  <si>
    <t>www.lixinger.com/analytics/company/sh/601601/601601/detail</t>
  </si>
  <si>
    <t>沪农商行</t>
  </si>
  <si>
    <t>www.lixinger.com/analytics/company/sh/601825/601825/detail</t>
  </si>
  <si>
    <t>中国移动</t>
  </si>
  <si>
    <t>通信</t>
  </si>
  <si>
    <t>www.lixinger.com/analytics/company/sh/600941/600941/detail</t>
  </si>
  <si>
    <t>华夏银行</t>
  </si>
  <si>
    <t>www.lixinger.com/analytics/company/sh/600015/600015/detail</t>
  </si>
  <si>
    <t>新华保险</t>
  </si>
  <si>
    <t>www.lixinger.com/analytics/company/sh/601336/601336/detail</t>
  </si>
  <si>
    <t>中国石油</t>
  </si>
  <si>
    <t>石油石化</t>
  </si>
  <si>
    <t>www.lixinger.com/analytics/company/sh/601857/601857/detail</t>
  </si>
  <si>
    <t>上海银行</t>
  </si>
  <si>
    <t>www.lixinger.com/analytics/company/sh/601229/601229/detail</t>
  </si>
  <si>
    <t>中信银行</t>
  </si>
  <si>
    <t>www.lixinger.com/analytics/company/sh/601998/601998/detail</t>
  </si>
  <si>
    <t>中国海油</t>
  </si>
  <si>
    <t>www.lixinger.com/analytics/company/sh/600938/600938/detail</t>
  </si>
  <si>
    <t>中国神华</t>
  </si>
  <si>
    <t>煤炭</t>
  </si>
  <si>
    <t>www.lixinger.com/analytics/company/sh/601088/601088/detail</t>
  </si>
  <si>
    <t>中国人保</t>
  </si>
  <si>
    <t>www.lixinger.com/analytics/company/sh/601319/601319/detail</t>
  </si>
  <si>
    <t>东吴证券</t>
  </si>
  <si>
    <t>www.lixinger.com/analytics/company/sh/601555/601555/detail</t>
  </si>
  <si>
    <t>招商证券</t>
  </si>
  <si>
    <t>www.lixinger.com/analytics/company/sh/600999/600999/detail</t>
  </si>
  <si>
    <t>光大证券</t>
  </si>
  <si>
    <t>www.lixinger.com/analytics/company/sh/601788/601788/detail</t>
  </si>
  <si>
    <t>国泰君安</t>
  </si>
  <si>
    <t>www.lixinger.com/analytics/company/sh/601211/601211/detail</t>
  </si>
  <si>
    <t>中国银河</t>
  </si>
  <si>
    <t>www.lixinger.com/analytics/company/sh/601881/601881/detail</t>
  </si>
  <si>
    <t>紫金银行</t>
  </si>
  <si>
    <t>www.lixinger.com/analytics/company/sh/601860/601860/detail</t>
  </si>
  <si>
    <t>苏州银行</t>
  </si>
  <si>
    <t>www.lixinger.com/analytics/company/sz/002966/2966/detail</t>
  </si>
  <si>
    <t>中信建投</t>
  </si>
  <si>
    <t>www.lixinger.com/analytics/company/sh/601066/601066/detail</t>
  </si>
  <si>
    <t>广发证券</t>
  </si>
  <si>
    <t>www.lixinger.com/analytics/company/sz/000776/776/detail</t>
  </si>
  <si>
    <t>中国电信</t>
  </si>
  <si>
    <t>www.lixinger.com/analytics/company/sh/601728/601728/detail</t>
  </si>
  <si>
    <t>九安医疗</t>
  </si>
  <si>
    <t>医药生物</t>
  </si>
  <si>
    <t>www.lixinger.com/analytics/company/sz/002432/2432/detail</t>
  </si>
  <si>
    <t>国投资本</t>
  </si>
  <si>
    <t>www.lixinger.com/analytics/company/sh/600061/600061/detail</t>
  </si>
  <si>
    <t>华泰证券</t>
  </si>
  <si>
    <t>www.lixinger.com/analytics/company/sh/601688/601688/detail</t>
  </si>
  <si>
    <t>荣盛石化</t>
  </si>
  <si>
    <t>www.lixinger.com/analytics/company/sz/002493/2493/detail</t>
  </si>
  <si>
    <t>京东方Ｂ</t>
  </si>
  <si>
    <t>www.lixinger.com/analytics/company/sz/200725/200725/detail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</si>
  <si>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</si>
  <si>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</si>
  <si>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</si>
  <si>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</si>
  <si>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常熟银行</t>
  </si>
  <si>
    <t>www.lixinger.com/analytics/company/sh/601128/601128/detail</t>
  </si>
  <si>
    <t>申万宏源</t>
  </si>
  <si>
    <t>www.lixinger.com/analytics/company/sz/000166/166/detail</t>
  </si>
  <si>
    <t>华林证券</t>
  </si>
  <si>
    <t>www.lixinger.com/analytics/company/sz/002945/2945/detail</t>
  </si>
  <si>
    <t>中煤能源</t>
  </si>
  <si>
    <t>www.lixinger.com/analytics/company/sh/601898/601898/detail</t>
  </si>
  <si>
    <t>中国铝业</t>
  </si>
  <si>
    <t>有色金属</t>
  </si>
  <si>
    <t>www.lixinger.com/analytics/company/sh/601600/601600/detail</t>
  </si>
  <si>
    <t>京东方Ａ</t>
  </si>
  <si>
    <t>电子</t>
  </si>
  <si>
    <t>www.lixinger.com/analytics/company/sz/000725/725/detail</t>
  </si>
  <si>
    <t>美的集团</t>
  </si>
  <si>
    <t>家用电器</t>
  </si>
  <si>
    <t>www.lixinger.com/analytics/company/sz/000333/333/detail</t>
  </si>
  <si>
    <t>老凤祥</t>
  </si>
  <si>
    <t>纺织服饰</t>
  </si>
  <si>
    <t>www.lixinger.com/analytics/company/sh/600612/600612/detail</t>
  </si>
  <si>
    <t>陕西煤业</t>
  </si>
  <si>
    <t>www.lixinger.com/analytics/company/sh/601225/601225/detail</t>
  </si>
  <si>
    <t>中集集团</t>
  </si>
  <si>
    <t>机械设备</t>
  </si>
  <si>
    <t>www.lixinger.com/analytics/company/sz/000039/39/detail</t>
  </si>
  <si>
    <t>国金证券</t>
  </si>
  <si>
    <t>www.lixinger.com/analytics/company/sh/600109/600109/detail</t>
  </si>
  <si>
    <t>长江证券</t>
  </si>
  <si>
    <t>www.lixinger.com/analytics/company/sz/000783/783/detail</t>
  </si>
  <si>
    <t>中泰证券</t>
  </si>
  <si>
    <t>www.lixinger.com/analytics/company/sh/600918/600918/detail</t>
  </si>
  <si>
    <t>盐湖股份</t>
  </si>
  <si>
    <t>基础化工</t>
  </si>
  <si>
    <t>www.lixinger.com/analytics/company/sz/000792/792/detail</t>
  </si>
  <si>
    <t>中粮资本</t>
  </si>
  <si>
    <t>www.lixinger.com/analytics/company/sz/002423/2423/detail</t>
  </si>
  <si>
    <t>中金公司</t>
  </si>
  <si>
    <t>www.lixinger.com/analytics/company/sh/601995/601995/detail</t>
  </si>
  <si>
    <t>中南建设</t>
  </si>
  <si>
    <t>房地产</t>
  </si>
  <si>
    <t>www.lixinger.com/analytics/company/sz/000961/961/detail</t>
  </si>
  <si>
    <t>恒力石化</t>
  </si>
  <si>
    <t>www.lixinger.com/analytics/company/sh/600346/600346/detail</t>
  </si>
  <si>
    <t>五矿资本</t>
  </si>
  <si>
    <t>www.lixinger.com/analytics/company/sh/600390/600390/detail</t>
  </si>
  <si>
    <t>中国核电</t>
  </si>
  <si>
    <t>公用事业</t>
  </si>
  <si>
    <t>www.lixinger.com/analytics/company/sh/601985/601985/detail</t>
  </si>
  <si>
    <t>大唐发电</t>
  </si>
  <si>
    <t>www.lixinger.com/analytics/company/sh/601991/601991/detail</t>
  </si>
  <si>
    <t>宝钢股份</t>
  </si>
  <si>
    <t>钢铁</t>
  </si>
  <si>
    <t>www.lixinger.com/analytics/company/sh/600019/600019/detail</t>
  </si>
  <si>
    <t>天齐锂业</t>
  </si>
  <si>
    <t>www.lixinger.com/analytics/company/sz/002466/2466/detail</t>
  </si>
  <si>
    <t>中天金融</t>
  </si>
  <si>
    <t>www.lixinger.com/analytics/company/sz/000540/540/detail</t>
  </si>
  <si>
    <t>华西证券</t>
  </si>
  <si>
    <t>www.lixinger.com/analytics/company/sz/002926/2926/detail</t>
  </si>
  <si>
    <t>山西汾酒</t>
  </si>
  <si>
    <t>食品饮料</t>
  </si>
  <si>
    <t>www.lixinger.com/analytics/company/sh/600809/600809/detail</t>
  </si>
  <si>
    <t>北大荒</t>
  </si>
  <si>
    <t>农林牧渔</t>
  </si>
  <si>
    <t>www.lixinger.com/analytics/company/sh/600598/600598/detail</t>
  </si>
  <si>
    <t>安旭生物</t>
  </si>
  <si>
    <t>www.lixinger.com/analytics/company/sh/688075/688075/detail</t>
  </si>
  <si>
    <t>河钢股份</t>
  </si>
  <si>
    <t>www.lixinger.com/analytics/company/sz/000709/709/detail</t>
  </si>
  <si>
    <t>古井贡Ｂ</t>
  </si>
  <si>
    <t>www.lixinger.com/analytics/company/sz/200596/200596/detail</t>
  </si>
  <si>
    <t>中银证券</t>
  </si>
  <si>
    <t>www.lixinger.com/analytics/company/sh/601696/601696/detail</t>
  </si>
  <si>
    <t>方大特钢</t>
  </si>
  <si>
    <t>www.lixinger.com/analytics/company/sh/600507/600507/detail</t>
  </si>
  <si>
    <t>中船防务</t>
  </si>
  <si>
    <t>国防军工</t>
  </si>
  <si>
    <t>www.lixinger.com/analytics/company/sh/600685/600685/detail</t>
  </si>
  <si>
    <t>渤海租赁</t>
  </si>
  <si>
    <t>www.lixinger.com/analytics/company/sz/000415/415/detail</t>
  </si>
  <si>
    <t>我爱我家</t>
  </si>
  <si>
    <t>www.lixinger.com/analytics/company/sz/000560/560/detail</t>
  </si>
  <si>
    <t>无锡银行</t>
  </si>
  <si>
    <t>www.lixinger.com/analytics/company/sh/600908/600908/detail</t>
  </si>
  <si>
    <t>神火股份</t>
  </si>
  <si>
    <t>www.lixinger.com/analytics/company/sz/000933/933/detail</t>
  </si>
  <si>
    <t>华域汽车</t>
  </si>
  <si>
    <t>汽车</t>
  </si>
  <si>
    <t>www.lixinger.com/analytics/company/sh/600741/600741/detail</t>
  </si>
  <si>
    <t>荣安地产</t>
  </si>
  <si>
    <t>www.lixinger.com/analytics/company/sz/000517/517/detail</t>
  </si>
  <si>
    <t>长江电力</t>
  </si>
  <si>
    <t>www.lixinger.com/analytics/company/sh/600900/600900/detail</t>
  </si>
  <si>
    <t>湖北能源</t>
  </si>
  <si>
    <t>www.lixinger.com/analytics/company/sz/000883/883/detail</t>
  </si>
  <si>
    <t>国电电力</t>
  </si>
  <si>
    <t>www.lixinger.com/analytics/company/sh/600795/600795/detail</t>
  </si>
  <si>
    <t>金科股份</t>
  </si>
  <si>
    <t>www.lixinger.com/analytics/company/sz/000656/656/detail</t>
  </si>
  <si>
    <t>古井贡酒</t>
  </si>
  <si>
    <t>www.lixinger.com/analytics/company/sz/000596/596/detail</t>
  </si>
  <si>
    <t>齐鲁银行</t>
  </si>
  <si>
    <t>www.lixinger.com/analytics/company/sh/601665/601665/detail</t>
  </si>
  <si>
    <t>山西焦煤</t>
  </si>
  <si>
    <t>www.lixinger.com/analytics/company/sz/000983/983/detail</t>
  </si>
  <si>
    <t>永辉超市</t>
  </si>
  <si>
    <t>商贸零售</t>
  </si>
  <si>
    <t>www.lixinger.com/analytics/company/sh/601933/601933/detail</t>
  </si>
  <si>
    <t>紫金矿业</t>
  </si>
  <si>
    <t>www.lixinger.com/analytics/company/sh/601899/601899/detail</t>
  </si>
  <si>
    <t>北京银行</t>
  </si>
  <si>
    <t>www.lixinger.com/analytics/company/sh/601169/601169/detail</t>
  </si>
  <si>
    <t>荣盛发展</t>
  </si>
  <si>
    <t>www.lixinger.com/analytics/company/sz/002146/2146/detail</t>
  </si>
  <si>
    <t>鹏鼎控股</t>
  </si>
  <si>
    <t>www.lixinger.com/analytics/company/sz/002938/2938/detail</t>
  </si>
  <si>
    <t>财通证券</t>
  </si>
  <si>
    <t>www.lixinger.com/analytics/company/sh/601108/601108/detail</t>
  </si>
  <si>
    <t>华电国际</t>
  </si>
  <si>
    <t>www.lixinger.com/analytics/company/sh/600027/600027/detail</t>
  </si>
  <si>
    <t>上港集团</t>
  </si>
  <si>
    <t>www.lixinger.com/analytics/company/sh/600018/600018/detail</t>
  </si>
  <si>
    <t>华发股份</t>
  </si>
  <si>
    <t>www.lixinger.com/analytics/company/sh/600325/600325/detail</t>
  </si>
  <si>
    <t>潞安环能</t>
  </si>
  <si>
    <t>www.lixinger.com/analytics/company/sh/601699/601699/detail</t>
  </si>
  <si>
    <t>西部矿业</t>
  </si>
  <si>
    <t>www.lixinger.com/analytics/company/sh/601168/601168/detail</t>
  </si>
  <si>
    <t>南京证券</t>
  </si>
  <si>
    <t>www.lixinger.com/analytics/company/sh/601990/601990/detail</t>
  </si>
  <si>
    <t>东航物流</t>
  </si>
  <si>
    <t>www.lixinger.com/analytics/company/sh/601156/601156/detail</t>
  </si>
  <si>
    <t>中国电影</t>
  </si>
  <si>
    <t>传媒</t>
  </si>
  <si>
    <t>www.lixinger.com/analytics/company/sh/600977/600977/detail</t>
  </si>
  <si>
    <t>华创阳安</t>
  </si>
  <si>
    <t>www.lixinger.com/analytics/company/sh/600155/600155/detail</t>
  </si>
  <si>
    <t>绿地控股</t>
  </si>
  <si>
    <t>www.lixinger.com/analytics/company/sh/600606/600606/detail</t>
  </si>
  <si>
    <t>中国重汽</t>
  </si>
  <si>
    <t>www.lixinger.com/analytics/company/sz/000951/951/detail</t>
  </si>
  <si>
    <t>江苏国信</t>
  </si>
  <si>
    <t>www.lixinger.com/analytics/company/sz/002608/2608/detail</t>
  </si>
  <si>
    <t>北方稀土</t>
  </si>
  <si>
    <t>www.lixinger.com/analytics/company/sh/600111/600111/detail</t>
  </si>
  <si>
    <t>爱施德</t>
  </si>
  <si>
    <t>www.lixinger.com/analytics/company/sz/002416/2416/detail</t>
  </si>
  <si>
    <t>中交地产</t>
  </si>
  <si>
    <t>www.lixinger.com/analytics/company/sz/000736/736/detail</t>
  </si>
  <si>
    <t>中国广核</t>
  </si>
  <si>
    <t>www.lixinger.com/analytics/company/sz/003816/3816/detail</t>
  </si>
  <si>
    <t>格力电器</t>
  </si>
  <si>
    <t>www.lixinger.com/analytics/company/sz/000651/651/detail</t>
  </si>
  <si>
    <t>同济科技</t>
  </si>
  <si>
    <t>www.lixinger.com/analytics/company/sh/600846/600846/detail</t>
  </si>
  <si>
    <t>国投电力</t>
  </si>
  <si>
    <t>www.lixinger.com/analytics/company/sh/600886/600886/detail</t>
  </si>
  <si>
    <t>蓝思科技</t>
  </si>
  <si>
    <t>www.lixinger.com/analytics/company/sz/300433/300433/detail</t>
  </si>
  <si>
    <t>分众传媒</t>
  </si>
  <si>
    <t>www.lixinger.com/analytics/company/sz/002027/2027/detail</t>
  </si>
  <si>
    <t>电投能源</t>
  </si>
  <si>
    <t>www.lixinger.com/analytics/company/sz/002128/2128/detail</t>
  </si>
  <si>
    <t>云铝股份</t>
  </si>
  <si>
    <t>www.lixinger.com/analytics/company/sz/000807/807/detail</t>
  </si>
  <si>
    <t>世茂股份</t>
  </si>
  <si>
    <t>www.lixinger.com/analytics/company/sh/600823/600823/detail</t>
  </si>
  <si>
    <t>东方生物</t>
  </si>
  <si>
    <t>www.lixinger.com/analytics/company/sh/688298/688298/detail</t>
  </si>
  <si>
    <t>瑞丰银行</t>
  </si>
  <si>
    <t>www.lixinger.com/analytics/company/sh/601528/601528/detail</t>
  </si>
  <si>
    <t>山煤国际</t>
  </si>
  <si>
    <t>www.lixinger.com/analytics/company/sh/600546/600546/detail</t>
  </si>
  <si>
    <t>鞍钢股份</t>
  </si>
  <si>
    <t>www.lixinger.com/analytics/company/sz/000898/898/detail</t>
  </si>
  <si>
    <t>华鲁恒升</t>
  </si>
  <si>
    <t>www.lixinger.com/analytics/company/sh/600426/600426/detail</t>
  </si>
  <si>
    <t>华能水电</t>
  </si>
  <si>
    <t>www.lixinger.com/analytics/company/sh/600025/600025/detail</t>
  </si>
  <si>
    <t>兴业证券</t>
  </si>
  <si>
    <t>www.lixinger.com/analytics/company/sh/601377/601377/detail</t>
  </si>
  <si>
    <t>顺丰控股</t>
  </si>
  <si>
    <t>www.lixinger.com/analytics/company/sz/002352/2352/detail</t>
  </si>
  <si>
    <t>居然之家</t>
  </si>
  <si>
    <t>www.lixinger.com/analytics/company/sz/000785/785/detail</t>
  </si>
  <si>
    <t>宋都股份</t>
  </si>
  <si>
    <t>www.lixinger.com/analytics/company/sh/600077/600077/detail</t>
  </si>
  <si>
    <t>淮北矿业</t>
  </si>
  <si>
    <t>www.lixinger.com/analytics/company/sh/600985/600985/detail</t>
  </si>
  <si>
    <t>三友化工</t>
  </si>
  <si>
    <t>www.lixinger.com/analytics/company/sh/600409/600409/detail</t>
  </si>
  <si>
    <t>浙农股份</t>
  </si>
  <si>
    <t>www.lixinger.com/analytics/company/sz/002758/2758/detail</t>
  </si>
  <si>
    <t>唐山港</t>
  </si>
  <si>
    <t>www.lixinger.com/analytics/company/sh/601000/601000/detail</t>
  </si>
  <si>
    <t>广汇能源</t>
  </si>
  <si>
    <t>www.lixinger.com/analytics/company/sh/600256/600256/detail</t>
  </si>
  <si>
    <t>桂冠电力</t>
  </si>
  <si>
    <t>www.lixinger.com/analytics/company/sh/600236/600236/detail</t>
  </si>
  <si>
    <t>海信视像</t>
  </si>
  <si>
    <t>www.lixinger.com/analytics/company/sh/600060/600060/detail</t>
  </si>
  <si>
    <t>海油发展</t>
  </si>
  <si>
    <t>www.lixinger.com/analytics/company/sh/600968/600968/detail</t>
  </si>
  <si>
    <t>环旭电子</t>
  </si>
  <si>
    <t>www.lixinger.com/analytics/company/sh/601231/601231/detail</t>
  </si>
  <si>
    <t>苏宁易购</t>
  </si>
  <si>
    <t>www.lixinger.com/analytics/company/sz/002024/2024/detail</t>
  </si>
  <si>
    <t>江淮汽车</t>
  </si>
  <si>
    <t>www.lixinger.com/analytics/company/sh/600418/600418/detail</t>
  </si>
  <si>
    <t>浙商证券</t>
  </si>
  <si>
    <t>www.lixinger.com/analytics/company/sh/601878/601878/detail</t>
  </si>
  <si>
    <t>西安银行</t>
  </si>
  <si>
    <t>www.lixinger.com/analytics/company/sh/600928/600928/detail</t>
  </si>
  <si>
    <t>盛和资源</t>
  </si>
  <si>
    <t>www.lixinger.com/analytics/company/sh/600392/600392/detail</t>
  </si>
  <si>
    <t>湘财股份</t>
  </si>
  <si>
    <t>www.lixinger.com/analytics/company/sh/600095/600095/detail</t>
  </si>
  <si>
    <t>中盐化工</t>
  </si>
  <si>
    <t>www.lixinger.com/analytics/company/sh/600328/600328/detail</t>
  </si>
  <si>
    <t>开滦股份</t>
  </si>
  <si>
    <t>www.lixinger.com/analytics/company/sh/600997/600997/detail</t>
  </si>
  <si>
    <t>杭钢股份</t>
  </si>
  <si>
    <t>www.lixinger.com/analytics/company/sh/600126/600126/detail</t>
  </si>
  <si>
    <t>铜陵有色</t>
  </si>
  <si>
    <t>www.lixinger.com/analytics/company/sz/000630/630/detail</t>
  </si>
  <si>
    <t>南华期货</t>
  </si>
  <si>
    <t>www.lixinger.com/analytics/company/sh/603093/603093/detail</t>
  </si>
  <si>
    <t>北辰实业</t>
  </si>
  <si>
    <t>www.lixinger.com/analytics/company/sh/601588/601588/detail</t>
  </si>
  <si>
    <t>宝信软件</t>
  </si>
  <si>
    <t>计算机</t>
  </si>
  <si>
    <t>www.lixinger.com/analytics/company/sh/600845/600845/detail</t>
  </si>
  <si>
    <t>亚泰集团</t>
  </si>
  <si>
    <t>综合</t>
  </si>
  <si>
    <t>www.lixinger.com/analytics/company/sh/600881/600881/detail</t>
  </si>
  <si>
    <t>平煤股份</t>
  </si>
  <si>
    <t>www.lixinger.com/analytics/company/sh/601666/601666/detail</t>
  </si>
  <si>
    <t>重庆百货</t>
  </si>
  <si>
    <t>www.lixinger.com/analytics/company/sh/600729/600729/detail</t>
  </si>
  <si>
    <t>重庆啤酒</t>
  </si>
  <si>
    <t>www.lixinger.com/analytics/company/sh/600132/600132/detail</t>
  </si>
  <si>
    <t>老凤祥Ｂ</t>
  </si>
  <si>
    <t>www.lixinger.com/analytics/company/sh/900905/900905/detail</t>
  </si>
  <si>
    <t>兆驰股份</t>
  </si>
  <si>
    <t>www.lixinger.com/analytics/company/sz/002429/2429/detail</t>
  </si>
  <si>
    <t>锦江在线</t>
  </si>
  <si>
    <t>www.lixinger.com/analytics/company/sh/600650/600650/detail</t>
  </si>
  <si>
    <t>天山铝业</t>
  </si>
  <si>
    <t>www.lixinger.com/analytics/company/sz/002532/2532/detail</t>
  </si>
  <si>
    <t>藏格矿业</t>
  </si>
  <si>
    <t>www.lixinger.com/analytics/company/sz/000408/408/detail</t>
  </si>
  <si>
    <t>张家港行</t>
  </si>
  <si>
    <t>www.lixinger.com/analytics/company/sz/002839/2839/detail</t>
  </si>
  <si>
    <t>兴发集团</t>
  </si>
  <si>
    <t>www.lixinger.com/analytics/company/sh/600141/600141/detail</t>
  </si>
  <si>
    <t>永泰能源</t>
  </si>
  <si>
    <t>www.lixinger.com/analytics/company/sh/600157/600157/detail</t>
  </si>
  <si>
    <t>济川药业</t>
  </si>
  <si>
    <t>www.lixinger.com/analytics/company/sh/600566/600566/detail</t>
  </si>
  <si>
    <t>同仁堂</t>
  </si>
  <si>
    <t>www.lixinger.com/analytics/company/sh/600085/600085/detail</t>
  </si>
  <si>
    <t>爱玛科技</t>
  </si>
  <si>
    <t>www.lixinger.com/analytics/company/sh/603529/603529/detail</t>
  </si>
  <si>
    <t>宁沪高速</t>
  </si>
  <si>
    <t>www.lixinger.com/analytics/company/sh/600377/600377/detail</t>
  </si>
  <si>
    <t>奥泰生物</t>
  </si>
  <si>
    <t>www.lixinger.com/analytics/company/sh/688606/688606/detail</t>
  </si>
  <si>
    <t>粤高速Ｂ</t>
  </si>
  <si>
    <t>www.lixinger.com/analytics/company/sz/200429/200429/detail</t>
  </si>
  <si>
    <t>太钢不锈</t>
  </si>
  <si>
    <t>www.lixinger.com/analytics/company/sz/000825/825/detail</t>
  </si>
  <si>
    <t>天华超净</t>
  </si>
  <si>
    <t>www.lixinger.com/analytics/company/sz/300390/300390/detail</t>
  </si>
  <si>
    <t>京沪高铁</t>
  </si>
  <si>
    <t>www.lixinger.com/analytics/company/sh/601816/601816/detail</t>
  </si>
  <si>
    <t>天音控股</t>
  </si>
  <si>
    <t>www.lixinger.com/analytics/company/sz/000829/829/detail</t>
  </si>
  <si>
    <t>福耀玻璃</t>
  </si>
  <si>
    <t>www.lixinger.com/analytics/company/sh/600660/600660/detail</t>
  </si>
  <si>
    <t>史丹利</t>
  </si>
  <si>
    <t>www.lixinger.com/analytics/company/sz/002588/2588/detail</t>
  </si>
  <si>
    <t>泸州老窖</t>
  </si>
  <si>
    <t>www.lixinger.com/analytics/company/sz/000568/568/detail</t>
  </si>
  <si>
    <t>雷电微力</t>
  </si>
  <si>
    <t>www.lixinger.com/analytics/company/sz/301050/301050/detail</t>
  </si>
  <si>
    <t>东北证券</t>
  </si>
  <si>
    <t>www.lixinger.com/analytics/company/sz/000686/686/detail</t>
  </si>
  <si>
    <t>中国巨石</t>
  </si>
  <si>
    <t>建筑材料</t>
  </si>
  <si>
    <t>www.lixinger.com/analytics/company/sh/600176/600176/detail</t>
  </si>
  <si>
    <t>安通控股</t>
  </si>
  <si>
    <t>www.lixinger.com/analytics/company/sh/600179/600179/detail</t>
  </si>
  <si>
    <t>新湖中宝</t>
  </si>
  <si>
    <t>www.lixinger.com/analytics/company/sh/600208/600208/detail</t>
  </si>
  <si>
    <t>赣锋锂业</t>
  </si>
  <si>
    <t>www.lixinger.com/analytics/company/sz/002460/2460/detail</t>
  </si>
  <si>
    <t>盛屯矿业</t>
  </si>
  <si>
    <t>www.lixinger.com/analytics/company/sh/600711/600711/detail</t>
  </si>
  <si>
    <t>中际旭创</t>
  </si>
  <si>
    <t>www.lixinger.com/analytics/company/sz/300308/300308/detail</t>
  </si>
  <si>
    <t>山西证券</t>
  </si>
  <si>
    <t>www.lixinger.com/analytics/company/sz/002500/2500/detail</t>
  </si>
  <si>
    <t>兰花科创</t>
  </si>
  <si>
    <t>www.lixinger.com/analytics/company/sh/600123/600123/detail</t>
  </si>
  <si>
    <t>长电科技</t>
  </si>
  <si>
    <t>www.lixinger.com/analytics/company/sh/600584/600584/detail</t>
  </si>
  <si>
    <t>捷成股份</t>
  </si>
  <si>
    <t>www.lixinger.com/analytics/company/sz/300182/300182/detail</t>
  </si>
  <si>
    <t>宁波港</t>
  </si>
  <si>
    <t>www.lixinger.com/analytics/company/sh/601018/601018/detail</t>
  </si>
  <si>
    <t>爱尔眼科</t>
  </si>
  <si>
    <t>www.lixinger.com/analytics/company/sz/300015/300015/detail</t>
  </si>
  <si>
    <t>华润微</t>
  </si>
  <si>
    <t>www.lixinger.com/analytics/company/sh/688396/688396/detail</t>
  </si>
  <si>
    <t>菜百股份</t>
  </si>
  <si>
    <t>www.lixinger.com/analytics/company/sh/605599/605599/detail</t>
  </si>
  <si>
    <t>湖北宜化</t>
  </si>
  <si>
    <t>www.lixinger.com/analytics/company/sz/000422/422/detail</t>
  </si>
  <si>
    <t>卫星化学</t>
  </si>
  <si>
    <t>www.lixinger.com/analytics/company/sz/002648/2648/detail</t>
  </si>
  <si>
    <t>北方铜业</t>
  </si>
  <si>
    <t>www.lixinger.com/analytics/company/sz/000737/737/detail</t>
  </si>
  <si>
    <t>大有能源</t>
  </si>
  <si>
    <t>www.lixinger.com/analytics/company/sh/600403/600403/detail</t>
  </si>
  <si>
    <t>美凯龙</t>
  </si>
  <si>
    <t>www.lixinger.com/analytics/company/sh/601828/601828/detail</t>
  </si>
  <si>
    <t>招商轮船</t>
  </si>
  <si>
    <t>www.lixinger.com/analytics/company/sh/601872/601872/detail</t>
  </si>
  <si>
    <t>达安基因</t>
  </si>
  <si>
    <t>www.lixinger.com/analytics/company/sz/002030/2030/detail</t>
  </si>
  <si>
    <t>九丰能源</t>
  </si>
  <si>
    <t>www.lixinger.com/analytics/company/sh/605090/605090/detail</t>
  </si>
  <si>
    <t>粤高速Ａ</t>
  </si>
  <si>
    <t>www.lixinger.com/analytics/company/sz/000429/429/detail</t>
  </si>
  <si>
    <t>海澜之家</t>
  </si>
  <si>
    <t>www.lixinger.com/analytics/company/sh/600398/600398/detail</t>
  </si>
  <si>
    <t>南山铝业</t>
  </si>
  <si>
    <t>www.lixinger.com/analytics/company/sh/600219/600219/detail</t>
  </si>
  <si>
    <t>苏农银行</t>
  </si>
  <si>
    <t>www.lixinger.com/analytics/company/sh/603323/603323/detail</t>
  </si>
  <si>
    <t>燕京啤酒</t>
  </si>
  <si>
    <t>www.lixinger.com/analytics/company/sz/000729/729/detail</t>
  </si>
  <si>
    <t>浙江永强</t>
  </si>
  <si>
    <t>轻工制造</t>
  </si>
  <si>
    <t>www.lixinger.com/analytics/company/sz/002489/2489/detail</t>
  </si>
  <si>
    <t>三一重工</t>
  </si>
  <si>
    <t>www.lixinger.com/analytics/company/sh/600031/600031/detail</t>
  </si>
  <si>
    <t>新潮能源</t>
  </si>
  <si>
    <t>www.lixinger.com/analytics/company/sh/600777/600777/detail</t>
  </si>
  <si>
    <t>远兴能源</t>
  </si>
  <si>
    <t>www.lixinger.com/analytics/company/sz/000683/683/detail</t>
  </si>
  <si>
    <t>大全能源</t>
  </si>
  <si>
    <t>电力设备</t>
  </si>
  <si>
    <t>www.lixinger.com/analytics/company/sh/688303/688303/detail</t>
  </si>
  <si>
    <t>博拓生物</t>
  </si>
  <si>
    <t>www.lixinger.com/analytics/company/sh/688767/688767/detail</t>
  </si>
  <si>
    <t>中华企业</t>
  </si>
  <si>
    <t>www.lixinger.com/analytics/company/sh/600675/600675/detail</t>
  </si>
  <si>
    <t>福田汽车</t>
  </si>
  <si>
    <t>www.lixinger.com/analytics/company/sh/600166/600166/detail</t>
  </si>
  <si>
    <t>家家悦</t>
  </si>
  <si>
    <t>www.lixinger.com/analytics/company/sh/603708/603708/detail</t>
  </si>
  <si>
    <t>云天化</t>
  </si>
  <si>
    <t>www.lixinger.com/analytics/company/sh/600096/600096/detail</t>
  </si>
  <si>
    <t>白云山</t>
  </si>
  <si>
    <t>www.lixinger.com/analytics/company/sh/600332/600332/detail</t>
  </si>
  <si>
    <t>周大生</t>
  </si>
  <si>
    <t>www.lixinger.com/analytics/company/sz/002867/2867/detail</t>
  </si>
  <si>
    <t>华孚时尚</t>
  </si>
  <si>
    <t>www.lixinger.com/analytics/company/sz/002042/2042/detail</t>
  </si>
  <si>
    <t>包钢股份</t>
  </si>
  <si>
    <t>www.lixinger.com/analytics/company/sh/600010/600010/detail</t>
  </si>
  <si>
    <t>中国西电</t>
  </si>
  <si>
    <t>www.lixinger.com/analytics/company/sh/601179/601179/detail</t>
  </si>
  <si>
    <t>冠城大通</t>
  </si>
  <si>
    <t>www.lixinger.com/analytics/company/sh/600067/600067/detail</t>
  </si>
  <si>
    <t>青岛港</t>
  </si>
  <si>
    <t>www.lixinger.com/analytics/company/sh/601298/601298/detail</t>
  </si>
  <si>
    <t>广信股份</t>
  </si>
  <si>
    <t>www.lixinger.com/analytics/company/sh/603599/603599/detail</t>
  </si>
  <si>
    <t>健康元</t>
  </si>
  <si>
    <t>www.lixinger.com/analytics/company/sh/600380/600380/detail</t>
  </si>
  <si>
    <t>扬农化工</t>
  </si>
  <si>
    <t>www.lixinger.com/analytics/company/sh/600486/600486/detail</t>
  </si>
  <si>
    <t>中公教育</t>
  </si>
  <si>
    <t>社会服务</t>
  </si>
  <si>
    <t>www.lixinger.com/analytics/company/sz/002607/2607/detail</t>
  </si>
  <si>
    <t>君正集团</t>
  </si>
  <si>
    <t>www.lixinger.com/analytics/company/sh/601216/601216/detail</t>
  </si>
  <si>
    <t>辉隆股份</t>
  </si>
  <si>
    <t>www.lixinger.com/analytics/company/sz/002556/2556/detail</t>
  </si>
  <si>
    <t>金能科技</t>
  </si>
  <si>
    <t>www.lixinger.com/analytics/company/sh/603113/603113/detail</t>
  </si>
  <si>
    <t>中国国贸</t>
  </si>
  <si>
    <t>www.lixinger.com/analytics/company/sh/600007/600007/detail</t>
  </si>
  <si>
    <t>驰宏锌锗</t>
  </si>
  <si>
    <t>www.lixinger.com/analytics/company/sh/600497/600497/detail</t>
  </si>
  <si>
    <t>西藏城投</t>
  </si>
  <si>
    <t>www.lixinger.com/analytics/company/sh/600773/600773/detail</t>
  </si>
  <si>
    <t>迈瑞医疗</t>
  </si>
  <si>
    <t>www.lixinger.com/analytics/company/sz/300760/300760/detail</t>
  </si>
  <si>
    <t>招港B</t>
  </si>
  <si>
    <t>www.lixinger.com/analytics/company/sz/201872/201872/detail</t>
  </si>
  <si>
    <t>东方日升</t>
  </si>
  <si>
    <t>www.lixinger.com/analytics/company/sz/300118/300118/detail</t>
  </si>
  <si>
    <t>三七互娱</t>
  </si>
  <si>
    <t>www.lixinger.com/analytics/company/sz/002555/2555/detail</t>
  </si>
  <si>
    <t>新集能源</t>
  </si>
  <si>
    <t>www.lixinger.com/analytics/company/sh/601918/601918/detail</t>
  </si>
  <si>
    <t>指南针</t>
  </si>
  <si>
    <t>www.lixinger.com/analytics/company/sz/300803/300803/detail</t>
  </si>
  <si>
    <t>冠农股份</t>
  </si>
  <si>
    <t>www.lixinger.com/analytics/company/sh/600251/600251/detail</t>
  </si>
  <si>
    <t>百联股份</t>
  </si>
  <si>
    <t>www.lixinger.com/analytics/company/sh/600827/600827/detail</t>
  </si>
  <si>
    <t>上机数控</t>
  </si>
  <si>
    <t>www.lixinger.com/analytics/company/sh/603185/603185/detail</t>
  </si>
  <si>
    <t>闰土股份</t>
  </si>
  <si>
    <t>www.lixinger.com/analytics/company/sz/002440/2440/detail</t>
  </si>
  <si>
    <t>内蒙华电</t>
  </si>
  <si>
    <t>www.lixinger.com/analytics/company/sh/600863/600863/detail</t>
  </si>
  <si>
    <t>益丰药房</t>
  </si>
  <si>
    <t>www.lixinger.com/analytics/company/sh/603939/603939/detail</t>
  </si>
  <si>
    <t>中谷物流</t>
  </si>
  <si>
    <t>www.lixinger.com/analytics/company/sh/603565/603565/detail</t>
  </si>
  <si>
    <t>青岛啤酒</t>
  </si>
  <si>
    <t>www.lixinger.com/analytics/company/sh/600600/600600/detail</t>
  </si>
  <si>
    <t>长安Ｂ</t>
  </si>
  <si>
    <t>www.lixinger.com/analytics/company/sz/200625/200625/detail</t>
  </si>
  <si>
    <t>东方能源</t>
  </si>
  <si>
    <t>www.lixinger.com/analytics/company/sz/000958/958/detail</t>
  </si>
  <si>
    <t>上海家化</t>
  </si>
  <si>
    <t>美容护理</t>
  </si>
  <si>
    <t>www.lixinger.com/analytics/company/sh/600315/600315/detail</t>
  </si>
  <si>
    <t>梅花生物</t>
  </si>
  <si>
    <t>www.lixinger.com/analytics/company/sh/600873/600873/detail</t>
  </si>
  <si>
    <t>丽珠集团</t>
  </si>
  <si>
    <t>www.lixinger.com/analytics/company/sz/000513/513/detail</t>
  </si>
  <si>
    <t>老白干酒</t>
  </si>
  <si>
    <t>www.lixinger.com/analytics/company/sh/600559/600559/detail</t>
  </si>
  <si>
    <t>苏盐井神</t>
  </si>
  <si>
    <t>www.lixinger.com/analytics/company/sh/603299/603299/detail</t>
  </si>
  <si>
    <t>亚辉龙</t>
  </si>
  <si>
    <t>www.lixinger.com/analytics/company/sh/688575/688575/detail</t>
  </si>
  <si>
    <t>片仔癀</t>
  </si>
  <si>
    <t>www.lixinger.com/analytics/company/sh/600436/600436/detail</t>
  </si>
  <si>
    <t>连云港</t>
  </si>
  <si>
    <t>www.lixinger.com/analytics/company/sh/601008/601008/detail</t>
  </si>
  <si>
    <t>以岭药业</t>
  </si>
  <si>
    <t>www.lixinger.com/analytics/company/sz/002603/2603/detail</t>
  </si>
  <si>
    <t>皖通高速</t>
  </si>
  <si>
    <t>www.lixinger.com/analytics/company/sh/600012/600012/detail</t>
  </si>
  <si>
    <t>九阳股份</t>
  </si>
  <si>
    <t>www.lixinger.com/analytics/company/sz/002242/2242/detail</t>
  </si>
  <si>
    <t>鄂尔多斯</t>
  </si>
  <si>
    <t>www.lixinger.com/analytics/company/sh/600295/600295/detail</t>
  </si>
  <si>
    <t>华能国际</t>
  </si>
  <si>
    <t>www.lixinger.com/analytics/company/sh/600011/600011/detail</t>
  </si>
  <si>
    <t>云图控股</t>
  </si>
  <si>
    <t>www.lixinger.com/analytics/company/sz/002539/2539/detail</t>
  </si>
  <si>
    <t>大秦铁路</t>
  </si>
  <si>
    <t>www.lixinger.com/analytics/company/sh/601006/601006/detail</t>
  </si>
  <si>
    <t>君实生物</t>
  </si>
  <si>
    <t>www.lixinger.com/analytics/company/sh/688180/688180/detail</t>
  </si>
  <si>
    <t>一汽富维</t>
  </si>
  <si>
    <t>www.lixinger.com/analytics/company/sh/600742/600742/detail</t>
  </si>
  <si>
    <t>伊泰Ｂ股</t>
  </si>
  <si>
    <t>www.lixinger.com/analytics/company/sh/900948/900948/detail</t>
  </si>
  <si>
    <t>银泰黄金</t>
  </si>
  <si>
    <t>www.lixinger.com/analytics/company/sz/000975/975/detail</t>
  </si>
  <si>
    <t>招商港口</t>
  </si>
  <si>
    <t>www.lixinger.com/analytics/company/sz/001872/1872/detail</t>
  </si>
  <si>
    <t>迎驾贡酒</t>
  </si>
  <si>
    <t>www.lixinger.com/analytics/company/sh/603198/603198/detail</t>
  </si>
  <si>
    <t>龙大美食</t>
  </si>
  <si>
    <t>www.lixinger.com/analytics/company/sz/002726/2726/detail</t>
  </si>
  <si>
    <t>澳洋健康</t>
  </si>
  <si>
    <t>www.lixinger.com/analytics/company/sz/002172/2172/detail</t>
  </si>
  <si>
    <t>大参林</t>
  </si>
  <si>
    <t>www.lixinger.com/analytics/company/sh/603233/603233/detail</t>
  </si>
  <si>
    <t>亚普股份</t>
  </si>
  <si>
    <t>www.lixinger.com/analytics/company/sh/603013/603013/detail</t>
  </si>
  <si>
    <t>东阿阿胶</t>
  </si>
  <si>
    <t>www.lixinger.com/analytics/company/sz/000423/423/detail</t>
  </si>
  <si>
    <t>攀钢钒钛</t>
  </si>
  <si>
    <t>www.lixinger.com/analytics/company/sz/000629/629/detail</t>
  </si>
  <si>
    <t>昊华能源</t>
  </si>
  <si>
    <t>www.lixinger.com/analytics/company/sh/601101/601101/detail</t>
  </si>
  <si>
    <t>酒钢宏兴</t>
  </si>
  <si>
    <t>www.lixinger.com/analytics/company/sh/600307/600307/detail</t>
  </si>
  <si>
    <t>阳煤化工</t>
  </si>
  <si>
    <t>www.lixinger.com/analytics/company/sh/600691/600691/detail</t>
  </si>
  <si>
    <t>华银电力</t>
  </si>
  <si>
    <t>www.lixinger.com/analytics/company/sh/600744/600744/detail</t>
  </si>
  <si>
    <t>工业富联</t>
  </si>
  <si>
    <t>www.lixinger.com/analytics/company/sh/601138/601138/detail</t>
  </si>
  <si>
    <t>长安汽车</t>
  </si>
  <si>
    <t>www.lixinger.com/analytics/company/sz/000625/625/detail</t>
  </si>
  <si>
    <t>德邦股份</t>
  </si>
  <si>
    <t>www.lixinger.com/analytics/company/sh/603056/603056/detail</t>
  </si>
  <si>
    <t>光弘科技</t>
  </si>
  <si>
    <t>www.lixinger.com/analytics/company/sz/300735/300735/detail</t>
  </si>
  <si>
    <t>怡球资源</t>
  </si>
  <si>
    <t>www.lixinger.com/analytics/company/sh/601388/601388/detail</t>
  </si>
  <si>
    <t>西南证券</t>
  </si>
  <si>
    <t>www.lixinger.com/analytics/company/sh/600369/600369/detail</t>
  </si>
  <si>
    <t>二三四五</t>
  </si>
  <si>
    <t>www.lixinger.com/analytics/company/sz/002195/2195/detail</t>
  </si>
  <si>
    <t>新安股份</t>
  </si>
  <si>
    <t>www.lixinger.com/analytics/company/sh/600596/600596/detail</t>
  </si>
  <si>
    <t>宝新能源</t>
  </si>
  <si>
    <t>www.lixinger.com/analytics/company/sz/000690/690/detail</t>
  </si>
  <si>
    <t>圣湘生物</t>
  </si>
  <si>
    <t>www.lixinger.com/analytics/company/sh/688289/688289/detail</t>
  </si>
  <si>
    <t>福建高速</t>
  </si>
  <si>
    <t>www.lixinger.com/analytics/company/sh/600033/600033/detail</t>
  </si>
  <si>
    <t>秦港股份</t>
  </si>
  <si>
    <t>www.lixinger.com/analytics/company/sh/601326/601326/detail</t>
  </si>
  <si>
    <t>迪阿股份</t>
  </si>
  <si>
    <t>www.lixinger.com/analytics/company/sz/301177/301177/detail</t>
  </si>
  <si>
    <t>祁连山</t>
  </si>
  <si>
    <t>www.lixinger.com/analytics/company/sh/600720/600720/detail</t>
  </si>
  <si>
    <t>生益科技</t>
  </si>
  <si>
    <t>www.lixinger.com/analytics/company/sh/600183/600183/detail</t>
  </si>
  <si>
    <t>ST金正</t>
  </si>
  <si>
    <t>www.lixinger.com/analytics/company/sz/002470/2470/detail</t>
  </si>
  <si>
    <t>大众公用</t>
  </si>
  <si>
    <t>www.lixinger.com/analytics/company/sh/600635/600635/detail</t>
  </si>
  <si>
    <t>深圳华强</t>
  </si>
  <si>
    <t>www.lixinger.com/analytics/company/sz/000062/62/detail</t>
  </si>
  <si>
    <t>北方导航</t>
  </si>
  <si>
    <t>www.lixinger.com/analytics/company/sh/600435/600435/detail</t>
  </si>
  <si>
    <t>陕西建工</t>
  </si>
  <si>
    <t>建筑装饰</t>
  </si>
  <si>
    <t>www.lixinger.com/analytics/company/sh/600248/600248/detail</t>
  </si>
  <si>
    <t>京能电力</t>
  </si>
  <si>
    <t>www.lixinger.com/analytics/company/sh/600578/600578/detail</t>
  </si>
  <si>
    <t>普路通</t>
  </si>
  <si>
    <t>www.lixinger.com/analytics/company/sz/002769/2769/detail</t>
  </si>
  <si>
    <t>美锦能源</t>
  </si>
  <si>
    <t>www.lixinger.com/analytics/company/sz/000723/723/detail</t>
  </si>
  <si>
    <t>比音勒芬</t>
  </si>
  <si>
    <t>www.lixinger.com/analytics/company/sz/002832/2832/detail</t>
  </si>
  <si>
    <t>新疆天业</t>
  </si>
  <si>
    <t>www.lixinger.com/analytics/company/sh/600075/600075/detail</t>
  </si>
  <si>
    <t>张裕Ｂ</t>
  </si>
  <si>
    <t>www.lixinger.com/analytics/company/sz/200869/200869/detail</t>
  </si>
  <si>
    <t>葵花药业</t>
  </si>
  <si>
    <t>www.lixinger.com/analytics/company/sz/002737/2737/detail</t>
  </si>
  <si>
    <t>鱼跃医疗</t>
  </si>
  <si>
    <t>www.lixinger.com/analytics/company/sz/002223/2223/detail</t>
  </si>
  <si>
    <t>天原股份</t>
  </si>
  <si>
    <t>www.lixinger.com/analytics/company/sz/002386/2386/detail</t>
  </si>
  <si>
    <t>友阿股份</t>
  </si>
  <si>
    <t>www.lixinger.com/analytics/company/sz/002277/2277/detail</t>
  </si>
  <si>
    <t>黔源电力</t>
  </si>
  <si>
    <t>www.lixinger.com/analytics/company/sz/002039/2039/detail</t>
  </si>
  <si>
    <t>珈伟新能</t>
  </si>
  <si>
    <t>www.lixinger.com/analytics/company/sz/300317/300317/detail</t>
  </si>
  <si>
    <t>和邦生物</t>
  </si>
  <si>
    <t>www.lixinger.com/analytics/company/sh/603077/603077/detail</t>
  </si>
  <si>
    <t>顺发恒业</t>
  </si>
  <si>
    <t>www.lixinger.com/analytics/company/sz/000631/631/detail</t>
  </si>
  <si>
    <t>天源迪科</t>
  </si>
  <si>
    <t>www.lixinger.com/analytics/company/sz/300047/300047/detail</t>
  </si>
  <si>
    <t>中信特钢</t>
  </si>
  <si>
    <t>www.lixinger.com/analytics/company/sz/000708/708/detail</t>
  </si>
  <si>
    <t>天际股份</t>
  </si>
  <si>
    <t>www.lixinger.com/analytics/company/sz/002759/2759/detail</t>
  </si>
  <si>
    <t>石大胜华</t>
  </si>
  <si>
    <t>www.lixinger.com/analytics/company/sh/603026/603026/detail</t>
  </si>
  <si>
    <t>华昌化工</t>
  </si>
  <si>
    <t>www.lixinger.com/analytics/company/sz/002274/2274/detail</t>
  </si>
  <si>
    <t>恺英网络</t>
  </si>
  <si>
    <t>www.lixinger.com/analytics/company/sz/002517/2517/detail</t>
  </si>
  <si>
    <t>舍得酒业</t>
  </si>
  <si>
    <t>www.lixinger.com/analytics/company/sh/600702/600702/detail</t>
  </si>
  <si>
    <t>神州泰岳</t>
  </si>
  <si>
    <t>www.lixinger.com/analytics/company/sz/300002/300002/detail</t>
  </si>
  <si>
    <t>吉比特</t>
  </si>
  <si>
    <t>www.lixinger.com/analytics/company/sh/603444/603444/detail</t>
  </si>
  <si>
    <t>上海莱士</t>
  </si>
  <si>
    <t>www.lixinger.com/analytics/company/sz/002252/2252/detail</t>
  </si>
  <si>
    <t>捷佳伟创</t>
  </si>
  <si>
    <t>www.lixinger.com/analytics/company/sz/300724/300724/detail</t>
  </si>
  <si>
    <t>茂化实华</t>
  </si>
  <si>
    <t>www.lixinger.com/analytics/company/sz/000637/637/detail</t>
  </si>
  <si>
    <t>今世缘</t>
  </si>
  <si>
    <t>www.lixinger.com/analytics/company/sh/603369/603369/detail</t>
  </si>
  <si>
    <t>硕世生物</t>
  </si>
  <si>
    <t>www.lixinger.com/analytics/company/sh/688399/688399/detail</t>
  </si>
  <si>
    <t>华润三九</t>
  </si>
  <si>
    <t>www.lixinger.com/analytics/company/sz/000999/999/detail</t>
  </si>
  <si>
    <t>佳云科技</t>
  </si>
  <si>
    <t>www.lixinger.com/analytics/company/sz/300242/300242/detail</t>
  </si>
  <si>
    <t>帝科股份</t>
  </si>
  <si>
    <t>www.lixinger.com/analytics/company/sz/300842/300842/detail</t>
  </si>
  <si>
    <t>冠豪高新</t>
  </si>
  <si>
    <t>www.lixinger.com/analytics/company/sh/600433/600433/detail</t>
  </si>
  <si>
    <t>江特电机</t>
  </si>
  <si>
    <t>www.lixinger.com/analytics/company/sz/002176/2176/detail</t>
  </si>
  <si>
    <t>安凯客车</t>
  </si>
  <si>
    <t>www.lixinger.com/analytics/company/sz/000868/868/detail</t>
  </si>
  <si>
    <t>海南矿业</t>
  </si>
  <si>
    <t>www.lixinger.com/analytics/company/sh/601969/601969/detail</t>
  </si>
  <si>
    <t>珀莱雅</t>
  </si>
  <si>
    <t>www.lixinger.com/analytics/company/sh/603605/603605/detail</t>
  </si>
  <si>
    <t>昆仑万维</t>
  </si>
  <si>
    <t>www.lixinger.com/analytics/company/sz/300418/300418/detail</t>
  </si>
  <si>
    <t>郑州煤电</t>
  </si>
  <si>
    <t>www.lixinger.com/analytics/company/sh/600121/600121/detail</t>
  </si>
  <si>
    <t>赣粤高速</t>
  </si>
  <si>
    <t>www.lixinger.com/analytics/company/sh/600269/600269/detail</t>
  </si>
  <si>
    <t>安阳钢铁</t>
  </si>
  <si>
    <t>www.lixinger.com/analytics/company/sh/600569/600569/detail</t>
  </si>
  <si>
    <t>苏泊尔</t>
  </si>
  <si>
    <t>www.lixinger.com/analytics/company/sz/002032/2032/detail</t>
  </si>
  <si>
    <t>张裕Ａ</t>
  </si>
  <si>
    <t>www.lixinger.com/analytics/company/sz/000869/869/detail</t>
  </si>
  <si>
    <t>焦作万方</t>
  </si>
  <si>
    <t>www.lixinger.com/analytics/company/sz/000612/612/detail</t>
  </si>
  <si>
    <t>山西路桥</t>
  </si>
  <si>
    <t>www.lixinger.com/analytics/company/sz/000755/755/detail</t>
  </si>
  <si>
    <t>江山股份</t>
  </si>
  <si>
    <t>www.lixinger.com/analytics/company/sh/600389/600389/detail</t>
  </si>
  <si>
    <t>四川美丰</t>
  </si>
  <si>
    <t>www.lixinger.com/analytics/company/sz/000731/731/detail</t>
  </si>
  <si>
    <t>星宇股份</t>
  </si>
  <si>
    <t>www.lixinger.com/analytics/company/sh/601799/601799/detail</t>
  </si>
  <si>
    <t>日照港</t>
  </si>
  <si>
    <t>www.lixinger.com/analytics/company/sh/600017/600017/detail</t>
  </si>
  <si>
    <t>新媒股份</t>
  </si>
  <si>
    <t>www.lixinger.com/analytics/company/sz/300770/300770/detail</t>
  </si>
  <si>
    <t>大中矿业</t>
  </si>
  <si>
    <t>www.lixinger.com/analytics/company/sz/001203/1203/detail</t>
  </si>
  <si>
    <t>安宁股份</t>
  </si>
  <si>
    <t>www.lixinger.com/analytics/company/sz/002978/2978/detail</t>
  </si>
  <si>
    <t>新疆众和</t>
  </si>
  <si>
    <t>www.lixinger.com/analytics/company/sh/600888/600888/detail</t>
  </si>
  <si>
    <t>西藏矿业</t>
  </si>
  <si>
    <t>www.lixinger.com/analytics/company/sz/000762/762/detail</t>
  </si>
  <si>
    <t>国药现代</t>
  </si>
  <si>
    <t>www.lixinger.com/analytics/company/sh/600420/600420/detail</t>
  </si>
  <si>
    <t>皖维高新</t>
  </si>
  <si>
    <t>www.lixinger.com/analytics/company/sh/600063/600063/detail</t>
  </si>
  <si>
    <t>新日股份</t>
  </si>
  <si>
    <t>www.lixinger.com/analytics/company/sh/603787/603787/detail</t>
  </si>
  <si>
    <t>中联重科</t>
  </si>
  <si>
    <t>www.lixinger.com/analytics/company/sz/000157/157/detail</t>
  </si>
  <si>
    <t>中百集团</t>
  </si>
  <si>
    <t>www.lixinger.com/analytics/company/sz/000759/759/detail</t>
  </si>
  <si>
    <t>北元集团</t>
  </si>
  <si>
    <t>www.lixinger.com/analytics/company/sh/601568/601568/detail</t>
  </si>
  <si>
    <t>浙版传媒</t>
  </si>
  <si>
    <t>www.lixinger.com/analytics/company/sh/601921/601921/detail</t>
  </si>
  <si>
    <t>皖能电力</t>
  </si>
  <si>
    <t>www.lixinger.com/analytics/company/sz/000543/543/detail</t>
  </si>
  <si>
    <t>兴化股份</t>
  </si>
  <si>
    <t>www.lixinger.com/analytics/company/sz/002109/2109/detail</t>
  </si>
  <si>
    <t>辽宁能源</t>
  </si>
  <si>
    <t>www.lixinger.com/analytics/company/sh/600758/600758/detail</t>
  </si>
  <si>
    <t>安井食品</t>
  </si>
  <si>
    <t>www.lixinger.com/analytics/company/sh/603345/603345/detail</t>
  </si>
  <si>
    <t>迪马股份</t>
  </si>
  <si>
    <t>www.lixinger.com/analytics/company/sh/600565/600565/detail</t>
  </si>
  <si>
    <t>天保基建</t>
  </si>
  <si>
    <t>www.lixinger.com/analytics/company/sz/000965/965/detail</t>
  </si>
  <si>
    <t>美畅股份</t>
  </si>
  <si>
    <t>www.lixinger.com/analytics/company/sz/300861/300861/detail</t>
  </si>
  <si>
    <t>华特达因</t>
  </si>
  <si>
    <t>www.lixinger.com/analytics/company/sz/000915/915/detail</t>
  </si>
  <si>
    <t>江苏索普</t>
  </si>
  <si>
    <t>www.lixinger.com/analytics/company/sh/600746/600746/detail</t>
  </si>
  <si>
    <t>绝味食品</t>
  </si>
  <si>
    <t>www.lixinger.com/analytics/company/sh/603517/603517/detail</t>
  </si>
  <si>
    <t>中兴通讯</t>
  </si>
  <si>
    <t>www.lixinger.com/analytics/company/sz/000063/63/detail</t>
  </si>
  <si>
    <t>长信科技</t>
  </si>
  <si>
    <t>www.lixinger.com/analytics/company/sz/300088/300088/detail</t>
  </si>
  <si>
    <t>三只松鼠</t>
  </si>
  <si>
    <t>www.lixinger.com/analytics/company/sz/300783/300783/detail</t>
  </si>
  <si>
    <t>奥美医疗</t>
  </si>
  <si>
    <t>www.lixinger.com/analytics/company/sz/002950/2950/detail</t>
  </si>
  <si>
    <t>泸天化</t>
  </si>
  <si>
    <t>www.lixinger.com/analytics/company/sz/000912/912/detail</t>
  </si>
  <si>
    <t>五洲交通</t>
  </si>
  <si>
    <t>www.lixinger.com/analytics/company/sh/600368/600368/detail</t>
  </si>
  <si>
    <t>安德利</t>
  </si>
  <si>
    <t>www.lixinger.com/analytics/company/sh/603031/603031/detail</t>
  </si>
  <si>
    <t>领益智造</t>
  </si>
  <si>
    <t>www.lixinger.com/analytics/company/sz/002600/2600/detail</t>
  </si>
  <si>
    <t>金徽酒</t>
  </si>
  <si>
    <t>www.lixinger.com/analytics/company/sh/603919/603919/detail</t>
  </si>
  <si>
    <t>靖远煤电</t>
  </si>
  <si>
    <t>www.lixinger.com/analytics/company/sz/000552/552/detail</t>
  </si>
  <si>
    <t>通鼎互联</t>
  </si>
  <si>
    <t>www.lixinger.com/analytics/company/sz/002491/2491/detail</t>
  </si>
  <si>
    <t>ST中孚</t>
  </si>
  <si>
    <t>www.lixinger.com/analytics/company/sh/600595/600595/detail</t>
  </si>
  <si>
    <t>锡业股份</t>
  </si>
  <si>
    <t>www.lixinger.com/analytics/company/sz/000960/960/detail</t>
  </si>
  <si>
    <t>双环科技</t>
  </si>
  <si>
    <t>www.lixinger.com/analytics/company/sz/000707/707/detail</t>
  </si>
  <si>
    <t>马钢股份</t>
  </si>
  <si>
    <t>www.lixinger.com/analytics/company/sh/600808/600808/detail</t>
  </si>
  <si>
    <t>银座股份</t>
  </si>
  <si>
    <t>www.lixinger.com/analytics/company/sh/600858/600858/detail</t>
  </si>
  <si>
    <t>海峡股份</t>
  </si>
  <si>
    <t>www.lixinger.com/analytics/company/sz/002320/2320/detail</t>
  </si>
  <si>
    <t>龙洲股份</t>
  </si>
  <si>
    <t>www.lixinger.com/analytics/company/sz/002682/2682/detail</t>
  </si>
  <si>
    <t>永兴材料</t>
  </si>
  <si>
    <t>www.lixinger.com/analytics/company/sz/002756/2756/detail</t>
  </si>
  <si>
    <t>楚天高速</t>
  </si>
  <si>
    <t>www.lixinger.com/analytics/company/sh/600035/600035/detail</t>
  </si>
  <si>
    <t>农产品</t>
  </si>
  <si>
    <t>www.lixinger.com/analytics/company/sz/000061/61/detail</t>
  </si>
  <si>
    <t>晨鸣Ｂ</t>
  </si>
  <si>
    <t>www.lixinger.com/analytics/company/sz/200488/200488/detail</t>
  </si>
  <si>
    <t>泰格医药</t>
  </si>
  <si>
    <t>www.lixinger.com/analytics/company/sz/300347/300347/detail</t>
  </si>
  <si>
    <t>九洲药业</t>
  </si>
  <si>
    <t>www.lixinger.com/analytics/company/sh/603456/603456/detail</t>
  </si>
  <si>
    <t>航天工程</t>
  </si>
  <si>
    <t>www.lixinger.com/analytics/company/sh/603698/603698/detail</t>
  </si>
  <si>
    <t>南京新百</t>
  </si>
  <si>
    <t>www.lixinger.com/analytics/company/sh/600682/600682/detail</t>
  </si>
  <si>
    <t>华联综超</t>
  </si>
  <si>
    <t>www.lixinger.com/analytics/company/sh/600361/600361/detail</t>
  </si>
  <si>
    <t>豫光金铅</t>
  </si>
  <si>
    <t>www.lixinger.com/analytics/company/sh/600531/600531/detail</t>
  </si>
  <si>
    <t>泰禾集团</t>
  </si>
  <si>
    <t>www.lixinger.com/analytics/company/sz/000732/732/detail</t>
  </si>
  <si>
    <t>远东股份</t>
  </si>
  <si>
    <t>www.lixinger.com/analytics/company/sh/600869/600869/detail</t>
  </si>
  <si>
    <t>圣邦股份</t>
  </si>
  <si>
    <t>www.lixinger.com/analytics/company/sz/300661/300661/detail</t>
  </si>
  <si>
    <t>爱美客</t>
  </si>
  <si>
    <t>www.lixinger.com/analytics/company/sz/300896/300896/detail</t>
  </si>
  <si>
    <t>国投中鲁</t>
  </si>
  <si>
    <t>www.lixinger.com/analytics/company/sh/600962/600962/detail</t>
  </si>
  <si>
    <t>金力泰</t>
  </si>
  <si>
    <t>www.lixinger.com/analytics/company/sz/300225/300225/detail</t>
  </si>
  <si>
    <t>恒源煤电</t>
  </si>
  <si>
    <t>www.lixinger.com/analytics/company/sh/600971/600971/detail</t>
  </si>
  <si>
    <t>明德生物</t>
  </si>
  <si>
    <t>www.lixinger.com/analytics/company/sz/002932/2932/detail</t>
  </si>
  <si>
    <t>新宙邦</t>
  </si>
  <si>
    <t>www.lixinger.com/analytics/company/sz/300037/300037/detail</t>
  </si>
  <si>
    <t>华贸物流</t>
  </si>
  <si>
    <t>www.lixinger.com/analytics/company/sh/603128/603128/detail</t>
  </si>
  <si>
    <t>步长制药</t>
  </si>
  <si>
    <t>www.lixinger.com/analytics/company/sh/603858/603858/detail</t>
  </si>
  <si>
    <t>恩华药业</t>
  </si>
  <si>
    <t>www.lixinger.com/analytics/company/sz/002262/2262/detail</t>
  </si>
  <si>
    <t>杭州解百</t>
  </si>
  <si>
    <t>www.lixinger.com/analytics/company/sh/600814/600814/detail</t>
  </si>
  <si>
    <t>乐普医疗</t>
  </si>
  <si>
    <t>www.lixinger.com/analytics/company/sz/300003/300003/detail</t>
  </si>
  <si>
    <t>百隆东方</t>
  </si>
  <si>
    <t>www.lixinger.com/analytics/company/sh/601339/601339/detail</t>
  </si>
  <si>
    <t>南方传媒</t>
  </si>
  <si>
    <t>www.lixinger.com/analytics/company/sh/601900/601900/detail</t>
  </si>
  <si>
    <t>华夏航空</t>
  </si>
  <si>
    <t>www.lixinger.com/analytics/company/sz/002928/2928/detail</t>
  </si>
  <si>
    <t>中曼石油</t>
  </si>
  <si>
    <t>www.lixinger.com/analytics/company/sh/603619/603619/detail</t>
  </si>
  <si>
    <t>新华百货</t>
  </si>
  <si>
    <t>www.lixinger.com/analytics/company/sh/600785/600785/detail</t>
  </si>
  <si>
    <t>明牌珠宝</t>
  </si>
  <si>
    <t>www.lixinger.com/analytics/company/sz/002574/2574/detail</t>
  </si>
  <si>
    <t>深高速</t>
  </si>
  <si>
    <t>www.lixinger.com/analytics/company/sh/600548/600548/detail</t>
  </si>
  <si>
    <t>亿嘉和</t>
  </si>
  <si>
    <t>www.lixinger.com/analytics/company/sh/603666/603666/detail</t>
  </si>
  <si>
    <t>三江购物</t>
  </si>
  <si>
    <t>www.lixinger.com/analytics/company/sh/601116/601116/detail</t>
  </si>
  <si>
    <t>兖矿能源</t>
  </si>
  <si>
    <t>www.lixinger.com/analytics/company/sh/600188/600188/detail</t>
  </si>
  <si>
    <t>鲁西化工</t>
  </si>
  <si>
    <t>www.lixinger.com/analytics/company/sz/000830/830/detail</t>
  </si>
  <si>
    <t>长春高新</t>
  </si>
  <si>
    <t>www.lixinger.com/analytics/company/sz/000661/661/detail</t>
  </si>
  <si>
    <t>西藏珠峰</t>
  </si>
  <si>
    <t>www.lixinger.com/analytics/company/sh/600338/600338/detail</t>
  </si>
  <si>
    <t>三峡旅游</t>
  </si>
  <si>
    <t>www.lixinger.com/analytics/company/sz/002627/2627/detail</t>
  </si>
  <si>
    <t>东方嘉盛</t>
  </si>
  <si>
    <t>www.lixinger.com/analytics/company/sz/002889/2889/detail</t>
  </si>
  <si>
    <t>通化东宝</t>
  </si>
  <si>
    <t>www.lixinger.com/analytics/company/sh/600867/600867/detail</t>
  </si>
  <si>
    <t>建车B</t>
  </si>
  <si>
    <t>www.lixinger.com/analytics/company/sz/200054/200054/detail</t>
  </si>
  <si>
    <t>澜起科技</t>
  </si>
  <si>
    <t>www.lixinger.com/analytics/company/sh/688008/688008/detail</t>
  </si>
  <si>
    <t>电连技术</t>
  </si>
  <si>
    <t>www.lixinger.com/analytics/company/sz/300679/300679/detail</t>
  </si>
  <si>
    <t>中闽能源</t>
  </si>
  <si>
    <t>www.lixinger.com/analytics/company/sh/600163/600163/detail</t>
  </si>
  <si>
    <t>本钢板Ｂ</t>
  </si>
  <si>
    <t>www.lixinger.com/analytics/company/sz/200761/200761/detail</t>
  </si>
  <si>
    <t>润邦股份</t>
  </si>
  <si>
    <t>www.lixinger.com/analytics/company/sz/002483/2483/detail</t>
  </si>
  <si>
    <t>大商股份</t>
  </si>
  <si>
    <t>www.lixinger.com/analytics/company/sh/600694/600694/detail</t>
  </si>
  <si>
    <t>晨鸣纸业</t>
  </si>
  <si>
    <t>www.lixinger.com/analytics/company/sz/000488/488/detail</t>
  </si>
  <si>
    <t>五矿稀土</t>
  </si>
  <si>
    <t>www.lixinger.com/analytics/company/sz/000831/831/detail</t>
  </si>
  <si>
    <t>铁龙物流</t>
  </si>
  <si>
    <t>www.lixinger.com/analytics/company/sh/600125/600125/detail</t>
  </si>
  <si>
    <t>深粮B</t>
  </si>
  <si>
    <t>www.lixinger.com/analytics/company/sz/200019/200019/detail</t>
  </si>
  <si>
    <t>久盛电气</t>
  </si>
  <si>
    <t>www.lixinger.com/analytics/company/sz/301082/301082/detail</t>
  </si>
  <si>
    <t>陕鼓动力</t>
  </si>
  <si>
    <t>www.lixinger.com/analytics/company/sh/601369/601369/detail</t>
  </si>
  <si>
    <t>奥特佳</t>
  </si>
  <si>
    <t>www.lixinger.com/analytics/company/sz/002239/2239/detail</t>
  </si>
  <si>
    <t>上海港湾</t>
  </si>
  <si>
    <t>www.lixinger.com/analytics/company/sh/605598/605598/detail</t>
  </si>
  <si>
    <t>中超控股</t>
  </si>
  <si>
    <t>www.lixinger.com/analytics/company/sz/002471/2471/detail</t>
  </si>
  <si>
    <t>世纪华通</t>
  </si>
  <si>
    <t>www.lixinger.com/analytics/company/sz/002602/2602/detail</t>
  </si>
  <si>
    <t>西藏药业</t>
  </si>
  <si>
    <t>www.lixinger.com/analytics/company/sh/600211/600211/detail</t>
  </si>
  <si>
    <t>上峰水泥</t>
  </si>
  <si>
    <t>www.lixinger.com/analytics/company/sz/000672/672/detail</t>
  </si>
  <si>
    <t>东北制药</t>
  </si>
  <si>
    <t>www.lixinger.com/analytics/company/sz/000597/597/detail</t>
  </si>
  <si>
    <t>亿联网络</t>
  </si>
  <si>
    <t>www.lixinger.com/analytics/company/sz/300628/300628/detail</t>
  </si>
  <si>
    <t>海通证券</t>
  </si>
  <si>
    <t>www.lixinger.com/analytics/company/sh/600837/600837/detail</t>
  </si>
  <si>
    <t>老百姓</t>
  </si>
  <si>
    <t>www.lixinger.com/analytics/company/sh/603883/603883/detail</t>
  </si>
  <si>
    <t>格力地产</t>
  </si>
  <si>
    <t>www.lixinger.com/analytics/company/sh/600185/600185/detail</t>
  </si>
  <si>
    <t>龙版传媒</t>
  </si>
  <si>
    <t>www.lixinger.com/analytics/company/sh/605577/605577/detail</t>
  </si>
  <si>
    <t>杭叉集团</t>
  </si>
  <si>
    <t>www.lixinger.com/analytics/company/sh/603298/603298/detail</t>
  </si>
  <si>
    <t>宏润建设</t>
  </si>
  <si>
    <t>www.lixinger.com/analytics/company/sz/002062/2062/detail</t>
  </si>
  <si>
    <t>招商公路</t>
  </si>
  <si>
    <t>www.lixinger.com/analytics/company/sz/001965/1965/detail</t>
  </si>
  <si>
    <t>潮宏基</t>
  </si>
  <si>
    <t>www.lixinger.com/analytics/company/sz/002345/2345/detail</t>
  </si>
  <si>
    <t>ST洲际</t>
  </si>
  <si>
    <t>www.lixinger.com/analytics/company/sh/600759/600759/detail</t>
  </si>
  <si>
    <t>宁波能源</t>
  </si>
  <si>
    <t>www.lixinger.com/analytics/company/sh/600982/600982/detail</t>
  </si>
  <si>
    <t>国联水产</t>
  </si>
  <si>
    <t>www.lixinger.com/analytics/company/sz/300094/300094/detail</t>
  </si>
  <si>
    <t>万里扬</t>
  </si>
  <si>
    <t>www.lixinger.com/analytics/company/sz/002434/2434/detail</t>
  </si>
  <si>
    <t>双象股份</t>
  </si>
  <si>
    <t>www.lixinger.com/analytics/company/sz/002395/2395/detail</t>
  </si>
  <si>
    <t>蓝色光标</t>
  </si>
  <si>
    <t>www.lixinger.com/analytics/company/sz/300058/300058/detail</t>
  </si>
  <si>
    <t>康弘药业</t>
  </si>
  <si>
    <t>www.lixinger.com/analytics/company/sz/002773/2773/detail</t>
  </si>
  <si>
    <t>恒立液压</t>
  </si>
  <si>
    <t>www.lixinger.com/analytics/company/sh/601100/601100/detail</t>
  </si>
  <si>
    <t>富瑞特装</t>
  </si>
  <si>
    <t>www.lixinger.com/analytics/company/sz/300228/300228/detail</t>
  </si>
  <si>
    <t>金岭矿业</t>
  </si>
  <si>
    <t>www.lixinger.com/analytics/company/sz/000655/655/detail</t>
  </si>
  <si>
    <t>天域生态</t>
  </si>
  <si>
    <t>www.lixinger.com/analytics/company/sh/603717/603717/detail</t>
  </si>
  <si>
    <t>华明装备</t>
  </si>
  <si>
    <t>www.lixinger.com/analytics/company/sz/002270/2270/detail</t>
  </si>
  <si>
    <t>雅化集团</t>
  </si>
  <si>
    <t>www.lixinger.com/analytics/company/sz/002497/2497/detail</t>
  </si>
  <si>
    <t>ST大洲</t>
  </si>
  <si>
    <t>www.lixinger.com/analytics/company/sz/000571/571/detail</t>
  </si>
  <si>
    <t>之江生物</t>
  </si>
  <si>
    <t>www.lixinger.com/analytics/company/sh/688317/688317/detail</t>
  </si>
  <si>
    <t>中成股份</t>
  </si>
  <si>
    <t>www.lixinger.com/analytics/company/sz/000151/151/detail</t>
  </si>
  <si>
    <t>中顺洁柔</t>
  </si>
  <si>
    <t>www.lixinger.com/analytics/company/sz/002511/2511/detail</t>
  </si>
  <si>
    <t>锦泓集团</t>
  </si>
  <si>
    <t>www.lixinger.com/analytics/company/sh/603518/603518/detail</t>
  </si>
  <si>
    <t>道氏技术</t>
  </si>
  <si>
    <t>www.lixinger.com/analytics/company/sz/300409/300409/detail</t>
  </si>
  <si>
    <t>哈药股份</t>
  </si>
  <si>
    <t>www.lixinger.com/analytics/company/sh/600664/600664/detail</t>
  </si>
  <si>
    <t>韶钢松山</t>
  </si>
  <si>
    <t>www.lixinger.com/analytics/company/sz/000717/717/detail</t>
  </si>
  <si>
    <t>锌业股份</t>
  </si>
  <si>
    <t>www.lixinger.com/analytics/company/sz/000751/751/detail</t>
  </si>
  <si>
    <t>桂林三金</t>
  </si>
  <si>
    <t>www.lixinger.com/analytics/company/sz/002275/2275/detail</t>
  </si>
  <si>
    <t>汤姆猫</t>
  </si>
  <si>
    <t>www.lixinger.com/analytics/company/sz/300459/300459/detail</t>
  </si>
  <si>
    <t>本钢板材</t>
  </si>
  <si>
    <t>www.lixinger.com/analytics/company/sz/000761/761/detail</t>
  </si>
  <si>
    <t>文山电力</t>
  </si>
  <si>
    <t>www.lixinger.com/analytics/company/sh/600995/600995/detail</t>
  </si>
  <si>
    <t>皖新传媒</t>
  </si>
  <si>
    <t>www.lixinger.com/analytics/company/sh/601801/601801/detail</t>
  </si>
  <si>
    <t>河钢资源</t>
  </si>
  <si>
    <t>www.lixinger.com/analytics/company/sz/000923/923/detail</t>
  </si>
  <si>
    <t>通宝能源</t>
  </si>
  <si>
    <t>www.lixinger.com/analytics/company/sh/600780/600780/detail</t>
  </si>
  <si>
    <t>拓日新能</t>
  </si>
  <si>
    <t>www.lixinger.com/analytics/company/sz/002218/2218/detail</t>
  </si>
  <si>
    <t>晨光新材</t>
  </si>
  <si>
    <t>www.lixinger.com/analytics/company/sh/605399/605399/detail</t>
  </si>
  <si>
    <t>苏宁环球</t>
  </si>
  <si>
    <t>www.lixinger.com/analytics/company/sz/000718/718/detail</t>
  </si>
  <si>
    <t>深粮控股</t>
  </si>
  <si>
    <t>www.lixinger.com/analytics/company/sz/000019/19/detail</t>
  </si>
  <si>
    <t>华鑫股份</t>
  </si>
  <si>
    <t>www.lixinger.com/analytics/company/sh/600621/600621/detail</t>
  </si>
  <si>
    <t>长城电工</t>
  </si>
  <si>
    <t>www.lixinger.com/analytics/company/sh/600192/600192/detail</t>
  </si>
  <si>
    <t>宝信Ｂ</t>
  </si>
  <si>
    <t>www.lixinger.com/analytics/company/sh/900926/900926/detail</t>
  </si>
  <si>
    <t>恒邦股份</t>
  </si>
  <si>
    <t>www.lixinger.com/analytics/company/sz/002237/2237/detail</t>
  </si>
  <si>
    <t>深圳机场</t>
  </si>
  <si>
    <t>www.lixinger.com/analytics/company/sz/000089/89/detail</t>
  </si>
  <si>
    <t>国光电器</t>
  </si>
  <si>
    <t>www.lixinger.com/analytics/company/sz/002045/2045/detail</t>
  </si>
  <si>
    <t>广汇物流</t>
  </si>
  <si>
    <t>www.lixinger.com/analytics/company/sh/600603/600603/detail</t>
  </si>
  <si>
    <t>新大陆</t>
  </si>
  <si>
    <t>www.lixinger.com/analytics/company/sz/000997/997/detail</t>
  </si>
  <si>
    <t>利欧股份</t>
  </si>
  <si>
    <t>www.lixinger.com/analytics/company/sz/002131/2131/detail</t>
  </si>
  <si>
    <t>德昌股份</t>
  </si>
  <si>
    <t>www.lixinger.com/analytics/company/sh/605555/605555/detail</t>
  </si>
  <si>
    <t>三联虹普</t>
  </si>
  <si>
    <t>www.lixinger.com/analytics/company/sz/300384/300384/detail</t>
  </si>
  <si>
    <t>拉卡拉</t>
  </si>
  <si>
    <t>www.lixinger.com/analytics/company/sz/300773/300773/detail</t>
  </si>
  <si>
    <t>科沃斯</t>
  </si>
  <si>
    <t>www.lixinger.com/analytics/company/sh/603486/603486/detail</t>
  </si>
  <si>
    <t>华塑股份</t>
  </si>
  <si>
    <t>www.lixinger.com/analytics/company/sh/600935/600935/detail</t>
  </si>
  <si>
    <t>锦在线B</t>
  </si>
  <si>
    <t>www.lixinger.com/analytics/company/sh/900914/900914/detail</t>
  </si>
  <si>
    <t>银禧科技</t>
  </si>
  <si>
    <t>www.lixinger.com/analytics/company/sz/300221/300221/detail</t>
  </si>
  <si>
    <t>现代投资</t>
  </si>
  <si>
    <t>www.lixinger.com/analytics/company/sz/000900/900/detail</t>
  </si>
  <si>
    <t>中远海发</t>
  </si>
  <si>
    <t>www.lixinger.com/analytics/company/sh/601866/601866/detail</t>
  </si>
  <si>
    <t>三美股份</t>
  </si>
  <si>
    <t>www.lixinger.com/analytics/company/sh/603379/603379/detail</t>
  </si>
  <si>
    <t>金鹰重工</t>
  </si>
  <si>
    <t>www.lixinger.com/analytics/company/sz/301048/301048/detail</t>
  </si>
  <si>
    <t>安正时尚</t>
  </si>
  <si>
    <t>www.lixinger.com/analytics/company/sh/603839/603839/detail</t>
  </si>
  <si>
    <t>中体产业</t>
  </si>
  <si>
    <t>www.lixinger.com/analytics/company/sh/600158/600158/detail</t>
  </si>
  <si>
    <t>富森美</t>
  </si>
  <si>
    <t>www.lixinger.com/analytics/company/sz/002818/2818/detail</t>
  </si>
  <si>
    <t>司尔特</t>
  </si>
  <si>
    <t>www.lixinger.com/analytics/company/sz/002538/2538/detail</t>
  </si>
  <si>
    <t>锦和商业</t>
  </si>
  <si>
    <t>www.lixinger.com/analytics/company/sh/603682/603682/detail</t>
  </si>
  <si>
    <t>力帆科技</t>
  </si>
  <si>
    <t>www.lixinger.com/analytics/company/sh/601777/601777/detail</t>
  </si>
  <si>
    <t>禾望电气</t>
  </si>
  <si>
    <t>www.lixinger.com/analytics/company/sh/603063/603063/detail</t>
  </si>
  <si>
    <t>宁波华翔</t>
  </si>
  <si>
    <t>www.lixinger.com/analytics/company/sz/002048/2048/detail</t>
  </si>
  <si>
    <t>海王生物</t>
  </si>
  <si>
    <t>www.lixinger.com/analytics/company/sz/000078/78/detail</t>
  </si>
  <si>
    <t>精艺股份</t>
  </si>
  <si>
    <t>www.lixinger.com/analytics/company/sz/002295/2295/detail</t>
  </si>
  <si>
    <t>英力特</t>
  </si>
  <si>
    <t>www.lixinger.com/analytics/company/sz/000635/635/detail</t>
  </si>
  <si>
    <t>金山办公</t>
  </si>
  <si>
    <t>www.lixinger.com/analytics/company/sh/688111/688111/detail</t>
  </si>
  <si>
    <t>小熊电器</t>
  </si>
  <si>
    <t>www.lixinger.com/analytics/company/sz/002959/2959/detail</t>
  </si>
  <si>
    <t>万泰生物</t>
  </si>
  <si>
    <t>www.lixinger.com/analytics/company/sh/603392/603392/detail</t>
  </si>
  <si>
    <t>卧龙电驱</t>
  </si>
  <si>
    <t>www.lixinger.com/analytics/company/sh/600580/600580/detail</t>
  </si>
  <si>
    <t>闽东电力</t>
  </si>
  <si>
    <t>www.lixinger.com/analytics/company/sz/000993/993/detail</t>
  </si>
  <si>
    <t>华夏幸福</t>
  </si>
  <si>
    <t>www.lixinger.com/analytics/company/sh/600340/600340/detail</t>
  </si>
  <si>
    <t>万向钱潮</t>
  </si>
  <si>
    <t>www.lixinger.com/analytics/company/sz/000559/559/detail</t>
  </si>
  <si>
    <t>南京高科</t>
  </si>
  <si>
    <t>www.lixinger.com/analytics/company/sh/600064/600064/detail</t>
  </si>
  <si>
    <t>游族网络</t>
  </si>
  <si>
    <t>www.lixinger.com/analytics/company/sz/002174/2174/detail</t>
  </si>
  <si>
    <t>嘉凯城</t>
  </si>
  <si>
    <t>www.lixinger.com/analytics/company/sz/000918/918/detail</t>
  </si>
  <si>
    <t>欧普康视</t>
  </si>
  <si>
    <t>www.lixinger.com/analytics/company/sz/300595/300595/detail</t>
  </si>
  <si>
    <t>通威股份</t>
  </si>
  <si>
    <t>www.lixinger.com/analytics/company/sh/600438/600438/detail</t>
  </si>
  <si>
    <t>心脉医疗</t>
  </si>
  <si>
    <t>www.lixinger.com/analytics/company/sh/688016/688016/detail</t>
  </si>
  <si>
    <t>梦网科技</t>
  </si>
  <si>
    <t>www.lixinger.com/analytics/company/sz/002123/2123/detail</t>
  </si>
  <si>
    <t>银龙股份</t>
  </si>
  <si>
    <t>www.lixinger.com/analytics/company/sh/603969/603969/detail</t>
  </si>
  <si>
    <t>胜利精密</t>
  </si>
  <si>
    <t>www.lixinger.com/analytics/company/sz/002426/2426/detail</t>
  </si>
  <si>
    <t>华丰股份</t>
  </si>
  <si>
    <t>www.lixinger.com/analytics/company/sh/605100/605100/detail</t>
  </si>
  <si>
    <t>德才股份</t>
  </si>
  <si>
    <t>www.lixinger.com/analytics/company/sh/605287/605287/detail</t>
  </si>
  <si>
    <t>新农开发</t>
  </si>
  <si>
    <t>www.lixinger.com/analytics/company/sh/600359/600359/detail</t>
  </si>
  <si>
    <t>公牛集团</t>
  </si>
  <si>
    <t>www.lixinger.com/analytics/company/sh/603195/603195/detail</t>
  </si>
  <si>
    <t>长江健康</t>
  </si>
  <si>
    <t>www.lixinger.com/analytics/company/sz/002435/2435/detail</t>
  </si>
  <si>
    <t>亚钾国际</t>
  </si>
  <si>
    <t>www.lixinger.com/analytics/company/sz/000893/893/detail</t>
  </si>
  <si>
    <t>科力远</t>
  </si>
  <si>
    <t>www.lixinger.com/analytics/company/sh/600478/600478/detail</t>
  </si>
  <si>
    <t>东华科技</t>
  </si>
  <si>
    <t>www.lixinger.com/analytics/company/sz/002140/2140/detail</t>
  </si>
  <si>
    <t>汇洁股份</t>
  </si>
  <si>
    <t>www.lixinger.com/analytics/company/sz/002763/2763/detail</t>
  </si>
  <si>
    <t>洁雅股份</t>
  </si>
  <si>
    <t>www.lixinger.com/analytics/company/sz/301108/301108/detail</t>
  </si>
  <si>
    <t>思瑞浦</t>
  </si>
  <si>
    <t>www.lixinger.com/analytics/company/sh/688536/688536/detail</t>
  </si>
  <si>
    <t>依顿电子</t>
  </si>
  <si>
    <t>www.lixinger.com/analytics/company/sh/603328/603328/detail</t>
  </si>
  <si>
    <t>万润科技</t>
  </si>
  <si>
    <t>www.lixinger.com/analytics/company/sz/002654/2654/detail</t>
  </si>
  <si>
    <t>*ST亚星</t>
  </si>
  <si>
    <t>www.lixinger.com/analytics/company/sh/600319/600319/detail</t>
  </si>
  <si>
    <t>彩虹集团</t>
  </si>
  <si>
    <t>www.lixinger.com/analytics/company/sz/003023/3023/detail</t>
  </si>
  <si>
    <t>来伊份</t>
  </si>
  <si>
    <t>www.lixinger.com/analytics/company/sh/603777/603777/detail</t>
  </si>
  <si>
    <t>宗申动力</t>
  </si>
  <si>
    <t>www.lixinger.com/analytics/company/sz/001696/1696/detail</t>
  </si>
  <si>
    <t>新华都</t>
  </si>
  <si>
    <t>www.lixinger.com/analytics/company/sz/002264/2264/detail</t>
  </si>
  <si>
    <t>重庆路桥</t>
  </si>
  <si>
    <t>www.lixinger.com/analytics/company/sh/600106/600106/detail</t>
  </si>
  <si>
    <t>红旗连锁</t>
  </si>
  <si>
    <t>www.lixinger.com/analytics/company/sz/002697/2697/detail</t>
  </si>
  <si>
    <t>中毅达</t>
  </si>
  <si>
    <t>www.lixinger.com/analytics/company/sh/600610/600610/detail</t>
  </si>
  <si>
    <t>蓝黛科技</t>
  </si>
  <si>
    <t>www.lixinger.com/analytics/company/sz/002765/2765/detail</t>
  </si>
  <si>
    <t>冀中能源</t>
  </si>
  <si>
    <t>www.lixinger.com/analytics/company/sz/000937/937/detail</t>
  </si>
  <si>
    <t>宝色股份</t>
  </si>
  <si>
    <t>www.lixinger.com/analytics/company/sz/300402/300402/detail</t>
  </si>
  <si>
    <t>ST起步</t>
  </si>
  <si>
    <t>www.lixinger.com/analytics/company/sh/603557/603557/detail</t>
  </si>
  <si>
    <t>宇环数控</t>
  </si>
  <si>
    <t>www.lixinger.com/analytics/company/sz/002903/2903/detail</t>
  </si>
  <si>
    <t>爱婴室</t>
  </si>
  <si>
    <t>www.lixinger.com/analytics/company/sh/603214/603214/detail</t>
  </si>
  <si>
    <t>岱美股份</t>
  </si>
  <si>
    <t>www.lixinger.com/analytics/company/sh/603730/603730/detail</t>
  </si>
  <si>
    <t>经纬辉开</t>
  </si>
  <si>
    <t>www.lixinger.com/analytics/company/sz/300120/300120/detail</t>
  </si>
  <si>
    <t>沪电股份</t>
  </si>
  <si>
    <t>www.lixinger.com/analytics/company/sz/002463/2463/detail</t>
  </si>
  <si>
    <t>常熟汽饰</t>
  </si>
  <si>
    <t>www.lixinger.com/analytics/company/sh/603035/603035/detail</t>
  </si>
  <si>
    <t>德利股份</t>
  </si>
  <si>
    <t>www.lixinger.com/analytics/company/sh/605198/605198/detail</t>
  </si>
  <si>
    <t>株冶集团</t>
  </si>
  <si>
    <t>www.lixinger.com/analytics/company/sh/600961/600961/detail</t>
  </si>
  <si>
    <t>ST红太阳</t>
  </si>
  <si>
    <t>www.lixinger.com/analytics/company/sz/000525/525/detail</t>
  </si>
  <si>
    <t>公元股份</t>
  </si>
  <si>
    <t>www.lixinger.com/analytics/company/sz/002641/2641/detail</t>
  </si>
  <si>
    <t>德展健康</t>
  </si>
  <si>
    <t>www.lixinger.com/analytics/company/sz/000813/813/detail</t>
  </si>
  <si>
    <t>鼎胜新材</t>
  </si>
  <si>
    <t>www.lixinger.com/analytics/company/sh/603876/603876/detail</t>
  </si>
  <si>
    <t>秦安股份</t>
  </si>
  <si>
    <t>www.lixinger.com/analytics/company/sh/603758/603758/detail</t>
  </si>
  <si>
    <t>学大教育</t>
  </si>
  <si>
    <t>www.lixinger.com/analytics/company/sz/000526/526/detail</t>
  </si>
  <si>
    <t>陕天然气</t>
  </si>
  <si>
    <t>www.lixinger.com/analytics/company/sz/002267/2267/detail</t>
  </si>
  <si>
    <t>慈文传媒</t>
  </si>
  <si>
    <t>www.lixinger.com/analytics/company/sz/002343/2343/detail</t>
  </si>
  <si>
    <t>中矿资源</t>
  </si>
  <si>
    <t>www.lixinger.com/analytics/company/sz/002738/2738/detail</t>
  </si>
  <si>
    <t>成都燃气</t>
  </si>
  <si>
    <t>www.lixinger.com/analytics/company/sh/603053/603053/detail</t>
  </si>
  <si>
    <t>吉鑫科技</t>
  </si>
  <si>
    <t>www.lixinger.com/analytics/company/sh/601218/601218/detail</t>
  </si>
  <si>
    <t>茂业商业</t>
  </si>
  <si>
    <t>www.lixinger.com/analytics/company/sh/600828/600828/detail</t>
  </si>
  <si>
    <t>莱宝高科</t>
  </si>
  <si>
    <t>www.lixinger.com/analytics/company/sz/002106/2106/detail</t>
  </si>
  <si>
    <t>永新股份</t>
  </si>
  <si>
    <t>www.lixinger.com/analytics/company/sz/002014/2014/detail</t>
  </si>
  <si>
    <t>凤凰传媒</t>
  </si>
  <si>
    <t>www.lixinger.com/analytics/company/sh/601928/601928/detail</t>
  </si>
  <si>
    <t>金徽股份</t>
  </si>
  <si>
    <t>www.lixinger.com/analytics/company/sh/603132/603132/detail</t>
  </si>
  <si>
    <t>爱慕股份</t>
  </si>
  <si>
    <t>www.lixinger.com/analytics/company/sh/603511/603511/detail</t>
  </si>
  <si>
    <t>新天然气</t>
  </si>
  <si>
    <t>www.lixinger.com/analytics/company/sh/603393/603393/detail</t>
  </si>
  <si>
    <t>胜宏科技</t>
  </si>
  <si>
    <t>www.lixinger.com/analytics/company/sz/300476/300476/detail</t>
  </si>
  <si>
    <t>长海股份</t>
  </si>
  <si>
    <t>www.lixinger.com/analytics/company/sz/300196/300196/detail</t>
  </si>
  <si>
    <t>顺灏股份</t>
  </si>
  <si>
    <t>www.lixinger.com/analytics/company/sz/002565/2565/detail</t>
  </si>
  <si>
    <t>隆基机械</t>
  </si>
  <si>
    <t>www.lixinger.com/analytics/company/sz/002363/2363/detail</t>
  </si>
  <si>
    <t>中信海直</t>
  </si>
  <si>
    <t>www.lixinger.com/analytics/company/sz/000099/99/detail</t>
  </si>
  <si>
    <t>ST粤泰</t>
  </si>
  <si>
    <t>www.lixinger.com/analytics/company/sh/600393/600393/detail</t>
  </si>
  <si>
    <t>花园生物</t>
  </si>
  <si>
    <t>www.lixinger.com/analytics/company/sz/300401/300401/detail</t>
  </si>
  <si>
    <t>石头科技</t>
  </si>
  <si>
    <t>www.lixinger.com/analytics/company/sh/688169/688169/detail</t>
  </si>
  <si>
    <t>蓝晓科技</t>
  </si>
  <si>
    <t>www.lixinger.com/analytics/company/sz/300487/300487/detail</t>
  </si>
  <si>
    <t>兴业矿业</t>
  </si>
  <si>
    <t>www.lixinger.com/analytics/company/sz/000426/426/detail</t>
  </si>
  <si>
    <t>金贵银业</t>
  </si>
  <si>
    <t>www.lixinger.com/analytics/company/sz/002716/2716/detail</t>
  </si>
  <si>
    <t>莱绅通灵</t>
  </si>
  <si>
    <t>www.lixinger.com/analytics/company/sh/603900/603900/detail</t>
  </si>
  <si>
    <t>太龙股份</t>
  </si>
  <si>
    <t>www.lixinger.com/analytics/company/sz/300650/300650/detail</t>
  </si>
  <si>
    <t>*ST浪奇</t>
  </si>
  <si>
    <t>www.lixinger.com/analytics/company/sz/000523/523/detail</t>
  </si>
  <si>
    <t>华达新材</t>
  </si>
  <si>
    <t>www.lixinger.com/analytics/company/sh/605158/605158/detail</t>
  </si>
  <si>
    <t>智莱科技</t>
  </si>
  <si>
    <t>www.lixinger.com/analytics/company/sz/300771/300771/detail</t>
  </si>
  <si>
    <t>青山纸业</t>
  </si>
  <si>
    <t>www.lixinger.com/analytics/company/sh/600103/600103/detail</t>
  </si>
  <si>
    <t>三六五网</t>
  </si>
  <si>
    <t>www.lixinger.com/analytics/company/sz/300295/300295/detail</t>
  </si>
  <si>
    <t>国联股份</t>
  </si>
  <si>
    <t>www.lixinger.com/analytics/company/sh/603613/603613/detail</t>
  </si>
  <si>
    <t>天孚通信</t>
  </si>
  <si>
    <t>www.lixinger.com/analytics/company/sz/300394/300394/detail</t>
  </si>
  <si>
    <t>威高骨科</t>
  </si>
  <si>
    <t>www.lixinger.com/analytics/company/sh/688161/688161/detail</t>
  </si>
  <si>
    <t>联化科技</t>
  </si>
  <si>
    <t>www.lixinger.com/analytics/company/sz/002250/2250/detail</t>
  </si>
  <si>
    <t>九芝堂</t>
  </si>
  <si>
    <t>www.lixinger.com/analytics/company/sz/000989/989/detail</t>
  </si>
  <si>
    <t>农发种业</t>
  </si>
  <si>
    <t>www.lixinger.com/analytics/company/sh/600313/600313/detail</t>
  </si>
  <si>
    <t>斯达半导</t>
  </si>
  <si>
    <t>www.lixinger.com/analytics/company/sh/603290/603290/detail</t>
  </si>
  <si>
    <t>天味食品</t>
  </si>
  <si>
    <t>www.lixinger.com/analytics/company/sh/603317/603317/detail</t>
  </si>
  <si>
    <t>涪陵电力</t>
  </si>
  <si>
    <t>www.lixinger.com/analytics/company/sh/600452/600452/detail</t>
  </si>
  <si>
    <t>海晨股份</t>
  </si>
  <si>
    <t>www.lixinger.com/analytics/company/sz/300873/300873/detail</t>
  </si>
  <si>
    <t>华铁应急</t>
  </si>
  <si>
    <t>www.lixinger.com/analytics/company/sh/603300/603300/detail</t>
  </si>
  <si>
    <t>辽港股份</t>
  </si>
  <si>
    <t>www.lixinger.com/analytics/company/sh/601880/601880/detail</t>
  </si>
  <si>
    <t>盈趣科技</t>
  </si>
  <si>
    <t>www.lixinger.com/analytics/company/sz/002925/2925/detail</t>
  </si>
  <si>
    <t>建业股份</t>
  </si>
  <si>
    <t>www.lixinger.com/analytics/company/sh/603948/603948/detail</t>
  </si>
  <si>
    <t>煌上煌</t>
  </si>
  <si>
    <t>www.lixinger.com/analytics/company/sz/002695/2695/detail</t>
  </si>
  <si>
    <t>新产业</t>
  </si>
  <si>
    <t>www.lixinger.com/analytics/company/sz/300832/300832/detail</t>
  </si>
  <si>
    <t>水发燃气</t>
  </si>
  <si>
    <t>www.lixinger.com/analytics/company/sh/603318/603318/detail</t>
  </si>
  <si>
    <t>得邦照明</t>
  </si>
  <si>
    <t>www.lixinger.com/analytics/company/sh/603303/603303/detail</t>
  </si>
  <si>
    <t>明泰铝业</t>
  </si>
  <si>
    <t>www.lixinger.com/analytics/company/sh/601677/601677/detail</t>
  </si>
  <si>
    <t>蓝焰控股</t>
  </si>
  <si>
    <t>www.lixinger.com/analytics/company/sz/000968/968/detail</t>
  </si>
  <si>
    <t>威海广泰</t>
  </si>
  <si>
    <t>www.lixinger.com/analytics/company/sz/002111/2111/detail</t>
  </si>
  <si>
    <t>传智教育</t>
  </si>
  <si>
    <t>www.lixinger.com/analytics/company/sz/003032/3032/detail</t>
  </si>
  <si>
    <t>数码视讯</t>
  </si>
  <si>
    <t>www.lixinger.com/analytics/company/sz/300079/300079/detail</t>
  </si>
  <si>
    <t>龙宇燃油</t>
  </si>
  <si>
    <t>www.lixinger.com/analytics/company/sh/603003/603003/detail</t>
  </si>
  <si>
    <t>海正药业</t>
  </si>
  <si>
    <t>www.lixinger.com/analytics/company/sh/600267/600267/detail</t>
  </si>
  <si>
    <t>长源东谷</t>
  </si>
  <si>
    <t>www.lixinger.com/analytics/company/sh/603950/603950/detail</t>
  </si>
  <si>
    <t>东鹏饮料</t>
  </si>
  <si>
    <t>www.lixinger.com/analytics/company/sh/605499/605499/detail</t>
  </si>
  <si>
    <t>大连电瓷</t>
  </si>
  <si>
    <t>www.lixinger.com/analytics/company/sz/002606/2606/detail</t>
  </si>
  <si>
    <t>姚记科技</t>
  </si>
  <si>
    <t>www.lixinger.com/analytics/company/sz/002605/2605/detail</t>
  </si>
  <si>
    <t>杭可科技</t>
  </si>
  <si>
    <t>www.lixinger.com/analytics/company/sh/688006/688006/detail</t>
  </si>
  <si>
    <t>航天机电</t>
  </si>
  <si>
    <t>www.lixinger.com/analytics/company/sh/600151/600151/detail</t>
  </si>
  <si>
    <t>东风科技</t>
  </si>
  <si>
    <t>www.lixinger.com/analytics/company/sh/600081/600081/detail</t>
  </si>
  <si>
    <t>哈空调</t>
  </si>
  <si>
    <t>www.lixinger.com/analytics/company/sh/600202/600202/detail</t>
  </si>
  <si>
    <t>三湘印象</t>
  </si>
  <si>
    <t>www.lixinger.com/analytics/company/sz/000863/863/detail</t>
  </si>
  <si>
    <t>*ST金刚</t>
  </si>
  <si>
    <t>www.lixinger.com/analytics/company/sz/300064/300064/detail</t>
  </si>
  <si>
    <t>金鸿顺</t>
  </si>
  <si>
    <t>www.lixinger.com/analytics/company/sh/603922/603922/detail</t>
  </si>
  <si>
    <t>一心堂</t>
  </si>
  <si>
    <t>www.lixinger.com/analytics/company/sz/002727/2727/detail</t>
  </si>
  <si>
    <t>国统股份</t>
  </si>
  <si>
    <t>环保</t>
  </si>
  <si>
    <t>www.lixinger.com/analytics/company/sz/002205/2205/detail</t>
  </si>
  <si>
    <t>津滨发展</t>
  </si>
  <si>
    <t>www.lixinger.com/analytics/company/sz/000897/897/detail</t>
  </si>
  <si>
    <t>SST佳通</t>
  </si>
  <si>
    <t>www.lixinger.com/analytics/company/sh/600182/600182/detail</t>
  </si>
  <si>
    <t>龙溪股份</t>
  </si>
  <si>
    <t>www.lixinger.com/analytics/company/sh/600592/600592/detail</t>
  </si>
  <si>
    <t>尔康制药</t>
  </si>
  <si>
    <t>www.lixinger.com/analytics/company/sz/300267/300267/detail</t>
  </si>
  <si>
    <t>上海凯宝</t>
  </si>
  <si>
    <t>www.lixinger.com/analytics/company/sz/300039/300039/detail</t>
  </si>
  <si>
    <t>溢多利</t>
  </si>
  <si>
    <t>www.lixinger.com/analytics/company/sz/300381/300381/detail</t>
  </si>
  <si>
    <t>精研科技</t>
  </si>
  <si>
    <t>www.lixinger.com/analytics/company/sz/300709/300709/detail</t>
  </si>
  <si>
    <t>友好集团</t>
  </si>
  <si>
    <t>www.lixinger.com/analytics/company/sh/600778/600778/detail</t>
  </si>
  <si>
    <t>禾盛新材</t>
  </si>
  <si>
    <t>www.lixinger.com/analytics/company/sz/002290/2290/detail</t>
  </si>
  <si>
    <t>快克股份</t>
  </si>
  <si>
    <t>www.lixinger.com/analytics/company/sh/603203/603203/detail</t>
  </si>
  <si>
    <t>瑞康医药</t>
  </si>
  <si>
    <t>www.lixinger.com/analytics/company/sz/002589/2589/detail</t>
  </si>
  <si>
    <t>百联Ｂ股</t>
  </si>
  <si>
    <t>www.lixinger.com/analytics/company/sh/900923/900923/detail</t>
  </si>
  <si>
    <t>宏昌电子</t>
  </si>
  <si>
    <t>www.lixinger.com/analytics/company/sh/603002/603002/detail</t>
  </si>
  <si>
    <t>神马股份</t>
  </si>
  <si>
    <t>www.lixinger.com/analytics/company/sh/600810/600810/detail</t>
  </si>
  <si>
    <t>天龙集团</t>
  </si>
  <si>
    <t>www.lixinger.com/analytics/company/sz/300063/300063/detail</t>
  </si>
  <si>
    <t>新力金融</t>
  </si>
  <si>
    <t>www.lixinger.com/analytics/company/sh/600318/600318/detail</t>
  </si>
  <si>
    <t>科前生物</t>
  </si>
  <si>
    <t>www.lixinger.com/analytics/company/sh/688526/688526/detail</t>
  </si>
  <si>
    <t>精功科技</t>
  </si>
  <si>
    <t>www.lixinger.com/analytics/company/sz/002006/2006/detail</t>
  </si>
  <si>
    <t>川发龙蟒</t>
  </si>
  <si>
    <t>www.lixinger.com/analytics/company/sz/002312/2312/detail</t>
  </si>
  <si>
    <t>三角轮胎</t>
  </si>
  <si>
    <t>www.lixinger.com/analytics/company/sh/601163/601163/detail</t>
  </si>
  <si>
    <t>博腾股份</t>
  </si>
  <si>
    <t>www.lixinger.com/analytics/company/sz/300363/300363/detail</t>
  </si>
  <si>
    <t>金达威</t>
  </si>
  <si>
    <t>www.lixinger.com/analytics/company/sz/002626/2626/detail</t>
  </si>
  <si>
    <t>美联新材</t>
  </si>
  <si>
    <t>www.lixinger.com/analytics/company/sz/300586/300586/detail</t>
  </si>
  <si>
    <t>珠海港</t>
  </si>
  <si>
    <t>www.lixinger.com/analytics/company/sz/000507/507/detail</t>
  </si>
  <si>
    <t>欢瑞世纪</t>
  </si>
  <si>
    <t>www.lixinger.com/analytics/company/sz/000892/892/detail</t>
  </si>
  <si>
    <t>浙江新能</t>
  </si>
  <si>
    <t>www.lixinger.com/analytics/company/sh/600032/600032/detail</t>
  </si>
  <si>
    <t>凯恩股份</t>
  </si>
  <si>
    <t>www.lixinger.com/analytics/company/sz/002012/2012/detail</t>
  </si>
  <si>
    <t>赛象科技</t>
  </si>
  <si>
    <t>www.lixinger.com/analytics/company/sz/002337/2337/detail</t>
  </si>
  <si>
    <t>海印股份</t>
  </si>
  <si>
    <t>www.lixinger.com/analytics/company/sz/000861/861/detail</t>
  </si>
  <si>
    <t>涪陵榨菜</t>
  </si>
  <si>
    <t>www.lixinger.com/analytics/company/sz/002507/2507/detail</t>
  </si>
  <si>
    <t>中核钛白</t>
  </si>
  <si>
    <t>www.lixinger.com/analytics/company/sz/002145/2145/detail</t>
  </si>
  <si>
    <t>科思科技</t>
  </si>
  <si>
    <t>www.lixinger.com/analytics/company/sh/688788/688788/detail</t>
  </si>
  <si>
    <t>伊力特</t>
  </si>
  <si>
    <t>www.lixinger.com/analytics/company/sh/600197/600197/detail</t>
  </si>
  <si>
    <t>皇庭B</t>
  </si>
  <si>
    <t>www.lixinger.com/analytics/company/sz/200056/200056/detail</t>
  </si>
  <si>
    <t>中色股份</t>
  </si>
  <si>
    <t>www.lixinger.com/analytics/company/sz/000758/758/detail</t>
  </si>
  <si>
    <t>金健米业</t>
  </si>
  <si>
    <t>www.lixinger.com/analytics/company/sh/600127/600127/detail</t>
  </si>
  <si>
    <t>冰川网络</t>
  </si>
  <si>
    <t>www.lixinger.com/analytics/company/sz/300533/300533/detail</t>
  </si>
  <si>
    <t>泉阳泉</t>
  </si>
  <si>
    <t>www.lixinger.com/analytics/company/sh/600189/600189/detail</t>
  </si>
  <si>
    <t>芯瑞达</t>
  </si>
  <si>
    <t>www.lixinger.com/analytics/company/sz/002983/2983/detail</t>
  </si>
  <si>
    <t>川能动力</t>
  </si>
  <si>
    <t>www.lixinger.com/analytics/company/sz/000155/155/detail</t>
  </si>
  <si>
    <t>智度股份</t>
  </si>
  <si>
    <t>www.lixinger.com/analytics/company/sz/000676/676/detail</t>
  </si>
  <si>
    <t>龙星化工</t>
  </si>
  <si>
    <t>www.lixinger.com/analytics/company/sz/002442/2442/detail</t>
  </si>
  <si>
    <t>安科生物</t>
  </si>
  <si>
    <t>www.lixinger.com/analytics/company/sz/300009/300009/detail</t>
  </si>
  <si>
    <t>创力集团</t>
  </si>
  <si>
    <t>www.lixinger.com/analytics/company/sh/603012/603012/detail</t>
  </si>
  <si>
    <t>普邦股份</t>
  </si>
  <si>
    <t>www.lixinger.com/analytics/company/sz/002663/2663/detail</t>
  </si>
  <si>
    <t>金字火腿</t>
  </si>
  <si>
    <t>www.lixinger.com/analytics/company/sz/002515/2515/detail</t>
  </si>
  <si>
    <t>水井坊</t>
  </si>
  <si>
    <t>www.lixinger.com/analytics/company/sh/600779/600779/detail</t>
  </si>
  <si>
    <t>银星能源</t>
  </si>
  <si>
    <t>www.lixinger.com/analytics/company/sz/000862/862/detail</t>
  </si>
  <si>
    <t>富瀚微</t>
  </si>
  <si>
    <t>www.lixinger.com/analytics/company/sz/300613/300613/detail</t>
  </si>
  <si>
    <t>羚锐制药</t>
  </si>
  <si>
    <t>www.lixinger.com/analytics/company/sh/600285/600285/detail</t>
  </si>
  <si>
    <t>青松股份</t>
  </si>
  <si>
    <t>www.lixinger.com/analytics/company/sz/300132/300132/detail</t>
  </si>
  <si>
    <t>甘李药业</t>
  </si>
  <si>
    <t>www.lixinger.com/analytics/company/sh/603087/603087/detail</t>
  </si>
  <si>
    <t>稳健医疗</t>
  </si>
  <si>
    <t>www.lixinger.com/analytics/company/sz/300888/300888/detail</t>
  </si>
  <si>
    <t>华峰测控</t>
  </si>
  <si>
    <t>www.lixinger.com/analytics/company/sh/688200/688200/detail</t>
  </si>
  <si>
    <t>东方集团</t>
  </si>
  <si>
    <t>www.lixinger.com/analytics/company/sh/600811/600811/detail</t>
  </si>
  <si>
    <t>千红制药</t>
  </si>
  <si>
    <t>www.lixinger.com/analytics/company/sz/002550/2550/detail</t>
  </si>
  <si>
    <t>承德露露</t>
  </si>
  <si>
    <t>www.lixinger.com/analytics/company/sz/000848/848/detail</t>
  </si>
  <si>
    <t>海油工程</t>
  </si>
  <si>
    <t>www.lixinger.com/analytics/company/sh/600583/600583/detail</t>
  </si>
  <si>
    <t>富煌钢构</t>
  </si>
  <si>
    <t>www.lixinger.com/analytics/company/sz/002743/2743/detail</t>
  </si>
  <si>
    <t>*ST猛狮</t>
  </si>
  <si>
    <t>www.lixinger.com/analytics/company/sz/002684/2684/detail</t>
  </si>
  <si>
    <t>海特高新</t>
  </si>
  <si>
    <t>www.lixinger.com/analytics/company/sz/002023/2023/detail</t>
  </si>
  <si>
    <t>柏楚电子</t>
  </si>
  <si>
    <t>www.lixinger.com/analytics/company/sh/688188/688188/detail</t>
  </si>
  <si>
    <t>春光科技</t>
  </si>
  <si>
    <t>www.lixinger.com/analytics/company/sh/603657/603657/detail</t>
  </si>
  <si>
    <t>康普顿</t>
  </si>
  <si>
    <t>www.lixinger.com/analytics/company/sh/603798/603798/detail</t>
  </si>
  <si>
    <t>华胜天成</t>
  </si>
  <si>
    <t>www.lixinger.com/analytics/company/sh/600410/600410/detail</t>
  </si>
  <si>
    <t>鄂资Ｂ股</t>
  </si>
  <si>
    <t>www.lixinger.com/analytics/company/sh/900936/900936/detail</t>
  </si>
  <si>
    <t>怡亚通</t>
  </si>
  <si>
    <t>www.lixinger.com/analytics/company/sz/002183/2183/detail</t>
  </si>
  <si>
    <t>浩通科技</t>
  </si>
  <si>
    <t>www.lixinger.com/analytics/company/sz/301026/301026/detail</t>
  </si>
  <si>
    <t>紫天科技</t>
  </si>
  <si>
    <t>www.lixinger.com/analytics/company/sz/300280/300280/detail</t>
  </si>
  <si>
    <t>正丹股份</t>
  </si>
  <si>
    <t>www.lixinger.com/analytics/company/sz/300641/300641/detail</t>
  </si>
  <si>
    <t>东芯股份</t>
  </si>
  <si>
    <t>www.lixinger.com/analytics/company/sh/688110/688110/detail</t>
  </si>
  <si>
    <t>众兴菌业</t>
  </si>
  <si>
    <t>www.lixinger.com/analytics/company/sz/002772/2772/detail</t>
  </si>
  <si>
    <t>明星电力</t>
  </si>
  <si>
    <t>www.lixinger.com/analytics/company/sh/600101/600101/detail</t>
  </si>
  <si>
    <t>金陵饭店</t>
  </si>
  <si>
    <t>www.lixinger.com/analytics/company/sh/601007/601007/detail</t>
  </si>
  <si>
    <t>纽威股份</t>
  </si>
  <si>
    <t>www.lixinger.com/analytics/company/sh/603699/603699/detail</t>
  </si>
  <si>
    <t>新筑股份</t>
  </si>
  <si>
    <t>www.lixinger.com/analytics/company/sz/002480/2480/detail</t>
  </si>
  <si>
    <t>三维化学</t>
  </si>
  <si>
    <t>www.lixinger.com/analytics/company/sz/002469/2469/detail</t>
  </si>
  <si>
    <t>京威股份</t>
  </si>
  <si>
    <t>www.lixinger.com/analytics/company/sz/002662/2662/detail</t>
  </si>
  <si>
    <t>科恒股份</t>
  </si>
  <si>
    <t>www.lixinger.com/analytics/company/sz/300340/300340/detail</t>
  </si>
  <si>
    <t>美丽生态</t>
  </si>
  <si>
    <t>www.lixinger.com/analytics/company/sz/000010/10/detail</t>
  </si>
  <si>
    <t>英飞特</t>
  </si>
  <si>
    <t>www.lixinger.com/analytics/company/sz/300582/300582/detail</t>
  </si>
  <si>
    <t>九洲集团</t>
  </si>
  <si>
    <t>www.lixinger.com/analytics/company/sz/300040/300040/detail</t>
  </si>
  <si>
    <t>特发服务</t>
  </si>
  <si>
    <t>www.lixinger.com/analytics/company/sz/300917/300917/detail</t>
  </si>
  <si>
    <t>东旭B</t>
  </si>
  <si>
    <t>www.lixinger.com/analytics/company/sz/200413/200413/detail</t>
  </si>
  <si>
    <t>ST凯乐</t>
  </si>
  <si>
    <t>www.lixinger.com/analytics/company/sh/600260/600260/detail</t>
  </si>
  <si>
    <t>ST奇信</t>
  </si>
  <si>
    <t>www.lixinger.com/analytics/company/sz/002781/2781/detail</t>
  </si>
  <si>
    <t>深华发Ｂ</t>
  </si>
  <si>
    <t>www.lixinger.com/analytics/company/sz/200020/200020/detail</t>
  </si>
  <si>
    <t>巨化股份</t>
  </si>
  <si>
    <t>www.lixinger.com/analytics/company/sh/600160/600160/detail</t>
  </si>
  <si>
    <t>翱捷科技</t>
  </si>
  <si>
    <t>www.lixinger.com/analytics/company/sh/688220/688220/detail</t>
  </si>
  <si>
    <t>步步高</t>
  </si>
  <si>
    <t>www.lixinger.com/analytics/company/sz/002251/2251/detail</t>
  </si>
  <si>
    <t>亚星锚链</t>
  </si>
  <si>
    <t>www.lixinger.com/analytics/company/sh/601890/601890/detail</t>
  </si>
  <si>
    <t>电科院</t>
  </si>
  <si>
    <t>www.lixinger.com/analytics/company/sz/300215/300215/detail</t>
  </si>
  <si>
    <t>元隆雅图</t>
  </si>
  <si>
    <t>www.lixinger.com/analytics/company/sz/002878/2878/detail</t>
  </si>
  <si>
    <t>合兴包装</t>
  </si>
  <si>
    <t>www.lixinger.com/analytics/company/sz/002228/2228/detail</t>
  </si>
  <si>
    <t>中环装备</t>
  </si>
  <si>
    <t>www.lixinger.com/analytics/company/sz/300140/300140/detail</t>
  </si>
  <si>
    <t>地素时尚</t>
  </si>
  <si>
    <t>www.lixinger.com/analytics/company/sh/603587/603587/detail</t>
  </si>
  <si>
    <t>莱特光电</t>
  </si>
  <si>
    <t>www.lixinger.com/analytics/company/sh/688150/688150/detail</t>
  </si>
  <si>
    <t>先达股份</t>
  </si>
  <si>
    <t>www.lixinger.com/analytics/company/sh/603086/603086/detail</t>
  </si>
  <si>
    <t>健友股份</t>
  </si>
  <si>
    <t>www.lixinger.com/analytics/company/sh/603707/603707/detail</t>
  </si>
  <si>
    <t>黄河旋风</t>
  </si>
  <si>
    <t>www.lixinger.com/analytics/company/sh/600172/600172/detail</t>
  </si>
  <si>
    <t>科华控股</t>
  </si>
  <si>
    <t>www.lixinger.com/analytics/company/sh/603161/603161/detail</t>
  </si>
  <si>
    <t>华亚智能</t>
  </si>
  <si>
    <t>www.lixinger.com/analytics/company/sz/003043/3043/detail</t>
  </si>
  <si>
    <t>振东制药</t>
  </si>
  <si>
    <t>www.lixinger.com/analytics/company/sz/300158/300158/detail</t>
  </si>
  <si>
    <t>博创科技</t>
  </si>
  <si>
    <t>www.lixinger.com/analytics/company/sz/300548/300548/detail</t>
  </si>
  <si>
    <t>七匹狼</t>
  </si>
  <si>
    <t>www.lixinger.com/analytics/company/sz/002029/2029/detail</t>
  </si>
  <si>
    <t>皇庭国际</t>
  </si>
  <si>
    <t>www.lixinger.com/analytics/company/sz/000056/56/detail</t>
  </si>
  <si>
    <t>裕同科技</t>
  </si>
  <si>
    <t>www.lixinger.com/analytics/company/sz/002831/2831/detail</t>
  </si>
  <si>
    <t>航民股份</t>
  </si>
  <si>
    <t>www.lixinger.com/analytics/company/sh/600987/600987/detail</t>
  </si>
  <si>
    <t>中铁特货</t>
  </si>
  <si>
    <t>www.lixinger.com/analytics/company/sz/001213/1213/detail</t>
  </si>
  <si>
    <t>聚飞光电</t>
  </si>
  <si>
    <t>www.lixinger.com/analytics/company/sz/300303/300303/detail</t>
  </si>
  <si>
    <t>三全食品</t>
  </si>
  <si>
    <t>www.lixinger.com/analytics/company/sz/002216/2216/detail</t>
  </si>
  <si>
    <t>确成股份</t>
  </si>
  <si>
    <t>www.lixinger.com/analytics/company/sh/605183/605183/detail</t>
  </si>
  <si>
    <t>信邦制药</t>
  </si>
  <si>
    <t>www.lixinger.com/analytics/company/sz/002390/2390/detail</t>
  </si>
  <si>
    <t>兆讯传媒</t>
  </si>
  <si>
    <t>www.lixinger.com/analytics/company/sz/301102/301102/detail</t>
  </si>
  <si>
    <t>昂利康</t>
  </si>
  <si>
    <t>www.lixinger.com/analytics/company/sz/002940/2940/detail</t>
  </si>
  <si>
    <t>吉峰科技</t>
  </si>
  <si>
    <t>www.lixinger.com/analytics/company/sz/300022/300022/detail</t>
  </si>
  <si>
    <t>富佳股份</t>
  </si>
  <si>
    <t>www.lixinger.com/analytics/company/sh/603219/603219/detail</t>
  </si>
  <si>
    <t>凯盛科技</t>
  </si>
  <si>
    <t>www.lixinger.com/analytics/company/sh/600552/600552/detail</t>
  </si>
  <si>
    <t>德联集团</t>
  </si>
  <si>
    <t>www.lixinger.com/analytics/company/sz/002666/2666/detail</t>
  </si>
  <si>
    <t>雪松发展</t>
  </si>
  <si>
    <t>www.lixinger.com/analytics/company/sz/002485/2485/detail</t>
  </si>
  <si>
    <t>瑞尔特</t>
  </si>
  <si>
    <t>www.lixinger.com/analytics/company/sz/002790/2790/detail</t>
  </si>
  <si>
    <t>万达电影</t>
  </si>
  <si>
    <t>www.lixinger.com/analytics/company/sz/002739/2739/detail</t>
  </si>
  <si>
    <t>振邦智能</t>
  </si>
  <si>
    <t>www.lixinger.com/analytics/company/sz/003028/3028/detail</t>
  </si>
  <si>
    <t>广誉远</t>
  </si>
  <si>
    <t>www.lixinger.com/analytics/company/sh/600771/600771/detail</t>
  </si>
  <si>
    <t>永福股份</t>
  </si>
  <si>
    <t>www.lixinger.com/analytics/company/sz/300712/300712/detail</t>
  </si>
  <si>
    <t>东方精工</t>
  </si>
  <si>
    <t>www.lixinger.com/analytics/company/sz/002611/2611/detail</t>
  </si>
  <si>
    <t>九鼎投资</t>
  </si>
  <si>
    <t>www.lixinger.com/analytics/company/sh/600053/600053/detail</t>
  </si>
  <si>
    <t>尚纬股份</t>
  </si>
  <si>
    <t>www.lixinger.com/analytics/company/sh/603333/603333/detail</t>
  </si>
  <si>
    <t>宏达新材</t>
  </si>
  <si>
    <t>www.lixinger.com/analytics/company/sz/002211/2211/detail</t>
  </si>
  <si>
    <t>新野纺织</t>
  </si>
  <si>
    <t>www.lixinger.com/analytics/company/sz/002087/2087/detail</t>
  </si>
  <si>
    <t>友邦吊顶</t>
  </si>
  <si>
    <t>www.lixinger.com/analytics/company/sz/002718/2718/detail</t>
  </si>
  <si>
    <t>上海电影</t>
  </si>
  <si>
    <t>www.lixinger.com/analytics/company/sh/601595/601595/detail</t>
  </si>
  <si>
    <t>国光连锁</t>
  </si>
  <si>
    <t>www.lixinger.com/analytics/company/sh/605188/605188/detail</t>
  </si>
  <si>
    <t>山东华鹏</t>
  </si>
  <si>
    <t>www.lixinger.com/analytics/company/sh/603021/603021/detail</t>
  </si>
  <si>
    <t>永和智控</t>
  </si>
  <si>
    <t>www.lixinger.com/analytics/company/sz/002795/2795/detail</t>
  </si>
  <si>
    <t>亨迪药业</t>
  </si>
  <si>
    <t>www.lixinger.com/analytics/company/sz/301211/301211/detail</t>
  </si>
  <si>
    <t>安徽合力</t>
  </si>
  <si>
    <t>www.lixinger.com/analytics/company/sh/600761/600761/detail</t>
  </si>
  <si>
    <t>新华锦</t>
  </si>
  <si>
    <t>www.lixinger.com/analytics/company/sh/600735/600735/detail</t>
  </si>
  <si>
    <t>誉衡药业</t>
  </si>
  <si>
    <t>www.lixinger.com/analytics/company/sz/002437/2437/detail</t>
  </si>
  <si>
    <t>隆华新材</t>
  </si>
  <si>
    <t>www.lixinger.com/analytics/company/sz/301149/301149/detail</t>
  </si>
  <si>
    <t>横店影视</t>
  </si>
  <si>
    <t>www.lixinger.com/analytics/company/sh/603103/603103/detail</t>
  </si>
  <si>
    <t>浙江美大</t>
  </si>
  <si>
    <t>www.lixinger.com/analytics/company/sz/002677/2677/detail</t>
  </si>
  <si>
    <t>麦捷科技</t>
  </si>
  <si>
    <t>www.lixinger.com/analytics/company/sz/300319/300319/detail</t>
  </si>
  <si>
    <t>春兰股份</t>
  </si>
  <si>
    <t>www.lixinger.com/analytics/company/sh/600854/600854/detail</t>
  </si>
  <si>
    <t>华联股份</t>
  </si>
  <si>
    <t>www.lixinger.com/analytics/company/sz/000882/882/detail</t>
  </si>
  <si>
    <t>柘中股份</t>
  </si>
  <si>
    <t>www.lixinger.com/analytics/company/sz/002346/2346/detail</t>
  </si>
  <si>
    <t>神奇制药</t>
  </si>
  <si>
    <t>www.lixinger.com/analytics/company/sh/600613/600613/detail</t>
  </si>
  <si>
    <t>国创高新</t>
  </si>
  <si>
    <t>www.lixinger.com/analytics/company/sz/002377/2377/detail</t>
  </si>
  <si>
    <t>星辉环材</t>
  </si>
  <si>
    <t>www.lixinger.com/analytics/company/sz/300834/300834/detail</t>
  </si>
  <si>
    <t>东旭光电</t>
  </si>
  <si>
    <t>www.lixinger.com/analytics/company/sz/000413/413/detail</t>
  </si>
  <si>
    <t>郑煤机</t>
  </si>
  <si>
    <t>www.lixinger.com/analytics/company/sh/601717/601717/detail</t>
  </si>
  <si>
    <t>派瑞股份</t>
  </si>
  <si>
    <t>www.lixinger.com/analytics/company/sz/300831/300831/detail</t>
  </si>
  <si>
    <t>深华发Ａ</t>
  </si>
  <si>
    <t>www.lixinger.com/analytics/company/sz/000020/20/detail</t>
  </si>
  <si>
    <t>海尔生物</t>
  </si>
  <si>
    <t>www.lixinger.com/analytics/company/sh/688139/688139/detail</t>
  </si>
  <si>
    <t>同益中</t>
  </si>
  <si>
    <t>www.lixinger.com/analytics/company/sh/688722/688722/detail</t>
  </si>
  <si>
    <t>模塑科技</t>
  </si>
  <si>
    <t>www.lixinger.com/analytics/company/sz/000700/700/detail</t>
  </si>
  <si>
    <t>双鹭药业</t>
  </si>
  <si>
    <t>www.lixinger.com/analytics/company/sz/002038/2038/detail</t>
  </si>
  <si>
    <t>联创股份</t>
  </si>
  <si>
    <t>www.lixinger.com/analytics/company/sz/300343/300343/detail</t>
  </si>
  <si>
    <t>凯利泰</t>
  </si>
  <si>
    <t>www.lixinger.com/analytics/company/sz/300326/300326/detail</t>
  </si>
  <si>
    <t>新亚强</t>
  </si>
  <si>
    <t>www.lixinger.com/analytics/company/sh/603155/603155/detail</t>
  </si>
  <si>
    <t>新诺威</t>
  </si>
  <si>
    <t>www.lixinger.com/analytics/company/sz/300765/300765/detail</t>
  </si>
  <si>
    <t>天地源</t>
  </si>
  <si>
    <t>www.lixinger.com/analytics/company/sh/600665/600665/detail</t>
  </si>
  <si>
    <t>双箭股份</t>
  </si>
  <si>
    <t>www.lixinger.com/analytics/company/sz/002381/2381/detail</t>
  </si>
  <si>
    <t>善水科技</t>
  </si>
  <si>
    <t>www.lixinger.com/analytics/company/sz/301190/301190/detail</t>
  </si>
  <si>
    <t>合力科技</t>
  </si>
  <si>
    <t>www.lixinger.com/analytics/company/sh/603917/603917/detail</t>
  </si>
  <si>
    <t>咸亨国际</t>
  </si>
  <si>
    <t>www.lixinger.com/analytics/company/sh/605056/605056/detail</t>
  </si>
  <si>
    <t>西宁特钢</t>
  </si>
  <si>
    <t>www.lixinger.com/analytics/company/sh/600117/600117/detail</t>
  </si>
  <si>
    <t>永利股份</t>
  </si>
  <si>
    <t>www.lixinger.com/analytics/company/sz/300230/300230/detail</t>
  </si>
  <si>
    <t>漱玉平民</t>
  </si>
  <si>
    <t>www.lixinger.com/analytics/company/sz/301017/301017/detail</t>
  </si>
  <si>
    <t>良品铺子</t>
  </si>
  <si>
    <t>www.lixinger.com/analytics/company/sh/603719/603719/detail</t>
  </si>
  <si>
    <t>宁波海运</t>
  </si>
  <si>
    <t>www.lixinger.com/analytics/company/sh/600798/600798/detail</t>
  </si>
  <si>
    <t>三峡水利</t>
  </si>
  <si>
    <t>www.lixinger.com/analytics/company/sh/600116/600116/detail</t>
  </si>
  <si>
    <t>透景生命</t>
  </si>
  <si>
    <t>www.lixinger.com/analytics/company/sz/300642/300642/detail</t>
  </si>
  <si>
    <t>义翘神州</t>
  </si>
  <si>
    <t>www.lixinger.com/analytics/company/sz/301047/301047/detail</t>
  </si>
  <si>
    <t>南侨食品</t>
  </si>
  <si>
    <t>www.lixinger.com/analytics/company/sh/605339/605339/detail</t>
  </si>
  <si>
    <t>ST时万</t>
  </si>
  <si>
    <t>www.lixinger.com/analytics/company/sh/600241/600241/detail</t>
  </si>
  <si>
    <t>*ST华塑</t>
  </si>
  <si>
    <t>www.lixinger.com/analytics/company/sz/000509/509/detail</t>
  </si>
  <si>
    <t>启明信息</t>
  </si>
  <si>
    <t>www.lixinger.com/analytics/company/sz/002232/2232/detail</t>
  </si>
  <si>
    <t>天龙股份</t>
  </si>
  <si>
    <t>www.lixinger.com/analytics/company/sh/603266/603266/detail</t>
  </si>
  <si>
    <t>贵州三力</t>
  </si>
  <si>
    <t>www.lixinger.com/analytics/company/sh/603439/603439/detail</t>
  </si>
  <si>
    <t>郑中设计</t>
  </si>
  <si>
    <t>www.lixinger.com/analytics/company/sz/002811/2811/detail</t>
  </si>
  <si>
    <t>ST金鸿</t>
  </si>
  <si>
    <t>www.lixinger.com/analytics/company/sz/000669/669/detail</t>
  </si>
  <si>
    <t>朗科智能</t>
  </si>
  <si>
    <t>www.lixinger.com/analytics/company/sz/300543/300543/detail</t>
  </si>
  <si>
    <t>海欣食品</t>
  </si>
  <si>
    <t>www.lixinger.com/analytics/company/sz/002702/2702/detail</t>
  </si>
  <si>
    <t>五方光电</t>
  </si>
  <si>
    <t>www.lixinger.com/analytics/company/sz/002962/2962/detail</t>
  </si>
  <si>
    <t>金逸影视</t>
  </si>
  <si>
    <t>www.lixinger.com/analytics/company/sz/002905/2905/detail</t>
  </si>
  <si>
    <t>正海生物</t>
  </si>
  <si>
    <t>www.lixinger.com/analytics/company/sz/300653/300653/detail</t>
  </si>
  <si>
    <t>九牧王</t>
  </si>
  <si>
    <t>www.lixinger.com/analytics/company/sh/601566/601566/detail</t>
  </si>
  <si>
    <t>生益电子</t>
  </si>
  <si>
    <t>www.lixinger.com/analytics/company/sh/688183/688183/detail</t>
  </si>
  <si>
    <t>兴齐眼药</t>
  </si>
  <si>
    <t>www.lixinger.com/analytics/company/sz/300573/300573/detail</t>
  </si>
  <si>
    <t>松霖科技</t>
  </si>
  <si>
    <t>www.lixinger.com/analytics/company/sh/603992/603992/detail</t>
  </si>
  <si>
    <t>申华控股</t>
  </si>
  <si>
    <t>www.lixinger.com/analytics/company/sh/600653/600653/detail</t>
  </si>
  <si>
    <t>同力日升</t>
  </si>
  <si>
    <t>www.lixinger.com/analytics/company/sh/605286/605286/detail</t>
  </si>
  <si>
    <t>何氏眼科</t>
  </si>
  <si>
    <t>www.lixinger.com/analytics/company/sz/301103/301103/detail</t>
  </si>
  <si>
    <t>普丽盛</t>
  </si>
  <si>
    <t>www.lixinger.com/analytics/company/sz/300442/300442/detail</t>
  </si>
  <si>
    <t>新光药业</t>
  </si>
  <si>
    <t>www.lixinger.com/analytics/company/sz/300519/300519/detail</t>
  </si>
  <si>
    <t>中富电路</t>
  </si>
  <si>
    <t>www.lixinger.com/analytics/company/sz/300814/300814/detail</t>
  </si>
  <si>
    <t>拓荆科技</t>
  </si>
  <si>
    <t>www.lixinger.com/analytics/company/sh/688072/688072/detail</t>
  </si>
  <si>
    <t>南都电源</t>
  </si>
  <si>
    <t>www.lixinger.com/analytics/company/sz/300068/300068/detail</t>
  </si>
  <si>
    <t>博实股份</t>
  </si>
  <si>
    <t>www.lixinger.com/analytics/company/sz/002698/2698/detail</t>
  </si>
  <si>
    <t>成都路桥</t>
  </si>
  <si>
    <t>www.lixinger.com/analytics/company/sz/002628/2628/detail</t>
  </si>
  <si>
    <t>大叶股份</t>
  </si>
  <si>
    <t>www.lixinger.com/analytics/company/sz/300879/300879/detail</t>
  </si>
  <si>
    <t>东方铁塔</t>
  </si>
  <si>
    <t>www.lixinger.com/analytics/company/sz/002545/2545/detail</t>
  </si>
  <si>
    <t>ST升达</t>
  </si>
  <si>
    <t>www.lixinger.com/analytics/company/sz/002259/2259/detail</t>
  </si>
  <si>
    <t>精准信息</t>
  </si>
  <si>
    <t>www.lixinger.com/analytics/company/sz/300099/300099/detail</t>
  </si>
  <si>
    <t>亿利洁能</t>
  </si>
  <si>
    <t>www.lixinger.com/analytics/company/sh/600277/600277/detail</t>
  </si>
  <si>
    <t>泽宇智能</t>
  </si>
  <si>
    <t>www.lixinger.com/analytics/company/sz/301179/301179/detail</t>
  </si>
  <si>
    <t>天佑德酒</t>
  </si>
  <si>
    <t>www.lixinger.com/analytics/company/sz/002646/2646/detail</t>
  </si>
  <si>
    <t>英维克</t>
  </si>
  <si>
    <t>www.lixinger.com/analytics/company/sz/002837/2837/detail</t>
  </si>
  <si>
    <t>凌霄泵业</t>
  </si>
  <si>
    <t>www.lixinger.com/analytics/company/sz/002884/2884/detail</t>
  </si>
  <si>
    <t>朗源股份</t>
  </si>
  <si>
    <t>www.lixinger.com/analytics/company/sz/300175/300175/detail</t>
  </si>
  <si>
    <t>惠泰医疗</t>
  </si>
  <si>
    <t>www.lixinger.com/analytics/company/sh/688617/688617/detail</t>
  </si>
  <si>
    <t>沃华医药</t>
  </si>
  <si>
    <t>www.lixinger.com/analytics/company/sz/002107/2107/detail</t>
  </si>
  <si>
    <t>襄阳轴承</t>
  </si>
  <si>
    <t>www.lixinger.com/analytics/company/sz/000678/678/detail</t>
  </si>
  <si>
    <t>文投控股</t>
  </si>
  <si>
    <t>www.lixinger.com/analytics/company/sh/600715/600715/detail</t>
  </si>
  <si>
    <t>巨人网络</t>
  </si>
  <si>
    <t>www.lixinger.com/analytics/company/sz/002558/2558/detail</t>
  </si>
  <si>
    <t>莲花健康</t>
  </si>
  <si>
    <t>www.lixinger.com/analytics/company/sh/600186/600186/detail</t>
  </si>
  <si>
    <t>*ST中迪</t>
  </si>
  <si>
    <t>www.lixinger.com/analytics/company/sz/000609/609/detail</t>
  </si>
  <si>
    <t>同花顺</t>
  </si>
  <si>
    <t>www.lixinger.com/analytics/company/sz/300033/300033/detail</t>
  </si>
  <si>
    <t>比依股份</t>
  </si>
  <si>
    <t>www.lixinger.com/analytics/company/sh/603215/603215/detail</t>
  </si>
  <si>
    <t>福达合金</t>
  </si>
  <si>
    <t>www.lixinger.com/analytics/company/sh/603045/603045/detail</t>
  </si>
  <si>
    <t>獐子岛</t>
  </si>
  <si>
    <t>www.lixinger.com/analytics/company/sz/002069/2069/detail</t>
  </si>
  <si>
    <t>国芳集团</t>
  </si>
  <si>
    <t>www.lixinger.com/analytics/company/sh/601086/601086/detail</t>
  </si>
  <si>
    <t>新国都</t>
  </si>
  <si>
    <t>www.lixinger.com/analytics/company/sz/300130/300130/detail</t>
  </si>
  <si>
    <t>长春一东</t>
  </si>
  <si>
    <t>www.lixinger.com/analytics/company/sh/600148/600148/detail</t>
  </si>
  <si>
    <t>山西焦化</t>
  </si>
  <si>
    <t>www.lixinger.com/analytics/company/sh/600740/600740/detail</t>
  </si>
  <si>
    <t>飞龙股份</t>
  </si>
  <si>
    <t>www.lixinger.com/analytics/company/sz/002536/2536/detail</t>
  </si>
  <si>
    <t>万祥科技</t>
  </si>
  <si>
    <t>www.lixinger.com/analytics/company/sz/301180/301180/detail</t>
  </si>
  <si>
    <t>联明股份</t>
  </si>
  <si>
    <t>www.lixinger.com/analytics/company/sh/603006/603006/detail</t>
  </si>
  <si>
    <t>科美诊断</t>
  </si>
  <si>
    <t>www.lixinger.com/analytics/company/sh/688468/688468/detail</t>
  </si>
  <si>
    <t>波导股份</t>
  </si>
  <si>
    <t>www.lixinger.com/analytics/company/sh/600130/600130/detail</t>
  </si>
  <si>
    <t>共达电声</t>
  </si>
  <si>
    <t>www.lixinger.com/analytics/company/sz/002655/2655/detail</t>
  </si>
  <si>
    <t>闽发铝业</t>
  </si>
  <si>
    <t>www.lixinger.com/analytics/company/sz/002578/2578/detail</t>
  </si>
  <si>
    <t>新泉股份</t>
  </si>
  <si>
    <t>www.lixinger.com/analytics/company/sh/603179/603179/detail</t>
  </si>
  <si>
    <t>多伦科技</t>
  </si>
  <si>
    <t>www.lixinger.com/analytics/company/sh/603528/603528/detail</t>
  </si>
  <si>
    <t>钱江水利</t>
  </si>
  <si>
    <t>www.lixinger.com/analytics/company/sh/600283/600283/detail</t>
  </si>
  <si>
    <t>兆丰股份</t>
  </si>
  <si>
    <t>www.lixinger.com/analytics/company/sz/300695/300695/detail</t>
  </si>
  <si>
    <t>亚联发展</t>
  </si>
  <si>
    <t>www.lixinger.com/analytics/company/sz/002316/2316/detail</t>
  </si>
  <si>
    <t>新洁能</t>
  </si>
  <si>
    <t>www.lixinger.com/analytics/company/sh/605111/605111/detail</t>
  </si>
  <si>
    <t>慈星股份</t>
  </si>
  <si>
    <t>www.lixinger.com/analytics/company/sz/300307/300307/detail</t>
  </si>
  <si>
    <t>再升科技</t>
  </si>
  <si>
    <t>www.lixinger.com/analytics/company/sh/603601/603601/detail</t>
  </si>
  <si>
    <t>*ST中基</t>
  </si>
  <si>
    <t>www.lixinger.com/analytics/company/sz/000972/972/detail</t>
  </si>
  <si>
    <t>东方锆业</t>
  </si>
  <si>
    <t>www.lixinger.com/analytics/company/sz/002167/2167/detail</t>
  </si>
  <si>
    <t>合康新能</t>
  </si>
  <si>
    <t>www.lixinger.com/analytics/company/sz/300048/300048/detail</t>
  </si>
  <si>
    <t>汇通能源</t>
  </si>
  <si>
    <t>www.lixinger.com/analytics/company/sh/600605/600605/detail</t>
  </si>
  <si>
    <t>国机通用</t>
  </si>
  <si>
    <t>www.lixinger.com/analytics/company/sh/600444/600444/detail</t>
  </si>
  <si>
    <t>龙江交通</t>
  </si>
  <si>
    <t>www.lixinger.com/analytics/company/sh/601188/601188/detail</t>
  </si>
  <si>
    <t>*ST罗顿</t>
  </si>
  <si>
    <t>www.lixinger.com/analytics/company/sh/600209/600209/detail</t>
  </si>
  <si>
    <t>翔港科技</t>
  </si>
  <si>
    <t>www.lixinger.com/analytics/company/sh/603499/603499/detail</t>
  </si>
  <si>
    <t>当升科技</t>
  </si>
  <si>
    <t>www.lixinger.com/analytics/company/sz/300073/300073/detail</t>
  </si>
  <si>
    <t>特变电工</t>
  </si>
  <si>
    <t>www.lixinger.com/analytics/company/sh/600089/600089/detail</t>
  </si>
  <si>
    <t>孩子王</t>
  </si>
  <si>
    <t>www.lixinger.com/analytics/company/sz/301078/301078/detail</t>
  </si>
  <si>
    <t>宜宾纸业</t>
  </si>
  <si>
    <t>www.lixinger.com/analytics/company/sh/600793/600793/detail</t>
  </si>
  <si>
    <t>ST联建</t>
  </si>
  <si>
    <t>www.lixinger.com/analytics/company/sz/300269/300269/detail</t>
  </si>
  <si>
    <t>中颖电子</t>
  </si>
  <si>
    <t>www.lixinger.com/analytics/company/sz/300327/300327/detail</t>
  </si>
  <si>
    <t>凯因科技</t>
  </si>
  <si>
    <t>www.lixinger.com/analytics/company/sh/688687/688687/detail</t>
  </si>
  <si>
    <t>渤海轮渡</t>
  </si>
  <si>
    <t>www.lixinger.com/analytics/company/sh/603167/603167/detail</t>
  </si>
  <si>
    <t>南京熊猫</t>
  </si>
  <si>
    <t>www.lixinger.com/analytics/company/sh/600775/600775/detail</t>
  </si>
  <si>
    <t>聚辰股份</t>
  </si>
  <si>
    <t>www.lixinger.com/analytics/company/sh/688123/688123/detail</t>
  </si>
  <si>
    <t>博天环境</t>
  </si>
  <si>
    <t>www.lixinger.com/analytics/company/sh/603603/603603/detail</t>
  </si>
  <si>
    <t>三生国健</t>
  </si>
  <si>
    <t>www.lixinger.com/analytics/company/sh/688336/688336/detail</t>
  </si>
  <si>
    <t>乐心医疗</t>
  </si>
  <si>
    <t>www.lixinger.com/analytics/company/sz/300562/300562/detail</t>
  </si>
  <si>
    <t>东方钽业</t>
  </si>
  <si>
    <t>www.lixinger.com/analytics/company/sz/000962/962/detail</t>
  </si>
  <si>
    <t>振华股份</t>
  </si>
  <si>
    <t>www.lixinger.com/analytics/company/sh/603067/603067/detail</t>
  </si>
  <si>
    <t>晨化股份</t>
  </si>
  <si>
    <t>www.lixinger.com/analytics/company/sz/300610/300610/detail</t>
  </si>
  <si>
    <t>万邦达</t>
  </si>
  <si>
    <t>www.lixinger.com/analytics/company/sz/300055/300055/detail</t>
  </si>
  <si>
    <t>秋田微</t>
  </si>
  <si>
    <t>www.lixinger.com/analytics/company/sz/300939/300939/detail</t>
  </si>
  <si>
    <t>宝光股份</t>
  </si>
  <si>
    <t>www.lixinger.com/analytics/company/sh/600379/600379/detail</t>
  </si>
  <si>
    <t>ST龙韵</t>
  </si>
  <si>
    <t>www.lixinger.com/analytics/company/sh/603729/603729/detail</t>
  </si>
  <si>
    <t>中路股份</t>
  </si>
  <si>
    <t>www.lixinger.com/analytics/company/sh/600818/600818/detail</t>
  </si>
  <si>
    <t>腾达建设</t>
  </si>
  <si>
    <t>www.lixinger.com/analytics/company/sh/600512/600512/detail</t>
  </si>
  <si>
    <t>新纶新材</t>
  </si>
  <si>
    <t>www.lixinger.com/analytics/company/sz/002341/2341/detail</t>
  </si>
  <si>
    <t>德必集团</t>
  </si>
  <si>
    <t>www.lixinger.com/analytics/company/sz/300947/300947/detail</t>
  </si>
  <si>
    <t>江苏吴中</t>
  </si>
  <si>
    <t>www.lixinger.com/analytics/company/sh/600200/600200/detail</t>
  </si>
  <si>
    <t>汉森制药</t>
  </si>
  <si>
    <t>www.lixinger.com/analytics/company/sz/002412/2412/detail</t>
  </si>
  <si>
    <t>阳谷华泰</t>
  </si>
  <si>
    <t>www.lixinger.com/analytics/company/sz/300121/300121/detail</t>
  </si>
  <si>
    <t>劲仔食品</t>
  </si>
  <si>
    <t>www.lixinger.com/analytics/company/sz/003000/3000/detail</t>
  </si>
  <si>
    <t>天秦装备</t>
  </si>
  <si>
    <t>www.lixinger.com/analytics/company/sz/300922/300922/detail</t>
  </si>
  <si>
    <t>长航凤凰</t>
  </si>
  <si>
    <t>www.lixinger.com/analytics/company/sz/000520/520/detail</t>
  </si>
  <si>
    <t>惠泉啤酒</t>
  </si>
  <si>
    <t>www.lixinger.com/analytics/company/sh/600573/600573/detail</t>
  </si>
  <si>
    <t>燕麦科技</t>
  </si>
  <si>
    <t>www.lixinger.com/analytics/company/sh/688312/688312/detail</t>
  </si>
  <si>
    <t>中坚科技</t>
  </si>
  <si>
    <t>www.lixinger.com/analytics/company/sz/002779/2779/detail</t>
  </si>
  <si>
    <t>康辰药业</t>
  </si>
  <si>
    <t>www.lixinger.com/analytics/company/sh/603590/603590/detail</t>
  </si>
  <si>
    <t>恒丰纸业</t>
  </si>
  <si>
    <t>www.lixinger.com/analytics/company/sh/600356/600356/detail</t>
  </si>
  <si>
    <t>向日葵</t>
  </si>
  <si>
    <t>www.lixinger.com/analytics/company/sz/300111/300111/detail</t>
  </si>
  <si>
    <t>集友股份</t>
  </si>
  <si>
    <t>www.lixinger.com/analytics/company/sh/603429/603429/detail</t>
  </si>
  <si>
    <t>京华激光</t>
  </si>
  <si>
    <t>www.lixinger.com/analytics/company/sh/603607/603607/detail</t>
  </si>
  <si>
    <t>四川双马</t>
  </si>
  <si>
    <t>www.lixinger.com/analytics/company/sz/000935/935/detail</t>
  </si>
  <si>
    <t>英飞拓</t>
  </si>
  <si>
    <t>www.lixinger.com/analytics/company/sz/002528/2528/detail</t>
  </si>
  <si>
    <t>传艺科技</t>
  </si>
  <si>
    <t>www.lixinger.com/analytics/company/sz/002866/2866/detail</t>
  </si>
  <si>
    <t>海翔药业</t>
  </si>
  <si>
    <t>www.lixinger.com/analytics/company/sz/002099/2099/detail</t>
  </si>
  <si>
    <t>依依股份</t>
  </si>
  <si>
    <t>www.lixinger.com/analytics/company/sz/001206/1206/detail</t>
  </si>
  <si>
    <t>亚宝药业</t>
  </si>
  <si>
    <t>www.lixinger.com/analytics/company/sh/600351/600351/detail</t>
  </si>
  <si>
    <t>华安鑫创</t>
  </si>
  <si>
    <t>www.lixinger.com/analytics/company/sz/300928/300928/detail</t>
  </si>
  <si>
    <t>亚太股份</t>
  </si>
  <si>
    <t>www.lixinger.com/analytics/company/sz/002284/2284/detail</t>
  </si>
  <si>
    <t>歌力思</t>
  </si>
  <si>
    <t>www.lixinger.com/analytics/company/sh/603808/603808/detail</t>
  </si>
  <si>
    <t>汇宇制药</t>
  </si>
  <si>
    <t>www.lixinger.com/analytics/company/sh/688553/688553/detail</t>
  </si>
  <si>
    <t>中新药业</t>
  </si>
  <si>
    <t>www.lixinger.com/analytics/company/sh/600329/600329/detail</t>
  </si>
  <si>
    <t>ST华鼎</t>
  </si>
  <si>
    <t>www.lixinger.com/analytics/company/sh/601113/601113/detail</t>
  </si>
  <si>
    <t>*ST中潜</t>
  </si>
  <si>
    <t>www.lixinger.com/analytics/company/sz/300526/300526/detail</t>
  </si>
  <si>
    <t>精华制药</t>
  </si>
  <si>
    <t>www.lixinger.com/analytics/company/sz/002349/2349/detail</t>
  </si>
  <si>
    <t>福成股份</t>
  </si>
  <si>
    <t>www.lixinger.com/analytics/company/sh/600965/600965/detail</t>
  </si>
  <si>
    <t>密封科技</t>
  </si>
  <si>
    <t>www.lixinger.com/analytics/company/sz/301020/301020/detail</t>
  </si>
  <si>
    <t>强瑞技术</t>
  </si>
  <si>
    <t>www.lixinger.com/analytics/company/sz/301128/301128/detail</t>
  </si>
  <si>
    <t>基蛋生物</t>
  </si>
  <si>
    <t>www.lixinger.com/analytics/company/sh/603387/603387/detail</t>
  </si>
  <si>
    <t>东望时代</t>
  </si>
  <si>
    <t>www.lixinger.com/analytics/company/sh/600052/600052/detail</t>
  </si>
  <si>
    <t>宏川智慧</t>
  </si>
  <si>
    <t>www.lixinger.com/analytics/company/sz/002930/2930/detail</t>
  </si>
  <si>
    <t>致远新能</t>
  </si>
  <si>
    <t>www.lixinger.com/analytics/company/sz/300985/300985/detail</t>
  </si>
  <si>
    <t>洪汇新材</t>
  </si>
  <si>
    <t>www.lixinger.com/analytics/company/sz/002802/2802/detail</t>
  </si>
  <si>
    <t>隆利科技</t>
  </si>
  <si>
    <t>www.lixinger.com/analytics/company/sz/300752/300752/detail</t>
  </si>
  <si>
    <t>泰恩康</t>
  </si>
  <si>
    <t>www.lixinger.com/analytics/company/sz/301263/301263/detail</t>
  </si>
  <si>
    <t>贤丰控股</t>
  </si>
  <si>
    <t>www.lixinger.com/analytics/company/sz/002141/2141/detail</t>
  </si>
  <si>
    <t>辽宁成大</t>
  </si>
  <si>
    <t>www.lixinger.com/analytics/company/sh/600739/600739/detail</t>
  </si>
  <si>
    <t>哈尔斯</t>
  </si>
  <si>
    <t>www.lixinger.com/analytics/company/sz/002615/2615/detail</t>
  </si>
  <si>
    <t>北信源</t>
  </si>
  <si>
    <t>www.lixinger.com/analytics/company/sz/300352/300352/detail</t>
  </si>
  <si>
    <t>超华科技</t>
  </si>
  <si>
    <t>www.lixinger.com/analytics/company/sz/002288/2288/detail</t>
  </si>
  <si>
    <t>美格智能</t>
  </si>
  <si>
    <t>www.lixinger.com/analytics/company/sz/002881/2881/detail</t>
  </si>
  <si>
    <t>泰晶科技</t>
  </si>
  <si>
    <t>www.lixinger.com/analytics/company/sh/603738/603738/detail</t>
  </si>
  <si>
    <t>四方科技</t>
  </si>
  <si>
    <t>www.lixinger.com/analytics/company/sh/603339/603339/detail</t>
  </si>
  <si>
    <t>派能科技</t>
  </si>
  <si>
    <t>www.lixinger.com/analytics/company/sh/688063/688063/detail</t>
  </si>
  <si>
    <t>江南高纤</t>
  </si>
  <si>
    <t>www.lixinger.com/analytics/company/sh/600527/600527/detail</t>
  </si>
  <si>
    <t>李子园</t>
  </si>
  <si>
    <t>www.lixinger.com/analytics/company/sh/605337/605337/detail</t>
  </si>
  <si>
    <t>华润双鹤</t>
  </si>
  <si>
    <t>www.lixinger.com/analytics/company/sh/600062/600062/detail</t>
  </si>
  <si>
    <t>复洁环保</t>
  </si>
  <si>
    <t>www.lixinger.com/analytics/company/sh/688335/688335/detail</t>
  </si>
  <si>
    <t>东珠生态</t>
  </si>
  <si>
    <t>www.lixinger.com/analytics/company/sh/603359/603359/detail</t>
  </si>
  <si>
    <t>特宝生物</t>
  </si>
  <si>
    <t>www.lixinger.com/analytics/company/sh/688278/688278/detail</t>
  </si>
  <si>
    <t>继峰股份</t>
  </si>
  <si>
    <t>www.lixinger.com/analytics/company/sh/603997/603997/detail</t>
  </si>
  <si>
    <t>珠海中富</t>
  </si>
  <si>
    <t>www.lixinger.com/analytics/company/sz/000659/659/detail</t>
  </si>
  <si>
    <t>口子窖</t>
  </si>
  <si>
    <t>www.lixinger.com/analytics/company/sh/603589/603589/detail</t>
  </si>
  <si>
    <t>桃李面包</t>
  </si>
  <si>
    <t>www.lixinger.com/analytics/company/sh/603866/603866/detail</t>
  </si>
  <si>
    <t>*ST中天</t>
  </si>
  <si>
    <t>www.lixinger.com/analytics/company/sh/600856/600856/detail</t>
  </si>
  <si>
    <t>合肥百货</t>
  </si>
  <si>
    <t>www.lixinger.com/analytics/company/sz/000417/417/detail</t>
  </si>
  <si>
    <t>英诺激光</t>
  </si>
  <si>
    <t>www.lixinger.com/analytics/company/sz/301021/301021/detail</t>
  </si>
  <si>
    <t>西部创业</t>
  </si>
  <si>
    <t>www.lixinger.com/analytics/company/sz/000557/557/detail</t>
  </si>
  <si>
    <t>山东玻纤</t>
  </si>
  <si>
    <t>www.lixinger.com/analytics/company/sh/605006/605006/detail</t>
  </si>
  <si>
    <t>欣贺股份</t>
  </si>
  <si>
    <t>www.lixinger.com/analytics/company/sz/003016/3016/detail</t>
  </si>
  <si>
    <t>星光农机</t>
  </si>
  <si>
    <t>www.lixinger.com/analytics/company/sh/603789/603789/detail</t>
  </si>
  <si>
    <t>华瑞股份</t>
  </si>
  <si>
    <t>www.lixinger.com/analytics/company/sz/300626/300626/detail</t>
  </si>
  <si>
    <t>康缘药业</t>
  </si>
  <si>
    <t>www.lixinger.com/analytics/company/sh/600557/600557/detail</t>
  </si>
  <si>
    <t>仙乐健康</t>
  </si>
  <si>
    <t>www.lixinger.com/analytics/company/sz/300791/300791/detail</t>
  </si>
  <si>
    <t>金牛化工</t>
  </si>
  <si>
    <t>www.lixinger.com/analytics/company/sh/600722/600722/detail</t>
  </si>
  <si>
    <t>百傲化学</t>
  </si>
  <si>
    <t>www.lixinger.com/analytics/company/sh/603360/603360/detail</t>
  </si>
  <si>
    <t>中创环保</t>
  </si>
  <si>
    <t>www.lixinger.com/analytics/company/sz/300056/300056/detail</t>
  </si>
  <si>
    <t>国立科技</t>
  </si>
  <si>
    <t>www.lixinger.com/analytics/company/sz/300716/300716/detail</t>
  </si>
  <si>
    <t>完美世界</t>
  </si>
  <si>
    <t>www.lixinger.com/analytics/company/sz/002624/2624/detail</t>
  </si>
  <si>
    <t>华微电子</t>
  </si>
  <si>
    <t>www.lixinger.com/analytics/company/sh/600360/600360/detail</t>
  </si>
  <si>
    <t>博士眼镜</t>
  </si>
  <si>
    <t>www.lixinger.com/analytics/company/sz/300622/300622/detail</t>
  </si>
  <si>
    <t>神力股份</t>
  </si>
  <si>
    <t>www.lixinger.com/analytics/company/sh/603819/603819/detail</t>
  </si>
  <si>
    <t>萃华珠宝</t>
  </si>
  <si>
    <t>www.lixinger.com/analytics/company/sz/002731/2731/detail</t>
  </si>
  <si>
    <t>ST天马</t>
  </si>
  <si>
    <t>www.lixinger.com/analytics/company/sz/002122/2122/detail</t>
  </si>
  <si>
    <t>荣晟环保</t>
  </si>
  <si>
    <t>www.lixinger.com/analytics/company/sh/603165/603165/detail</t>
  </si>
  <si>
    <t>天赐材料</t>
  </si>
  <si>
    <t>www.lixinger.com/analytics/company/sz/002709/2709/detail</t>
  </si>
  <si>
    <t>新赛股份</t>
  </si>
  <si>
    <t>www.lixinger.com/analytics/company/sh/600540/600540/detail</t>
  </si>
  <si>
    <t>键凯科技</t>
  </si>
  <si>
    <t>www.lixinger.com/analytics/company/sh/688356/688356/detail</t>
  </si>
  <si>
    <t>富安娜</t>
  </si>
  <si>
    <t>www.lixinger.com/analytics/company/sz/002327/2327/detail</t>
  </si>
  <si>
    <t>鲁抗医药</t>
  </si>
  <si>
    <t>www.lixinger.com/analytics/company/sh/600789/600789/detail</t>
  </si>
  <si>
    <t>凯龙股份</t>
  </si>
  <si>
    <t>www.lixinger.com/analytics/company/sz/002783/2783/detail</t>
  </si>
  <si>
    <t>ST中安</t>
  </si>
  <si>
    <t>www.lixinger.com/analytics/company/sh/600654/600654/detail</t>
  </si>
  <si>
    <t>*ST天龙</t>
  </si>
  <si>
    <t>www.lixinger.com/analytics/company/sz/300029/300029/detail</t>
  </si>
  <si>
    <t>民丰特纸</t>
  </si>
  <si>
    <t>www.lixinger.com/analytics/company/sh/600235/600235/detail</t>
  </si>
  <si>
    <t>巨一科技</t>
  </si>
  <si>
    <t>www.lixinger.com/analytics/company/sh/688162/688162/detail</t>
  </si>
  <si>
    <t>科拓生物</t>
  </si>
  <si>
    <t>www.lixinger.com/analytics/company/sz/300858/300858/detail</t>
  </si>
  <si>
    <t>建霖家居</t>
  </si>
  <si>
    <t>www.lixinger.com/analytics/company/sh/603408/603408/detail</t>
  </si>
  <si>
    <t>雷柏科技</t>
  </si>
  <si>
    <t>www.lixinger.com/analytics/company/sz/002577/2577/detail</t>
  </si>
  <si>
    <t>中利集团</t>
  </si>
  <si>
    <t>www.lixinger.com/analytics/company/sz/002309/2309/detail</t>
  </si>
  <si>
    <t>晶方科技</t>
  </si>
  <si>
    <t>www.lixinger.com/analytics/company/sh/603005/603005/detail</t>
  </si>
  <si>
    <t>四方达</t>
  </si>
  <si>
    <t>www.lixinger.com/analytics/company/sz/300179/300179/detail</t>
  </si>
  <si>
    <t>格林精密</t>
  </si>
  <si>
    <t>www.lixinger.com/analytics/company/sz/300968/300968/detail</t>
  </si>
  <si>
    <t>博汇纸业</t>
  </si>
  <si>
    <t>www.lixinger.com/analytics/company/sh/600966/600966/detail</t>
  </si>
  <si>
    <t>味知香</t>
  </si>
  <si>
    <t>www.lixinger.com/analytics/company/sh/605089/605089/detail</t>
  </si>
  <si>
    <t>安达智能</t>
  </si>
  <si>
    <t>www.lixinger.com/analytics/company/sh/688125/688125/detail</t>
  </si>
  <si>
    <t>力量钻石</t>
  </si>
  <si>
    <t>www.lixinger.com/analytics/company/sz/301071/301071/detail</t>
  </si>
  <si>
    <t>佛慈制药</t>
  </si>
  <si>
    <t>www.lixinger.com/analytics/company/sz/002644/2644/detail</t>
  </si>
  <si>
    <t>阿科力</t>
  </si>
  <si>
    <t>www.lixinger.com/analytics/company/sh/603722/603722/detail</t>
  </si>
  <si>
    <t>仁东控股</t>
  </si>
  <si>
    <t>www.lixinger.com/analytics/company/sz/002647/2647/detail</t>
  </si>
  <si>
    <t>正强股份</t>
  </si>
  <si>
    <t>www.lixinger.com/analytics/company/sz/301119/301119/detail</t>
  </si>
  <si>
    <t>福晶科技</t>
  </si>
  <si>
    <t>www.lixinger.com/analytics/company/sz/002222/2222/detail</t>
  </si>
  <si>
    <t>盐津铺子</t>
  </si>
  <si>
    <t>www.lixinger.com/analytics/company/sz/002847/2847/detail</t>
  </si>
  <si>
    <t>国旅联合</t>
  </si>
  <si>
    <t>www.lixinger.com/analytics/company/sh/600358/600358/detail</t>
  </si>
  <si>
    <t>珠江股份</t>
  </si>
  <si>
    <t>www.lixinger.com/analytics/company/sh/600684/600684/detail</t>
  </si>
  <si>
    <t>灵康药业</t>
  </si>
  <si>
    <t>www.lixinger.com/analytics/company/sh/603669/603669/detail</t>
  </si>
  <si>
    <t>迦南智能</t>
  </si>
  <si>
    <t>www.lixinger.com/analytics/company/sz/300880/300880/detail</t>
  </si>
  <si>
    <t>中广天择</t>
  </si>
  <si>
    <t>www.lixinger.com/analytics/company/sh/603721/603721/detail</t>
  </si>
  <si>
    <t>光迅科技</t>
  </si>
  <si>
    <t>www.lixinger.com/analytics/company/sz/002281/2281/detail</t>
  </si>
  <si>
    <t>原尚股份</t>
  </si>
  <si>
    <t>www.lixinger.com/analytics/company/sh/603813/603813/detail</t>
  </si>
  <si>
    <t>翰宇药业</t>
  </si>
  <si>
    <t>www.lixinger.com/analytics/company/sz/300199/300199/detail</t>
  </si>
  <si>
    <t>三晖电气</t>
  </si>
  <si>
    <t>www.lixinger.com/analytics/company/sz/002857/2857/detail</t>
  </si>
  <si>
    <t>皇马科技</t>
  </si>
  <si>
    <t>www.lixinger.com/analytics/company/sh/603181/603181/detail</t>
  </si>
  <si>
    <t>中光防雷</t>
  </si>
  <si>
    <t>www.lixinger.com/analytics/company/sz/300414/300414/detail</t>
  </si>
  <si>
    <t>扬子新材</t>
  </si>
  <si>
    <t>www.lixinger.com/analytics/company/sz/002652/2652/detail</t>
  </si>
  <si>
    <t>盈康生命</t>
  </si>
  <si>
    <t>www.lixinger.com/analytics/company/sz/300143/300143/detail</t>
  </si>
  <si>
    <t>惠发食品</t>
  </si>
  <si>
    <t>www.lixinger.com/analytics/company/sh/603536/603536/detail</t>
  </si>
  <si>
    <t>若羽臣</t>
  </si>
  <si>
    <t>www.lixinger.com/analytics/company/sz/003010/3010/detail</t>
  </si>
  <si>
    <t>华恒生物</t>
  </si>
  <si>
    <t>www.lixinger.com/analytics/company/sh/688639/688639/detail</t>
  </si>
  <si>
    <t>安纳达</t>
  </si>
  <si>
    <t>www.lixinger.com/analytics/company/sz/002136/2136/detail</t>
  </si>
  <si>
    <t>精伦电子</t>
  </si>
  <si>
    <t>www.lixinger.com/analytics/company/sh/600355/600355/detail</t>
  </si>
  <si>
    <t>莱茵生物</t>
  </si>
  <si>
    <t>www.lixinger.com/analytics/company/sz/002166/2166/detail</t>
  </si>
  <si>
    <t>泰豪科技</t>
  </si>
  <si>
    <t>www.lixinger.com/analytics/company/sh/600590/600590/detail</t>
  </si>
  <si>
    <t>仟源医药</t>
  </si>
  <si>
    <t>www.lixinger.com/analytics/company/sz/300254/300254/detail</t>
  </si>
  <si>
    <t>晨丰科技</t>
  </si>
  <si>
    <t>www.lixinger.com/analytics/company/sh/603685/603685/detail</t>
  </si>
  <si>
    <t>龙高股份</t>
  </si>
  <si>
    <t>www.lixinger.com/analytics/company/sh/605086/605086/detail</t>
  </si>
  <si>
    <t>禾迈股份</t>
  </si>
  <si>
    <t>www.lixinger.com/analytics/company/sh/688032/688032/detail</t>
  </si>
  <si>
    <t>ST新海</t>
  </si>
  <si>
    <t>www.lixinger.com/analytics/company/sz/002089/2089/detail</t>
  </si>
  <si>
    <t>罗牛山</t>
  </si>
  <si>
    <t>www.lixinger.com/analytics/company/sz/000735/735/detail</t>
  </si>
  <si>
    <t>远东传动</t>
  </si>
  <si>
    <t>www.lixinger.com/analytics/company/sz/002406/2406/detail</t>
  </si>
  <si>
    <t>海航科技</t>
  </si>
  <si>
    <t>www.lixinger.com/analytics/company/sh/600751/600751/detail</t>
  </si>
  <si>
    <t>我武生物</t>
  </si>
  <si>
    <t>www.lixinger.com/analytics/company/sz/300357/300357/detail</t>
  </si>
  <si>
    <t>亚翔集成</t>
  </si>
  <si>
    <t>www.lixinger.com/analytics/company/sh/603929/603929/detail</t>
  </si>
  <si>
    <t>博亚精工</t>
  </si>
  <si>
    <t>www.lixinger.com/analytics/company/sz/300971/300971/detail</t>
  </si>
  <si>
    <t>冠昊生物</t>
  </si>
  <si>
    <t>www.lixinger.com/analytics/company/sz/300238/300238/detail</t>
  </si>
  <si>
    <t>雪龙集团</t>
  </si>
  <si>
    <t>www.lixinger.com/analytics/company/sh/603949/603949/detail</t>
  </si>
  <si>
    <t>辰欣药业</t>
  </si>
  <si>
    <t>www.lixinger.com/analytics/company/sh/603367/603367/detail</t>
  </si>
  <si>
    <t>天利科技</t>
  </si>
  <si>
    <t>www.lixinger.com/analytics/company/sz/300399/300399/detail</t>
  </si>
  <si>
    <t>浙数文化</t>
  </si>
  <si>
    <t>www.lixinger.com/analytics/company/sh/600633/600633/detail</t>
  </si>
  <si>
    <t>上海易连</t>
  </si>
  <si>
    <t>www.lixinger.com/analytics/company/sh/600836/600836/detail</t>
  </si>
  <si>
    <t>贝仕达克</t>
  </si>
  <si>
    <t>www.lixinger.com/analytics/company/sz/300822/300822/detail</t>
  </si>
  <si>
    <t>济民医疗</t>
  </si>
  <si>
    <t>www.lixinger.com/analytics/company/sh/603222/603222/detail</t>
  </si>
  <si>
    <t>中金辐照</t>
  </si>
  <si>
    <t>www.lixinger.com/analytics/company/sz/300962/300962/detail</t>
  </si>
  <si>
    <t>蠡湖股份</t>
  </si>
  <si>
    <t>www.lixinger.com/analytics/company/sz/300694/300694/detail</t>
  </si>
  <si>
    <t>劲嘉股份</t>
  </si>
  <si>
    <t>www.lixinger.com/analytics/company/sz/002191/2191/detail</t>
  </si>
  <si>
    <t>国安达</t>
  </si>
  <si>
    <t>www.lixinger.com/analytics/company/sz/300902/300902/detail</t>
  </si>
  <si>
    <t>中原内配</t>
  </si>
  <si>
    <t>www.lixinger.com/analytics/company/sz/002448/2448/detail</t>
  </si>
  <si>
    <t>立霸股份</t>
  </si>
  <si>
    <t>www.lixinger.com/analytics/company/sh/603519/603519/detail</t>
  </si>
  <si>
    <t>新坐标</t>
  </si>
  <si>
    <t>www.lixinger.com/analytics/company/sh/603040/603040/detail</t>
  </si>
  <si>
    <t>ST德豪</t>
  </si>
  <si>
    <t>www.lixinger.com/analytics/company/sz/002005/2005/detail</t>
  </si>
  <si>
    <t>世茂能源</t>
  </si>
  <si>
    <t>www.lixinger.com/analytics/company/sh/605028/605028/detail</t>
  </si>
  <si>
    <t>鹏翎股份</t>
  </si>
  <si>
    <t>www.lixinger.com/analytics/company/sz/300375/300375/detail</t>
  </si>
  <si>
    <t>奋达科技</t>
  </si>
  <si>
    <t>www.lixinger.com/analytics/company/sz/002681/2681/detail</t>
  </si>
  <si>
    <t>兰州黄河</t>
  </si>
  <si>
    <t>www.lixinger.com/analytics/company/sz/000929/929/detail</t>
  </si>
  <si>
    <t>冀东装备</t>
  </si>
  <si>
    <t>www.lixinger.com/analytics/company/sz/000856/856/detail</t>
  </si>
  <si>
    <t>朗姿股份</t>
  </si>
  <si>
    <t>www.lixinger.com/analytics/company/sz/002612/2612/detail</t>
  </si>
  <si>
    <t>ST森源</t>
  </si>
  <si>
    <t>www.lixinger.com/analytics/company/sz/002358/2358/detail</t>
  </si>
  <si>
    <t>沐邦高科</t>
  </si>
  <si>
    <t>www.lixinger.com/analytics/company/sh/603398/603398/detail</t>
  </si>
  <si>
    <t>茶花股份</t>
  </si>
  <si>
    <t>www.lixinger.com/analytics/company/sh/603615/603615/detail</t>
  </si>
  <si>
    <t>盘龙药业</t>
  </si>
  <si>
    <t>www.lixinger.com/analytics/company/sz/002864/2864/detail</t>
  </si>
  <si>
    <t>华森制药</t>
  </si>
  <si>
    <t>www.lixinger.com/analytics/company/sz/002907/2907/detail</t>
  </si>
  <si>
    <t>力生制药</t>
  </si>
  <si>
    <t>www.lixinger.com/analytics/company/sz/002393/2393/detail</t>
  </si>
  <si>
    <t>华平股份</t>
  </si>
  <si>
    <t>www.lixinger.com/analytics/company/sz/300074/300074/detail</t>
  </si>
  <si>
    <t>返利科技</t>
  </si>
  <si>
    <t>www.lixinger.com/analytics/company/sh/600228/600228/detail</t>
  </si>
  <si>
    <t>凯淳股份</t>
  </si>
  <si>
    <t>www.lixinger.com/analytics/company/sz/301001/301001/detail</t>
  </si>
  <si>
    <t>青岛食品</t>
  </si>
  <si>
    <t>www.lixinger.com/analytics/company/sz/001219/1219/detail</t>
  </si>
  <si>
    <t>西麦食品</t>
  </si>
  <si>
    <t>www.lixinger.com/analytics/company/sz/002956/2956/detail</t>
  </si>
  <si>
    <t>金瑞矿业</t>
  </si>
  <si>
    <t>www.lixinger.com/analytics/company/sh/600714/600714/detail</t>
  </si>
  <si>
    <t>同为股份</t>
  </si>
  <si>
    <t>www.lixinger.com/analytics/company/sz/002835/2835/detail</t>
  </si>
  <si>
    <t>中毅达B</t>
  </si>
  <si>
    <t>www.lixinger.com/analytics/company/sh/900906/900906/detail</t>
  </si>
  <si>
    <t>硕贝德</t>
  </si>
  <si>
    <t>www.lixinger.com/analytics/company/sz/300322/300322/detail</t>
  </si>
  <si>
    <t>*ST吉艾</t>
  </si>
  <si>
    <t>www.lixinger.com/analytics/company/sz/300309/300309/detail</t>
  </si>
  <si>
    <t>浩洋股份</t>
  </si>
  <si>
    <t>www.lixinger.com/analytics/company/sz/300833/300833/detail</t>
  </si>
  <si>
    <t>六国化工</t>
  </si>
  <si>
    <t>www.lixinger.com/analytics/company/sh/600470/600470/detail</t>
  </si>
  <si>
    <t>酷特智能</t>
  </si>
  <si>
    <t>www.lixinger.com/analytics/company/sz/300840/300840/detail</t>
  </si>
  <si>
    <t>鲁银投资</t>
  </si>
  <si>
    <t>www.lixinger.com/analytics/company/sh/600784/600784/detail</t>
  </si>
  <si>
    <t>ST华仪</t>
  </si>
  <si>
    <t>www.lixinger.com/analytics/company/sh/600290/600290/detail</t>
  </si>
  <si>
    <t>雪峰科技</t>
  </si>
  <si>
    <t>www.lixinger.com/analytics/company/sh/603227/603227/detail</t>
  </si>
  <si>
    <t>高斯贝尔</t>
  </si>
  <si>
    <t>www.lixinger.com/analytics/company/sz/002848/2848/detail</t>
  </si>
  <si>
    <t>铁科轨道</t>
  </si>
  <si>
    <t>www.lixinger.com/analytics/company/sh/688569/688569/detail</t>
  </si>
  <si>
    <t>环球印务</t>
  </si>
  <si>
    <t>www.lixinger.com/analytics/company/sz/002799/2799/detail</t>
  </si>
  <si>
    <t>和科达</t>
  </si>
  <si>
    <t>www.lixinger.com/analytics/company/sz/002816/2816/detail</t>
  </si>
  <si>
    <t>大洋电机</t>
  </si>
  <si>
    <t>www.lixinger.com/analytics/company/sz/002249/2249/detail</t>
  </si>
  <si>
    <t>盛天网络</t>
  </si>
  <si>
    <t>www.lixinger.com/analytics/company/sz/300494/300494/detail</t>
  </si>
  <si>
    <t>黄山胶囊</t>
  </si>
  <si>
    <t>www.lixinger.com/analytics/company/sz/002817/2817/detail</t>
  </si>
  <si>
    <t>汉宇集团</t>
  </si>
  <si>
    <t>www.lixinger.com/analytics/company/sz/300403/300403/detail</t>
  </si>
  <si>
    <t>钧达股份</t>
  </si>
  <si>
    <t>www.lixinger.com/analytics/company/sz/002865/2865/detail</t>
  </si>
  <si>
    <t>贝因美</t>
  </si>
  <si>
    <t>www.lixinger.com/analytics/company/sz/002570/2570/detail</t>
  </si>
  <si>
    <t>创兴资源</t>
  </si>
  <si>
    <t>www.lixinger.com/analytics/company/sh/600193/600193/detail</t>
  </si>
  <si>
    <t>中鼎股份</t>
  </si>
  <si>
    <t>www.lixinger.com/analytics/company/sz/000887/887/detail</t>
  </si>
  <si>
    <t>智动力</t>
  </si>
  <si>
    <t>www.lixinger.com/analytics/company/sz/300686/300686/detail</t>
  </si>
  <si>
    <t>圣诺生物</t>
  </si>
  <si>
    <t>www.lixinger.com/analytics/company/sh/688117/688117/detail</t>
  </si>
  <si>
    <t>福瑞股份</t>
  </si>
  <si>
    <t>www.lixinger.com/analytics/company/sz/300049/300049/detail</t>
  </si>
  <si>
    <t>大东南</t>
  </si>
  <si>
    <t>www.lixinger.com/analytics/company/sz/002263/2263/detail</t>
  </si>
  <si>
    <t>中锐股份</t>
  </si>
  <si>
    <t>www.lixinger.com/analytics/company/sz/002374/2374/detail</t>
  </si>
  <si>
    <t>高盟新材</t>
  </si>
  <si>
    <t>www.lixinger.com/analytics/company/sz/300200/300200/detail</t>
  </si>
  <si>
    <t>春兴精工</t>
  </si>
  <si>
    <t>www.lixinger.com/analytics/company/sz/002547/2547/detail</t>
  </si>
  <si>
    <t>灿勤科技</t>
  </si>
  <si>
    <t>www.lixinger.com/analytics/company/sh/688182/688182/detail</t>
  </si>
  <si>
    <t>宏达高科</t>
  </si>
  <si>
    <t>www.lixinger.com/analytics/company/sz/002144/2144/detail</t>
  </si>
  <si>
    <t>上海三毛</t>
  </si>
  <si>
    <t>www.lixinger.com/analytics/company/sh/600689/600689/detail</t>
  </si>
  <si>
    <t>天成自控</t>
  </si>
  <si>
    <t>www.lixinger.com/analytics/company/sh/603085/603085/detail</t>
  </si>
  <si>
    <t>科森科技</t>
  </si>
  <si>
    <t>www.lixinger.com/analytics/company/sh/603626/603626/detail</t>
  </si>
  <si>
    <t>中威电子</t>
  </si>
  <si>
    <t>www.lixinger.com/analytics/company/sz/300270/300270/detail</t>
  </si>
  <si>
    <t>丹化科技</t>
  </si>
  <si>
    <t>www.lixinger.com/analytics/company/sh/600844/600844/detail</t>
  </si>
  <si>
    <t>万凯新材</t>
  </si>
  <si>
    <t>www.lixinger.com/analytics/company/sz/301216/301216/detail</t>
  </si>
  <si>
    <t>天药股份</t>
  </si>
  <si>
    <t>www.lixinger.com/analytics/company/sh/600488/600488/detail</t>
  </si>
  <si>
    <t>寿仙谷</t>
  </si>
  <si>
    <t>www.lixinger.com/analytics/company/sh/603896/603896/detail</t>
  </si>
  <si>
    <t>罗莱生活</t>
  </si>
  <si>
    <t>www.lixinger.com/analytics/company/sz/002293/2293/detail</t>
  </si>
  <si>
    <t>三环集团</t>
  </si>
  <si>
    <t>www.lixinger.com/analytics/company/sz/300408/300408/detail</t>
  </si>
  <si>
    <t>一拖股份</t>
  </si>
  <si>
    <t>www.lixinger.com/analytics/company/sh/601038/601038/detail</t>
  </si>
  <si>
    <t>新宏泽</t>
  </si>
  <si>
    <t>www.lixinger.com/analytics/company/sz/002836/2836/detail</t>
  </si>
  <si>
    <t>海欣股份</t>
  </si>
  <si>
    <t>www.lixinger.com/analytics/company/sh/600851/600851/detail</t>
  </si>
  <si>
    <t>信捷电气</t>
  </si>
  <si>
    <t>www.lixinger.com/analytics/company/sh/603416/603416/detail</t>
  </si>
  <si>
    <t>浩物股份</t>
  </si>
  <si>
    <t>www.lixinger.com/analytics/company/sz/000757/757/detail</t>
  </si>
  <si>
    <t>新特电气</t>
  </si>
  <si>
    <t>www.lixinger.com/analytics/company/sz/301120/301120/detail</t>
  </si>
  <si>
    <t>理邦仪器</t>
  </si>
  <si>
    <t>www.lixinger.com/analytics/company/sz/300206/300206/detail</t>
  </si>
  <si>
    <t>梅安森</t>
  </si>
  <si>
    <t>www.lixinger.com/analytics/company/sz/300275/300275/detail</t>
  </si>
  <si>
    <t>南方精工</t>
  </si>
  <si>
    <t>www.lixinger.com/analytics/company/sz/002553/2553/detail</t>
  </si>
  <si>
    <t>赛升药业</t>
  </si>
  <si>
    <t>www.lixinger.com/analytics/company/sz/300485/300485/detail</t>
  </si>
  <si>
    <t>华天酒店</t>
  </si>
  <si>
    <t>www.lixinger.com/analytics/company/sz/000428/428/detail</t>
  </si>
  <si>
    <t>天晟新材</t>
  </si>
  <si>
    <t>www.lixinger.com/analytics/company/sz/300169/300169/detail</t>
  </si>
  <si>
    <t>海利得</t>
  </si>
  <si>
    <t>www.lixinger.com/analytics/company/sz/002206/2206/detail</t>
  </si>
  <si>
    <t>莱茵体育</t>
  </si>
  <si>
    <t>www.lixinger.com/analytics/company/sz/000558/558/detail</t>
  </si>
  <si>
    <t>*ST众泰</t>
  </si>
  <si>
    <t>www.lixinger.com/analytics/company/sz/000980/980/detail</t>
  </si>
  <si>
    <t>百普赛斯</t>
  </si>
  <si>
    <t>www.lixinger.com/analytics/company/sz/301080/301080/detail</t>
  </si>
  <si>
    <t>*ST嘉信</t>
  </si>
  <si>
    <t>www.lixinger.com/analytics/company/sz/300071/300071/detail</t>
  </si>
  <si>
    <t>*ST南化</t>
  </si>
  <si>
    <t>www.lixinger.com/analytics/company/sh/600301/600301/detail</t>
  </si>
  <si>
    <t>伟隆股份</t>
  </si>
  <si>
    <t>www.lixinger.com/analytics/company/sz/002871/2871/detail</t>
  </si>
  <si>
    <t>艾德生物</t>
  </si>
  <si>
    <t>www.lixinger.com/analytics/company/sz/300685/300685/detail</t>
  </si>
  <si>
    <t>*ST瑞德</t>
  </si>
  <si>
    <t>www.lixinger.com/analytics/company/sh/600666/600666/detail</t>
  </si>
  <si>
    <t>沪宁股份</t>
  </si>
  <si>
    <t>www.lixinger.com/analytics/company/sz/300669/300669/detail</t>
  </si>
  <si>
    <t>腾景科技</t>
  </si>
  <si>
    <t>www.lixinger.com/analytics/company/sh/688195/688195/detail</t>
  </si>
  <si>
    <t>顺博合金</t>
  </si>
  <si>
    <t>www.lixinger.com/analytics/company/sz/002996/2996/detail</t>
  </si>
  <si>
    <t>豪迈科技</t>
  </si>
  <si>
    <t>www.lixinger.com/analytics/company/sz/002595/2595/detail</t>
  </si>
  <si>
    <t>本立科技</t>
  </si>
  <si>
    <t>www.lixinger.com/analytics/company/sz/301065/301065/detail</t>
  </si>
  <si>
    <t>西点药业</t>
  </si>
  <si>
    <t>www.lixinger.com/analytics/company/sz/301130/301130/detail</t>
  </si>
  <si>
    <t>奇精机械</t>
  </si>
  <si>
    <t>www.lixinger.com/analytics/company/sh/603677/603677/detail</t>
  </si>
  <si>
    <t>金晶科技</t>
  </si>
  <si>
    <t>www.lixinger.com/analytics/company/sh/600586/600586/detail</t>
  </si>
  <si>
    <t>卓翼科技</t>
  </si>
  <si>
    <t>www.lixinger.com/analytics/company/sz/002369/2369/detail</t>
  </si>
  <si>
    <t>永泰运</t>
  </si>
  <si>
    <t>www.lixinger.com/analytics/company/sz/001228/1228/detail</t>
  </si>
  <si>
    <t>*ST新文</t>
  </si>
  <si>
    <t>www.lixinger.com/analytics/company/sz/300336/300336/detail</t>
  </si>
  <si>
    <t>恒光股份</t>
  </si>
  <si>
    <t>www.lixinger.com/analytics/company/sz/301118/301118/detail</t>
  </si>
  <si>
    <t>泰和科技</t>
  </si>
  <si>
    <t>www.lixinger.com/analytics/company/sz/300801/300801/detail</t>
  </si>
  <si>
    <t>青岛金王</t>
  </si>
  <si>
    <t>www.lixinger.com/analytics/company/sz/002094/2094/detail</t>
  </si>
  <si>
    <t>新宏泰</t>
  </si>
  <si>
    <t>www.lixinger.com/analytics/company/sh/603016/603016/detail</t>
  </si>
  <si>
    <t>西上海</t>
  </si>
  <si>
    <t>www.lixinger.com/analytics/company/sh/605151/605151/detail</t>
  </si>
  <si>
    <t>*ST华讯</t>
  </si>
  <si>
    <t>www.lixinger.com/analytics/company/sz/000687/687/detail</t>
  </si>
  <si>
    <t>奇德新材</t>
  </si>
  <si>
    <t>www.lixinger.com/analytics/company/sz/300995/300995/detail</t>
  </si>
  <si>
    <t>首钢股份</t>
  </si>
  <si>
    <t>www.lixinger.com/analytics/company/sz/000959/959/detail</t>
  </si>
  <si>
    <t>ST天山</t>
  </si>
  <si>
    <t>www.lixinger.com/analytics/company/sz/300313/300313/detail</t>
  </si>
  <si>
    <t>密尔克卫</t>
  </si>
  <si>
    <t>www.lixinger.com/analytics/company/sh/603713/603713/detail</t>
  </si>
  <si>
    <t>新中港</t>
  </si>
  <si>
    <t>www.lixinger.com/analytics/company/sh/605162/605162/detail</t>
  </si>
  <si>
    <t>永安药业</t>
  </si>
  <si>
    <t>www.lixinger.com/analytics/company/sz/002365/2365/detail</t>
  </si>
  <si>
    <t>泰山石油</t>
  </si>
  <si>
    <t>www.lixinger.com/analytics/company/sz/000554/554/detail</t>
  </si>
  <si>
    <t>民德电子</t>
  </si>
  <si>
    <t>www.lixinger.com/analytics/company/sz/300656/300656/detail</t>
  </si>
  <si>
    <t>圣龙股份</t>
  </si>
  <si>
    <t>www.lixinger.com/analytics/company/sh/603178/603178/detail</t>
  </si>
  <si>
    <t>平潭发展</t>
  </si>
  <si>
    <t>www.lixinger.com/analytics/company/sz/000592/592/detail</t>
  </si>
  <si>
    <t>恒帅股份</t>
  </si>
  <si>
    <t>www.lixinger.com/analytics/company/sz/300969/300969/detail</t>
  </si>
  <si>
    <t>嘉寓股份</t>
  </si>
  <si>
    <t>www.lixinger.com/analytics/company/sz/300117/300117/detail</t>
  </si>
  <si>
    <t>大豪科技</t>
  </si>
  <si>
    <t>www.lixinger.com/analytics/company/sh/603025/603025/detail</t>
  </si>
  <si>
    <t>杭华股份</t>
  </si>
  <si>
    <t>www.lixinger.com/analytics/company/sh/688571/688571/detail</t>
  </si>
  <si>
    <t>弘信电子</t>
  </si>
  <si>
    <t>www.lixinger.com/analytics/company/sz/300657/300657/detail</t>
  </si>
  <si>
    <t>百亚股份</t>
  </si>
  <si>
    <t>www.lixinger.com/analytics/company/sz/003006/3006/detail</t>
  </si>
  <si>
    <t>凯美特气</t>
  </si>
  <si>
    <t>www.lixinger.com/analytics/company/sz/002549/2549/detail</t>
  </si>
  <si>
    <t>辉煌科技</t>
  </si>
  <si>
    <t>www.lixinger.com/analytics/company/sz/002296/2296/detail</t>
  </si>
  <si>
    <t>亚通股份</t>
  </si>
  <si>
    <t>www.lixinger.com/analytics/company/sh/600692/600692/detail</t>
  </si>
  <si>
    <t>益盛药业</t>
  </si>
  <si>
    <t>www.lixinger.com/analytics/company/sz/002566/2566/detail</t>
  </si>
  <si>
    <t>德尔股份</t>
  </si>
  <si>
    <t>www.lixinger.com/analytics/company/sz/300473/300473/detail</t>
  </si>
  <si>
    <t>力盛赛车</t>
  </si>
  <si>
    <t>www.lixinger.com/analytics/company/sz/002858/2858/detail</t>
  </si>
  <si>
    <t>光线传媒</t>
  </si>
  <si>
    <t>www.lixinger.com/analytics/company/sz/300251/300251/detail</t>
  </si>
  <si>
    <t>美盈森</t>
  </si>
  <si>
    <t>www.lixinger.com/analytics/company/sz/002303/2303/detail</t>
  </si>
  <si>
    <t>安联锐视</t>
  </si>
  <si>
    <t>www.lixinger.com/analytics/company/sz/301042/301042/detail</t>
  </si>
  <si>
    <t>香农芯创</t>
  </si>
  <si>
    <t>www.lixinger.com/analytics/company/sz/300475/300475/detail</t>
  </si>
  <si>
    <t>恒铭达</t>
  </si>
  <si>
    <t>www.lixinger.com/analytics/company/sz/002947/2947/detail</t>
  </si>
  <si>
    <t>粤万年青</t>
  </si>
  <si>
    <t>www.lixinger.com/analytics/company/sz/301111/301111/detail</t>
  </si>
  <si>
    <t>福能东方</t>
  </si>
  <si>
    <t>www.lixinger.com/analytics/company/sz/300173/300173/detail</t>
  </si>
  <si>
    <t>沃尔核材</t>
  </si>
  <si>
    <t>www.lixinger.com/analytics/company/sz/002130/2130/detail</t>
  </si>
  <si>
    <t>康拓医疗</t>
  </si>
  <si>
    <t>www.lixinger.com/analytics/company/sh/688314/688314/detail</t>
  </si>
  <si>
    <t>国机精工</t>
  </si>
  <si>
    <t>www.lixinger.com/analytics/company/sz/002046/2046/detail</t>
  </si>
  <si>
    <t>建新股份</t>
  </si>
  <si>
    <t>www.lixinger.com/analytics/company/sz/300107/300107/detail</t>
  </si>
  <si>
    <t>中晟高科</t>
  </si>
  <si>
    <t>www.lixinger.com/analytics/company/sz/002778/2778/detail</t>
  </si>
  <si>
    <t>华控赛格</t>
  </si>
  <si>
    <t>www.lixinger.com/analytics/company/sz/000068/68/detail</t>
  </si>
  <si>
    <t>万隆光电</t>
  </si>
  <si>
    <t>www.lixinger.com/analytics/company/sz/300710/300710/detail</t>
  </si>
  <si>
    <t>新疆火炬</t>
  </si>
  <si>
    <t>www.lixinger.com/analytics/company/sh/603080/603080/detail</t>
  </si>
  <si>
    <t>科德教育</t>
  </si>
  <si>
    <t>www.lixinger.com/analytics/company/sz/300192/300192/detail</t>
  </si>
  <si>
    <t>建科机械</t>
  </si>
  <si>
    <t>www.lixinger.com/analytics/company/sz/300823/300823/detail</t>
  </si>
  <si>
    <t>北纬科技</t>
  </si>
  <si>
    <t>www.lixinger.com/analytics/company/sz/002148/2148/detail</t>
  </si>
  <si>
    <t>千禾味业</t>
  </si>
  <si>
    <t>www.lixinger.com/analytics/company/sh/603027/603027/detail</t>
  </si>
  <si>
    <t>浙江恒威</t>
  </si>
  <si>
    <t>www.lixinger.com/analytics/company/sz/301222/301222/detail</t>
  </si>
  <si>
    <t>新宁物流</t>
  </si>
  <si>
    <t>www.lixinger.com/analytics/company/sz/300013/300013/detail</t>
  </si>
  <si>
    <t>光莆股份</t>
  </si>
  <si>
    <t>www.lixinger.com/analytics/company/sz/300632/300632/detail</t>
  </si>
  <si>
    <t>山东章鼓</t>
  </si>
  <si>
    <t>www.lixinger.com/analytics/company/sz/002598/2598/detail</t>
  </si>
  <si>
    <t>步科股份</t>
  </si>
  <si>
    <t>www.lixinger.com/analytics/company/sh/688160/688160/detail</t>
  </si>
  <si>
    <t>浙江世宝</t>
  </si>
  <si>
    <t>www.lixinger.com/analytics/company/sz/002703/2703/detail</t>
  </si>
  <si>
    <t>巴安水务</t>
  </si>
  <si>
    <t>www.lixinger.com/analytics/company/sz/300262/300262/detail</t>
  </si>
  <si>
    <t>洪城环境</t>
  </si>
  <si>
    <t>www.lixinger.com/analytics/company/sh/600461/600461/detail</t>
  </si>
  <si>
    <t>法拉电子</t>
  </si>
  <si>
    <t>www.lixinger.com/analytics/company/sh/600563/600563/detail</t>
  </si>
  <si>
    <t>中源协和</t>
  </si>
  <si>
    <t>www.lixinger.com/analytics/company/sh/600645/600645/detail</t>
  </si>
  <si>
    <t>万业企业</t>
  </si>
  <si>
    <t>www.lixinger.com/analytics/company/sh/600641/600641/detail</t>
  </si>
  <si>
    <t>同益股份</t>
  </si>
  <si>
    <t>www.lixinger.com/analytics/company/sz/300538/300538/detail</t>
  </si>
  <si>
    <t>*ST雪莱</t>
  </si>
  <si>
    <t>www.lixinger.com/analytics/company/sz/002076/2076/detail</t>
  </si>
  <si>
    <t>*ST易见</t>
  </si>
  <si>
    <t>www.lixinger.com/analytics/company/sh/600093/600093/detail</t>
  </si>
  <si>
    <t>康恩贝</t>
  </si>
  <si>
    <t>www.lixinger.com/analytics/company/sh/600572/600572/detail</t>
  </si>
  <si>
    <t>大唐电信</t>
  </si>
  <si>
    <t>www.lixinger.com/analytics/company/sh/600198/600198/detail</t>
  </si>
  <si>
    <t>瑞玛精密</t>
  </si>
  <si>
    <t>www.lixinger.com/analytics/company/sz/002976/2976/detail</t>
  </si>
  <si>
    <t>尖峰集团</t>
  </si>
  <si>
    <t>www.lixinger.com/analytics/company/sh/600668/600668/detail</t>
  </si>
  <si>
    <t>宏辉果蔬</t>
  </si>
  <si>
    <t>www.lixinger.com/analytics/company/sh/603336/603336/detail</t>
  </si>
  <si>
    <t>博雅生物</t>
  </si>
  <si>
    <t>www.lixinger.com/analytics/company/sz/300294/300294/detail</t>
  </si>
  <si>
    <t>深天地Ａ</t>
  </si>
  <si>
    <t>www.lixinger.com/analytics/company/sz/000023/23/detail</t>
  </si>
  <si>
    <t>瑞斯康达</t>
  </si>
  <si>
    <t>www.lixinger.com/analytics/company/sh/603803/603803/detail</t>
  </si>
  <si>
    <t>东方通信</t>
  </si>
  <si>
    <t>www.lixinger.com/analytics/company/sh/600776/600776/detail</t>
  </si>
  <si>
    <t>杭州柯林</t>
  </si>
  <si>
    <t>www.lixinger.com/analytics/company/sh/688611/688611/detail</t>
  </si>
  <si>
    <t>三变科技</t>
  </si>
  <si>
    <t>www.lixinger.com/analytics/company/sz/002112/2112/detail</t>
  </si>
  <si>
    <t>天士力</t>
  </si>
  <si>
    <t>www.lixinger.com/analytics/company/sh/600535/600535/detail</t>
  </si>
  <si>
    <t>八方股份</t>
  </si>
  <si>
    <t>www.lixinger.com/analytics/company/sh/603489/603489/detail</t>
  </si>
  <si>
    <t>首航高科</t>
  </si>
  <si>
    <t>www.lixinger.com/analytics/company/sz/002665/2665/detail</t>
  </si>
  <si>
    <t>日丰股份</t>
  </si>
  <si>
    <t>www.lixinger.com/analytics/company/sz/002953/2953/detail</t>
  </si>
  <si>
    <t>联测科技</t>
  </si>
  <si>
    <t>www.lixinger.com/analytics/company/sh/688113/688113/detail</t>
  </si>
  <si>
    <t>乾照光电</t>
  </si>
  <si>
    <t>www.lixinger.com/analytics/company/sz/300102/300102/detail</t>
  </si>
  <si>
    <t>华民股份</t>
  </si>
  <si>
    <t>www.lixinger.com/analytics/company/sz/300345/300345/detail</t>
  </si>
  <si>
    <t>厦工股份</t>
  </si>
  <si>
    <t>www.lixinger.com/analytics/company/sh/600815/600815/detail</t>
  </si>
  <si>
    <t>川环科技</t>
  </si>
  <si>
    <t>www.lixinger.com/analytics/company/sz/300547/300547/detail</t>
  </si>
  <si>
    <t>朗特智能</t>
  </si>
  <si>
    <t>www.lixinger.com/analytics/company/sz/300916/300916/detail</t>
  </si>
  <si>
    <t>万向德农</t>
  </si>
  <si>
    <t>www.lixinger.com/analytics/company/sh/600371/600371/detail</t>
  </si>
  <si>
    <t>瑞凌股份</t>
  </si>
  <si>
    <t>www.lixinger.com/analytics/company/sz/300154/300154/detail</t>
  </si>
  <si>
    <t>神奇B股</t>
  </si>
  <si>
    <t>www.lixinger.com/analytics/company/sh/900904/900904/detail</t>
  </si>
  <si>
    <t>天津普林</t>
  </si>
  <si>
    <t>www.lixinger.com/analytics/company/sz/002134/2134/detail</t>
  </si>
  <si>
    <t>惠程科技</t>
  </si>
  <si>
    <t>www.lixinger.com/analytics/company/sz/002168/2168/detail</t>
  </si>
  <si>
    <t>激智科技</t>
  </si>
  <si>
    <t>www.lixinger.com/analytics/company/sz/300566/300566/detail</t>
  </si>
  <si>
    <t>人人乐</t>
  </si>
  <si>
    <t>www.lixinger.com/analytics/company/sz/002336/2336/detail</t>
  </si>
  <si>
    <t>益佰制药</t>
  </si>
  <si>
    <t>www.lixinger.com/analytics/company/sh/600594/600594/detail</t>
  </si>
  <si>
    <t>天臣医疗</t>
  </si>
  <si>
    <t>www.lixinger.com/analytics/company/sh/688013/688013/detail</t>
  </si>
  <si>
    <t>佰仁医疗</t>
  </si>
  <si>
    <t>www.lixinger.com/analytics/company/sh/688198/688198/detail</t>
  </si>
  <si>
    <t>海联讯</t>
  </si>
  <si>
    <t>www.lixinger.com/analytics/company/sz/300277/300277/detail</t>
  </si>
  <si>
    <t>正弦电气</t>
  </si>
  <si>
    <t>www.lixinger.com/analytics/company/sh/688395/688395/detail</t>
  </si>
  <si>
    <t>科德数控</t>
  </si>
  <si>
    <t>www.lixinger.com/analytics/company/sh/688305/688305/detail</t>
  </si>
  <si>
    <t>派林生物</t>
  </si>
  <si>
    <t>www.lixinger.com/analytics/company/sz/000403/403/detail</t>
  </si>
  <si>
    <t>韩建河山</t>
  </si>
  <si>
    <t>www.lixinger.com/analytics/company/sh/603616/603616/detail</t>
  </si>
  <si>
    <t>横河精密</t>
  </si>
  <si>
    <t>www.lixinger.com/analytics/company/sz/300539/300539/detail</t>
  </si>
  <si>
    <t>华软科技</t>
  </si>
  <si>
    <t>www.lixinger.com/analytics/company/sz/002453/2453/detail</t>
  </si>
  <si>
    <t>富士莱</t>
  </si>
  <si>
    <t>www.lixinger.com/analytics/company/sz/301258/301258/detail</t>
  </si>
  <si>
    <t>漫步者</t>
  </si>
  <si>
    <t>www.lixinger.com/analytics/company/sz/002351/2351/detail</t>
  </si>
  <si>
    <t>有方科技</t>
  </si>
  <si>
    <t>www.lixinger.com/analytics/company/sh/688159/688159/detail</t>
  </si>
  <si>
    <t>上海谊众</t>
  </si>
  <si>
    <t>www.lixinger.com/analytics/company/sh/688091/688091/detail</t>
  </si>
  <si>
    <t>旷达科技</t>
  </si>
  <si>
    <t>www.lixinger.com/analytics/company/sz/002516/2516/detail</t>
  </si>
  <si>
    <t>南兴股份</t>
  </si>
  <si>
    <t>www.lixinger.com/analytics/company/sz/002757/2757/detail</t>
  </si>
  <si>
    <t>悦安新材</t>
  </si>
  <si>
    <t>www.lixinger.com/analytics/company/sh/688786/688786/detail</t>
  </si>
  <si>
    <t>隆鑫通用</t>
  </si>
  <si>
    <t>www.lixinger.com/analytics/company/sh/603766/603766/detail</t>
  </si>
  <si>
    <t>安利股份</t>
  </si>
  <si>
    <t>www.lixinger.com/analytics/company/sz/300218/300218/detail</t>
  </si>
  <si>
    <t>华金资本</t>
  </si>
  <si>
    <t>www.lixinger.com/analytics/company/sz/000532/532/detail</t>
  </si>
  <si>
    <t>艾华集团</t>
  </si>
  <si>
    <t>www.lixinger.com/analytics/company/sh/603989/603989/detail</t>
  </si>
  <si>
    <t>康泰医学</t>
  </si>
  <si>
    <t>www.lixinger.com/analytics/company/sz/300869/300869/detail</t>
  </si>
  <si>
    <t>金达莱</t>
  </si>
  <si>
    <t>www.lixinger.com/analytics/company/sh/688057/688057/detail</t>
  </si>
  <si>
    <t>淮河能源</t>
  </si>
  <si>
    <t>www.lixinger.com/analytics/company/sh/600575/600575/detail</t>
  </si>
  <si>
    <t>金海高科</t>
  </si>
  <si>
    <t>www.lixinger.com/analytics/company/sh/603311/603311/detail</t>
  </si>
  <si>
    <t>特一药业</t>
  </si>
  <si>
    <t>www.lixinger.com/analytics/company/sz/002728/2728/detail</t>
  </si>
  <si>
    <t>老板电器</t>
  </si>
  <si>
    <t>www.lixinger.com/analytics/company/sz/002508/2508/detail</t>
  </si>
  <si>
    <t>威胜信息</t>
  </si>
  <si>
    <t>www.lixinger.com/analytics/company/sh/688100/688100/detail</t>
  </si>
  <si>
    <t>万辰生物</t>
  </si>
  <si>
    <t>www.lixinger.com/analytics/company/sz/300972/300972/detail</t>
  </si>
  <si>
    <t>信测标准</t>
  </si>
  <si>
    <t>www.lixinger.com/analytics/company/sz/300938/300938/detail</t>
  </si>
  <si>
    <t>*ST西发</t>
  </si>
  <si>
    <t>www.lixinger.com/analytics/company/sz/000752/752/detail</t>
  </si>
  <si>
    <t>ST八菱</t>
  </si>
  <si>
    <t>www.lixinger.com/analytics/company/sz/002592/2592/detail</t>
  </si>
  <si>
    <t>岩石股份</t>
  </si>
  <si>
    <t>www.lixinger.com/analytics/company/sh/600696/600696/detail</t>
  </si>
  <si>
    <t>明阳电路</t>
  </si>
  <si>
    <t>www.lixinger.com/analytics/company/sz/300739/300739/detail</t>
  </si>
  <si>
    <t>诺邦股份</t>
  </si>
  <si>
    <t>www.lixinger.com/analytics/company/sh/603238/603238/detail</t>
  </si>
  <si>
    <t>东方电热</t>
  </si>
  <si>
    <t>www.lixinger.com/analytics/company/sz/300217/300217/detail</t>
  </si>
  <si>
    <t>中路Ｂ股</t>
  </si>
  <si>
    <t>www.lixinger.com/analytics/company/sh/900915/900915/detail</t>
  </si>
  <si>
    <t>纳川股份</t>
  </si>
  <si>
    <t>www.lixinger.com/analytics/company/sz/300198/300198/detail</t>
  </si>
  <si>
    <t>江泉实业</t>
  </si>
  <si>
    <t>www.lixinger.com/analytics/company/sh/600212/600212/detail</t>
  </si>
  <si>
    <t>棕榈股份</t>
  </si>
  <si>
    <t>www.lixinger.com/analytics/company/sz/002431/2431/detail</t>
  </si>
  <si>
    <t>标榜股份</t>
  </si>
  <si>
    <t>www.lixinger.com/analytics/company/sz/301181/301181/detail</t>
  </si>
  <si>
    <t>弘亚数控</t>
  </si>
  <si>
    <t>www.lixinger.com/analytics/company/sz/002833/2833/detail</t>
  </si>
  <si>
    <t>朗迪集团</t>
  </si>
  <si>
    <t>www.lixinger.com/analytics/company/sh/603726/603726/detail</t>
  </si>
  <si>
    <t>柳化股份</t>
  </si>
  <si>
    <t>www.lixinger.com/analytics/company/sh/600423/600423/detail</t>
  </si>
  <si>
    <t>金石亚药</t>
  </si>
  <si>
    <t>www.lixinger.com/analytics/company/sz/300434/300434/detail</t>
  </si>
  <si>
    <t>四会富仕</t>
  </si>
  <si>
    <t>www.lixinger.com/analytics/company/sz/300852/300852/detail</t>
  </si>
  <si>
    <t>卫信康</t>
  </si>
  <si>
    <t>www.lixinger.com/analytics/company/sh/603676/603676/detail</t>
  </si>
  <si>
    <t>华兰股份</t>
  </si>
  <si>
    <t>www.lixinger.com/analytics/company/sz/301093/301093/detail</t>
  </si>
  <si>
    <t>松发股份</t>
  </si>
  <si>
    <t>www.lixinger.com/analytics/company/sh/603268/603268/detail</t>
  </si>
  <si>
    <t>广电电气</t>
  </si>
  <si>
    <t>www.lixinger.com/analytics/company/sh/601616/601616/detail</t>
  </si>
  <si>
    <t>海达股份</t>
  </si>
  <si>
    <t>www.lixinger.com/analytics/company/sz/300320/300320/detail</t>
  </si>
  <si>
    <t>晶晨股份</t>
  </si>
  <si>
    <t>www.lixinger.com/analytics/company/sh/688099/688099/detail</t>
  </si>
  <si>
    <t>众望布艺</t>
  </si>
  <si>
    <t>www.lixinger.com/analytics/company/sh/605003/605003/detail</t>
  </si>
  <si>
    <t>屹通新材</t>
  </si>
  <si>
    <t>www.lixinger.com/analytics/company/sz/300930/300930/detail</t>
  </si>
  <si>
    <t>闽灿坤Ｂ</t>
  </si>
  <si>
    <t>www.lixinger.com/analytics/company/sz/200512/200512/detail</t>
  </si>
  <si>
    <t>奥赛康</t>
  </si>
  <si>
    <t>www.lixinger.com/analytics/company/sz/002755/2755/detail</t>
  </si>
  <si>
    <t>丽岛新材</t>
  </si>
  <si>
    <t>www.lixinger.com/analytics/company/sh/603937/603937/detail</t>
  </si>
  <si>
    <t>中央商场</t>
  </si>
  <si>
    <t>www.lixinger.com/analytics/company/sh/600280/600280/detail</t>
  </si>
  <si>
    <t>钱江摩托</t>
  </si>
  <si>
    <t>www.lixinger.com/analytics/company/sz/000913/913/detail</t>
  </si>
  <si>
    <t>歌华有线</t>
  </si>
  <si>
    <t>www.lixinger.com/analytics/company/sh/600037/600037/detail</t>
  </si>
  <si>
    <t>如通股份</t>
  </si>
  <si>
    <t>www.lixinger.com/analytics/company/sh/603036/603036/detail</t>
  </si>
  <si>
    <t>飞力达</t>
  </si>
  <si>
    <t>www.lixinger.com/analytics/company/sz/300240/300240/detail</t>
  </si>
  <si>
    <t>杭州高新</t>
  </si>
  <si>
    <t>www.lixinger.com/analytics/company/sz/300478/300478/detail</t>
  </si>
  <si>
    <t>*ST丹邦</t>
  </si>
  <si>
    <t>www.lixinger.com/analytics/company/sz/002618/2618/detail</t>
  </si>
  <si>
    <t>爱普股份</t>
  </si>
  <si>
    <t>www.lixinger.com/analytics/company/sh/603020/603020/detail</t>
  </si>
  <si>
    <t>祥龙电业</t>
  </si>
  <si>
    <t>www.lixinger.com/analytics/company/sh/600769/600769/detail</t>
  </si>
  <si>
    <t>路畅科技</t>
  </si>
  <si>
    <t>www.lixinger.com/analytics/company/sz/002813/2813/detail</t>
  </si>
  <si>
    <t>融捷健康</t>
  </si>
  <si>
    <t>www.lixinger.com/analytics/company/sz/300247/300247/detail</t>
  </si>
  <si>
    <t>恒泰艾普</t>
  </si>
  <si>
    <t>www.lixinger.com/analytics/company/sz/300157/300157/detail</t>
  </si>
  <si>
    <t>扬帆新材</t>
  </si>
  <si>
    <t>www.lixinger.com/analytics/company/sz/300637/300637/detail</t>
  </si>
  <si>
    <t>戎美股份</t>
  </si>
  <si>
    <t>www.lixinger.com/analytics/company/sz/301088/301088/detail</t>
  </si>
  <si>
    <t>元利科技</t>
  </si>
  <si>
    <t>www.lixinger.com/analytics/company/sh/603217/603217/detail</t>
  </si>
  <si>
    <t>陕西黑猫</t>
  </si>
  <si>
    <t>www.lixinger.com/analytics/company/sh/601015/601015/detail</t>
  </si>
  <si>
    <t>汉邦高科</t>
  </si>
  <si>
    <t>www.lixinger.com/analytics/company/sz/300449/300449/detail</t>
  </si>
  <si>
    <t>ST三五</t>
  </si>
  <si>
    <t>www.lixinger.com/analytics/company/sz/300051/300051/detail</t>
  </si>
  <si>
    <t>凯尔达</t>
  </si>
  <si>
    <t>www.lixinger.com/analytics/company/sh/688255/688255/detail</t>
  </si>
  <si>
    <t>*ST深南</t>
  </si>
  <si>
    <t>www.lixinger.com/analytics/company/sz/002417/2417/detail</t>
  </si>
  <si>
    <t>河化股份</t>
  </si>
  <si>
    <t>www.lixinger.com/analytics/company/sz/000953/953/detail</t>
  </si>
  <si>
    <t>帅丰电器</t>
  </si>
  <si>
    <t>www.lixinger.com/analytics/company/sh/605336/605336/detail</t>
  </si>
  <si>
    <t>*ST香梨</t>
  </si>
  <si>
    <t>www.lixinger.com/analytics/company/sh/600506/600506/detail</t>
  </si>
  <si>
    <t>越博动力</t>
  </si>
  <si>
    <t>www.lixinger.com/analytics/company/sz/300742/300742/detail</t>
  </si>
  <si>
    <t>霍普股份</t>
  </si>
  <si>
    <t>www.lixinger.com/analytics/company/sz/301024/301024/detail</t>
  </si>
  <si>
    <t>广东鸿图</t>
  </si>
  <si>
    <t>www.lixinger.com/analytics/company/sz/002101/2101/detail</t>
  </si>
  <si>
    <t>尚荣医疗</t>
  </si>
  <si>
    <t>www.lixinger.com/analytics/company/sz/002551/2551/detail</t>
  </si>
  <si>
    <t>中马传动</t>
  </si>
  <si>
    <t>www.lixinger.com/analytics/company/sh/603767/603767/detail</t>
  </si>
  <si>
    <t>南凌科技</t>
  </si>
  <si>
    <t>www.lixinger.com/analytics/company/sz/300921/300921/detail</t>
  </si>
  <si>
    <t>数据港</t>
  </si>
  <si>
    <t>www.lixinger.com/analytics/company/sh/603881/603881/detail</t>
  </si>
  <si>
    <t>朗博科技</t>
  </si>
  <si>
    <t>www.lixinger.com/analytics/company/sh/603655/603655/detail</t>
  </si>
  <si>
    <t>ST摩登</t>
  </si>
  <si>
    <t>www.lixinger.com/analytics/company/sz/002656/2656/detail</t>
  </si>
  <si>
    <t>*ST东海B</t>
  </si>
  <si>
    <t>www.lixinger.com/analytics/company/sz/200613/200613/detail</t>
  </si>
  <si>
    <t>掌阅科技</t>
  </si>
  <si>
    <t>www.lixinger.com/analytics/company/sh/603533/603533/detail</t>
  </si>
  <si>
    <t>金自天正</t>
  </si>
  <si>
    <t>www.lixinger.com/analytics/company/sh/600560/600560/detail</t>
  </si>
  <si>
    <t>惠威科技</t>
  </si>
  <si>
    <t>www.lixinger.com/analytics/company/sz/002888/2888/detail</t>
  </si>
  <si>
    <t>德艺文创</t>
  </si>
  <si>
    <t>www.lixinger.com/analytics/company/sz/300640/300640/detail</t>
  </si>
  <si>
    <t>海科B</t>
  </si>
  <si>
    <t>www.lixinger.com/analytics/company/sh/900938/900938/detail</t>
  </si>
  <si>
    <t>京泉华</t>
  </si>
  <si>
    <t>www.lixinger.com/analytics/company/sz/002885/2885/detail</t>
  </si>
  <si>
    <t>华星创业</t>
  </si>
  <si>
    <t>www.lixinger.com/analytics/company/sz/300025/300025/detail</t>
  </si>
  <si>
    <t>锐新科技</t>
  </si>
  <si>
    <t>www.lixinger.com/analytics/company/sz/300828/300828/detail</t>
  </si>
  <si>
    <t>电广传媒</t>
  </si>
  <si>
    <t>www.lixinger.com/analytics/company/sz/000917/917/detail</t>
  </si>
  <si>
    <t>景峰医药</t>
  </si>
  <si>
    <t>www.lixinger.com/analytics/company/sz/000908/908/detail</t>
  </si>
  <si>
    <t>海天瑞声</t>
  </si>
  <si>
    <t>www.lixinger.com/analytics/company/sh/688787/688787/detail</t>
  </si>
  <si>
    <t>百洋股份</t>
  </si>
  <si>
    <t>www.lixinger.com/analytics/company/sz/002696/2696/detail</t>
  </si>
  <si>
    <t>*ST东海A</t>
  </si>
  <si>
    <t>www.lixinger.com/analytics/company/sz/000613/613/detail</t>
  </si>
  <si>
    <t>聆达股份</t>
  </si>
  <si>
    <t>www.lixinger.com/analytics/company/sz/300125/300125/detail</t>
  </si>
  <si>
    <t>东宝生物</t>
  </si>
  <si>
    <t>www.lixinger.com/analytics/company/sz/300239/300239/detail</t>
  </si>
  <si>
    <t>西陇科学</t>
  </si>
  <si>
    <t>www.lixinger.com/analytics/company/sz/002584/2584/detail</t>
  </si>
  <si>
    <t>昭衍新药</t>
  </si>
  <si>
    <t>www.lixinger.com/analytics/company/sh/603127/603127/detail</t>
  </si>
  <si>
    <t>*ST昌鱼</t>
  </si>
  <si>
    <t>www.lixinger.com/analytics/company/sh/600275/600275/detail</t>
  </si>
  <si>
    <t>大晟文化</t>
  </si>
  <si>
    <t>www.lixinger.com/analytics/company/sh/600892/600892/detail</t>
  </si>
  <si>
    <t>*ST索菱</t>
  </si>
  <si>
    <t>www.lixinger.com/analytics/company/sz/002766/2766/detail</t>
  </si>
  <si>
    <t>津荣天宇</t>
  </si>
  <si>
    <t>www.lixinger.com/analytics/company/sz/300988/300988/detail</t>
  </si>
  <si>
    <t>南京港</t>
  </si>
  <si>
    <t>www.lixinger.com/analytics/company/sz/002040/2040/detail</t>
  </si>
  <si>
    <t>三毛B股</t>
  </si>
  <si>
    <t>www.lixinger.com/analytics/company/sh/900922/900922/detail</t>
  </si>
  <si>
    <t>朗玛信息</t>
  </si>
  <si>
    <t>www.lixinger.com/analytics/company/sz/300288/300288/detail</t>
  </si>
  <si>
    <t>丹科B股</t>
  </si>
  <si>
    <t>www.lixinger.com/analytics/company/sh/900921/900921/detail</t>
  </si>
  <si>
    <t>海欣Ｂ股</t>
  </si>
  <si>
    <t>www.lixinger.com/analytics/company/sh/900917/900917/detail</t>
  </si>
  <si>
    <t>*ST金泰</t>
  </si>
  <si>
    <t>www.lixinger.com/analytics/company/sh/600385/600385/detail</t>
  </si>
  <si>
    <t>江南奕帆</t>
  </si>
  <si>
    <t>www.lixinger.com/analytics/company/sz/301023/301023/detail</t>
  </si>
  <si>
    <t>杭州热电</t>
  </si>
  <si>
    <t>www.lixinger.com/analytics/company/sh/605011/605011/detail</t>
  </si>
  <si>
    <t>北鼎股份</t>
  </si>
  <si>
    <t>www.lixinger.com/analytics/company/sz/300824/300824/detail</t>
  </si>
  <si>
    <t>视觉中国</t>
  </si>
  <si>
    <t>www.lixinger.com/analytics/company/sz/000681/681/detail</t>
  </si>
  <si>
    <t>云意电气</t>
  </si>
  <si>
    <t>www.lixinger.com/analytics/company/sz/300304/300304/detail</t>
  </si>
  <si>
    <t>明月镜片</t>
  </si>
  <si>
    <t>www.lixinger.com/analytics/company/sz/301101/301101/detail</t>
  </si>
  <si>
    <t>惠达卫浴</t>
  </si>
  <si>
    <t>www.lixinger.com/analytics/company/sh/603385/603385/detail</t>
  </si>
  <si>
    <t>世华科技</t>
  </si>
  <si>
    <t>www.lixinger.com/analytics/company/sh/688093/688093/detail</t>
  </si>
  <si>
    <t>沙河股份</t>
  </si>
  <si>
    <t>www.lixinger.com/analytics/company/sz/000014/14/detail</t>
  </si>
  <si>
    <t>汇嘉时代</t>
  </si>
  <si>
    <t>www.lixinger.com/analytics/company/sh/603101/603101/detail</t>
  </si>
  <si>
    <t>世纪天鸿</t>
  </si>
  <si>
    <t>www.lixinger.com/analytics/company/sz/300654/300654/detail</t>
  </si>
  <si>
    <t>复旦复华</t>
  </si>
  <si>
    <t>www.lixinger.com/analytics/company/sh/600624/600624/detail</t>
  </si>
  <si>
    <t>陇神戎发</t>
  </si>
  <si>
    <t>www.lixinger.com/analytics/company/sz/300534/300534/detail</t>
  </si>
  <si>
    <t>赛腾股份</t>
  </si>
  <si>
    <t>www.lixinger.com/analytics/company/sh/603283/603283/detail</t>
  </si>
  <si>
    <t>华通线缆</t>
  </si>
  <si>
    <t>www.lixinger.com/analytics/company/sh/605196/605196/detail</t>
  </si>
  <si>
    <t>万通智控</t>
  </si>
  <si>
    <t>www.lixinger.com/analytics/company/sz/300643/300643/detail</t>
  </si>
  <si>
    <t>思维列控</t>
  </si>
  <si>
    <t>www.lixinger.com/analytics/company/sh/603508/603508/detail</t>
  </si>
  <si>
    <t>ST海投</t>
  </si>
  <si>
    <t>www.lixinger.com/analytics/company/sz/000616/616/detail</t>
  </si>
  <si>
    <t>森霸传感</t>
  </si>
  <si>
    <t>www.lixinger.com/analytics/company/sz/300701/300701/detail</t>
  </si>
  <si>
    <t>倍加洁</t>
  </si>
  <si>
    <t>www.lixinger.com/analytics/company/sh/603059/603059/detail</t>
  </si>
  <si>
    <t>捷荣技术</t>
  </si>
  <si>
    <t>www.lixinger.com/analytics/company/sz/002855/2855/detail</t>
  </si>
  <si>
    <t>乐通股份</t>
  </si>
  <si>
    <t>www.lixinger.com/analytics/company/sz/002319/2319/detail</t>
  </si>
  <si>
    <t>仁度生物</t>
  </si>
  <si>
    <t>www.lixinger.com/analytics/company/sh/688193/688193/detail</t>
  </si>
  <si>
    <t>中青宝</t>
  </si>
  <si>
    <t>www.lixinger.com/analytics/company/sz/300052/300052/detail</t>
  </si>
  <si>
    <t>四方新材</t>
  </si>
  <si>
    <t>www.lixinger.com/analytics/company/sh/605122/605122/detail</t>
  </si>
  <si>
    <t>鸿达兴业</t>
  </si>
  <si>
    <t>www.lixinger.com/analytics/company/sz/002002/2002/detail</t>
  </si>
  <si>
    <t>华锋股份</t>
  </si>
  <si>
    <t>www.lixinger.com/analytics/company/sz/002806/2806/detail</t>
  </si>
  <si>
    <t>路德环境</t>
  </si>
  <si>
    <t>www.lixinger.com/analytics/company/sh/688156/688156/detail</t>
  </si>
  <si>
    <t>东信Ｂ股</t>
  </si>
  <si>
    <t>www.lixinger.com/analytics/company/sh/900941/900941/detail</t>
  </si>
  <si>
    <t>阳光股份</t>
  </si>
  <si>
    <t>www.lixinger.com/analytics/company/sz/000608/608/detail</t>
  </si>
  <si>
    <t>神州高铁</t>
  </si>
  <si>
    <t>www.lixinger.com/analytics/company/sz/000008/8/detail</t>
  </si>
  <si>
    <t>蓝丰生化</t>
  </si>
  <si>
    <t>www.lixinger.com/analytics/company/sz/002513/2513/detail</t>
  </si>
  <si>
    <t>汇金股份</t>
  </si>
  <si>
    <t>www.lixinger.com/analytics/company/sz/300368/300368/detail</t>
  </si>
  <si>
    <t>佐力药业</t>
  </si>
  <si>
    <t>www.lixinger.com/analytics/company/sz/300181/300181/detail</t>
  </si>
  <si>
    <t>绿田机械</t>
  </si>
  <si>
    <t>www.lixinger.com/analytics/company/sh/605259/605259/detail</t>
  </si>
  <si>
    <t>*ST晨鑫</t>
  </si>
  <si>
    <t>www.lixinger.com/analytics/company/sz/002447/2447/detail</t>
  </si>
  <si>
    <t>ST荣华</t>
  </si>
  <si>
    <t>www.lixinger.com/analytics/company/sh/600311/600311/detail</t>
  </si>
  <si>
    <t>芯导科技</t>
  </si>
  <si>
    <t>www.lixinger.com/analytics/company/sh/688230/688230/detail</t>
  </si>
  <si>
    <t>威龙股份</t>
  </si>
  <si>
    <t>www.lixinger.com/analytics/company/sh/603779/603779/detail</t>
  </si>
  <si>
    <t>四川金顶</t>
  </si>
  <si>
    <t>www.lixinger.com/analytics/company/sh/600678/600678/detail</t>
  </si>
  <si>
    <t>博硕科技</t>
  </si>
  <si>
    <t>www.lixinger.com/analytics/company/sz/300951/300951/detail</t>
  </si>
  <si>
    <t>开立医疗</t>
  </si>
  <si>
    <t>www.lixinger.com/analytics/company/sz/300633/300633/detail</t>
  </si>
  <si>
    <t>爱迪尔</t>
  </si>
  <si>
    <t>www.lixinger.com/analytics/company/sz/002740/2740/detail</t>
  </si>
  <si>
    <t>信隆健康</t>
  </si>
  <si>
    <t>www.lixinger.com/analytics/company/sz/002105/2105/detail</t>
  </si>
  <si>
    <t>上海亚虹</t>
  </si>
  <si>
    <t>www.lixinger.com/analytics/company/sh/603159/603159/detail</t>
  </si>
  <si>
    <t>金新农</t>
  </si>
  <si>
    <t>www.lixinger.com/analytics/company/sz/002548/2548/detail</t>
  </si>
  <si>
    <t>山河药辅</t>
  </si>
  <si>
    <t>www.lixinger.com/analytics/company/sz/300452/300452/detail</t>
  </si>
  <si>
    <t>恒天海龙</t>
  </si>
  <si>
    <t>www.lixinger.com/analytics/company/sz/000677/677/detail</t>
  </si>
  <si>
    <t>伟时电子</t>
  </si>
  <si>
    <t>www.lixinger.com/analytics/company/sh/605218/605218/detail</t>
  </si>
  <si>
    <t>吉林高速</t>
  </si>
  <si>
    <t>www.lixinger.com/analytics/company/sh/601518/601518/detail</t>
  </si>
  <si>
    <t>天泽信息</t>
  </si>
  <si>
    <t>www.lixinger.com/analytics/company/sz/300209/300209/detail</t>
  </si>
  <si>
    <t>嘉应制药</t>
  </si>
  <si>
    <t>www.lixinger.com/analytics/company/sz/002198/2198/detail</t>
  </si>
  <si>
    <t>申科股份</t>
  </si>
  <si>
    <t>www.lixinger.com/analytics/company/sz/002633/2633/detail</t>
  </si>
  <si>
    <t>通润装备</t>
  </si>
  <si>
    <t>www.lixinger.com/analytics/company/sz/002150/2150/detail</t>
  </si>
  <si>
    <t>宸展光电</t>
  </si>
  <si>
    <t>www.lixinger.com/analytics/company/sz/003019/3019/detail</t>
  </si>
  <si>
    <t>和晶科技</t>
  </si>
  <si>
    <t>www.lixinger.com/analytics/company/sz/300279/300279/detail</t>
  </si>
  <si>
    <t>太辰光</t>
  </si>
  <si>
    <t>www.lixinger.com/analytics/company/sz/300570/300570/detail</t>
  </si>
  <si>
    <t>汇丽B</t>
  </si>
  <si>
    <t>www.lixinger.com/analytics/company/sh/900939/900939/detail</t>
  </si>
  <si>
    <t>ST中昌</t>
  </si>
  <si>
    <t>www.lixinger.com/analytics/company/sh/600242/600242/detail</t>
  </si>
  <si>
    <t>合金投资</t>
  </si>
  <si>
    <t>www.lixinger.com/analytics/company/sz/000633/633/detail</t>
  </si>
  <si>
    <t>*ST群兴</t>
  </si>
  <si>
    <t>www.lixinger.com/analytics/company/sz/002575/2575/detail</t>
  </si>
  <si>
    <t>华业香料</t>
  </si>
  <si>
    <t>www.lixinger.com/analytics/company/sz/300886/300886/detail</t>
  </si>
  <si>
    <t>华茂股份</t>
  </si>
  <si>
    <t>www.lixinger.com/analytics/company/sz/000850/850/detail</t>
  </si>
  <si>
    <t>本川智能</t>
  </si>
  <si>
    <t>www.lixinger.com/analytics/company/sz/300964/300964/detail</t>
  </si>
  <si>
    <t>城地香江</t>
  </si>
  <si>
    <t>www.lixinger.com/analytics/company/sh/603887/603887/detail</t>
  </si>
  <si>
    <t>*ST海创B</t>
  </si>
  <si>
    <t>www.lixinger.com/analytics/company/sh/900955/900955/detail</t>
  </si>
  <si>
    <t>通化金马</t>
  </si>
  <si>
    <t>www.lixinger.com/analytics/company/sz/000766/766/detail</t>
  </si>
  <si>
    <t>中国中期</t>
  </si>
  <si>
    <t>www.lixinger.com/analytics/company/sz/000996/996/detail</t>
  </si>
  <si>
    <t>天微电子</t>
  </si>
  <si>
    <t>www.lixinger.com/analytics/company/sh/688511/688511/detail</t>
  </si>
  <si>
    <t>凌云Ｂ股</t>
  </si>
  <si>
    <t>www.lixinger.com/analytics/company/sh/900957/900957/detail</t>
  </si>
  <si>
    <t>上海艾录</t>
  </si>
  <si>
    <t>www.lixinger.com/analytics/company/sz/301062/301062/detail</t>
  </si>
  <si>
    <t>飞科电器</t>
  </si>
  <si>
    <t>www.lixinger.com/analytics/company/sh/603868/603868/detail</t>
  </si>
  <si>
    <t>双一科技</t>
  </si>
  <si>
    <t>www.lixinger.com/analytics/company/sz/300690/300690/detail</t>
  </si>
  <si>
    <t>天雁B股</t>
  </si>
  <si>
    <t>www.lixinger.com/analytics/company/sh/900946/900946/detail</t>
  </si>
  <si>
    <t>退市中新</t>
  </si>
  <si>
    <t>www.lixinger.com/analytics/company/sh/603996/603996/detail</t>
  </si>
  <si>
    <t>中通国脉</t>
  </si>
  <si>
    <t>www.lixinger.com/analytics/company/sh/603559/603559/detail</t>
  </si>
  <si>
    <t>果麦文化</t>
  </si>
  <si>
    <t>www.lixinger.com/analytics/company/sz/301052/301052/detail</t>
  </si>
  <si>
    <t>中国武夷</t>
  </si>
  <si>
    <t>www.lixinger.com/analytics/company/sz/000797/797/detail</t>
  </si>
  <si>
    <t>众生药业</t>
  </si>
  <si>
    <t>www.lixinger.com/analytics/company/sz/002317/2317/detail</t>
  </si>
  <si>
    <t>*ST赛为</t>
  </si>
  <si>
    <t>www.lixinger.com/analytics/company/sz/300044/300044/detail</t>
  </si>
  <si>
    <t>玉龙股份</t>
  </si>
  <si>
    <t>www.lixinger.com/analytics/company/sh/601028/601028/detail</t>
  </si>
  <si>
    <t>江天化学</t>
  </si>
  <si>
    <t>www.lixinger.com/analytics/company/sz/300927/300927/detail</t>
  </si>
  <si>
    <t>海川智能</t>
  </si>
  <si>
    <t>www.lixinger.com/analytics/company/sz/300720/300720/detail</t>
  </si>
  <si>
    <t>ST弘高</t>
  </si>
  <si>
    <t>www.lixinger.com/analytics/company/sz/002504/2504/detail</t>
  </si>
  <si>
    <t>德宏股份</t>
  </si>
  <si>
    <t>www.lixinger.com/analytics/company/sh/603701/603701/detail</t>
  </si>
  <si>
    <t>幸福蓝海</t>
  </si>
  <si>
    <t>www.lixinger.com/analytics/company/sz/300528/300528/detail</t>
  </si>
  <si>
    <t>矩子科技</t>
  </si>
  <si>
    <t>www.lixinger.com/analytics/company/sz/300802/300802/detail</t>
  </si>
  <si>
    <t>北陆药业</t>
  </si>
  <si>
    <t>www.lixinger.com/analytics/company/sz/300016/300016/detail</t>
  </si>
  <si>
    <t>万里石</t>
  </si>
  <si>
    <t>www.lixinger.com/analytics/company/sz/002785/2785/detail</t>
  </si>
  <si>
    <t>*ST海创</t>
  </si>
  <si>
    <t>www.lixinger.com/analytics/company/sh/600555/600555/detail</t>
  </si>
  <si>
    <t>迈拓股份</t>
  </si>
  <si>
    <t>www.lixinger.com/analytics/company/sz/301006/301006/detail</t>
  </si>
  <si>
    <t>*ST当代</t>
  </si>
  <si>
    <t>www.lixinger.com/analytics/company/sz/000673/673/detail</t>
  </si>
  <si>
    <t>锦旅Ｂ股</t>
  </si>
  <si>
    <t>www.lixinger.com/analytics/company/sh/900929/900929/detail</t>
  </si>
  <si>
    <t>百大集团</t>
  </si>
  <si>
    <t>www.lixinger.com/analytics/company/sh/600865/600865/detail</t>
  </si>
  <si>
    <t>深圳新星</t>
  </si>
  <si>
    <t>www.lixinger.com/analytics/company/sh/603978/603978/detail</t>
  </si>
  <si>
    <t>方盛制药</t>
  </si>
  <si>
    <t>www.lixinger.com/analytics/company/sh/603998/603998/detail</t>
  </si>
  <si>
    <t>四维图新</t>
  </si>
  <si>
    <t>www.lixinger.com/analytics/company/sz/002405/2405/detail</t>
  </si>
  <si>
    <t>力源科技</t>
  </si>
  <si>
    <t>www.lixinger.com/analytics/company/sh/688565/688565/detail</t>
  </si>
  <si>
    <t>好想你</t>
  </si>
  <si>
    <t>www.lixinger.com/analytics/company/sz/002582/2582/detail</t>
  </si>
  <si>
    <t>*ST同洲</t>
  </si>
  <si>
    <t>www.lixinger.com/analytics/company/sz/002052/2052/detail</t>
  </si>
  <si>
    <t>南华仪器</t>
  </si>
  <si>
    <t>www.lixinger.com/analytics/company/sz/300417/300417/detail</t>
  </si>
  <si>
    <t>美尔雅</t>
  </si>
  <si>
    <t>www.lixinger.com/analytics/company/sh/600107/600107/detail</t>
  </si>
  <si>
    <t>王子新材</t>
  </si>
  <si>
    <t>www.lixinger.com/analytics/company/sz/002735/2735/detail</t>
  </si>
  <si>
    <t>森远股份</t>
  </si>
  <si>
    <t>www.lixinger.com/analytics/company/sz/300210/300210/detail</t>
  </si>
  <si>
    <t>国瑞科技</t>
  </si>
  <si>
    <t>www.lixinger.com/analytics/company/sz/300600/300600/detail</t>
  </si>
  <si>
    <t>百合股份</t>
  </si>
  <si>
    <t>www.lixinger.com/analytics/company/sh/603102/603102/detail</t>
  </si>
  <si>
    <t>大业股份</t>
  </si>
  <si>
    <t>www.lixinger.com/analytics/company/sh/603278/603278/detail</t>
  </si>
  <si>
    <t>*ST绿庭B</t>
  </si>
  <si>
    <t>www.lixinger.com/analytics/company/sh/900919/900919/detail</t>
  </si>
  <si>
    <t>广聚能源</t>
  </si>
  <si>
    <t>www.lixinger.com/analytics/company/sz/000096/96/detail</t>
  </si>
  <si>
    <t>御银股份</t>
  </si>
  <si>
    <t>www.lixinger.com/analytics/company/sz/002177/2177/detail</t>
  </si>
  <si>
    <t>台海核电</t>
  </si>
  <si>
    <t>www.lixinger.com/analytics/company/sz/002366/2366/detail</t>
  </si>
  <si>
    <t>长动退</t>
  </si>
  <si>
    <t>www.lixinger.com/analytics/company/sz/000835/835/detail</t>
  </si>
  <si>
    <t>红日药业</t>
  </si>
  <si>
    <t>www.lixinger.com/analytics/company/sz/300026/300026/detail</t>
  </si>
  <si>
    <t>宁波中百</t>
  </si>
  <si>
    <t>www.lixinger.com/analytics/company/sh/600857/600857/detail</t>
  </si>
  <si>
    <t>众源新材</t>
  </si>
  <si>
    <t>www.lixinger.com/analytics/company/sh/603527/603527/detail</t>
  </si>
  <si>
    <t>丰原药业</t>
  </si>
  <si>
    <t>www.lixinger.com/analytics/company/sz/000153/153/detail</t>
  </si>
  <si>
    <t>峰岹科技</t>
  </si>
  <si>
    <t>www.lixinger.com/analytics/company/sh/688279/688279/detail</t>
  </si>
  <si>
    <t>金发拉比</t>
  </si>
  <si>
    <t>www.lixinger.com/analytics/company/sz/002762/2762/detail</t>
  </si>
  <si>
    <t>容大感光</t>
  </si>
  <si>
    <t>www.lixinger.com/analytics/company/sz/300576/300576/detail</t>
  </si>
  <si>
    <t>海昌新材</t>
  </si>
  <si>
    <t>www.lixinger.com/analytics/company/sz/300885/300885/detail</t>
  </si>
  <si>
    <t>有友食品</t>
  </si>
  <si>
    <t>www.lixinger.com/analytics/company/sh/603697/603697/detail</t>
  </si>
  <si>
    <t>蓝科高新</t>
  </si>
  <si>
    <t>www.lixinger.com/analytics/company/sh/601798/601798/detail</t>
  </si>
  <si>
    <t>海峡创新</t>
  </si>
  <si>
    <t>www.lixinger.com/analytics/company/sz/300300/300300/detail</t>
  </si>
  <si>
    <t>通业科技</t>
  </si>
  <si>
    <t>www.lixinger.com/analytics/company/sz/300960/300960/detail</t>
  </si>
  <si>
    <t>华信新材</t>
  </si>
  <si>
    <t>www.lixinger.com/analytics/company/sz/300717/300717/detail</t>
  </si>
  <si>
    <t>克明食品</t>
  </si>
  <si>
    <t>www.lixinger.com/analytics/company/sz/002661/2661/detail</t>
  </si>
  <si>
    <t>ST西源</t>
  </si>
  <si>
    <t>www.lixinger.com/analytics/company/sh/600139/600139/detail</t>
  </si>
  <si>
    <t>凯迪股份</t>
  </si>
  <si>
    <t>www.lixinger.com/analytics/company/sh/605288/605288/detail</t>
  </si>
  <si>
    <t>湖南天雁</t>
  </si>
  <si>
    <t>www.lixinger.com/analytics/company/sh/600698/600698/detail</t>
  </si>
  <si>
    <t>华达科技</t>
  </si>
  <si>
    <t>www.lixinger.com/analytics/company/sh/603358/603358/detail</t>
  </si>
  <si>
    <t>迪普科技</t>
  </si>
  <si>
    <t>www.lixinger.com/analytics/company/sz/300768/300768/detail</t>
  </si>
  <si>
    <t>炬华科技</t>
  </si>
  <si>
    <t>www.lixinger.com/analytics/company/sz/300360/300360/detail</t>
  </si>
  <si>
    <t>金冠电气</t>
  </si>
  <si>
    <t>www.lixinger.com/analytics/company/sh/688517/688517/detail</t>
  </si>
  <si>
    <t>越剑智能</t>
  </si>
  <si>
    <t>www.lixinger.com/analytics/company/sh/603095/603095/detail</t>
  </si>
  <si>
    <t>*ST德新</t>
  </si>
  <si>
    <t>www.lixinger.com/analytics/company/sh/603032/603032/detail</t>
  </si>
  <si>
    <t>甘源食品</t>
  </si>
  <si>
    <t>www.lixinger.com/analytics/company/sz/002991/2991/detail</t>
  </si>
  <si>
    <t>濮阳惠成</t>
  </si>
  <si>
    <t>www.lixinger.com/analytics/company/sz/300481/300481/detail</t>
  </si>
  <si>
    <t>星帅尔</t>
  </si>
  <si>
    <t>www.lixinger.com/analytics/company/sz/002860/2860/detail</t>
  </si>
  <si>
    <t>海源复材</t>
  </si>
  <si>
    <t>www.lixinger.com/analytics/company/sz/002529/2529/detail</t>
  </si>
  <si>
    <t>明志科技</t>
  </si>
  <si>
    <t>www.lixinger.com/analytics/company/sh/688355/688355/detail</t>
  </si>
  <si>
    <t>准油股份</t>
  </si>
  <si>
    <t>www.lixinger.com/analytics/company/sz/002207/2207/detail</t>
  </si>
  <si>
    <t>常铝股份</t>
  </si>
  <si>
    <t>www.lixinger.com/analytics/company/sz/002160/2160/detail</t>
  </si>
  <si>
    <t>开开Ｂ股</t>
  </si>
  <si>
    <t>www.lixinger.com/analytics/company/sh/900943/900943/detail</t>
  </si>
  <si>
    <t>美盛文化</t>
  </si>
  <si>
    <t>www.lixinger.com/analytics/company/sz/002699/2699/detail</t>
  </si>
  <si>
    <t>*ST数知</t>
  </si>
  <si>
    <t>www.lixinger.com/analytics/company/sz/300038/300038/detail</t>
  </si>
  <si>
    <t>莎普爱思</t>
  </si>
  <si>
    <t>www.lixinger.com/analytics/company/sh/603168/603168/detail</t>
  </si>
  <si>
    <t>金运激光</t>
  </si>
  <si>
    <t>www.lixinger.com/analytics/company/sz/300220/300220/detail</t>
  </si>
  <si>
    <t>麦克奥迪</t>
  </si>
  <si>
    <t>www.lixinger.com/analytics/company/sz/300341/300341/detail</t>
  </si>
  <si>
    <t>精达股份</t>
  </si>
  <si>
    <t>www.lixinger.com/analytics/company/sh/600577/600577/detail</t>
  </si>
  <si>
    <t>星球石墨</t>
  </si>
  <si>
    <t>www.lixinger.com/analytics/company/sh/688633/688633/detail</t>
  </si>
  <si>
    <t>永艺股份</t>
  </si>
  <si>
    <t>www.lixinger.com/analytics/company/sh/603600/603600/detail</t>
  </si>
  <si>
    <t>威帝股份</t>
  </si>
  <si>
    <t>www.lixinger.com/analytics/company/sh/603023/603023/detail</t>
  </si>
  <si>
    <t>派生科技</t>
  </si>
  <si>
    <t>www.lixinger.com/analytics/company/sz/300176/300176/detail</t>
  </si>
  <si>
    <t>*ST恒誉</t>
  </si>
  <si>
    <t>www.lixinger.com/analytics/company/sh/688309/688309/detail</t>
  </si>
  <si>
    <t>利德曼</t>
  </si>
  <si>
    <t>www.lixinger.com/analytics/company/sz/300289/300289/detail</t>
  </si>
  <si>
    <t>京蓝科技</t>
  </si>
  <si>
    <t>www.lixinger.com/analytics/company/sz/000711/711/detail</t>
  </si>
  <si>
    <t>风神股份</t>
  </si>
  <si>
    <t>www.lixinger.com/analytics/company/sh/600469/600469/detail</t>
  </si>
  <si>
    <t>百邦科技</t>
  </si>
  <si>
    <t>www.lixinger.com/analytics/company/sz/300736/300736/detail</t>
  </si>
  <si>
    <t>ST文化</t>
  </si>
  <si>
    <t>www.lixinger.com/analytics/company/sz/300089/300089/detail</t>
  </si>
  <si>
    <t>上海九百</t>
  </si>
  <si>
    <t>www.lixinger.com/analytics/company/sh/600838/600838/detail</t>
  </si>
  <si>
    <t>仕佳光子</t>
  </si>
  <si>
    <t>www.lixinger.com/analytics/company/sh/688313/688313/detail</t>
  </si>
  <si>
    <t>高乐股份</t>
  </si>
  <si>
    <t>www.lixinger.com/analytics/company/sz/002348/2348/detail</t>
  </si>
  <si>
    <t>恒锋工具</t>
  </si>
  <si>
    <t>www.lixinger.com/analytics/company/sz/300488/300488/detail</t>
  </si>
  <si>
    <t>臻镭科技</t>
  </si>
  <si>
    <t>www.lixinger.com/analytics/company/sh/688270/688270/detail</t>
  </si>
  <si>
    <t>津膜科技</t>
  </si>
  <si>
    <t>www.lixinger.com/analytics/company/sz/300334/300334/detail</t>
  </si>
  <si>
    <t>南华生物</t>
  </si>
  <si>
    <t>www.lixinger.com/analytics/company/sz/000504/504/detail</t>
  </si>
  <si>
    <t>新通联</t>
  </si>
  <si>
    <t>www.lixinger.com/analytics/company/sh/603022/603022/detail</t>
  </si>
  <si>
    <t>红蜻蜓</t>
  </si>
  <si>
    <t>www.lixinger.com/analytics/company/sh/603116/603116/detail</t>
  </si>
  <si>
    <t>海融科技</t>
  </si>
  <si>
    <t>www.lixinger.com/analytics/company/sz/300915/300915/detail</t>
  </si>
  <si>
    <t>联泓新科</t>
  </si>
  <si>
    <t>www.lixinger.com/analytics/company/sz/003022/3022/detail</t>
  </si>
  <si>
    <t>欧亚集团</t>
  </si>
  <si>
    <t>www.lixinger.com/analytics/company/sh/600697/600697/detail</t>
  </si>
  <si>
    <t>*ST皇台</t>
  </si>
  <si>
    <t>www.lixinger.com/analytics/company/sz/000995/995/detail</t>
  </si>
  <si>
    <t>迈赫股份</t>
  </si>
  <si>
    <t>www.lixinger.com/analytics/company/sz/301199/301199/detail</t>
  </si>
  <si>
    <t>迅捷兴</t>
  </si>
  <si>
    <t>www.lixinger.com/analytics/company/sh/688655/688655/detail</t>
  </si>
  <si>
    <t>汇源通信</t>
  </si>
  <si>
    <t>www.lixinger.com/analytics/company/sz/000586/586/detail</t>
  </si>
  <si>
    <t>国邦医药</t>
  </si>
  <si>
    <t>www.lixinger.com/analytics/company/sh/605507/605507/detail</t>
  </si>
  <si>
    <t>中密控股</t>
  </si>
  <si>
    <t>www.lixinger.com/analytics/company/sz/300470/300470/detail</t>
  </si>
  <si>
    <t>海泰发展</t>
  </si>
  <si>
    <t>www.lixinger.com/analytics/company/sh/600082/600082/detail</t>
  </si>
  <si>
    <t>四通股份</t>
  </si>
  <si>
    <t>www.lixinger.com/analytics/company/sh/603838/603838/detail</t>
  </si>
  <si>
    <t>迪贝电气</t>
  </si>
  <si>
    <t>www.lixinger.com/analytics/company/sh/603320/603320/detail</t>
  </si>
  <si>
    <t>金盾股份</t>
  </si>
  <si>
    <t>www.lixinger.com/analytics/company/sz/300411/300411/detail</t>
  </si>
  <si>
    <t>久祺股份</t>
  </si>
  <si>
    <t>www.lixinger.com/analytics/company/sz/300994/300994/detail</t>
  </si>
  <si>
    <t>中天精装</t>
  </si>
  <si>
    <t>www.lixinger.com/analytics/company/sz/002989/2989/detail</t>
  </si>
  <si>
    <t>*ST丰华</t>
  </si>
  <si>
    <t>www.lixinger.com/analytics/company/sh/600615/600615/detail</t>
  </si>
  <si>
    <t>纬德信息</t>
  </si>
  <si>
    <t>www.lixinger.com/analytics/company/sh/688171/688171/detail</t>
  </si>
  <si>
    <t>*ST蓝盾</t>
  </si>
  <si>
    <t>www.lixinger.com/analytics/company/sz/300297/300297/detail</t>
  </si>
  <si>
    <t>东电退</t>
  </si>
  <si>
    <t>www.lixinger.com/analytics/company/sz/000585/585/detail</t>
  </si>
  <si>
    <t>*ST科迪</t>
  </si>
  <si>
    <t>www.lixinger.com/analytics/company/sz/002770/2770/detail</t>
  </si>
  <si>
    <t>江苏雷利</t>
  </si>
  <si>
    <t>www.lixinger.com/analytics/company/sz/300660/300660/detail</t>
  </si>
  <si>
    <t>创业环保</t>
  </si>
  <si>
    <t>www.lixinger.com/analytics/company/sh/600874/600874/detail</t>
  </si>
  <si>
    <t>华宏科技</t>
  </si>
  <si>
    <t>www.lixinger.com/analytics/company/sz/002645/2645/detail</t>
  </si>
  <si>
    <t>神驰机电</t>
  </si>
  <si>
    <t>www.lixinger.com/analytics/company/sh/603109/603109/detail</t>
  </si>
  <si>
    <t>奥精医疗</t>
  </si>
  <si>
    <t>www.lixinger.com/analytics/company/sh/688613/688613/detail</t>
  </si>
  <si>
    <t>中际联合</t>
  </si>
  <si>
    <t>www.lixinger.com/analytics/company/sh/605305/605305/detail</t>
  </si>
  <si>
    <t>盛洋科技</t>
  </si>
  <si>
    <t>www.lixinger.com/analytics/company/sh/603703/603703/detail</t>
  </si>
  <si>
    <t>华东数控</t>
  </si>
  <si>
    <t>www.lixinger.com/analytics/company/sz/002248/2248/detail</t>
  </si>
  <si>
    <t>中科云网</t>
  </si>
  <si>
    <t>www.lixinger.com/analytics/company/sz/002306/2306/detail</t>
  </si>
  <si>
    <t>淳中科技</t>
  </si>
  <si>
    <t>www.lixinger.com/analytics/company/sh/603516/603516/detail</t>
  </si>
  <si>
    <t>云鼎科技</t>
  </si>
  <si>
    <t>www.lixinger.com/analytics/company/sz/000409/409/detail</t>
  </si>
  <si>
    <t>恒久科技</t>
  </si>
  <si>
    <t>www.lixinger.com/analytics/company/sz/002808/2808/detail</t>
  </si>
  <si>
    <t>实益达</t>
  </si>
  <si>
    <t>www.lixinger.com/analytics/company/sz/002137/2137/detail</t>
  </si>
  <si>
    <t>梅雁吉祥</t>
  </si>
  <si>
    <t>www.lixinger.com/analytics/company/sh/600868/600868/detail</t>
  </si>
  <si>
    <t>凌志软件</t>
  </si>
  <si>
    <t>www.lixinger.com/analytics/company/sh/688588/688588/detail</t>
  </si>
  <si>
    <t>鼎阳科技</t>
  </si>
  <si>
    <t>www.lixinger.com/analytics/company/sh/688112/688112/detail</t>
  </si>
  <si>
    <t>日发精机</t>
  </si>
  <si>
    <t>www.lixinger.com/analytics/company/sz/002520/2520/detail</t>
  </si>
  <si>
    <t>德迈仕</t>
  </si>
  <si>
    <t>www.lixinger.com/analytics/company/sz/301007/301007/detail</t>
  </si>
  <si>
    <t>煜邦电力</t>
  </si>
  <si>
    <t>www.lixinger.com/analytics/company/sh/688597/688597/detail</t>
  </si>
  <si>
    <t>红宝丽</t>
  </si>
  <si>
    <t>www.lixinger.com/analytics/company/sz/002165/2165/detail</t>
  </si>
  <si>
    <t>映翰通</t>
  </si>
  <si>
    <t>www.lixinger.com/analytics/company/sh/688080/688080/detail</t>
  </si>
  <si>
    <t>科瑞技术</t>
  </si>
  <si>
    <t>www.lixinger.com/analytics/company/sz/002957/2957/detail</t>
  </si>
  <si>
    <t>超达装备</t>
  </si>
  <si>
    <t>www.lixinger.com/analytics/company/sz/301186/301186/detail</t>
  </si>
  <si>
    <t>跃岭股份</t>
  </si>
  <si>
    <t>www.lixinger.com/analytics/company/sz/002725/2725/detail</t>
  </si>
  <si>
    <t>金枫酒业</t>
  </si>
  <si>
    <t>www.lixinger.com/analytics/company/sh/600616/600616/detail</t>
  </si>
  <si>
    <t>兆龙互连</t>
  </si>
  <si>
    <t>www.lixinger.com/analytics/company/sz/300913/300913/detail</t>
  </si>
  <si>
    <t>ST商城</t>
  </si>
  <si>
    <t>www.lixinger.com/analytics/company/sh/600306/600306/detail</t>
  </si>
  <si>
    <t>ST目药</t>
  </si>
  <si>
    <t>www.lixinger.com/analytics/company/sh/600671/600671/detail</t>
  </si>
  <si>
    <t>佳创视讯</t>
  </si>
  <si>
    <t>www.lixinger.com/analytics/company/sz/300264/300264/detail</t>
  </si>
  <si>
    <t>迅游科技</t>
  </si>
  <si>
    <t>www.lixinger.com/analytics/company/sz/300467/300467/detail</t>
  </si>
  <si>
    <t>华铁股份</t>
  </si>
  <si>
    <t>www.lixinger.com/analytics/company/sz/000976/976/detail</t>
  </si>
  <si>
    <t>光正眼科</t>
  </si>
  <si>
    <t>www.lixinger.com/analytics/company/sz/002524/2524/detail</t>
  </si>
  <si>
    <t>通灵股份</t>
  </si>
  <si>
    <t>www.lixinger.com/analytics/company/sz/301168/301168/detail</t>
  </si>
  <si>
    <t>北大医药</t>
  </si>
  <si>
    <t>www.lixinger.com/analytics/company/sz/000788/788/detail</t>
  </si>
  <si>
    <t>宏达股份</t>
  </si>
  <si>
    <t>www.lixinger.com/analytics/company/sh/600331/600331/detail</t>
  </si>
  <si>
    <t>金明精机</t>
  </si>
  <si>
    <t>www.lixinger.com/analytics/company/sz/300281/300281/detail</t>
  </si>
  <si>
    <t>日播时尚</t>
  </si>
  <si>
    <t>www.lixinger.com/analytics/company/sh/603196/603196/detail</t>
  </si>
  <si>
    <t>百川畅银</t>
  </si>
  <si>
    <t>www.lixinger.com/analytics/company/sz/300614/300614/detail</t>
  </si>
  <si>
    <t>佳禾食品</t>
  </si>
  <si>
    <t>www.lixinger.com/analytics/company/sh/605300/605300/detail</t>
  </si>
  <si>
    <t>海能实业</t>
  </si>
  <si>
    <t>www.lixinger.com/analytics/company/sz/300787/300787/detail</t>
  </si>
  <si>
    <t>星徽股份</t>
  </si>
  <si>
    <t>www.lixinger.com/analytics/company/sz/300464/300464/detail</t>
  </si>
  <si>
    <t>华仁药业</t>
  </si>
  <si>
    <t>www.lixinger.com/analytics/company/sz/300110/300110/detail</t>
  </si>
  <si>
    <t>*ST全新</t>
  </si>
  <si>
    <t>www.lixinger.com/analytics/company/sz/000007/7/detail</t>
  </si>
  <si>
    <t>壶化股份</t>
  </si>
  <si>
    <t>www.lixinger.com/analytics/company/sz/003002/3002/detail</t>
  </si>
  <si>
    <t>ST顺利</t>
  </si>
  <si>
    <t>www.lixinger.com/analytics/company/sz/000606/606/detail</t>
  </si>
  <si>
    <t>酒鬼酒</t>
  </si>
  <si>
    <t>www.lixinger.com/analytics/company/sz/000799/799/detail</t>
  </si>
  <si>
    <t>中船汉光</t>
  </si>
  <si>
    <t>www.lixinger.com/analytics/company/sz/300847/300847/detail</t>
  </si>
  <si>
    <t>上声电子</t>
  </si>
  <si>
    <t>www.lixinger.com/analytics/company/sh/688533/688533/detail</t>
  </si>
  <si>
    <t>易明医药</t>
  </si>
  <si>
    <t>www.lixinger.com/analytics/company/sz/002826/2826/detail</t>
  </si>
  <si>
    <t>爱司凯</t>
  </si>
  <si>
    <t>www.lixinger.com/analytics/company/sz/300521/300521/detail</t>
  </si>
  <si>
    <t>北京城乡</t>
  </si>
  <si>
    <t>www.lixinger.com/analytics/company/sh/600861/600861/detail</t>
  </si>
  <si>
    <t>雅艺科技</t>
  </si>
  <si>
    <t>www.lixinger.com/analytics/company/sz/301113/301113/detail</t>
  </si>
  <si>
    <t>华致酒行</t>
  </si>
  <si>
    <t>www.lixinger.com/analytics/company/sz/300755/300755/detail</t>
  </si>
  <si>
    <t>澄天伟业</t>
  </si>
  <si>
    <t>www.lixinger.com/analytics/company/sz/300689/300689/detail</t>
  </si>
  <si>
    <t>银邦股份</t>
  </si>
  <si>
    <t>www.lixinger.com/analytics/company/sz/300337/300337/detail</t>
  </si>
  <si>
    <t>中国卫通</t>
  </si>
  <si>
    <t>www.lixinger.com/analytics/company/sh/601698/601698/detail</t>
  </si>
  <si>
    <t>新华传媒</t>
  </si>
  <si>
    <t>www.lixinger.com/analytics/company/sh/600825/600825/detail</t>
  </si>
  <si>
    <t>佳沃食品</t>
  </si>
  <si>
    <t>www.lixinger.com/analytics/company/sz/300268/300268/detail</t>
  </si>
  <si>
    <t>中达安</t>
  </si>
  <si>
    <t>www.lixinger.com/analytics/company/sz/300635/300635/detail</t>
  </si>
  <si>
    <t>创耀科技</t>
  </si>
  <si>
    <t>www.lixinger.com/analytics/company/sh/688259/688259/detail</t>
  </si>
  <si>
    <t>三羊马</t>
  </si>
  <si>
    <t>www.lixinger.com/analytics/company/sz/001317/1317/detail</t>
  </si>
  <si>
    <t>*ST安控</t>
  </si>
  <si>
    <t>www.lixinger.com/analytics/company/sz/300370/300370/detail</t>
  </si>
  <si>
    <t>信立泰</t>
  </si>
  <si>
    <t>www.lixinger.com/analytics/company/sz/002294/2294/detail</t>
  </si>
  <si>
    <t>优德精密</t>
  </si>
  <si>
    <t>www.lixinger.com/analytics/company/sz/300549/300549/detail</t>
  </si>
  <si>
    <t>台基股份</t>
  </si>
  <si>
    <t>www.lixinger.com/analytics/company/sz/300046/300046/detail</t>
  </si>
  <si>
    <t>爱威科技</t>
  </si>
  <si>
    <t>www.lixinger.com/analytics/company/sh/688067/688067/detail</t>
  </si>
  <si>
    <t>宜华健康</t>
  </si>
  <si>
    <t>www.lixinger.com/analytics/company/sz/000150/150/detail</t>
  </si>
  <si>
    <t>贝斯特</t>
  </si>
  <si>
    <t>www.lixinger.com/analytics/company/sz/300580/300580/detail</t>
  </si>
  <si>
    <t>华嵘控股</t>
  </si>
  <si>
    <t>www.lixinger.com/analytics/company/sh/600421/600421/detail</t>
  </si>
  <si>
    <t>奥维通信</t>
  </si>
  <si>
    <t>www.lixinger.com/analytics/company/sz/002231/2231/detail</t>
  </si>
  <si>
    <t>富春股份</t>
  </si>
  <si>
    <t>www.lixinger.com/analytics/company/sz/300299/300299/detail</t>
  </si>
  <si>
    <t>综艺股份</t>
  </si>
  <si>
    <t>www.lixinger.com/analytics/company/sh/600770/600770/detail</t>
  </si>
  <si>
    <t>意华股份</t>
  </si>
  <si>
    <t>www.lixinger.com/analytics/company/sz/002897/2897/detail</t>
  </si>
  <si>
    <t>ST天润</t>
  </si>
  <si>
    <t>www.lixinger.com/analytics/company/sz/002113/2113/detail</t>
  </si>
  <si>
    <t>剑桥科技</t>
  </si>
  <si>
    <t>www.lixinger.com/analytics/company/sh/603083/603083/detail</t>
  </si>
  <si>
    <t>联德股份</t>
  </si>
  <si>
    <t>www.lixinger.com/analytics/company/sh/605060/605060/detail</t>
  </si>
  <si>
    <t>锦江Ｂ股</t>
  </si>
  <si>
    <t>www.lixinger.com/analytics/company/sh/900934/900934/detail</t>
  </si>
  <si>
    <t>倍杰特</t>
  </si>
  <si>
    <t>www.lixinger.com/analytics/company/sz/300774/300774/detail</t>
  </si>
  <si>
    <t>北特科技</t>
  </si>
  <si>
    <t>www.lixinger.com/analytics/company/sh/603009/603009/detail</t>
  </si>
  <si>
    <t>*ST科林</t>
  </si>
  <si>
    <t>www.lixinger.com/analytics/company/sz/002499/2499/detail</t>
  </si>
  <si>
    <t>大庆华科</t>
  </si>
  <si>
    <t>www.lixinger.com/analytics/company/sz/000985/985/detail</t>
  </si>
  <si>
    <t>东方环宇</t>
  </si>
  <si>
    <t>www.lixinger.com/analytics/company/sh/603706/603706/detail</t>
  </si>
  <si>
    <t>泰林生物</t>
  </si>
  <si>
    <t>www.lixinger.com/analytics/company/sz/300813/300813/detail</t>
  </si>
  <si>
    <t>*ST天首</t>
  </si>
  <si>
    <t>www.lixinger.com/analytics/company/sz/000611/611/detail</t>
  </si>
  <si>
    <t>*ST宝德</t>
  </si>
  <si>
    <t>www.lixinger.com/analytics/company/sz/300023/300023/detail</t>
  </si>
  <si>
    <t>华斯股份</t>
  </si>
  <si>
    <t>www.lixinger.com/analytics/company/sz/002494/2494/detail</t>
  </si>
  <si>
    <t>华图山鼎</t>
  </si>
  <si>
    <t>www.lixinger.com/analytics/company/sz/300492/300492/detail</t>
  </si>
  <si>
    <t>宝鼎科技</t>
  </si>
  <si>
    <t>www.lixinger.com/analytics/company/sz/002552/2552/detail</t>
  </si>
  <si>
    <t>北矿科技</t>
  </si>
  <si>
    <t>www.lixinger.com/analytics/company/sh/600980/600980/detail</t>
  </si>
  <si>
    <t>奥联电子</t>
  </si>
  <si>
    <t>www.lixinger.com/analytics/company/sz/300585/300585/detail</t>
  </si>
  <si>
    <t>ST信通</t>
  </si>
  <si>
    <t>www.lixinger.com/analytics/company/sh/600289/600289/detail</t>
  </si>
  <si>
    <t>时空科技</t>
  </si>
  <si>
    <t>www.lixinger.com/analytics/company/sh/605178/605178/detail</t>
  </si>
  <si>
    <t>至正股份</t>
  </si>
  <si>
    <t>www.lixinger.com/analytics/company/sh/603991/603991/detail</t>
  </si>
  <si>
    <t>米奥会展</t>
  </si>
  <si>
    <t>www.lixinger.com/analytics/company/sz/300795/300795/detail</t>
  </si>
  <si>
    <t>欧圣电气</t>
  </si>
  <si>
    <t>www.lixinger.com/analytics/company/sz/301187/301187/detail</t>
  </si>
  <si>
    <t>冀凯股份</t>
  </si>
  <si>
    <t>www.lixinger.com/analytics/company/sz/002691/2691/detail</t>
  </si>
  <si>
    <t>野马电池</t>
  </si>
  <si>
    <t>www.lixinger.com/analytics/company/sh/605378/605378/detail</t>
  </si>
  <si>
    <t>*ST华资</t>
  </si>
  <si>
    <t>www.lixinger.com/analytics/company/sh/600191/600191/detail</t>
  </si>
  <si>
    <t>深中华A</t>
  </si>
  <si>
    <t>www.lixinger.com/analytics/company/sz/000017/17/detail</t>
  </si>
  <si>
    <t>畅联股份</t>
  </si>
  <si>
    <t>www.lixinger.com/analytics/company/sh/603648/603648/detail</t>
  </si>
  <si>
    <t>桂发祥</t>
  </si>
  <si>
    <t>www.lixinger.com/analytics/company/sz/002820/2820/detail</t>
  </si>
  <si>
    <t>科创新源</t>
  </si>
  <si>
    <t>www.lixinger.com/analytics/company/sz/300731/300731/detail</t>
  </si>
  <si>
    <t>四环生物</t>
  </si>
  <si>
    <t>www.lixinger.com/analytics/company/sz/000518/518/detail</t>
  </si>
  <si>
    <t>*ST绿庭</t>
  </si>
  <si>
    <t>www.lixinger.com/analytics/company/sh/600695/600695/detail</t>
  </si>
  <si>
    <t>财富趋势</t>
  </si>
  <si>
    <t>www.lixinger.com/analytics/company/sh/688318/688318/detail</t>
  </si>
  <si>
    <t>永安林业</t>
  </si>
  <si>
    <t>www.lixinger.com/analytics/company/sz/000663/663/detail</t>
  </si>
  <si>
    <t>云路股份</t>
  </si>
  <si>
    <t>www.lixinger.com/analytics/company/sh/688190/688190/detail</t>
  </si>
  <si>
    <t>振江股份</t>
  </si>
  <si>
    <t>www.lixinger.com/analytics/company/sh/603507/603507/detail</t>
  </si>
  <si>
    <t>*ST园城</t>
  </si>
  <si>
    <t>www.lixinger.com/analytics/company/sh/600766/600766/detail</t>
  </si>
  <si>
    <t>ST瀚叶</t>
  </si>
  <si>
    <t>www.lixinger.com/analytics/company/sh/600226/600226/detail</t>
  </si>
  <si>
    <t>国际实业</t>
  </si>
  <si>
    <t>www.lixinger.com/analytics/company/sz/000159/159/detail</t>
  </si>
  <si>
    <t>三友医疗</t>
  </si>
  <si>
    <t>www.lixinger.com/analytics/company/sh/688085/688085/detail</t>
  </si>
  <si>
    <t>鼎通科技</t>
  </si>
  <si>
    <t>www.lixinger.com/analytics/company/sh/688668/688668/detail</t>
  </si>
  <si>
    <t>东方网络</t>
  </si>
  <si>
    <t>www.lixinger.com/analytics/company/sz/002175/2175/detail</t>
  </si>
  <si>
    <t>万里股份</t>
  </si>
  <si>
    <t>www.lixinger.com/analytics/company/sh/600847/600847/detail</t>
  </si>
  <si>
    <t>劲拓股份</t>
  </si>
  <si>
    <t>www.lixinger.com/analytics/company/sz/300400/300400/detail</t>
  </si>
  <si>
    <t>金禾实业</t>
  </si>
  <si>
    <t>www.lixinger.com/analytics/company/sz/002597/2597/detail</t>
  </si>
  <si>
    <t>亚太实业</t>
  </si>
  <si>
    <t>www.lixinger.com/analytics/company/sz/000691/691/detail</t>
  </si>
  <si>
    <t>浪莎股份</t>
  </si>
  <si>
    <t>www.lixinger.com/analytics/company/sh/600137/600137/detail</t>
  </si>
  <si>
    <t>ST北文</t>
  </si>
  <si>
    <t>www.lixinger.com/analytics/company/sz/000802/802/detail</t>
  </si>
  <si>
    <t>永太科技</t>
  </si>
  <si>
    <t>www.lixinger.com/analytics/company/sz/002326/2326/detail</t>
  </si>
  <si>
    <t>概伦电子</t>
  </si>
  <si>
    <t>www.lixinger.com/analytics/company/sh/688206/688206/detail</t>
  </si>
  <si>
    <t>银河微电</t>
  </si>
  <si>
    <t>www.lixinger.com/analytics/company/sh/688689/688689/detail</t>
  </si>
  <si>
    <t>好利科技</t>
  </si>
  <si>
    <t>www.lixinger.com/analytics/company/sz/002729/2729/detail</t>
  </si>
  <si>
    <t>中设股份</t>
  </si>
  <si>
    <t>www.lixinger.com/analytics/company/sz/002883/2883/detail</t>
  </si>
  <si>
    <t>青海华鼎</t>
  </si>
  <si>
    <t>www.lixinger.com/analytics/company/sh/600243/600243/detail</t>
  </si>
  <si>
    <t>宏英智能</t>
  </si>
  <si>
    <t>www.lixinger.com/analytics/company/sz/001266/1266/detail</t>
  </si>
  <si>
    <t>新朋股份</t>
  </si>
  <si>
    <t>www.lixinger.com/analytics/company/sz/002328/2328/detail</t>
  </si>
  <si>
    <t>福昕软件</t>
  </si>
  <si>
    <t>www.lixinger.com/analytics/company/sh/688095/688095/detail</t>
  </si>
  <si>
    <t>迈克生物</t>
  </si>
  <si>
    <t>www.lixinger.com/analytics/company/sz/300463/300463/detail</t>
  </si>
  <si>
    <t>成都先导</t>
  </si>
  <si>
    <t>www.lixinger.com/analytics/company/sh/688222/688222/detail</t>
  </si>
  <si>
    <t>祥明智能</t>
  </si>
  <si>
    <t>www.lixinger.com/analytics/company/sz/301226/301226/detail</t>
  </si>
  <si>
    <t>英利汽车</t>
  </si>
  <si>
    <t>www.lixinger.com/analytics/company/sh/601279/601279/detail</t>
  </si>
  <si>
    <t>锐明技术</t>
  </si>
  <si>
    <t>www.lixinger.com/analytics/company/sz/002970/2970/detail</t>
  </si>
  <si>
    <t>通达动力</t>
  </si>
  <si>
    <t>www.lixinger.com/analytics/company/sz/002576/2576/detail</t>
  </si>
  <si>
    <t>北巴传媒</t>
  </si>
  <si>
    <t>www.lixinger.com/analytics/company/sh/600386/600386/detail</t>
  </si>
  <si>
    <t>广和通</t>
  </si>
  <si>
    <t>www.lixinger.com/analytics/company/sz/300638/300638/detail</t>
  </si>
  <si>
    <t>久吾高科</t>
  </si>
  <si>
    <t>www.lixinger.com/analytics/company/sz/300631/300631/detail</t>
  </si>
  <si>
    <t>当代文体</t>
  </si>
  <si>
    <t>www.lixinger.com/analytics/company/sh/600136/600136/detail</t>
  </si>
  <si>
    <t>森特股份</t>
  </si>
  <si>
    <t>www.lixinger.com/analytics/company/sh/603098/603098/detail</t>
  </si>
  <si>
    <t>华纺股份</t>
  </si>
  <si>
    <t>www.lixinger.com/analytics/company/sh/600448/600448/detail</t>
  </si>
  <si>
    <t>深中华B</t>
  </si>
  <si>
    <t>www.lixinger.com/analytics/company/sz/200017/200017/detail</t>
  </si>
  <si>
    <t>日月明</t>
  </si>
  <si>
    <t>www.lixinger.com/analytics/company/sz/300906/300906/detail</t>
  </si>
  <si>
    <t>豪悦护理</t>
  </si>
  <si>
    <t>www.lixinger.com/analytics/company/sh/605009/605009/detail</t>
  </si>
  <si>
    <t>*ST节能</t>
  </si>
  <si>
    <t>www.lixinger.com/analytics/company/sz/000820/820/detail</t>
  </si>
  <si>
    <t>东方材料</t>
  </si>
  <si>
    <t>www.lixinger.com/analytics/company/sh/603110/603110/detail</t>
  </si>
  <si>
    <t>GQY视讯</t>
  </si>
  <si>
    <t>www.lixinger.com/analytics/company/sz/300076/300076/detail</t>
  </si>
  <si>
    <t>*ST金洲</t>
  </si>
  <si>
    <t>www.lixinger.com/analytics/company/sz/000587/587/detail</t>
  </si>
  <si>
    <t>彤程新材</t>
  </si>
  <si>
    <t>www.lixinger.com/analytics/company/sh/603650/603650/detail</t>
  </si>
  <si>
    <t>融捷股份</t>
  </si>
  <si>
    <t>www.lixinger.com/analytics/company/sz/002192/2192/detail</t>
  </si>
  <si>
    <t>新亚电子</t>
  </si>
  <si>
    <t>www.lixinger.com/analytics/company/sh/605277/605277/detail</t>
  </si>
  <si>
    <t>华尔泰</t>
  </si>
  <si>
    <t>www.lixinger.com/analytics/company/sz/001217/1217/detail</t>
  </si>
  <si>
    <t>华体科技</t>
  </si>
  <si>
    <t>www.lixinger.com/analytics/company/sh/603679/603679/detail</t>
  </si>
  <si>
    <t>泰瑞机器</t>
  </si>
  <si>
    <t>www.lixinger.com/analytics/company/sh/603289/603289/detail</t>
  </si>
  <si>
    <t>骏成科技</t>
  </si>
  <si>
    <t>www.lixinger.com/analytics/company/sz/301106/301106/detail</t>
  </si>
  <si>
    <t>亚太药业</t>
  </si>
  <si>
    <t>www.lixinger.com/analytics/company/sz/002370/2370/detail</t>
  </si>
  <si>
    <t>赛伦生物</t>
  </si>
  <si>
    <t>www.lixinger.com/analytics/company/sh/688163/688163/detail</t>
  </si>
  <si>
    <t>众信旅游</t>
  </si>
  <si>
    <t>www.lixinger.com/analytics/company/sz/002707/2707/detail</t>
  </si>
  <si>
    <t>嘉泽新能</t>
  </si>
  <si>
    <t>www.lixinger.com/analytics/company/sh/601619/601619/detail</t>
  </si>
  <si>
    <t>上海凯鑫</t>
  </si>
  <si>
    <t>www.lixinger.com/analytics/company/sz/300899/300899/detail</t>
  </si>
  <si>
    <t>龙津药业</t>
  </si>
  <si>
    <t>www.lixinger.com/analytics/company/sz/002750/2750/detail</t>
  </si>
  <si>
    <t>利君股份</t>
  </si>
  <si>
    <t>www.lixinger.com/analytics/company/sz/002651/2651/detail</t>
  </si>
  <si>
    <t>国力股份</t>
  </si>
  <si>
    <t>www.lixinger.com/analytics/company/sh/688103/688103/detail</t>
  </si>
  <si>
    <t>ST榕泰</t>
  </si>
  <si>
    <t>www.lixinger.com/analytics/company/sh/600589/600589/detail</t>
  </si>
  <si>
    <t>沈阳化工</t>
  </si>
  <si>
    <t>www.lixinger.com/analytics/company/sz/000698/698/detail</t>
  </si>
  <si>
    <t>清源股份</t>
  </si>
  <si>
    <t>www.lixinger.com/analytics/company/sh/603628/603628/detail</t>
  </si>
  <si>
    <t>华纳药厂</t>
  </si>
  <si>
    <t>www.lixinger.com/analytics/company/sh/688799/688799/detail</t>
  </si>
  <si>
    <t>威奥股份</t>
  </si>
  <si>
    <t>www.lixinger.com/analytics/company/sh/605001/605001/detail</t>
  </si>
  <si>
    <t>千味央厨</t>
  </si>
  <si>
    <t>www.lixinger.com/analytics/company/sz/001215/1215/detail</t>
  </si>
  <si>
    <t>同和药业</t>
  </si>
  <si>
    <t>www.lixinger.com/analytics/company/sz/300636/300636/detail</t>
  </si>
  <si>
    <t>川网传媒</t>
  </si>
  <si>
    <t>www.lixinger.com/analytics/company/sz/300987/300987/detail</t>
  </si>
  <si>
    <t>美思德</t>
  </si>
  <si>
    <t>www.lixinger.com/analytics/company/sh/603041/603041/detail</t>
  </si>
  <si>
    <t>宇顺电子</t>
  </si>
  <si>
    <t>www.lixinger.com/analytics/company/sz/002289/2289/detail</t>
  </si>
  <si>
    <t>博济医药</t>
  </si>
  <si>
    <t>www.lixinger.com/analytics/company/sz/300404/300404/detail</t>
  </si>
  <si>
    <t>新莱应材</t>
  </si>
  <si>
    <t>www.lixinger.com/analytics/company/sz/300260/300260/detail</t>
  </si>
  <si>
    <t>物贸Ｂ股</t>
  </si>
  <si>
    <t>www.lixinger.com/analytics/company/sh/900927/900927/detail</t>
  </si>
  <si>
    <t>双飞股份</t>
  </si>
  <si>
    <t>www.lixinger.com/analytics/company/sz/300817/300817/detail</t>
  </si>
  <si>
    <t>厦门空港</t>
  </si>
  <si>
    <t>www.lixinger.com/analytics/company/sh/600897/600897/detail</t>
  </si>
  <si>
    <t>科汇股份</t>
  </si>
  <si>
    <t>www.lixinger.com/analytics/company/sh/688681/688681/detail</t>
  </si>
  <si>
    <t>百达精工</t>
  </si>
  <si>
    <t>www.lixinger.com/analytics/company/sh/603331/603331/detail</t>
  </si>
  <si>
    <t>*ST景谷</t>
  </si>
  <si>
    <t>www.lixinger.com/analytics/company/sh/600265/600265/detail</t>
  </si>
  <si>
    <t>中文在线</t>
  </si>
  <si>
    <t>www.lixinger.com/analytics/company/sz/300364/300364/detail</t>
  </si>
  <si>
    <t>盛讯达</t>
  </si>
  <si>
    <t>www.lixinger.com/analytics/company/sz/300518/300518/detail</t>
  </si>
  <si>
    <t>天奥电子</t>
  </si>
  <si>
    <t>www.lixinger.com/analytics/company/sz/002935/2935/detail</t>
  </si>
  <si>
    <t>文一科技</t>
  </si>
  <si>
    <t>www.lixinger.com/analytics/company/sh/600520/600520/detail</t>
  </si>
  <si>
    <t>海南高速</t>
  </si>
  <si>
    <t>www.lixinger.com/analytics/company/sz/000886/886/detail</t>
  </si>
  <si>
    <t>艾可蓝</t>
  </si>
  <si>
    <t>www.lixinger.com/analytics/company/sz/300816/300816/detail</t>
  </si>
  <si>
    <t>和顺电气</t>
  </si>
  <si>
    <t>www.lixinger.com/analytics/company/sz/300141/300141/detail</t>
  </si>
  <si>
    <t>田中精机</t>
  </si>
  <si>
    <t>www.lixinger.com/analytics/company/sz/300461/300461/detail</t>
  </si>
  <si>
    <t>*ST百花</t>
  </si>
  <si>
    <t>www.lixinger.com/analytics/company/sh/600721/600721/detail</t>
  </si>
  <si>
    <t>西大门</t>
  </si>
  <si>
    <t>www.lixinger.com/analytics/company/sh/605155/605155/detail</t>
  </si>
  <si>
    <t>曲美家居</t>
  </si>
  <si>
    <t>www.lixinger.com/analytics/company/sh/603818/603818/detail</t>
  </si>
  <si>
    <t>先锋新材</t>
  </si>
  <si>
    <t>www.lixinger.com/analytics/company/sz/300163/300163/detail</t>
  </si>
  <si>
    <t>飞亚达</t>
  </si>
  <si>
    <t>www.lixinger.com/analytics/company/sz/000026/26/detail</t>
  </si>
  <si>
    <t>博闻科技</t>
  </si>
  <si>
    <t>www.lixinger.com/analytics/company/sh/600883/600883/detail</t>
  </si>
  <si>
    <t>读客文化</t>
  </si>
  <si>
    <t>www.lixinger.com/analytics/company/sz/301025/301025/detail</t>
  </si>
  <si>
    <t>*ST西域</t>
  </si>
  <si>
    <t>www.lixinger.com/analytics/company/sz/300859/300859/detail</t>
  </si>
  <si>
    <t>冠中生态</t>
  </si>
  <si>
    <t>www.lixinger.com/analytics/company/sz/300948/300948/detail</t>
  </si>
  <si>
    <t>*ST明科</t>
  </si>
  <si>
    <t>www.lixinger.com/analytics/company/sh/600091/600091/detail</t>
  </si>
  <si>
    <t>腾信股份</t>
  </si>
  <si>
    <t>www.lixinger.com/analytics/company/sz/300392/300392/detail</t>
  </si>
  <si>
    <t>汉商集团</t>
  </si>
  <si>
    <t>www.lixinger.com/analytics/company/sh/600774/600774/detail</t>
  </si>
  <si>
    <t>ST东洋</t>
  </si>
  <si>
    <t>www.lixinger.com/analytics/company/sz/002086/2086/detail</t>
  </si>
  <si>
    <t>日辰股份</t>
  </si>
  <si>
    <t>www.lixinger.com/analytics/company/sh/603755/603755/detail</t>
  </si>
  <si>
    <t>嘉麟杰</t>
  </si>
  <si>
    <t>www.lixinger.com/analytics/company/sz/002486/2486/detail</t>
  </si>
  <si>
    <t>浔兴股份</t>
  </si>
  <si>
    <t>www.lixinger.com/analytics/company/sz/002098/2098/detail</t>
  </si>
  <si>
    <t>万里马</t>
  </si>
  <si>
    <t>www.lixinger.com/analytics/company/sz/300591/300591/detail</t>
  </si>
  <si>
    <t>肇民科技</t>
  </si>
  <si>
    <t>www.lixinger.com/analytics/company/sz/301000/301000/detail</t>
  </si>
  <si>
    <t>博深股份</t>
  </si>
  <si>
    <t>www.lixinger.com/analytics/company/sz/002282/2282/detail</t>
  </si>
  <si>
    <t>汇创达</t>
  </si>
  <si>
    <t>www.lixinger.com/analytics/company/sz/300909/300909/detail</t>
  </si>
  <si>
    <t>维力医疗</t>
  </si>
  <si>
    <t>www.lixinger.com/analytics/company/sh/603309/603309/detail</t>
  </si>
  <si>
    <t>奥尼电子</t>
  </si>
  <si>
    <t>www.lixinger.com/analytics/company/sz/301189/301189/detail</t>
  </si>
  <si>
    <t>克来机电</t>
  </si>
  <si>
    <t>www.lixinger.com/analytics/company/sh/603960/603960/detail</t>
  </si>
  <si>
    <t>华灿光电</t>
  </si>
  <si>
    <t>www.lixinger.com/analytics/company/sz/300323/300323/detail</t>
  </si>
  <si>
    <t>汇隆新材</t>
  </si>
  <si>
    <t>www.lixinger.com/analytics/company/sz/301057/301057/detail</t>
  </si>
  <si>
    <t>五洲新春</t>
  </si>
  <si>
    <t>www.lixinger.com/analytics/company/sh/603667/603667/detail</t>
  </si>
  <si>
    <t>东宏股份</t>
  </si>
  <si>
    <t>www.lixinger.com/analytics/company/sh/603856/603856/detail</t>
  </si>
  <si>
    <t>欣天科技</t>
  </si>
  <si>
    <t>www.lixinger.com/analytics/company/sz/300615/300615/detail</t>
  </si>
  <si>
    <t>宁波精达</t>
  </si>
  <si>
    <t>www.lixinger.com/analytics/company/sh/603088/603088/detail</t>
  </si>
  <si>
    <t>*ST乐材</t>
  </si>
  <si>
    <t>www.lixinger.com/analytics/company/sz/300446/300446/detail</t>
  </si>
  <si>
    <t>海默科技</t>
  </si>
  <si>
    <t>www.lixinger.com/analytics/company/sz/300084/300084/detail</t>
  </si>
  <si>
    <t>世联行</t>
  </si>
  <si>
    <t>www.lixinger.com/analytics/company/sz/002285/2285/detail</t>
  </si>
  <si>
    <t>科华生物</t>
  </si>
  <si>
    <t>www.lixinger.com/analytics/company/sz/002022/2022/detail</t>
  </si>
  <si>
    <t>广哈通信</t>
  </si>
  <si>
    <t>www.lixinger.com/analytics/company/sz/300711/300711/detail</t>
  </si>
  <si>
    <t>ST新城</t>
  </si>
  <si>
    <t>www.lixinger.com/analytics/company/sz/000809/809/detail</t>
  </si>
  <si>
    <t>青木股份</t>
  </si>
  <si>
    <t>www.lixinger.com/analytics/company/sz/301110/301110/detail</t>
  </si>
  <si>
    <t>华蓝集团</t>
  </si>
  <si>
    <t>www.lixinger.com/analytics/company/sz/301027/301027/detail</t>
  </si>
  <si>
    <t>拓斯达</t>
  </si>
  <si>
    <t>www.lixinger.com/analytics/company/sz/300607/300607/detail</t>
  </si>
  <si>
    <t>浪潮软件</t>
  </si>
  <si>
    <t>www.lixinger.com/analytics/company/sh/600756/600756/detail</t>
  </si>
  <si>
    <t>方直科技</t>
  </si>
  <si>
    <t>www.lixinger.com/analytics/company/sz/300235/300235/detail</t>
  </si>
  <si>
    <t>金利华电</t>
  </si>
  <si>
    <t>www.lixinger.com/analytics/company/sz/300069/300069/detail</t>
  </si>
  <si>
    <t>会畅通讯</t>
  </si>
  <si>
    <t>www.lixinger.com/analytics/company/sz/300578/300578/detail</t>
  </si>
  <si>
    <t>*ST游久</t>
  </si>
  <si>
    <t>www.lixinger.com/analytics/company/sh/600652/600652/detail</t>
  </si>
  <si>
    <t>恒辉安防</t>
  </si>
  <si>
    <t>www.lixinger.com/analytics/company/sz/300952/300952/detail</t>
  </si>
  <si>
    <t>大理药业</t>
  </si>
  <si>
    <t>www.lixinger.com/analytics/company/sh/603963/603963/detail</t>
  </si>
  <si>
    <t>恒盛能源</t>
  </si>
  <si>
    <t>www.lixinger.com/analytics/company/sh/605580/605580/detail</t>
  </si>
  <si>
    <t>腾龙股份</t>
  </si>
  <si>
    <t>www.lixinger.com/analytics/company/sh/603158/603158/detail</t>
  </si>
  <si>
    <t>奥海科技</t>
  </si>
  <si>
    <t>www.lixinger.com/analytics/company/sz/002993/2993/detail</t>
  </si>
  <si>
    <t>拉芳家化</t>
  </si>
  <si>
    <t>www.lixinger.com/analytics/company/sh/603630/603630/detail</t>
  </si>
  <si>
    <t>天下秀</t>
  </si>
  <si>
    <t>www.lixinger.com/analytics/company/sh/600556/600556/detail</t>
  </si>
  <si>
    <t>天房发展</t>
  </si>
  <si>
    <t>www.lixinger.com/analytics/company/sh/600322/600322/detail</t>
  </si>
  <si>
    <t>潜能恒信</t>
  </si>
  <si>
    <t>www.lixinger.com/analytics/company/sz/300191/300191/detail</t>
  </si>
  <si>
    <t>中英科技</t>
  </si>
  <si>
    <t>www.lixinger.com/analytics/company/sz/300936/300936/detail</t>
  </si>
  <si>
    <t>芯朋微</t>
  </si>
  <si>
    <t>www.lixinger.com/analytics/company/sh/688508/688508/detail</t>
  </si>
  <si>
    <t>伟思医疗</t>
  </si>
  <si>
    <t>www.lixinger.com/analytics/company/sh/688580/688580/detail</t>
  </si>
  <si>
    <t>ST九有</t>
  </si>
  <si>
    <t>www.lixinger.com/analytics/company/sh/600462/600462/detail</t>
  </si>
  <si>
    <t>安集科技</t>
  </si>
  <si>
    <t>www.lixinger.com/analytics/company/sh/688019/688019/detail</t>
  </si>
  <si>
    <t>商络电子</t>
  </si>
  <si>
    <t>www.lixinger.com/analytics/company/sz/300975/300975/detail</t>
  </si>
  <si>
    <t>凯马Ｂ</t>
  </si>
  <si>
    <t>www.lixinger.com/analytics/company/sh/900953/900953/detail</t>
  </si>
  <si>
    <t>*ST澄星</t>
  </si>
  <si>
    <t>www.lixinger.com/analytics/company/sh/600078/600078/detail</t>
  </si>
  <si>
    <t>泛亚微透</t>
  </si>
  <si>
    <t>www.lixinger.com/analytics/company/sh/688386/688386/detail</t>
  </si>
  <si>
    <t>祥源新材</t>
  </si>
  <si>
    <t>www.lixinger.com/analytics/company/sz/300980/300980/detail</t>
  </si>
  <si>
    <t>*ST威尔</t>
  </si>
  <si>
    <t>www.lixinger.com/analytics/company/sz/002058/2058/detail</t>
  </si>
  <si>
    <t>宁波色母</t>
  </si>
  <si>
    <t>www.lixinger.com/analytics/company/sz/301019/301019/detail</t>
  </si>
  <si>
    <t>华瓷股份</t>
  </si>
  <si>
    <t>www.lixinger.com/analytics/company/sz/001216/1216/detail</t>
  </si>
  <si>
    <t>二六三</t>
  </si>
  <si>
    <t>www.lixinger.com/analytics/company/sz/002467/2467/detail</t>
  </si>
  <si>
    <t>康强电子</t>
  </si>
  <si>
    <t>www.lixinger.com/analytics/company/sz/002119/2119/detail</t>
  </si>
  <si>
    <t>哈三联</t>
  </si>
  <si>
    <t>www.lixinger.com/analytics/company/sz/002900/2900/detail</t>
  </si>
  <si>
    <t>气派科技</t>
  </si>
  <si>
    <t>www.lixinger.com/analytics/company/sh/688216/688216/detail</t>
  </si>
  <si>
    <t>睿智医药</t>
  </si>
  <si>
    <t>www.lixinger.com/analytics/company/sz/300149/300149/detail</t>
  </si>
  <si>
    <t>毅昌科技</t>
  </si>
  <si>
    <t>www.lixinger.com/analytics/company/sz/002420/2420/detail</t>
  </si>
  <si>
    <t>坤恒顺维</t>
  </si>
  <si>
    <t>www.lixinger.com/analytics/company/sh/688283/688283/detail</t>
  </si>
  <si>
    <t>雷曼光电</t>
  </si>
  <si>
    <t>www.lixinger.com/analytics/company/sz/300162/300162/detail</t>
  </si>
  <si>
    <t>浙江自然</t>
  </si>
  <si>
    <t>www.lixinger.com/analytics/company/sh/605080/605080/detail</t>
  </si>
  <si>
    <t>仁智股份</t>
  </si>
  <si>
    <t>www.lixinger.com/analytics/company/sz/002629/2629/detail</t>
  </si>
  <si>
    <t>宁波富邦</t>
  </si>
  <si>
    <t>www.lixinger.com/analytics/company/sh/600768/600768/detail</t>
  </si>
  <si>
    <t>新瀚新材</t>
  </si>
  <si>
    <t>www.lixinger.com/analytics/company/sz/301076/301076/detail</t>
  </si>
  <si>
    <t>东华测试</t>
  </si>
  <si>
    <t>www.lixinger.com/analytics/company/sz/300354/300354/detail</t>
  </si>
  <si>
    <t>天铁股份</t>
  </si>
  <si>
    <t>www.lixinger.com/analytics/company/sz/300587/300587/detail</t>
  </si>
  <si>
    <t>长江投资</t>
  </si>
  <si>
    <t>www.lixinger.com/analytics/company/sh/600119/600119/detail</t>
  </si>
  <si>
    <t>华盛昌</t>
  </si>
  <si>
    <t>www.lixinger.com/analytics/company/sz/002980/2980/detail</t>
  </si>
  <si>
    <t>嘉必优</t>
  </si>
  <si>
    <t>www.lixinger.com/analytics/company/sh/688089/688089/detail</t>
  </si>
  <si>
    <t>普门科技</t>
  </si>
  <si>
    <t>www.lixinger.com/analytics/company/sh/688389/688389/detail</t>
  </si>
  <si>
    <t>国发股份</t>
  </si>
  <si>
    <t>www.lixinger.com/analytics/company/sh/600538/600538/detail</t>
  </si>
  <si>
    <t>飞亚达Ｂ</t>
  </si>
  <si>
    <t>www.lixinger.com/analytics/company/sz/200026/200026/detail</t>
  </si>
  <si>
    <t>ST天圣</t>
  </si>
  <si>
    <t>www.lixinger.com/analytics/company/sz/002872/2872/detail</t>
  </si>
  <si>
    <t>齐心集团</t>
  </si>
  <si>
    <t>www.lixinger.com/analytics/company/sz/002301/2301/detail</t>
  </si>
  <si>
    <t>超捷股份</t>
  </si>
  <si>
    <t>www.lixinger.com/analytics/company/sz/301005/301005/detail</t>
  </si>
  <si>
    <t>达威股份</t>
  </si>
  <si>
    <t>www.lixinger.com/analytics/company/sz/300535/300535/detail</t>
  </si>
  <si>
    <t>爱科科技</t>
  </si>
  <si>
    <t>www.lixinger.com/analytics/company/sh/688092/688092/detail</t>
  </si>
  <si>
    <t>保力新</t>
  </si>
  <si>
    <t>www.lixinger.com/analytics/company/sz/300116/300116/detail</t>
  </si>
  <si>
    <t>交大思诺</t>
  </si>
  <si>
    <t>www.lixinger.com/analytics/company/sz/300851/300851/detail</t>
  </si>
  <si>
    <t>华鹏飞</t>
  </si>
  <si>
    <t>www.lixinger.com/analytics/company/sz/300350/300350/detail</t>
  </si>
  <si>
    <t>宏昌科技</t>
  </si>
  <si>
    <t>www.lixinger.com/analytics/company/sz/301008/301008/detail</t>
  </si>
  <si>
    <t>福鞍股份</t>
  </si>
  <si>
    <t>www.lixinger.com/analytics/company/sh/603315/603315/detail</t>
  </si>
  <si>
    <t>海鸥住工</t>
  </si>
  <si>
    <t>www.lixinger.com/analytics/company/sz/002084/2084/detail</t>
  </si>
  <si>
    <t>哈工智能</t>
  </si>
  <si>
    <t>www.lixinger.com/analytics/company/sz/000584/584/detail</t>
  </si>
  <si>
    <t>拓新药业</t>
  </si>
  <si>
    <t>www.lixinger.com/analytics/company/sz/301089/301089/detail</t>
  </si>
  <si>
    <t>北玻股份</t>
  </si>
  <si>
    <t>www.lixinger.com/analytics/company/sz/002613/2613/detail</t>
  </si>
  <si>
    <t>立方数科</t>
  </si>
  <si>
    <t>www.lixinger.com/analytics/company/sz/300344/300344/detail</t>
  </si>
  <si>
    <t>浙江东日</t>
  </si>
  <si>
    <t>www.lixinger.com/analytics/company/sh/600113/600113/detail</t>
  </si>
  <si>
    <t>*ST西水</t>
  </si>
  <si>
    <t>www.lixinger.com/analytics/company/sh/600291/600291/detail</t>
  </si>
  <si>
    <t>清研环境</t>
  </si>
  <si>
    <t>www.lixinger.com/analytics/company/sz/301288/301288/detail</t>
  </si>
  <si>
    <t>永新光学</t>
  </si>
  <si>
    <t>www.lixinger.com/analytics/company/sh/603297/603297/detail</t>
  </si>
  <si>
    <t>贵航股份</t>
  </si>
  <si>
    <t>www.lixinger.com/analytics/company/sh/600523/600523/detail</t>
  </si>
  <si>
    <t>泰嘉股份</t>
  </si>
  <si>
    <t>www.lixinger.com/analytics/company/sz/002843/2843/detail</t>
  </si>
  <si>
    <t>三孚新科</t>
  </si>
  <si>
    <t>www.lixinger.com/analytics/company/sh/688359/688359/detail</t>
  </si>
  <si>
    <t>新经典</t>
  </si>
  <si>
    <t>www.lixinger.com/analytics/company/sh/603096/603096/detail</t>
  </si>
  <si>
    <t>志特新材</t>
  </si>
  <si>
    <t>www.lixinger.com/analytics/company/sz/300986/300986/detail</t>
  </si>
  <si>
    <t>宝馨科技</t>
  </si>
  <si>
    <t>www.lixinger.com/analytics/company/sz/002514/2514/detail</t>
  </si>
  <si>
    <t>博瑞传播</t>
  </si>
  <si>
    <t>www.lixinger.com/analytics/company/sh/600880/600880/detail</t>
  </si>
  <si>
    <t>新华联</t>
  </si>
  <si>
    <t>www.lixinger.com/analytics/company/sz/000620/620/detail</t>
  </si>
  <si>
    <t>嘉欣丝绸</t>
  </si>
  <si>
    <t>www.lixinger.com/analytics/company/sz/002404/2404/detail</t>
  </si>
  <si>
    <t>世嘉科技</t>
  </si>
  <si>
    <t>www.lixinger.com/analytics/company/sz/002796/2796/detail</t>
  </si>
  <si>
    <t>富邦股份</t>
  </si>
  <si>
    <t>www.lixinger.com/analytics/company/sz/300387/300387/detail</t>
  </si>
  <si>
    <t>佰奥智能</t>
  </si>
  <si>
    <t>www.lixinger.com/analytics/company/sz/300836/300836/detail</t>
  </si>
  <si>
    <t>全筑股份</t>
  </si>
  <si>
    <t>www.lixinger.com/analytics/company/sh/603030/603030/detail</t>
  </si>
  <si>
    <t>三鑫医疗</t>
  </si>
  <si>
    <t>www.lixinger.com/analytics/company/sz/300453/300453/detail</t>
  </si>
  <si>
    <t>纽威数控</t>
  </si>
  <si>
    <t>www.lixinger.com/analytics/company/sh/688697/688697/detail</t>
  </si>
  <si>
    <t>翔鹭钨业</t>
  </si>
  <si>
    <t>www.lixinger.com/analytics/company/sz/002842/2842/detail</t>
  </si>
  <si>
    <t>上工Ｂ股</t>
  </si>
  <si>
    <t>www.lixinger.com/analytics/company/sh/900924/900924/detail</t>
  </si>
  <si>
    <t>爱博医疗</t>
  </si>
  <si>
    <t>www.lixinger.com/analytics/company/sh/688050/688050/detail</t>
  </si>
  <si>
    <t>泰慕士</t>
  </si>
  <si>
    <t>www.lixinger.com/analytics/company/sz/001234/1234/detail</t>
  </si>
  <si>
    <t>退市拉夏</t>
  </si>
  <si>
    <t>www.lixinger.com/analytics/company/sh/603157/603157/detail</t>
  </si>
  <si>
    <t>开尔新材</t>
  </si>
  <si>
    <t>www.lixinger.com/analytics/company/sz/300234/300234/detail</t>
  </si>
  <si>
    <t>集智股份</t>
  </si>
  <si>
    <t>www.lixinger.com/analytics/company/sz/300553/300553/detail</t>
  </si>
  <si>
    <t>健帆生物</t>
  </si>
  <si>
    <t>www.lixinger.com/analytics/company/sz/300529/300529/detail</t>
  </si>
  <si>
    <t>雷迪克</t>
  </si>
  <si>
    <t>www.lixinger.com/analytics/company/sz/300652/300652/detail</t>
  </si>
  <si>
    <t>ST辉丰</t>
  </si>
  <si>
    <t>www.lixinger.com/analytics/company/sz/002496/2496/detail</t>
  </si>
  <si>
    <t>智洋创新</t>
  </si>
  <si>
    <t>www.lixinger.com/analytics/company/sh/688191/688191/detail</t>
  </si>
  <si>
    <t>交大昂立</t>
  </si>
  <si>
    <t>www.lixinger.com/analytics/company/sh/600530/600530/detail</t>
  </si>
  <si>
    <t>九典制药</t>
  </si>
  <si>
    <t>www.lixinger.com/analytics/company/sz/300705/300705/detail</t>
  </si>
  <si>
    <t>长江材料</t>
  </si>
  <si>
    <t>www.lixinger.com/analytics/company/sz/001296/1296/detail</t>
  </si>
  <si>
    <t>中南文化</t>
  </si>
  <si>
    <t>www.lixinger.com/analytics/company/sz/002445/2445/detail</t>
  </si>
  <si>
    <t>润欣科技</t>
  </si>
  <si>
    <t>www.lixinger.com/analytics/company/sz/300493/300493/detail</t>
  </si>
  <si>
    <t>和顺科技</t>
  </si>
  <si>
    <t>www.lixinger.com/analytics/company/sz/301237/301237/detail</t>
  </si>
  <si>
    <t>林海股份</t>
  </si>
  <si>
    <t>www.lixinger.com/analytics/company/sh/600099/600099/detail</t>
  </si>
  <si>
    <t>好当家</t>
  </si>
  <si>
    <t>www.lixinger.com/analytics/company/sh/600467/600467/detail</t>
  </si>
  <si>
    <t>凤凰光学</t>
  </si>
  <si>
    <t>www.lixinger.com/analytics/company/sh/600071/600071/detail</t>
  </si>
  <si>
    <t>戴维医疗</t>
  </si>
  <si>
    <t>www.lixinger.com/analytics/company/sz/300314/300314/detail</t>
  </si>
  <si>
    <t>开开实业</t>
  </si>
  <si>
    <t>www.lixinger.com/analytics/company/sh/600272/600272/detail</t>
  </si>
  <si>
    <t>创源股份</t>
  </si>
  <si>
    <t>www.lixinger.com/analytics/company/sz/300703/300703/detail</t>
  </si>
  <si>
    <t>ST星源</t>
  </si>
  <si>
    <t>www.lixinger.com/analytics/company/sz/000005/5/detail</t>
  </si>
  <si>
    <t>如意集团</t>
  </si>
  <si>
    <t>www.lixinger.com/analytics/company/sz/002193/2193/detail</t>
  </si>
  <si>
    <t>三特索道</t>
  </si>
  <si>
    <t>www.lixinger.com/analytics/company/sz/002159/2159/detail</t>
  </si>
  <si>
    <t>双成药业</t>
  </si>
  <si>
    <t>www.lixinger.com/analytics/company/sz/002693/2693/detail</t>
  </si>
  <si>
    <t>敦煌种业</t>
  </si>
  <si>
    <t>www.lixinger.com/analytics/company/sh/600354/600354/detail</t>
  </si>
  <si>
    <t>中洲特材</t>
  </si>
  <si>
    <t>www.lixinger.com/analytics/company/sz/300963/300963/detail</t>
  </si>
  <si>
    <t>*ST聚龙</t>
  </si>
  <si>
    <t>www.lixinger.com/analytics/company/sz/300202/300202/detail</t>
  </si>
  <si>
    <t>菱电电控</t>
  </si>
  <si>
    <t>www.lixinger.com/analytics/company/sh/688667/688667/detail</t>
  </si>
  <si>
    <t>摩恩电气</t>
  </si>
  <si>
    <t>www.lixinger.com/analytics/company/sz/002451/2451/detail</t>
  </si>
  <si>
    <t>蓝海华腾</t>
  </si>
  <si>
    <t>www.lixinger.com/analytics/company/sz/300484/300484/detail</t>
  </si>
  <si>
    <t>大元泵业</t>
  </si>
  <si>
    <t>www.lixinger.com/analytics/company/sh/603757/603757/detail</t>
  </si>
  <si>
    <t>伟创电气</t>
  </si>
  <si>
    <t>www.lixinger.com/analytics/company/sh/688698/688698/detail</t>
  </si>
  <si>
    <t>喜悦智行</t>
  </si>
  <si>
    <t>www.lixinger.com/analytics/company/sz/301198/301198/detail</t>
  </si>
  <si>
    <t>新兴装备</t>
  </si>
  <si>
    <t>www.lixinger.com/analytics/company/sz/002933/2933/detail</t>
  </si>
  <si>
    <t>三峡新材</t>
  </si>
  <si>
    <t>www.lixinger.com/analytics/company/sh/600293/600293/detail</t>
  </si>
  <si>
    <t>华策影视</t>
  </si>
  <si>
    <t>www.lixinger.com/analytics/company/sz/300133/300133/detail</t>
  </si>
  <si>
    <t>森赫股份</t>
  </si>
  <si>
    <t>www.lixinger.com/analytics/company/sz/301056/301056/detail</t>
  </si>
  <si>
    <t>科大智能</t>
  </si>
  <si>
    <t>www.lixinger.com/analytics/company/sz/300222/300222/detail</t>
  </si>
  <si>
    <t>金博股份</t>
  </si>
  <si>
    <t>www.lixinger.com/analytics/company/sh/688598/688598/detail</t>
  </si>
  <si>
    <t>创业黑马</t>
  </si>
  <si>
    <t>www.lixinger.com/analytics/company/sz/300688/300688/detail</t>
  </si>
  <si>
    <t>华东重机</t>
  </si>
  <si>
    <t>www.lixinger.com/analytics/company/sz/002685/2685/detail</t>
  </si>
  <si>
    <t>福安药业</t>
  </si>
  <si>
    <t>www.lixinger.com/analytics/company/sz/300194/300194/detail</t>
  </si>
  <si>
    <t>上海洗霸</t>
  </si>
  <si>
    <t>www.lixinger.com/analytics/company/sh/603200/603200/detail</t>
  </si>
  <si>
    <t>国能日新</t>
  </si>
  <si>
    <t>www.lixinger.com/analytics/company/sz/301162/301162/detail</t>
  </si>
  <si>
    <t>艾艾精工</t>
  </si>
  <si>
    <t>www.lixinger.com/analytics/company/sh/603580/603580/detail</t>
  </si>
  <si>
    <t>华远地产</t>
  </si>
  <si>
    <t>www.lixinger.com/analytics/company/sh/600743/600743/detail</t>
  </si>
  <si>
    <t>中国高科</t>
  </si>
  <si>
    <t>www.lixinger.com/analytics/company/sh/600730/600730/detail</t>
  </si>
  <si>
    <t>哈森股份</t>
  </si>
  <si>
    <t>www.lixinger.com/analytics/company/sh/603958/603958/detail</t>
  </si>
  <si>
    <t>钱江生化</t>
  </si>
  <si>
    <t>www.lixinger.com/analytics/company/sh/600796/600796/detail</t>
  </si>
  <si>
    <t>亿利达</t>
  </si>
  <si>
    <t>www.lixinger.com/analytics/company/sz/002686/2686/detail</t>
  </si>
  <si>
    <t>九强生物</t>
  </si>
  <si>
    <t>www.lixinger.com/analytics/company/sz/300406/300406/detail</t>
  </si>
  <si>
    <t>凯立新材</t>
  </si>
  <si>
    <t>www.lixinger.com/analytics/company/sh/688269/688269/detail</t>
  </si>
  <si>
    <t>世纪瑞尔</t>
  </si>
  <si>
    <t>www.lixinger.com/analytics/company/sz/300150/300150/detail</t>
  </si>
  <si>
    <t>贝斯美</t>
  </si>
  <si>
    <t>www.lixinger.com/analytics/company/sz/300796/300796/detail</t>
  </si>
  <si>
    <t>东微半导</t>
  </si>
  <si>
    <t>www.lixinger.com/analytics/company/sh/688261/688261/detail</t>
  </si>
  <si>
    <t>研奥股份</t>
  </si>
  <si>
    <t>www.lixinger.com/analytics/company/sz/300923/300923/detail</t>
  </si>
  <si>
    <t>*ST天成</t>
  </si>
  <si>
    <t>www.lixinger.com/analytics/company/sh/600112/600112/detail</t>
  </si>
  <si>
    <t>正虹科技</t>
  </si>
  <si>
    <t>www.lixinger.com/analytics/company/sz/000702/702/detail</t>
  </si>
  <si>
    <t>润阳科技</t>
  </si>
  <si>
    <t>www.lixinger.com/analytics/company/sz/300920/300920/detail</t>
  </si>
  <si>
    <t>*ST中房</t>
  </si>
  <si>
    <t>www.lixinger.com/analytics/company/sh/600890/600890/detail</t>
  </si>
  <si>
    <t>蓝天燃气</t>
  </si>
  <si>
    <t>www.lixinger.com/analytics/company/sh/605368/605368/detail</t>
  </si>
  <si>
    <t>中亚股份</t>
  </si>
  <si>
    <t>www.lixinger.com/analytics/company/sz/300512/300512/detail</t>
  </si>
  <si>
    <t>凤形股份</t>
  </si>
  <si>
    <t>www.lixinger.com/analytics/company/sz/002760/2760/detail</t>
  </si>
  <si>
    <t>新光光电</t>
  </si>
  <si>
    <t>www.lixinger.com/analytics/company/sh/688011/688011/detail</t>
  </si>
  <si>
    <t>晓程科技</t>
  </si>
  <si>
    <t>www.lixinger.com/analytics/company/sz/300139/300139/detail</t>
  </si>
  <si>
    <t>安妮股份</t>
  </si>
  <si>
    <t>www.lixinger.com/analytics/company/sz/002235/2235/detail</t>
  </si>
  <si>
    <t>健盛集团</t>
  </si>
  <si>
    <t>www.lixinger.com/analytics/company/sh/603558/603558/detail</t>
  </si>
  <si>
    <t>天通股份</t>
  </si>
  <si>
    <t>www.lixinger.com/analytics/company/sh/600330/600330/detail</t>
  </si>
  <si>
    <t>莱美药业</t>
  </si>
  <si>
    <t>www.lixinger.com/analytics/company/sz/300006/300006/detail</t>
  </si>
  <si>
    <t>*ST圣亚</t>
  </si>
  <si>
    <t>www.lixinger.com/analytics/company/sh/600593/600593/detail</t>
  </si>
  <si>
    <t>万润股份</t>
  </si>
  <si>
    <t>www.lixinger.com/analytics/company/sz/002643/2643/detail</t>
  </si>
  <si>
    <t>华铭智能</t>
  </si>
  <si>
    <t>www.lixinger.com/analytics/company/sz/300462/300462/detail</t>
  </si>
  <si>
    <t>阿拉丁</t>
  </si>
  <si>
    <t>www.lixinger.com/analytics/company/sh/688179/688179/detail</t>
  </si>
  <si>
    <t>天地数码</t>
  </si>
  <si>
    <t>www.lixinger.com/analytics/company/sz/300743/300743/detail</t>
  </si>
  <si>
    <t>嘉益股份</t>
  </si>
  <si>
    <t>www.lixinger.com/analytics/company/sz/301004/301004/detail</t>
  </si>
  <si>
    <t>科安达</t>
  </si>
  <si>
    <t>www.lixinger.com/analytics/company/sz/002972/2972/detail</t>
  </si>
  <si>
    <t>中汽股份</t>
  </si>
  <si>
    <t>www.lixinger.com/analytics/company/sz/301215/301215/detail</t>
  </si>
  <si>
    <t>卓越新能</t>
  </si>
  <si>
    <t>www.lixinger.com/analytics/company/sh/688196/688196/detail</t>
  </si>
  <si>
    <t>星华反光</t>
  </si>
  <si>
    <t>www.lixinger.com/analytics/company/sz/301077/301077/detail</t>
  </si>
  <si>
    <t>*ST腾邦</t>
  </si>
  <si>
    <t>www.lixinger.com/analytics/company/sz/300178/300178/detail</t>
  </si>
  <si>
    <t>天元股份</t>
  </si>
  <si>
    <t>www.lixinger.com/analytics/company/sz/003003/3003/detail</t>
  </si>
  <si>
    <t>邵阳液压</t>
  </si>
  <si>
    <t>www.lixinger.com/analytics/company/sz/301079/301079/detail</t>
  </si>
  <si>
    <t>焦点科技</t>
  </si>
  <si>
    <t>www.lixinger.com/analytics/company/sz/002315/2315/detail</t>
  </si>
  <si>
    <t>新余国科</t>
  </si>
  <si>
    <t>www.lixinger.com/analytics/company/sz/300722/300722/detail</t>
  </si>
  <si>
    <t>恒宇信通</t>
  </si>
  <si>
    <t>www.lixinger.com/analytics/company/sz/300965/300965/detail</t>
  </si>
  <si>
    <t>赛科希德</t>
  </si>
  <si>
    <t>www.lixinger.com/analytics/company/sh/688338/688338/detail</t>
  </si>
  <si>
    <t>朗科科技</t>
  </si>
  <si>
    <t>www.lixinger.com/analytics/company/sz/300042/300042/detail</t>
  </si>
  <si>
    <t>神通科技</t>
  </si>
  <si>
    <t>www.lixinger.com/analytics/company/sh/605228/605228/detail</t>
  </si>
  <si>
    <t>通源石油</t>
  </si>
  <si>
    <t>www.lixinger.com/analytics/company/sz/300164/300164/detail</t>
  </si>
  <si>
    <t>龙软科技</t>
  </si>
  <si>
    <t>www.lixinger.com/analytics/company/sh/688078/688078/detail</t>
  </si>
  <si>
    <t>康惠制药</t>
  </si>
  <si>
    <t>www.lixinger.com/analytics/company/sh/603139/603139/detail</t>
  </si>
  <si>
    <t>华丽家族</t>
  </si>
  <si>
    <t>www.lixinger.com/analytics/company/sh/600503/600503/detail</t>
  </si>
  <si>
    <t>长荣股份</t>
  </si>
  <si>
    <t>www.lixinger.com/analytics/company/sz/300195/300195/detail</t>
  </si>
  <si>
    <t>ST安信</t>
  </si>
  <si>
    <t>www.lixinger.com/analytics/company/sh/600816/600816/detail</t>
  </si>
  <si>
    <t>力合科创</t>
  </si>
  <si>
    <t>www.lixinger.com/analytics/company/sz/002243/2243/detail</t>
  </si>
  <si>
    <t>青海春天</t>
  </si>
  <si>
    <t>www.lixinger.com/analytics/company/sh/600381/600381/detail</t>
  </si>
  <si>
    <t>阿石创</t>
  </si>
  <si>
    <t>www.lixinger.com/analytics/company/sz/300706/300706/detail</t>
  </si>
  <si>
    <t>联瑞新材</t>
  </si>
  <si>
    <t>www.lixinger.com/analytics/company/sh/688300/688300/detail</t>
  </si>
  <si>
    <t>清溢光电</t>
  </si>
  <si>
    <t>www.lixinger.com/analytics/company/sh/688138/688138/detail</t>
  </si>
  <si>
    <t>威创股份</t>
  </si>
  <si>
    <t>www.lixinger.com/analytics/company/sz/002308/2308/detail</t>
  </si>
  <si>
    <t>德恩精工</t>
  </si>
  <si>
    <t>www.lixinger.com/analytics/company/sz/300780/300780/detail</t>
  </si>
  <si>
    <t>力鼎光电</t>
  </si>
  <si>
    <t>www.lixinger.com/analytics/company/sh/605118/605118/detail</t>
  </si>
  <si>
    <t>江苏博云</t>
  </si>
  <si>
    <t>www.lixinger.com/analytics/company/sz/301003/301003/detail</t>
  </si>
  <si>
    <t>赛微微电</t>
  </si>
  <si>
    <t>www.lixinger.com/analytics/company/sh/688325/688325/detail</t>
  </si>
  <si>
    <t>*ST运盛</t>
  </si>
  <si>
    <t>www.lixinger.com/analytics/company/sh/600767/600767/detail</t>
  </si>
  <si>
    <t>泽达易盛</t>
  </si>
  <si>
    <t>www.lixinger.com/analytics/company/sh/688555/688555/detail</t>
  </si>
  <si>
    <t>开能健康</t>
  </si>
  <si>
    <t>www.lixinger.com/analytics/company/sz/300272/300272/detail</t>
  </si>
  <si>
    <t>科新发展</t>
  </si>
  <si>
    <t>www.lixinger.com/analytics/company/sh/600234/600234/detail</t>
  </si>
  <si>
    <t>黄山Ｂ股</t>
  </si>
  <si>
    <t>www.lixinger.com/analytics/company/sh/900942/900942/detail</t>
  </si>
  <si>
    <t>奥特维</t>
  </si>
  <si>
    <t>www.lixinger.com/analytics/company/sh/688516/688516/detail</t>
  </si>
  <si>
    <t>瑞德智能</t>
  </si>
  <si>
    <t>www.lixinger.com/analytics/company/sz/301135/301135/detail</t>
  </si>
  <si>
    <t>莱伯泰科</t>
  </si>
  <si>
    <t>www.lixinger.com/analytics/company/sh/688056/688056/detail</t>
  </si>
  <si>
    <t>鲁阳节能</t>
  </si>
  <si>
    <t>www.lixinger.com/analytics/company/sz/002088/2088/detail</t>
  </si>
  <si>
    <t>渝三峡Ａ</t>
  </si>
  <si>
    <t>www.lixinger.com/analytics/company/sz/000565/565/detail</t>
  </si>
  <si>
    <t>广信材料</t>
  </si>
  <si>
    <t>www.lixinger.com/analytics/company/sz/300537/300537/detail</t>
  </si>
  <si>
    <t>华培动力</t>
  </si>
  <si>
    <t>www.lixinger.com/analytics/company/sh/603121/603121/detail</t>
  </si>
  <si>
    <t>科威尔</t>
  </si>
  <si>
    <t>www.lixinger.com/analytics/company/sh/688551/688551/detail</t>
  </si>
  <si>
    <t>昌红科技</t>
  </si>
  <si>
    <t>www.lixinger.com/analytics/company/sz/300151/300151/detail</t>
  </si>
  <si>
    <t>亚振家居</t>
  </si>
  <si>
    <t>www.lixinger.com/analytics/company/sh/603389/603389/detail</t>
  </si>
  <si>
    <t>ST浩源</t>
  </si>
  <si>
    <t>www.lixinger.com/analytics/company/sz/002700/2700/detail</t>
  </si>
  <si>
    <t>因赛集团</t>
  </si>
  <si>
    <t>www.lixinger.com/analytics/company/sz/300781/300781/detail</t>
  </si>
  <si>
    <t>珍宝岛</t>
  </si>
  <si>
    <t>www.lixinger.com/analytics/company/sh/603567/603567/detail</t>
  </si>
  <si>
    <t>三夫户外</t>
  </si>
  <si>
    <t>www.lixinger.com/analytics/company/sz/002780/2780/detail</t>
  </si>
  <si>
    <t>开元教育</t>
  </si>
  <si>
    <t>www.lixinger.com/analytics/company/sz/300338/300338/detail</t>
  </si>
  <si>
    <t>热景生物</t>
  </si>
  <si>
    <t>www.lixinger.com/analytics/company/sh/688068/688068/detail</t>
  </si>
  <si>
    <t>路通视信</t>
  </si>
  <si>
    <t>www.lixinger.com/analytics/company/sz/300555/300555/detail</t>
  </si>
  <si>
    <t>星辉娱乐</t>
  </si>
  <si>
    <t>www.lixinger.com/analytics/company/sz/300043/300043/detail</t>
  </si>
  <si>
    <t>中欣氟材</t>
  </si>
  <si>
    <t>www.lixinger.com/analytics/company/sz/002915/2915/detail</t>
  </si>
  <si>
    <t>春秋电子</t>
  </si>
  <si>
    <t>www.lixinger.com/analytics/company/sh/603890/603890/detail</t>
  </si>
  <si>
    <t>长方集团</t>
  </si>
  <si>
    <t>www.lixinger.com/analytics/company/sz/300301/300301/detail</t>
  </si>
  <si>
    <t>必创科技</t>
  </si>
  <si>
    <t>www.lixinger.com/analytics/company/sz/300667/300667/detail</t>
  </si>
  <si>
    <t>开普检测</t>
  </si>
  <si>
    <t>www.lixinger.com/analytics/company/sz/003008/3008/detail</t>
  </si>
  <si>
    <t>绿盟科技</t>
  </si>
  <si>
    <t>www.lixinger.com/analytics/company/sz/300369/300369/detail</t>
  </si>
  <si>
    <t>蒙泰高新</t>
  </si>
  <si>
    <t>www.lixinger.com/analytics/company/sz/300876/300876/detail</t>
  </si>
  <si>
    <t>汇金科技</t>
  </si>
  <si>
    <t>www.lixinger.com/analytics/company/sz/300561/300561/detail</t>
  </si>
  <si>
    <t>联盛化学</t>
  </si>
  <si>
    <t>www.lixinger.com/analytics/company/sz/301212/301212/detail</t>
  </si>
  <si>
    <t>迪威迅</t>
  </si>
  <si>
    <t>www.lixinger.com/analytics/company/sz/300167/300167/detail</t>
  </si>
  <si>
    <t>大亚圣象</t>
  </si>
  <si>
    <t>www.lixinger.com/analytics/company/sz/000910/910/detail</t>
  </si>
  <si>
    <t>*ST海医</t>
  </si>
  <si>
    <t>www.lixinger.com/analytics/company/sh/600896/600896/detail</t>
  </si>
  <si>
    <t>浙江龙盛</t>
  </si>
  <si>
    <t>www.lixinger.com/analytics/company/sh/600352/600352/detail</t>
  </si>
  <si>
    <t>中元股份</t>
  </si>
  <si>
    <t>www.lixinger.com/analytics/company/sz/300018/300018/detail</t>
  </si>
  <si>
    <t>泰坦股份</t>
  </si>
  <si>
    <t>www.lixinger.com/analytics/company/sz/003036/3036/detail</t>
  </si>
  <si>
    <t>凯旺科技</t>
  </si>
  <si>
    <t>www.lixinger.com/analytics/company/sz/301182/301182/detail</t>
  </si>
  <si>
    <t>宁波方正</t>
  </si>
  <si>
    <t>www.lixinger.com/analytics/company/sz/300998/300998/detail</t>
  </si>
  <si>
    <t>声迅股份</t>
  </si>
  <si>
    <t>www.lixinger.com/analytics/company/sz/003004/3004/detail</t>
  </si>
  <si>
    <t>东山精密</t>
  </si>
  <si>
    <t>www.lixinger.com/analytics/company/sz/002384/2384/detail</t>
  </si>
  <si>
    <t>燕塘乳业</t>
  </si>
  <si>
    <t>www.lixinger.com/analytics/company/sz/002732/2732/detail</t>
  </si>
  <si>
    <t>金太阳</t>
  </si>
  <si>
    <t>www.lixinger.com/analytics/company/sz/300606/300606/detail</t>
  </si>
  <si>
    <t>永悦科技</t>
  </si>
  <si>
    <t>www.lixinger.com/analytics/company/sh/603879/603879/detail</t>
  </si>
  <si>
    <t>德固特</t>
  </si>
  <si>
    <t>www.lixinger.com/analytics/company/sz/300950/300950/detail</t>
  </si>
  <si>
    <t>必得科技</t>
  </si>
  <si>
    <t>www.lixinger.com/analytics/company/sh/605298/605298/detail</t>
  </si>
  <si>
    <t>开创国际</t>
  </si>
  <si>
    <t>www.lixinger.com/analytics/company/sh/600097/600097/detail</t>
  </si>
  <si>
    <t>炬光科技</t>
  </si>
  <si>
    <t>www.lixinger.com/analytics/company/sh/688167/688167/detail</t>
  </si>
  <si>
    <t>耀皮Ｂ股</t>
  </si>
  <si>
    <t>www.lixinger.com/analytics/company/sh/900918/900918/detail</t>
  </si>
  <si>
    <t>海量数据</t>
  </si>
  <si>
    <t>www.lixinger.com/analytics/company/sh/603138/603138/detail</t>
  </si>
  <si>
    <t>宏盛股份</t>
  </si>
  <si>
    <t>www.lixinger.com/analytics/company/sh/603090/603090/detail</t>
  </si>
  <si>
    <t>海泰新光</t>
  </si>
  <si>
    <t>www.lixinger.com/analytics/company/sh/688677/688677/detail</t>
  </si>
  <si>
    <t>香山股份</t>
  </si>
  <si>
    <t>www.lixinger.com/analytics/company/sz/002870/2870/detail</t>
  </si>
  <si>
    <t>苏奥传感</t>
  </si>
  <si>
    <t>www.lixinger.com/analytics/company/sz/300507/300507/detail</t>
  </si>
  <si>
    <t>瑞泰科技</t>
  </si>
  <si>
    <t>www.lixinger.com/analytics/company/sz/002066/2066/detail</t>
  </si>
  <si>
    <t>锦盛新材</t>
  </si>
  <si>
    <t>www.lixinger.com/analytics/company/sz/300849/300849/detail</t>
  </si>
  <si>
    <t>卓易信息</t>
  </si>
  <si>
    <t>www.lixinger.com/analytics/company/sh/688258/688258/detail</t>
  </si>
  <si>
    <t>华利集团</t>
  </si>
  <si>
    <t>www.lixinger.com/analytics/company/sz/300979/300979/detail</t>
  </si>
  <si>
    <t>东来技术</t>
  </si>
  <si>
    <t>www.lixinger.com/analytics/company/sh/688129/688129/detail</t>
  </si>
  <si>
    <t>山东海化</t>
  </si>
  <si>
    <t>www.lixinger.com/analytics/company/sz/000822/822/detail</t>
  </si>
  <si>
    <t>中文传媒</t>
  </si>
  <si>
    <t>www.lixinger.com/analytics/company/sh/600373/600373/detail</t>
  </si>
  <si>
    <t>英力股份</t>
  </si>
  <si>
    <t>www.lixinger.com/analytics/company/sz/300956/300956/detail</t>
  </si>
  <si>
    <t>ST新研</t>
  </si>
  <si>
    <t>www.lixinger.com/analytics/company/sz/300159/300159/detail</t>
  </si>
  <si>
    <t>天益医疗</t>
  </si>
  <si>
    <t>www.lixinger.com/analytics/company/sz/301097/301097/detail</t>
  </si>
  <si>
    <t>赛隆药业</t>
  </si>
  <si>
    <t>www.lixinger.com/analytics/company/sz/002898/2898/detail</t>
  </si>
  <si>
    <t>安居宝</t>
  </si>
  <si>
    <t>www.lixinger.com/analytics/company/sz/300155/300155/detail</t>
  </si>
  <si>
    <t>康众医疗</t>
  </si>
  <si>
    <t>www.lixinger.com/analytics/company/sh/688607/688607/detail</t>
  </si>
  <si>
    <t>海星股份</t>
  </si>
  <si>
    <t>www.lixinger.com/analytics/company/sh/603115/603115/detail</t>
  </si>
  <si>
    <t>晨曦航空</t>
  </si>
  <si>
    <t>www.lixinger.com/analytics/company/sz/300581/300581/detail</t>
  </si>
  <si>
    <t>锦港Ｂ股</t>
  </si>
  <si>
    <t>www.lixinger.com/analytics/company/sh/900952/900952/detail</t>
  </si>
  <si>
    <t>泰尔股份</t>
  </si>
  <si>
    <t>www.lixinger.com/analytics/company/sz/002347/2347/detail</t>
  </si>
  <si>
    <t>奥锐特</t>
  </si>
  <si>
    <t>www.lixinger.com/analytics/company/sh/605116/605116/detail</t>
  </si>
  <si>
    <t>华生科技</t>
  </si>
  <si>
    <t>www.lixinger.com/analytics/company/sh/605180/605180/detail</t>
  </si>
  <si>
    <t>睿能科技</t>
  </si>
  <si>
    <t>www.lixinger.com/analytics/company/sh/603933/603933/detail</t>
  </si>
  <si>
    <t>*ST网力</t>
  </si>
  <si>
    <t>www.lixinger.com/analytics/company/sz/300367/300367/detail</t>
  </si>
  <si>
    <t>大港股份</t>
  </si>
  <si>
    <t>www.lixinger.com/analytics/company/sz/002077/2077/detail</t>
  </si>
  <si>
    <t>*ST尤夫</t>
  </si>
  <si>
    <t>www.lixinger.com/analytics/company/sz/002427/2427/detail</t>
  </si>
  <si>
    <t>一鸣食品</t>
  </si>
  <si>
    <t>www.lixinger.com/analytics/company/sh/605179/605179/detail</t>
  </si>
  <si>
    <t>和林微纳</t>
  </si>
  <si>
    <t>www.lixinger.com/analytics/company/sh/688661/688661/detail</t>
  </si>
  <si>
    <t>绿的谐波</t>
  </si>
  <si>
    <t>www.lixinger.com/analytics/company/sh/688017/688017/detail</t>
  </si>
  <si>
    <t>百胜智能</t>
  </si>
  <si>
    <t>www.lixinger.com/analytics/company/sz/301083/301083/detail</t>
  </si>
  <si>
    <t>中触媒</t>
  </si>
  <si>
    <t>www.lixinger.com/analytics/company/sh/688267/688267/detail</t>
  </si>
  <si>
    <t>鹏欣资源</t>
  </si>
  <si>
    <t>www.lixinger.com/analytics/company/sh/600490/600490/detail</t>
  </si>
  <si>
    <t>三德科技</t>
  </si>
  <si>
    <t>www.lixinger.com/analytics/company/sz/300515/300515/detail</t>
  </si>
  <si>
    <t>微光股份</t>
  </si>
  <si>
    <t>www.lixinger.com/analytics/company/sz/002801/2801/detail</t>
  </si>
  <si>
    <t>东威科技</t>
  </si>
  <si>
    <t>www.lixinger.com/analytics/company/sh/688700/688700/detail</t>
  </si>
  <si>
    <t>兆新股份</t>
  </si>
  <si>
    <t>www.lixinger.com/analytics/company/sz/002256/2256/detail</t>
  </si>
  <si>
    <t>徐家汇</t>
  </si>
  <si>
    <t>www.lixinger.com/analytics/company/sz/002561/2561/detail</t>
  </si>
  <si>
    <t>长江通信</t>
  </si>
  <si>
    <t>www.lixinger.com/analytics/company/sh/600345/600345/detail</t>
  </si>
  <si>
    <t>海陆重工</t>
  </si>
  <si>
    <t>www.lixinger.com/analytics/company/sz/002255/2255/detail</t>
  </si>
  <si>
    <t>工大高科</t>
  </si>
  <si>
    <t>www.lixinger.com/analytics/company/sh/688367/688367/detail</t>
  </si>
  <si>
    <t>万东医疗</t>
  </si>
  <si>
    <t>www.lixinger.com/analytics/company/sh/600055/600055/detail</t>
  </si>
  <si>
    <t>九联科技</t>
  </si>
  <si>
    <t>www.lixinger.com/analytics/company/sh/688609/688609/detail</t>
  </si>
  <si>
    <t>*ST大集</t>
  </si>
  <si>
    <t>www.lixinger.com/analytics/company/sz/000564/564/detail</t>
  </si>
  <si>
    <t>美迪凯</t>
  </si>
  <si>
    <t>www.lixinger.com/analytics/company/sh/688079/688079/detail</t>
  </si>
  <si>
    <t>圣达生物</t>
  </si>
  <si>
    <t>www.lixinger.com/analytics/company/sh/603079/603079/detail</t>
  </si>
  <si>
    <t>宏发股份</t>
  </si>
  <si>
    <t>www.lixinger.com/analytics/company/sh/600885/600885/detail</t>
  </si>
  <si>
    <t>三超新材</t>
  </si>
  <si>
    <t>www.lixinger.com/analytics/company/sz/300554/300554/detail</t>
  </si>
  <si>
    <t>安必平</t>
  </si>
  <si>
    <t>www.lixinger.com/analytics/company/sh/688393/688393/detail</t>
  </si>
  <si>
    <t>外高Ｂ股</t>
  </si>
  <si>
    <t>www.lixinger.com/analytics/company/sh/900912/900912/detail</t>
  </si>
  <si>
    <t>三祥新材</t>
  </si>
  <si>
    <t>www.lixinger.com/analytics/company/sh/603663/603663/detail</t>
  </si>
  <si>
    <t>中电环保</t>
  </si>
  <si>
    <t>www.lixinger.com/analytics/company/sz/300172/300172/detail</t>
  </si>
  <si>
    <t>道明光学</t>
  </si>
  <si>
    <t>www.lixinger.com/analytics/company/sz/002632/2632/detail</t>
  </si>
  <si>
    <t>明冠新材</t>
  </si>
  <si>
    <t>www.lixinger.com/analytics/company/sh/688560/688560/detail</t>
  </si>
  <si>
    <t>朝阳科技</t>
  </si>
  <si>
    <t>www.lixinger.com/analytics/company/sz/002981/2981/detail</t>
  </si>
  <si>
    <t>丽臣实业</t>
  </si>
  <si>
    <t>www.lixinger.com/analytics/company/sz/001218/1218/detail</t>
  </si>
  <si>
    <t>呈和科技</t>
  </si>
  <si>
    <t>www.lixinger.com/analytics/company/sh/688625/688625/detail</t>
  </si>
  <si>
    <t>ST华钰</t>
  </si>
  <si>
    <t>www.lixinger.com/analytics/company/sh/601020/601020/detail</t>
  </si>
  <si>
    <t>泰福泵业</t>
  </si>
  <si>
    <t>www.lixinger.com/analytics/company/sz/300992/300992/detail</t>
  </si>
  <si>
    <t>祥生医疗</t>
  </si>
  <si>
    <t>www.lixinger.com/analytics/company/sh/688358/688358/detail</t>
  </si>
  <si>
    <t>*ST实达</t>
  </si>
  <si>
    <t>www.lixinger.com/analytics/company/sh/600734/600734/detail</t>
  </si>
  <si>
    <t>杰普特</t>
  </si>
  <si>
    <t>www.lixinger.com/analytics/company/sh/688025/688025/detail</t>
  </si>
  <si>
    <t>新联电子</t>
  </si>
  <si>
    <t>www.lixinger.com/analytics/company/sz/002546/2546/detail</t>
  </si>
  <si>
    <t>金河生物</t>
  </si>
  <si>
    <t>www.lixinger.com/analytics/company/sz/002688/2688/detail</t>
  </si>
  <si>
    <t>直真科技</t>
  </si>
  <si>
    <t>www.lixinger.com/analytics/company/sz/003007/3007/detail</t>
  </si>
  <si>
    <t>顺钠股份</t>
  </si>
  <si>
    <t>www.lixinger.com/analytics/company/sz/000533/533/detail</t>
  </si>
  <si>
    <t>景业智能</t>
  </si>
  <si>
    <t>www.lixinger.com/analytics/company/sh/688290/688290/detail</t>
  </si>
  <si>
    <t>东睦股份</t>
  </si>
  <si>
    <t>www.lixinger.com/analytics/company/sh/600114/600114/detail</t>
  </si>
  <si>
    <t>中捷精工</t>
  </si>
  <si>
    <t>www.lixinger.com/analytics/company/sz/301072/301072/detail</t>
  </si>
  <si>
    <t>世龙实业</t>
  </si>
  <si>
    <t>www.lixinger.com/analytics/company/sz/002748/2748/detail</t>
  </si>
  <si>
    <t>电工合金</t>
  </si>
  <si>
    <t>www.lixinger.com/analytics/company/sz/300697/300697/detail</t>
  </si>
  <si>
    <t>日科化学</t>
  </si>
  <si>
    <t>www.lixinger.com/analytics/company/sz/300214/300214/detail</t>
  </si>
  <si>
    <t>美吉姆</t>
  </si>
  <si>
    <t>www.lixinger.com/analytics/company/sz/002621/2621/detail</t>
  </si>
  <si>
    <t>易尚展示</t>
  </si>
  <si>
    <t>www.lixinger.com/analytics/company/sz/002751/2751/detail</t>
  </si>
  <si>
    <t>威尔药业</t>
  </si>
  <si>
    <t>www.lixinger.com/analytics/company/sh/603351/603351/detail</t>
  </si>
  <si>
    <t>智云股份</t>
  </si>
  <si>
    <t>www.lixinger.com/analytics/company/sz/300097/300097/detail</t>
  </si>
  <si>
    <t>元力股份</t>
  </si>
  <si>
    <t>www.lixinger.com/analytics/company/sz/300174/300174/detail</t>
  </si>
  <si>
    <t>双枪科技</t>
  </si>
  <si>
    <t>www.lixinger.com/analytics/company/sz/001211/1211/detail</t>
  </si>
  <si>
    <t>长白山</t>
  </si>
  <si>
    <t>www.lixinger.com/analytics/company/sh/603099/603099/detail</t>
  </si>
  <si>
    <t>中泰股份</t>
  </si>
  <si>
    <t>www.lixinger.com/analytics/company/sz/300435/300435/detail</t>
  </si>
  <si>
    <t>国华网安</t>
  </si>
  <si>
    <t>www.lixinger.com/analytics/company/sz/000004/4/detail</t>
  </si>
  <si>
    <t>大为股份</t>
  </si>
  <si>
    <t>www.lixinger.com/analytics/company/sz/002213/2213/detail</t>
  </si>
  <si>
    <t>狮头股份</t>
  </si>
  <si>
    <t>www.lixinger.com/analytics/company/sh/600539/600539/detail</t>
  </si>
  <si>
    <t>银河磁体</t>
  </si>
  <si>
    <t>www.lixinger.com/analytics/company/sz/300127/300127/detail</t>
  </si>
  <si>
    <t>岱勒新材</t>
  </si>
  <si>
    <t>www.lixinger.com/analytics/company/sz/300700/300700/detail</t>
  </si>
  <si>
    <t>金溢科技</t>
  </si>
  <si>
    <t>www.lixinger.com/analytics/company/sz/002869/2869/detail</t>
  </si>
  <si>
    <t>炬申股份</t>
  </si>
  <si>
    <t>www.lixinger.com/analytics/company/sz/001202/1202/detail</t>
  </si>
  <si>
    <t>*ST绿景</t>
  </si>
  <si>
    <t>www.lixinger.com/analytics/company/sz/000502/502/detail</t>
  </si>
  <si>
    <t>龙源技术</t>
  </si>
  <si>
    <t>www.lixinger.com/analytics/company/sz/300105/300105/detail</t>
  </si>
  <si>
    <t>川润股份</t>
  </si>
  <si>
    <t>www.lixinger.com/analytics/company/sz/002272/2272/detail</t>
  </si>
  <si>
    <t>纳尔股份</t>
  </si>
  <si>
    <t>www.lixinger.com/analytics/company/sz/002825/2825/detail</t>
  </si>
  <si>
    <t>浙江黎明</t>
  </si>
  <si>
    <t>www.lixinger.com/analytics/company/sh/603048/603048/detail</t>
  </si>
  <si>
    <t>*ST华昌</t>
  </si>
  <si>
    <t>www.lixinger.com/analytics/company/sz/300278/300278/detail</t>
  </si>
  <si>
    <t>三盛教育</t>
  </si>
  <si>
    <t>www.lixinger.com/analytics/company/sz/300282/300282/detail</t>
  </si>
  <si>
    <t>亿通科技</t>
  </si>
  <si>
    <t>www.lixinger.com/analytics/company/sz/300211/300211/detail</t>
  </si>
  <si>
    <t>西力科技</t>
  </si>
  <si>
    <t>www.lixinger.com/analytics/company/sh/688616/688616/detail</t>
  </si>
  <si>
    <t>思林杰</t>
  </si>
  <si>
    <t>www.lixinger.com/analytics/company/sh/688115/688115/detail</t>
  </si>
  <si>
    <t>沃顿科技</t>
  </si>
  <si>
    <t>www.lixinger.com/analytics/company/sz/000920/920/detail</t>
  </si>
  <si>
    <t>ST林重</t>
  </si>
  <si>
    <t>www.lixinger.com/analytics/company/sz/002535/2535/detail</t>
  </si>
  <si>
    <t>迪瑞医疗</t>
  </si>
  <si>
    <t>www.lixinger.com/analytics/company/sz/300396/300396/detail</t>
  </si>
  <si>
    <t>鸿博股份</t>
  </si>
  <si>
    <t>www.lixinger.com/analytics/company/sz/002229/2229/detail</t>
  </si>
  <si>
    <t>雪迪龙</t>
  </si>
  <si>
    <t>www.lixinger.com/analytics/company/sz/002658/2658/detail</t>
  </si>
  <si>
    <t>棒杰股份</t>
  </si>
  <si>
    <t>www.lixinger.com/analytics/company/sz/002634/2634/detail</t>
  </si>
  <si>
    <t>浙江众成</t>
  </si>
  <si>
    <t>www.lixinger.com/analytics/company/sz/002522/2522/detail</t>
  </si>
  <si>
    <t>云南锗业</t>
  </si>
  <si>
    <t>www.lixinger.com/analytics/company/sz/002428/2428/detail</t>
  </si>
  <si>
    <t>安图生物</t>
  </si>
  <si>
    <t>www.lixinger.com/analytics/company/sh/603658/603658/detail</t>
  </si>
  <si>
    <t>可立克</t>
  </si>
  <si>
    <t>www.lixinger.com/analytics/company/sz/002782/2782/detail</t>
  </si>
  <si>
    <t>爱旭股份</t>
  </si>
  <si>
    <t>www.lixinger.com/analytics/company/sh/600732/600732/detail</t>
  </si>
  <si>
    <t>青岛双星</t>
  </si>
  <si>
    <t>www.lixinger.com/analytics/company/sz/000599/599/detail</t>
  </si>
  <si>
    <t>星源材质</t>
  </si>
  <si>
    <t>www.lixinger.com/analytics/company/sz/300568/300568/detail</t>
  </si>
  <si>
    <t>神宇股份</t>
  </si>
  <si>
    <t>www.lixinger.com/analytics/company/sz/300563/300563/detail</t>
  </si>
  <si>
    <t>民生控股</t>
  </si>
  <si>
    <t>www.lixinger.com/analytics/company/sz/000416/416/detail</t>
  </si>
  <si>
    <t>高争民爆</t>
  </si>
  <si>
    <t>www.lixinger.com/analytics/company/sz/002827/2827/detail</t>
  </si>
  <si>
    <t>大众Ｂ股</t>
  </si>
  <si>
    <t>www.lixinger.com/analytics/company/sh/900903/900903/detail</t>
  </si>
  <si>
    <t>崧盛股份</t>
  </si>
  <si>
    <t>www.lixinger.com/analytics/company/sz/301002/301002/detail</t>
  </si>
  <si>
    <t>惠云钛业</t>
  </si>
  <si>
    <t>www.lixinger.com/analytics/company/sz/300891/300891/detail</t>
  </si>
  <si>
    <t>神农科技</t>
  </si>
  <si>
    <t>www.lixinger.com/analytics/company/sz/300189/300189/detail</t>
  </si>
  <si>
    <t>合众思壮</t>
  </si>
  <si>
    <t>www.lixinger.com/analytics/company/sz/002383/2383/detail</t>
  </si>
  <si>
    <t>德龙激光</t>
  </si>
  <si>
    <t>www.lixinger.com/analytics/company/sh/688170/688170/detail</t>
  </si>
  <si>
    <t>拱东医疗</t>
  </si>
  <si>
    <t>www.lixinger.com/analytics/company/sh/605369/605369/detail</t>
  </si>
  <si>
    <t>市北B股</t>
  </si>
  <si>
    <t>www.lixinger.com/analytics/company/sh/900902/900902/detail</t>
  </si>
  <si>
    <t>帝尔激光</t>
  </si>
  <si>
    <t>www.lixinger.com/analytics/company/sz/300776/300776/detail</t>
  </si>
  <si>
    <t>三维天地</t>
  </si>
  <si>
    <t>www.lixinger.com/analytics/company/sz/301159/301159/detail</t>
  </si>
  <si>
    <t>富淼科技</t>
  </si>
  <si>
    <t>www.lixinger.com/analytics/company/sh/688350/688350/detail</t>
  </si>
  <si>
    <t>天壕环境</t>
  </si>
  <si>
    <t>www.lixinger.com/analytics/company/sz/300332/300332/detail</t>
  </si>
  <si>
    <t>杰恩设计</t>
  </si>
  <si>
    <t>www.lixinger.com/analytics/company/sz/300668/300668/detail</t>
  </si>
  <si>
    <t>华懋科技</t>
  </si>
  <si>
    <t>www.lixinger.com/analytics/company/sh/603306/603306/detail</t>
  </si>
  <si>
    <t>东杰智能</t>
  </si>
  <si>
    <t>www.lixinger.com/analytics/company/sz/300486/300486/detail</t>
  </si>
  <si>
    <t>盛路通信</t>
  </si>
  <si>
    <t>www.lixinger.com/analytics/company/sz/002446/2446/detail</t>
  </si>
  <si>
    <t>欣龙控股</t>
  </si>
  <si>
    <t>www.lixinger.com/analytics/company/sz/000955/955/detail</t>
  </si>
  <si>
    <t>思进智能</t>
  </si>
  <si>
    <t>www.lixinger.com/analytics/company/sz/003025/3025/detail</t>
  </si>
  <si>
    <t>柯力传感</t>
  </si>
  <si>
    <t>www.lixinger.com/analytics/company/sh/603662/603662/detail</t>
  </si>
  <si>
    <t>动力源</t>
  </si>
  <si>
    <t>www.lixinger.com/analytics/company/sh/600405/600405/detail</t>
  </si>
  <si>
    <t>昊海生科</t>
  </si>
  <si>
    <t>www.lixinger.com/analytics/company/sh/688366/688366/detail</t>
  </si>
  <si>
    <t>云涌科技</t>
  </si>
  <si>
    <t>www.lixinger.com/analytics/company/sh/688060/688060/detail</t>
  </si>
  <si>
    <t>匠心家居</t>
  </si>
  <si>
    <t>www.lixinger.com/analytics/company/sz/301061/301061/detail</t>
  </si>
  <si>
    <t>宝塔实业</t>
  </si>
  <si>
    <t>www.lixinger.com/analytics/company/sz/000595/595/detail</t>
  </si>
  <si>
    <t>东晶电子</t>
  </si>
  <si>
    <t>www.lixinger.com/analytics/company/sz/002199/2199/detail</t>
  </si>
  <si>
    <t>万马科技</t>
  </si>
  <si>
    <t>www.lixinger.com/analytics/company/sz/300698/300698/detail</t>
  </si>
  <si>
    <t>盈建科</t>
  </si>
  <si>
    <t>www.lixinger.com/analytics/company/sz/300935/300935/detail</t>
  </si>
  <si>
    <t>宣亚国际</t>
  </si>
  <si>
    <t>www.lixinger.com/analytics/company/sz/300612/300612/detail</t>
  </si>
  <si>
    <t>*ST赫美</t>
  </si>
  <si>
    <t>www.lixinger.com/analytics/company/sz/002356/2356/detail</t>
  </si>
  <si>
    <t>多瑞医药</t>
  </si>
  <si>
    <t>www.lixinger.com/analytics/company/sz/301075/301075/detail</t>
  </si>
  <si>
    <t>容知日新</t>
  </si>
  <si>
    <t>www.lixinger.com/analytics/company/sh/688768/688768/detail</t>
  </si>
  <si>
    <t>安记食品</t>
  </si>
  <si>
    <t>www.lixinger.com/analytics/company/sh/603696/603696/detail</t>
  </si>
  <si>
    <t>兴民智通</t>
  </si>
  <si>
    <t>www.lixinger.com/analytics/company/sz/002355/2355/detail</t>
  </si>
  <si>
    <t>富吉瑞</t>
  </si>
  <si>
    <t>www.lixinger.com/analytics/company/sh/688272/688272/detail</t>
  </si>
  <si>
    <t>成飞集成</t>
  </si>
  <si>
    <t>www.lixinger.com/analytics/company/sz/002190/2190/detail</t>
  </si>
  <si>
    <t>统联精密</t>
  </si>
  <si>
    <t>www.lixinger.com/analytics/company/sh/688210/688210/detail</t>
  </si>
  <si>
    <t>爱丽家居</t>
  </si>
  <si>
    <t>www.lixinger.com/analytics/company/sh/603221/603221/detail</t>
  </si>
  <si>
    <t>吉华集团</t>
  </si>
  <si>
    <t>www.lixinger.com/analytics/company/sh/603980/603980/detail</t>
  </si>
  <si>
    <t>两面针</t>
  </si>
  <si>
    <t>www.lixinger.com/analytics/company/sh/600249/600249/detail</t>
  </si>
  <si>
    <t>中科海讯</t>
  </si>
  <si>
    <t>www.lixinger.com/analytics/company/sz/300810/300810/detail</t>
  </si>
  <si>
    <t>春晖智控</t>
  </si>
  <si>
    <t>www.lixinger.com/analytics/company/sz/300943/300943/detail</t>
  </si>
  <si>
    <t>鼎信通讯</t>
  </si>
  <si>
    <t>www.lixinger.com/analytics/company/sh/603421/603421/detail</t>
  </si>
  <si>
    <t>阳光诺和</t>
  </si>
  <si>
    <t>www.lixinger.com/analytics/company/sh/688621/688621/detail</t>
  </si>
  <si>
    <t>西仪股份</t>
  </si>
  <si>
    <t>www.lixinger.com/analytics/company/sz/002265/2265/detail</t>
  </si>
  <si>
    <t>共创草坪</t>
  </si>
  <si>
    <t>www.lixinger.com/analytics/company/sh/605099/605099/detail</t>
  </si>
  <si>
    <t>富通信息</t>
  </si>
  <si>
    <t>www.lixinger.com/analytics/company/sz/000836/836/detail</t>
  </si>
  <si>
    <t>ST步森</t>
  </si>
  <si>
    <t>www.lixinger.com/analytics/company/sz/002569/2569/detail</t>
  </si>
  <si>
    <t>惠伦晶体</t>
  </si>
  <si>
    <t>www.lixinger.com/analytics/company/sz/300460/300460/detail</t>
  </si>
  <si>
    <t>博睿数据</t>
  </si>
  <si>
    <t>www.lixinger.com/analytics/company/sh/688229/688229/detail</t>
  </si>
  <si>
    <t>*ST中葡</t>
  </si>
  <si>
    <t>www.lixinger.com/analytics/company/sh/600084/600084/detail</t>
  </si>
  <si>
    <t>东诚药业</t>
  </si>
  <si>
    <t>www.lixinger.com/analytics/company/sz/002675/2675/detail</t>
  </si>
  <si>
    <t>江苏北人</t>
  </si>
  <si>
    <t>www.lixinger.com/analytics/company/sh/688218/688218/detail</t>
  </si>
  <si>
    <t>新化股份</t>
  </si>
  <si>
    <t>www.lixinger.com/analytics/company/sh/603867/603867/detail</t>
  </si>
  <si>
    <t>格灵深瞳</t>
  </si>
  <si>
    <t>www.lixinger.com/analytics/company/sh/688207/688207/detail</t>
  </si>
  <si>
    <t>银宝山新</t>
  </si>
  <si>
    <t>www.lixinger.com/analytics/company/sz/002786/2786/detail</t>
  </si>
  <si>
    <t>联发股份</t>
  </si>
  <si>
    <t>www.lixinger.com/analytics/company/sz/002394/2394/detail</t>
  </si>
  <si>
    <t>超频三</t>
  </si>
  <si>
    <t>www.lixinger.com/analytics/company/sz/300647/300647/detail</t>
  </si>
  <si>
    <t>万丰奥威</t>
  </si>
  <si>
    <t>www.lixinger.com/analytics/company/sz/002085/2085/detail</t>
  </si>
  <si>
    <t>艾隆科技</t>
  </si>
  <si>
    <t>www.lixinger.com/analytics/company/sh/688329/688329/detail</t>
  </si>
  <si>
    <t>晨光股份</t>
  </si>
  <si>
    <t>www.lixinger.com/analytics/company/sh/603899/603899/detail</t>
  </si>
  <si>
    <t>三旺通信</t>
  </si>
  <si>
    <t>www.lixinger.com/analytics/company/sh/688618/688618/detail</t>
  </si>
  <si>
    <t>中航高科</t>
  </si>
  <si>
    <t>www.lixinger.com/analytics/company/sh/600862/600862/detail</t>
  </si>
  <si>
    <t>四方光电</t>
  </si>
  <si>
    <t>www.lixinger.com/analytics/company/sh/688665/688665/detail</t>
  </si>
  <si>
    <t>融钰集团</t>
  </si>
  <si>
    <t>www.lixinger.com/analytics/company/sz/002622/2622/detail</t>
  </si>
  <si>
    <t>华西能源</t>
  </si>
  <si>
    <t>www.lixinger.com/analytics/company/sz/002630/2630/detail</t>
  </si>
  <si>
    <t>熙菱信息</t>
  </si>
  <si>
    <t>www.lixinger.com/analytics/company/sz/300588/300588/detail</t>
  </si>
  <si>
    <t>英集芯</t>
  </si>
  <si>
    <t>www.lixinger.com/analytics/company/sh/688209/688209/detail</t>
  </si>
  <si>
    <t>凯众股份</t>
  </si>
  <si>
    <t>www.lixinger.com/analytics/company/sh/603037/603037/detail</t>
  </si>
  <si>
    <t>金鹰股份</t>
  </si>
  <si>
    <t>www.lixinger.com/analytics/company/sh/600232/600232/detail</t>
  </si>
  <si>
    <t>奥普特</t>
  </si>
  <si>
    <t>www.lixinger.com/analytics/company/sh/688686/688686/detail</t>
  </si>
  <si>
    <t>万通发展</t>
  </si>
  <si>
    <t>www.lixinger.com/analytics/company/sh/600246/600246/detail</t>
  </si>
  <si>
    <t>宏德股份</t>
  </si>
  <si>
    <t>www.lixinger.com/analytics/company/sz/301163/301163/detail</t>
  </si>
  <si>
    <t>安洁科技</t>
  </si>
  <si>
    <t>www.lixinger.com/analytics/company/sz/002635/2635/detail</t>
  </si>
  <si>
    <t>麦迪科技</t>
  </si>
  <si>
    <t>www.lixinger.com/analytics/company/sh/603990/603990/detail</t>
  </si>
  <si>
    <t>曼卡龙</t>
  </si>
  <si>
    <t>www.lixinger.com/analytics/company/sz/300945/300945/detail</t>
  </si>
  <si>
    <t>ST银河</t>
  </si>
  <si>
    <t>www.lixinger.com/analytics/company/sz/000806/806/detail</t>
  </si>
  <si>
    <t>金百泽</t>
  </si>
  <si>
    <t>www.lixinger.com/analytics/company/sz/301041/301041/detail</t>
  </si>
  <si>
    <t>奥普光电</t>
  </si>
  <si>
    <t>www.lixinger.com/analytics/company/sz/002338/2338/detail</t>
  </si>
  <si>
    <t>安源煤业</t>
  </si>
  <si>
    <t>www.lixinger.com/analytics/company/sh/600397/600397/detail</t>
  </si>
  <si>
    <t>长高集团</t>
  </si>
  <si>
    <t>www.lixinger.com/analytics/company/sz/002452/2452/detail</t>
  </si>
  <si>
    <t>理工导航</t>
  </si>
  <si>
    <t>www.lixinger.com/analytics/company/sh/688282/688282/detail</t>
  </si>
  <si>
    <t>宏微科技</t>
  </si>
  <si>
    <t>www.lixinger.com/analytics/company/sh/688711/688711/detail</t>
  </si>
  <si>
    <t>吉宏股份</t>
  </si>
  <si>
    <t>www.lixinger.com/analytics/company/sz/002803/2803/detail</t>
  </si>
  <si>
    <t>锦富技术</t>
  </si>
  <si>
    <t>www.lixinger.com/analytics/company/sz/300128/300128/detail</t>
  </si>
  <si>
    <t>聚赛龙</t>
  </si>
  <si>
    <t>www.lixinger.com/analytics/company/sz/301131/301131/detail</t>
  </si>
  <si>
    <t>园林股份</t>
  </si>
  <si>
    <t>www.lixinger.com/analytics/company/sh/605303/605303/detail</t>
  </si>
  <si>
    <t>宇晶股份</t>
  </si>
  <si>
    <t>www.lixinger.com/analytics/company/sz/002943/2943/detail</t>
  </si>
  <si>
    <t>万兴科技</t>
  </si>
  <si>
    <t>www.lixinger.com/analytics/company/sz/300624/300624/detail</t>
  </si>
  <si>
    <t>顺控发展</t>
  </si>
  <si>
    <t>www.lixinger.com/analytics/company/sz/003039/3039/detail</t>
  </si>
  <si>
    <t>唯赛勃</t>
  </si>
  <si>
    <t>www.lixinger.com/analytics/company/sh/688718/688718/detail</t>
  </si>
  <si>
    <t>*ST德威</t>
  </si>
  <si>
    <t>www.lixinger.com/analytics/company/sz/300325/300325/detail</t>
  </si>
  <si>
    <t>鹏鹞环保</t>
  </si>
  <si>
    <t>www.lixinger.com/analytics/company/sz/300664/300664/detail</t>
  </si>
  <si>
    <t>宁波高发</t>
  </si>
  <si>
    <t>www.lixinger.com/analytics/company/sh/603788/603788/detail</t>
  </si>
  <si>
    <t>华绿生物</t>
  </si>
  <si>
    <t>www.lixinger.com/analytics/company/sz/300970/300970/detail</t>
  </si>
  <si>
    <t>金龙机电</t>
  </si>
  <si>
    <t>www.lixinger.com/analytics/company/sz/300032/300032/detail</t>
  </si>
  <si>
    <t>*ST光一</t>
  </si>
  <si>
    <t>www.lixinger.com/analytics/company/sz/300356/300356/detail</t>
  </si>
  <si>
    <t>ST沪科</t>
  </si>
  <si>
    <t>www.lixinger.com/analytics/company/sh/600608/600608/detail</t>
  </si>
  <si>
    <t>赛摩智能</t>
  </si>
  <si>
    <t>www.lixinger.com/analytics/company/sz/300466/300466/detail</t>
  </si>
  <si>
    <t>新美星</t>
  </si>
  <si>
    <t>www.lixinger.com/analytics/company/sz/300509/300509/detail</t>
  </si>
  <si>
    <t>昇兴股份</t>
  </si>
  <si>
    <t>www.lixinger.com/analytics/company/sz/002752/2752/detail</t>
  </si>
  <si>
    <t>元成股份</t>
  </si>
  <si>
    <t>www.lixinger.com/analytics/company/sh/603388/603388/detail</t>
  </si>
  <si>
    <t>中兴商业</t>
  </si>
  <si>
    <t>www.lixinger.com/analytics/company/sz/000715/715/detail</t>
  </si>
  <si>
    <t>抚顺特钢</t>
  </si>
  <si>
    <t>www.lixinger.com/analytics/company/sh/600399/600399/detail</t>
  </si>
  <si>
    <t>深南电A</t>
  </si>
  <si>
    <t>www.lixinger.com/analytics/company/sz/000037/37/detail</t>
  </si>
  <si>
    <t>首药控股</t>
  </si>
  <si>
    <t>www.lixinger.com/analytics/company/sh/688197/688197/detail</t>
  </si>
  <si>
    <t>太原重工</t>
  </si>
  <si>
    <t>www.lixinger.com/analytics/company/sh/600169/600169/detail</t>
  </si>
  <si>
    <t>祖名股份</t>
  </si>
  <si>
    <t>www.lixinger.com/analytics/company/sz/003030/3030/detail</t>
  </si>
  <si>
    <t>宝通科技</t>
  </si>
  <si>
    <t>www.lixinger.com/analytics/company/sz/300031/300031/detail</t>
  </si>
  <si>
    <t>德林海</t>
  </si>
  <si>
    <t>www.lixinger.com/analytics/company/sh/688069/688069/detail</t>
  </si>
  <si>
    <t>大连友谊</t>
  </si>
  <si>
    <t>www.lixinger.com/analytics/company/sz/000679/679/detail</t>
  </si>
  <si>
    <t>八亿时空</t>
  </si>
  <si>
    <t>www.lixinger.com/analytics/company/sh/688181/688181/detail</t>
  </si>
  <si>
    <t>展鹏科技</t>
  </si>
  <si>
    <t>www.lixinger.com/analytics/company/sh/603488/603488/detail</t>
  </si>
  <si>
    <t>凯文教育</t>
  </si>
  <si>
    <t>www.lixinger.com/analytics/company/sz/002659/2659/detail</t>
  </si>
  <si>
    <t>金时科技</t>
  </si>
  <si>
    <t>www.lixinger.com/analytics/company/sz/002951/2951/detail</t>
  </si>
  <si>
    <t>丰林集团</t>
  </si>
  <si>
    <t>www.lixinger.com/analytics/company/sh/601996/601996/detail</t>
  </si>
  <si>
    <t>西部牧业</t>
  </si>
  <si>
    <t>www.lixinger.com/analytics/company/sz/300106/300106/detail</t>
  </si>
  <si>
    <t>兆日科技</t>
  </si>
  <si>
    <t>www.lixinger.com/analytics/company/sz/300333/300333/detail</t>
  </si>
  <si>
    <t>远信工业</t>
  </si>
  <si>
    <t>www.lixinger.com/analytics/company/sz/301053/301053/detail</t>
  </si>
  <si>
    <t>中水渔业</t>
  </si>
  <si>
    <t>www.lixinger.com/analytics/company/sz/000798/798/detail</t>
  </si>
  <si>
    <t>祥鑫科技</t>
  </si>
  <si>
    <t>www.lixinger.com/analytics/company/sz/002965/2965/detail</t>
  </si>
  <si>
    <t>佳力图</t>
  </si>
  <si>
    <t>www.lixinger.com/analytics/company/sh/603912/603912/detail</t>
  </si>
  <si>
    <t>信安世纪</t>
  </si>
  <si>
    <t>www.lixinger.com/analytics/company/sh/688201/688201/detail</t>
  </si>
  <si>
    <t>真视通</t>
  </si>
  <si>
    <t>www.lixinger.com/analytics/company/sz/002771/2771/detail</t>
  </si>
  <si>
    <t>洁特生物</t>
  </si>
  <si>
    <t>www.lixinger.com/analytics/company/sh/688026/688026/detail</t>
  </si>
  <si>
    <t>新易盛</t>
  </si>
  <si>
    <t>www.lixinger.com/analytics/company/sz/300502/300502/detail</t>
  </si>
  <si>
    <t>光力科技</t>
  </si>
  <si>
    <t>www.lixinger.com/analytics/company/sz/300480/300480/detail</t>
  </si>
  <si>
    <t>红墙股份</t>
  </si>
  <si>
    <t>www.lixinger.com/analytics/company/sz/002809/2809/detail</t>
  </si>
  <si>
    <t>中瓷电子</t>
  </si>
  <si>
    <t>www.lixinger.com/analytics/company/sz/003031/3031/detail</t>
  </si>
  <si>
    <t>观想科技</t>
  </si>
  <si>
    <t>www.lixinger.com/analytics/company/sz/301213/301213/detail</t>
  </si>
  <si>
    <t>浙矿股份</t>
  </si>
  <si>
    <t>www.lixinger.com/analytics/company/sz/300837/300837/detail</t>
  </si>
  <si>
    <t>东方银星</t>
  </si>
  <si>
    <t>www.lixinger.com/analytics/company/sh/600753/600753/detail</t>
  </si>
  <si>
    <t>海兰信</t>
  </si>
  <si>
    <t>www.lixinger.com/analytics/company/sz/300065/300065/detail</t>
  </si>
  <si>
    <t>力合微</t>
  </si>
  <si>
    <t>www.lixinger.com/analytics/company/sh/688589/688589/detail</t>
  </si>
  <si>
    <t>茂硕电源</t>
  </si>
  <si>
    <t>www.lixinger.com/analytics/company/sz/002660/2660/detail</t>
  </si>
  <si>
    <t>海普瑞</t>
  </si>
  <si>
    <t>www.lixinger.com/analytics/company/sz/002399/2399/detail</t>
  </si>
  <si>
    <t>弘宇股份</t>
  </si>
  <si>
    <t>www.lixinger.com/analytics/company/sz/002890/2890/detail</t>
  </si>
  <si>
    <t>信维通信</t>
  </si>
  <si>
    <t>www.lixinger.com/analytics/company/sz/300136/300136/detail</t>
  </si>
  <si>
    <t>通合科技</t>
  </si>
  <si>
    <t>www.lixinger.com/analytics/company/sz/300491/300491/detail</t>
  </si>
  <si>
    <t>威唐工业</t>
  </si>
  <si>
    <t>www.lixinger.com/analytics/company/sz/300707/300707/detail</t>
  </si>
  <si>
    <t>三丰智能</t>
  </si>
  <si>
    <t>www.lixinger.com/analytics/company/sz/300276/300276/detail</t>
  </si>
  <si>
    <t>常宝股份</t>
  </si>
  <si>
    <t>www.lixinger.com/analytics/company/sz/002478/2478/detail</t>
  </si>
  <si>
    <t>鲁信创投</t>
  </si>
  <si>
    <t>www.lixinger.com/analytics/company/sh/600783/600783/detail</t>
  </si>
  <si>
    <t>南模生物</t>
  </si>
  <si>
    <t>www.lixinger.com/analytics/company/sh/688265/688265/detail</t>
  </si>
  <si>
    <t>汇纳科技</t>
  </si>
  <si>
    <t>www.lixinger.com/analytics/company/sz/300609/300609/detail</t>
  </si>
  <si>
    <t>华研精机</t>
  </si>
  <si>
    <t>www.lixinger.com/analytics/company/sz/301138/301138/detail</t>
  </si>
  <si>
    <t>慧辰股份</t>
  </si>
  <si>
    <t>www.lixinger.com/analytics/company/sh/688500/688500/detail</t>
  </si>
  <si>
    <t>零点有数</t>
  </si>
  <si>
    <t>www.lixinger.com/analytics/company/sz/301169/301169/detail</t>
  </si>
  <si>
    <t>立方制药</t>
  </si>
  <si>
    <t>www.lixinger.com/analytics/company/sz/003020/3020/detail</t>
  </si>
  <si>
    <t>梦洁股份</t>
  </si>
  <si>
    <t>www.lixinger.com/analytics/company/sz/002397/2397/detail</t>
  </si>
  <si>
    <t>能辉科技</t>
  </si>
  <si>
    <t>www.lixinger.com/analytics/company/sz/301046/301046/detail</t>
  </si>
  <si>
    <t>睿昂基因</t>
  </si>
  <si>
    <t>www.lixinger.com/analytics/company/sh/688217/688217/detail</t>
  </si>
  <si>
    <t>莱尔科技</t>
  </si>
  <si>
    <t>www.lixinger.com/analytics/company/sh/688683/688683/detail</t>
  </si>
  <si>
    <t>宝莱特</t>
  </si>
  <si>
    <t>www.lixinger.com/analytics/company/sz/300246/300246/detail</t>
  </si>
  <si>
    <t>甘化科工</t>
  </si>
  <si>
    <t>www.lixinger.com/analytics/company/sz/000576/576/detail</t>
  </si>
  <si>
    <t>蜀道装备</t>
  </si>
  <si>
    <t>www.lixinger.com/analytics/company/sz/300540/300540/detail</t>
  </si>
  <si>
    <t>瀛通通讯</t>
  </si>
  <si>
    <t>www.lixinger.com/analytics/company/sz/002861/2861/detail</t>
  </si>
  <si>
    <t>*ST新光</t>
  </si>
  <si>
    <t>www.lixinger.com/analytics/company/sz/002147/2147/detail</t>
  </si>
  <si>
    <t>炼石航空</t>
  </si>
  <si>
    <t>www.lixinger.com/analytics/company/sz/000697/697/detail</t>
  </si>
  <si>
    <t>先锋电子</t>
  </si>
  <si>
    <t>www.lixinger.com/analytics/company/sz/002767/2767/detail</t>
  </si>
  <si>
    <t>维宏股份</t>
  </si>
  <si>
    <t>www.lixinger.com/analytics/company/sz/300508/300508/detail</t>
  </si>
  <si>
    <t>通裕重工</t>
  </si>
  <si>
    <t>www.lixinger.com/analytics/company/sz/300185/300185/detail</t>
  </si>
  <si>
    <t>久量股份</t>
  </si>
  <si>
    <t>www.lixinger.com/analytics/company/sz/300808/300808/detail</t>
  </si>
  <si>
    <t>实朴检测</t>
  </si>
  <si>
    <t>www.lixinger.com/analytics/company/sz/301228/301228/detail</t>
  </si>
  <si>
    <t>中自科技</t>
  </si>
  <si>
    <t>www.lixinger.com/analytics/company/sh/688737/688737/detail</t>
  </si>
  <si>
    <t>世纪鼎利</t>
  </si>
  <si>
    <t>www.lixinger.com/analytics/company/sz/300050/300050/detail</t>
  </si>
  <si>
    <t>英唐智控</t>
  </si>
  <si>
    <t>www.lixinger.com/analytics/company/sz/300131/300131/detail</t>
  </si>
  <si>
    <t>亚世光电</t>
  </si>
  <si>
    <t>www.lixinger.com/analytics/company/sz/002952/2952/detail</t>
  </si>
  <si>
    <t>嘉亨家化</t>
  </si>
  <si>
    <t>www.lixinger.com/analytics/company/sz/300955/300955/detail</t>
  </si>
  <si>
    <t>东方证券</t>
  </si>
  <si>
    <t>www.lixinger.com/analytics/company/sh/600958/600958/detail</t>
  </si>
  <si>
    <t>回天新材</t>
  </si>
  <si>
    <t>www.lixinger.com/analytics/company/sz/300041/300041/detail</t>
  </si>
  <si>
    <t>康平科技</t>
  </si>
  <si>
    <t>www.lixinger.com/analytics/company/sz/300907/300907/detail</t>
  </si>
  <si>
    <t>联科科技</t>
  </si>
  <si>
    <t>www.lixinger.com/analytics/company/sz/001207/1207/detail</t>
  </si>
  <si>
    <t>人民同泰</t>
  </si>
  <si>
    <t>www.lixinger.com/analytics/company/sh/600829/600829/detail</t>
  </si>
  <si>
    <t>三圣股份</t>
  </si>
  <si>
    <t>www.lixinger.com/analytics/company/sz/002742/2742/detail</t>
  </si>
  <si>
    <t>亿华通</t>
  </si>
  <si>
    <t>www.lixinger.com/analytics/company/sh/688339/688339/detail</t>
  </si>
  <si>
    <t>协和电子</t>
  </si>
  <si>
    <t>www.lixinger.com/analytics/company/sh/605258/605258/detail</t>
  </si>
  <si>
    <t>三达膜</t>
  </si>
  <si>
    <t>www.lixinger.com/analytics/company/sh/688101/688101/detail</t>
  </si>
  <si>
    <t>启迪药业</t>
  </si>
  <si>
    <t>www.lixinger.com/analytics/company/sz/000590/590/detail</t>
  </si>
  <si>
    <t>高能环境</t>
  </si>
  <si>
    <t>www.lixinger.com/analytics/company/sh/603588/603588/detail</t>
  </si>
  <si>
    <t>利柏特</t>
  </si>
  <si>
    <t>www.lixinger.com/analytics/company/sh/605167/605167/detail</t>
  </si>
  <si>
    <t>行动教育</t>
  </si>
  <si>
    <t>www.lixinger.com/analytics/company/sh/605098/605098/detail</t>
  </si>
  <si>
    <t>图南股份</t>
  </si>
  <si>
    <t>www.lixinger.com/analytics/company/sz/300855/300855/detail</t>
  </si>
  <si>
    <t>凯撒文化</t>
  </si>
  <si>
    <t>www.lixinger.com/analytics/company/sz/002425/2425/detail</t>
  </si>
  <si>
    <t>中鲁Ｂ</t>
  </si>
  <si>
    <t>www.lixinger.com/analytics/company/sz/200992/200992/detail</t>
  </si>
  <si>
    <t>龙磁科技</t>
  </si>
  <si>
    <t>www.lixinger.com/analytics/company/sz/300835/300835/detail</t>
  </si>
  <si>
    <t>聚杰微纤</t>
  </si>
  <si>
    <t>www.lixinger.com/analytics/company/sz/300819/300819/detail</t>
  </si>
  <si>
    <t>瑞晟智能</t>
  </si>
  <si>
    <t>www.lixinger.com/analytics/company/sh/688215/688215/detail</t>
  </si>
  <si>
    <t>浙江富润</t>
  </si>
  <si>
    <t>www.lixinger.com/analytics/company/sh/600070/600070/detail</t>
  </si>
  <si>
    <t>贝肯能源</t>
  </si>
  <si>
    <t>www.lixinger.com/analytics/company/sz/002828/2828/detail</t>
  </si>
  <si>
    <t>航发科技</t>
  </si>
  <si>
    <t>www.lixinger.com/analytics/company/sh/600391/600391/detail</t>
  </si>
  <si>
    <t>百利科技</t>
  </si>
  <si>
    <t>www.lixinger.com/analytics/company/sh/603959/603959/detail</t>
  </si>
  <si>
    <t>华源控股</t>
  </si>
  <si>
    <t>www.lixinger.com/analytics/company/sz/002787/2787/detail</t>
  </si>
  <si>
    <t>东信和平</t>
  </si>
  <si>
    <t>www.lixinger.com/analytics/company/sz/002017/2017/detail</t>
  </si>
  <si>
    <t>冠龙节能</t>
  </si>
  <si>
    <t>www.lixinger.com/analytics/company/sz/301151/301151/detail</t>
  </si>
  <si>
    <t>科融环境</t>
  </si>
  <si>
    <t>www.lixinger.com/analytics/company/sz/300152/300152/detail</t>
  </si>
  <si>
    <t>炬芯科技</t>
  </si>
  <si>
    <t>www.lixinger.com/analytics/company/sh/688049/688049/detail</t>
  </si>
  <si>
    <t>宝兰德</t>
  </si>
  <si>
    <t>www.lixinger.com/analytics/company/sh/688058/688058/detail</t>
  </si>
  <si>
    <t>格林达</t>
  </si>
  <si>
    <t>www.lixinger.com/analytics/company/sh/603931/603931/detail</t>
  </si>
  <si>
    <t>读者传媒</t>
  </si>
  <si>
    <t>www.lixinger.com/analytics/company/sh/603999/603999/detail</t>
  </si>
  <si>
    <t>祥和实业</t>
  </si>
  <si>
    <t>www.lixinger.com/analytics/company/sh/603500/603500/detail</t>
  </si>
  <si>
    <t>洪通燃气</t>
  </si>
  <si>
    <t>www.lixinger.com/analytics/company/sh/605169/605169/detail</t>
  </si>
  <si>
    <t>诚志股份</t>
  </si>
  <si>
    <t>www.lixinger.com/analytics/company/sz/000990/990/detail</t>
  </si>
  <si>
    <t>华闻集团</t>
  </si>
  <si>
    <t>www.lixinger.com/analytics/company/sz/000793/793/detail</t>
  </si>
  <si>
    <t>景兴纸业</t>
  </si>
  <si>
    <t>www.lixinger.com/analytics/company/sz/002067/2067/detail</t>
  </si>
  <si>
    <t>锐奇股份</t>
  </si>
  <si>
    <t>www.lixinger.com/analytics/company/sz/300126/300126/detail</t>
  </si>
  <si>
    <t>科新机电</t>
  </si>
  <si>
    <t>www.lixinger.com/analytics/company/sz/300092/300092/detail</t>
  </si>
  <si>
    <t>国林科技</t>
  </si>
  <si>
    <t>www.lixinger.com/analytics/company/sz/300786/300786/detail</t>
  </si>
  <si>
    <t>顺威股份</t>
  </si>
  <si>
    <t>www.lixinger.com/analytics/company/sz/002676/2676/detail</t>
  </si>
  <si>
    <t>春立医疗</t>
  </si>
  <si>
    <t>www.lixinger.com/analytics/company/sh/688236/688236/detail</t>
  </si>
  <si>
    <t>采纳股份</t>
  </si>
  <si>
    <t>www.lixinger.com/analytics/company/sz/301122/301122/detail</t>
  </si>
  <si>
    <t>光韵达</t>
  </si>
  <si>
    <t>www.lixinger.com/analytics/company/sz/300227/300227/detail</t>
  </si>
  <si>
    <t>兴图新科</t>
  </si>
  <si>
    <t>www.lixinger.com/analytics/company/sh/688081/688081/detail</t>
  </si>
  <si>
    <t>埃夫特</t>
  </si>
  <si>
    <t>www.lixinger.com/analytics/company/sh/688165/688165/detail</t>
  </si>
  <si>
    <t>德龙汇能</t>
  </si>
  <si>
    <t>www.lixinger.com/analytics/company/sz/000593/593/detail</t>
  </si>
  <si>
    <t>国盛智科</t>
  </si>
  <si>
    <t>www.lixinger.com/analytics/company/sh/688558/688558/detail</t>
  </si>
  <si>
    <t>科远智慧</t>
  </si>
  <si>
    <t>www.lixinger.com/analytics/company/sz/002380/2380/detail</t>
  </si>
  <si>
    <t>诚迈科技</t>
  </si>
  <si>
    <t>www.lixinger.com/analytics/company/sz/300598/300598/detail</t>
  </si>
  <si>
    <t>远望谷</t>
  </si>
  <si>
    <t>www.lixinger.com/analytics/company/sz/002161/2161/detail</t>
  </si>
  <si>
    <t>神思电子</t>
  </si>
  <si>
    <t>www.lixinger.com/analytics/company/sz/300479/300479/detail</t>
  </si>
  <si>
    <t>澳华内镜</t>
  </si>
  <si>
    <t>www.lixinger.com/analytics/company/sh/688212/688212/detail</t>
  </si>
  <si>
    <t>英可瑞</t>
  </si>
  <si>
    <t>www.lixinger.com/analytics/company/sz/300713/300713/detail</t>
  </si>
  <si>
    <t>丽尚国潮</t>
  </si>
  <si>
    <t>www.lixinger.com/analytics/company/sh/600738/600738/detail</t>
  </si>
  <si>
    <t>依米康</t>
  </si>
  <si>
    <t>www.lixinger.com/analytics/company/sz/300249/300249/detail</t>
  </si>
  <si>
    <t>仙琚制药</t>
  </si>
  <si>
    <t>www.lixinger.com/analytics/company/sz/002332/2332/detail</t>
  </si>
  <si>
    <t>勤上股份</t>
  </si>
  <si>
    <t>www.lixinger.com/analytics/company/sz/002638/2638/detail</t>
  </si>
  <si>
    <t>亚盛集团</t>
  </si>
  <si>
    <t>www.lixinger.com/analytics/company/sh/600108/600108/detail</t>
  </si>
  <si>
    <t>红星发展</t>
  </si>
  <si>
    <t>www.lixinger.com/analytics/company/sh/600367/600367/detail</t>
  </si>
  <si>
    <t>东安动力</t>
  </si>
  <si>
    <t>www.lixinger.com/analytics/company/sh/600178/600178/detail</t>
  </si>
  <si>
    <t>达刚控股</t>
  </si>
  <si>
    <t>www.lixinger.com/analytics/company/sz/300103/300103/detail</t>
  </si>
  <si>
    <t>理工光科</t>
  </si>
  <si>
    <t>www.lixinger.com/analytics/company/sz/300557/300557/detail</t>
  </si>
  <si>
    <t>顾地科技</t>
  </si>
  <si>
    <t>www.lixinger.com/analytics/company/sz/002694/2694/detail</t>
  </si>
  <si>
    <t>天禄科技</t>
  </si>
  <si>
    <t>www.lixinger.com/analytics/company/sz/301045/301045/detail</t>
  </si>
  <si>
    <t>ST花王</t>
  </si>
  <si>
    <t>www.lixinger.com/analytics/company/sh/603007/603007/detail</t>
  </si>
  <si>
    <t>莱克电气</t>
  </si>
  <si>
    <t>www.lixinger.com/analytics/company/sh/603355/603355/detail</t>
  </si>
  <si>
    <t>中公高科</t>
  </si>
  <si>
    <t>www.lixinger.com/analytics/company/sh/603860/603860/detail</t>
  </si>
  <si>
    <t>凯盛新材</t>
  </si>
  <si>
    <t>www.lixinger.com/analytics/company/sz/301069/301069/detail</t>
  </si>
  <si>
    <t>润禾材料</t>
  </si>
  <si>
    <t>www.lixinger.com/analytics/company/sz/300727/300727/detail</t>
  </si>
  <si>
    <t>芯碁微装</t>
  </si>
  <si>
    <t>www.lixinger.com/analytics/company/sh/688630/688630/detail</t>
  </si>
  <si>
    <t>泛海控股</t>
  </si>
  <si>
    <t>www.lixinger.com/analytics/company/sz/000046/46/detail</t>
  </si>
  <si>
    <t>康斯特</t>
  </si>
  <si>
    <t>www.lixinger.com/analytics/company/sz/300445/300445/detail</t>
  </si>
  <si>
    <t>华虹计通</t>
  </si>
  <si>
    <t>www.lixinger.com/analytics/company/sz/300330/300330/detail</t>
  </si>
  <si>
    <t>上海能源</t>
  </si>
  <si>
    <t>www.lixinger.com/analytics/company/sh/600508/600508/detail</t>
  </si>
  <si>
    <t>深南电B</t>
  </si>
  <si>
    <t>www.lixinger.com/analytics/company/sz/200037/200037/detail</t>
  </si>
  <si>
    <t>杰美特</t>
  </si>
  <si>
    <t>www.lixinger.com/analytics/company/sz/300868/300868/detail</t>
  </si>
  <si>
    <t>昇辉科技</t>
  </si>
  <si>
    <t>www.lixinger.com/analytics/company/sz/300423/300423/detail</t>
  </si>
  <si>
    <t>运机集团</t>
  </si>
  <si>
    <t>www.lixinger.com/analytics/company/sz/001288/1288/detail</t>
  </si>
  <si>
    <t>玉马遮阳</t>
  </si>
  <si>
    <t>www.lixinger.com/analytics/company/sz/300993/300993/detail</t>
  </si>
  <si>
    <t>首华燃气</t>
  </si>
  <si>
    <t>www.lixinger.com/analytics/company/sz/300483/300483/detail</t>
  </si>
  <si>
    <t>华融化学</t>
  </si>
  <si>
    <t>www.lixinger.com/analytics/company/sz/301256/301256/detail</t>
  </si>
  <si>
    <t>会稽山</t>
  </si>
  <si>
    <t>www.lixinger.com/analytics/company/sh/601579/601579/detail</t>
  </si>
  <si>
    <t>海南海药</t>
  </si>
  <si>
    <t>www.lixinger.com/analytics/company/sz/000566/566/detail</t>
  </si>
  <si>
    <t>同兴环保</t>
  </si>
  <si>
    <t>www.lixinger.com/analytics/company/sz/003027/3027/detail</t>
  </si>
  <si>
    <t>金银河</t>
  </si>
  <si>
    <t>www.lixinger.com/analytics/company/sz/300619/300619/detail</t>
  </si>
  <si>
    <t>虹软科技</t>
  </si>
  <si>
    <t>www.lixinger.com/analytics/company/sh/688088/688088/detail</t>
  </si>
  <si>
    <t>开勒股份</t>
  </si>
  <si>
    <t>www.lixinger.com/analytics/company/sz/301070/301070/detail</t>
  </si>
  <si>
    <t>新国脉</t>
  </si>
  <si>
    <t>www.lixinger.com/analytics/company/sh/600640/600640/detail</t>
  </si>
  <si>
    <t>万讯自控</t>
  </si>
  <si>
    <t>www.lixinger.com/analytics/company/sz/300112/300112/detail</t>
  </si>
  <si>
    <t>宏柏新材</t>
  </si>
  <si>
    <t>www.lixinger.com/analytics/company/sh/605366/605366/detail</t>
  </si>
  <si>
    <t>景津装备</t>
  </si>
  <si>
    <t>www.lixinger.com/analytics/company/sh/603279/603279/detail</t>
  </si>
  <si>
    <t>佳隆股份</t>
  </si>
  <si>
    <t>www.lixinger.com/analytics/company/sz/002495/2495/detail</t>
  </si>
  <si>
    <t>高澜股份</t>
  </si>
  <si>
    <t>www.lixinger.com/analytics/company/sz/300499/300499/detail</t>
  </si>
  <si>
    <t>浩云科技</t>
  </si>
  <si>
    <t>www.lixinger.com/analytics/company/sz/300448/300448/detail</t>
  </si>
  <si>
    <t>正业科技</t>
  </si>
  <si>
    <t>www.lixinger.com/analytics/company/sz/300410/300410/detail</t>
  </si>
  <si>
    <t>华升股份</t>
  </si>
  <si>
    <t>www.lixinger.com/analytics/company/sh/600156/600156/detail</t>
  </si>
  <si>
    <t>初灵信息</t>
  </si>
  <si>
    <t>www.lixinger.com/analytics/company/sz/300250/300250/detail</t>
  </si>
  <si>
    <t>远方信息</t>
  </si>
  <si>
    <t>www.lixinger.com/analytics/company/sz/300306/300306/detail</t>
  </si>
  <si>
    <t>银河电子</t>
  </si>
  <si>
    <t>www.lixinger.com/analytics/company/sz/002519/2519/detail</t>
  </si>
  <si>
    <t>建工修复</t>
  </si>
  <si>
    <t>www.lixinger.com/analytics/company/sz/300958/300958/detail</t>
  </si>
  <si>
    <t>ST云投</t>
  </si>
  <si>
    <t>www.lixinger.com/analytics/company/sz/002200/2200/detail</t>
  </si>
  <si>
    <t>迈普医学</t>
  </si>
  <si>
    <t>www.lixinger.com/analytics/company/sz/301033/301033/detail</t>
  </si>
  <si>
    <t>蓝英装备</t>
  </si>
  <si>
    <t>www.lixinger.com/analytics/company/sz/300293/300293/detail</t>
  </si>
  <si>
    <t>佛塑科技</t>
  </si>
  <si>
    <t>www.lixinger.com/analytics/company/sz/000973/973/detail</t>
  </si>
  <si>
    <t>易成新能</t>
  </si>
  <si>
    <t>www.lixinger.com/analytics/company/sz/300080/300080/detail</t>
  </si>
  <si>
    <t>天安新材</t>
  </si>
  <si>
    <t>www.lixinger.com/analytics/company/sh/603725/603725/detail</t>
  </si>
  <si>
    <t>凯中精密</t>
  </si>
  <si>
    <t>www.lixinger.com/analytics/company/sz/002823/2823/detail</t>
  </si>
  <si>
    <t>海南瑞泽</t>
  </si>
  <si>
    <t>www.lixinger.com/analytics/company/sz/002596/2596/detail</t>
  </si>
  <si>
    <t>欣锐科技</t>
  </si>
  <si>
    <t>www.lixinger.com/analytics/company/sz/300745/300745/detail</t>
  </si>
  <si>
    <t>湘邮科技</t>
  </si>
  <si>
    <t>www.lixinger.com/analytics/company/sh/600476/600476/detail</t>
  </si>
  <si>
    <t>南宁百货</t>
  </si>
  <si>
    <t>www.lixinger.com/analytics/company/sh/600712/600712/detail</t>
  </si>
  <si>
    <t>ST中珠</t>
  </si>
  <si>
    <t>www.lixinger.com/analytics/company/sh/600568/600568/detail</t>
  </si>
  <si>
    <t>五洋停车</t>
  </si>
  <si>
    <t>www.lixinger.com/analytics/company/sz/300420/300420/detail</t>
  </si>
  <si>
    <t>ST宏图</t>
  </si>
  <si>
    <t>www.lixinger.com/analytics/company/sh/600122/600122/detail</t>
  </si>
  <si>
    <t>阳普医疗</t>
  </si>
  <si>
    <t>www.lixinger.com/analytics/company/sz/300030/300030/detail</t>
  </si>
  <si>
    <t>富信科技</t>
  </si>
  <si>
    <t>www.lixinger.com/analytics/company/sh/688662/688662/detail</t>
  </si>
  <si>
    <t>未名医药</t>
  </si>
  <si>
    <t>www.lixinger.com/analytics/company/sz/002581/2581/detail</t>
  </si>
  <si>
    <t>力芯微</t>
  </si>
  <si>
    <t>www.lixinger.com/analytics/company/sh/688601/688601/detail</t>
  </si>
  <si>
    <t>博通股份</t>
  </si>
  <si>
    <t>www.lixinger.com/analytics/company/sh/600455/600455/detail</t>
  </si>
  <si>
    <t>粤宏远Ａ</t>
  </si>
  <si>
    <t>www.lixinger.com/analytics/company/sz/000573/573/detail</t>
  </si>
  <si>
    <t>易天股份</t>
  </si>
  <si>
    <t>www.lixinger.com/analytics/company/sz/300812/300812/detail</t>
  </si>
  <si>
    <t>国盾量子</t>
  </si>
  <si>
    <t>www.lixinger.com/analytics/company/sh/688027/688027/detail</t>
  </si>
  <si>
    <t>新天药业</t>
  </si>
  <si>
    <t>www.lixinger.com/analytics/company/sz/002873/2873/detail</t>
  </si>
  <si>
    <t>宝利国际</t>
  </si>
  <si>
    <t>www.lixinger.com/analytics/company/sz/300135/300135/detail</t>
  </si>
  <si>
    <t>云南能投</t>
  </si>
  <si>
    <t>www.lixinger.com/analytics/company/sz/002053/2053/detail</t>
  </si>
  <si>
    <t>芳源股份</t>
  </si>
  <si>
    <t>www.lixinger.com/analytics/company/sh/688148/688148/detail</t>
  </si>
  <si>
    <t>华辰装备</t>
  </si>
  <si>
    <t>www.lixinger.com/analytics/company/sz/300809/300809/detail</t>
  </si>
  <si>
    <t>建研设计</t>
  </si>
  <si>
    <t>www.lixinger.com/analytics/company/sz/301167/301167/detail</t>
  </si>
  <si>
    <t>天亿马</t>
  </si>
  <si>
    <t>www.lixinger.com/analytics/company/sz/301178/301178/detail</t>
  </si>
  <si>
    <t>贵州百灵</t>
  </si>
  <si>
    <t>www.lixinger.com/analytics/company/sz/002424/2424/detail</t>
  </si>
  <si>
    <t>博杰股份</t>
  </si>
  <si>
    <t>www.lixinger.com/analytics/company/sz/002975/2975/detail</t>
  </si>
  <si>
    <t>乾景园林</t>
  </si>
  <si>
    <t>www.lixinger.com/analytics/company/sh/603778/603778/detail</t>
  </si>
  <si>
    <t>ST奥马</t>
  </si>
  <si>
    <t>www.lixinger.com/analytics/company/sz/002668/2668/detail</t>
  </si>
  <si>
    <t>ST通葡</t>
  </si>
  <si>
    <t>www.lixinger.com/analytics/company/sh/600365/600365/detail</t>
  </si>
  <si>
    <t>日月股份</t>
  </si>
  <si>
    <t>www.lixinger.com/analytics/company/sh/603218/603218/detail</t>
  </si>
  <si>
    <t>中熔电气</t>
  </si>
  <si>
    <t>www.lixinger.com/analytics/company/sz/301031/301031/detail</t>
  </si>
  <si>
    <t>川大智胜</t>
  </si>
  <si>
    <t>www.lixinger.com/analytics/company/sz/002253/2253/detail</t>
  </si>
  <si>
    <t>卓锦股份</t>
  </si>
  <si>
    <t>www.lixinger.com/analytics/company/sh/688701/688701/detail</t>
  </si>
  <si>
    <t>唯科科技</t>
  </si>
  <si>
    <t>www.lixinger.com/analytics/company/sz/301196/301196/detail</t>
  </si>
  <si>
    <t>瀚川智能</t>
  </si>
  <si>
    <t>www.lixinger.com/analytics/company/sh/688022/688022/detail</t>
  </si>
  <si>
    <t>蓝特光学</t>
  </si>
  <si>
    <t>www.lixinger.com/analytics/company/sh/688127/688127/detail</t>
  </si>
  <si>
    <t>ST中捷</t>
  </si>
  <si>
    <t>www.lixinger.com/analytics/company/sz/002021/2021/detail</t>
  </si>
  <si>
    <t>华立科技</t>
  </si>
  <si>
    <t>www.lixinger.com/analytics/company/sz/301011/301011/detail</t>
  </si>
  <si>
    <t>捷昌驱动</t>
  </si>
  <si>
    <t>www.lixinger.com/analytics/company/sh/603583/603583/detail</t>
  </si>
  <si>
    <t>普利特</t>
  </si>
  <si>
    <t>www.lixinger.com/analytics/company/sz/002324/2324/detail</t>
  </si>
  <si>
    <t>德马科技</t>
  </si>
  <si>
    <t>www.lixinger.com/analytics/company/sh/688360/688360/detail</t>
  </si>
  <si>
    <t>广济药业</t>
  </si>
  <si>
    <t>www.lixinger.com/analytics/company/sz/000952/952/detail</t>
  </si>
  <si>
    <t>迈信林</t>
  </si>
  <si>
    <t>www.lixinger.com/analytics/company/sh/688685/688685/detail</t>
  </si>
  <si>
    <t>海得控制</t>
  </si>
  <si>
    <t>www.lixinger.com/analytics/company/sz/002184/2184/detail</t>
  </si>
  <si>
    <t>南风股份</t>
  </si>
  <si>
    <t>www.lixinger.com/analytics/company/sz/300004/300004/detail</t>
  </si>
  <si>
    <t>天顺股份</t>
  </si>
  <si>
    <t>www.lixinger.com/analytics/company/sz/002800/2800/detail</t>
  </si>
  <si>
    <t>辰安科技</t>
  </si>
  <si>
    <t>www.lixinger.com/analytics/company/sz/300523/300523/detail</t>
  </si>
  <si>
    <t>高凌信息</t>
  </si>
  <si>
    <t>www.lixinger.com/analytics/company/sh/688175/688175/detail</t>
  </si>
  <si>
    <t>艾迪药业</t>
  </si>
  <si>
    <t>www.lixinger.com/analytics/company/sh/688488/688488/detail</t>
  </si>
  <si>
    <t>正威新材</t>
  </si>
  <si>
    <t>www.lixinger.com/analytics/company/sz/002201/2201/detail</t>
  </si>
  <si>
    <t>巨星科技</t>
  </si>
  <si>
    <t>www.lixinger.com/analytics/company/sz/002444/2444/detail</t>
  </si>
  <si>
    <t>国中水务</t>
  </si>
  <si>
    <t>www.lixinger.com/analytics/company/sh/600187/600187/detail</t>
  </si>
  <si>
    <t>荣丰控股</t>
  </si>
  <si>
    <t>www.lixinger.com/analytics/company/sz/000668/668/detail</t>
  </si>
  <si>
    <t>汇中股份</t>
  </si>
  <si>
    <t>www.lixinger.com/analytics/company/sz/300371/300371/detail</t>
  </si>
  <si>
    <t>大宏立</t>
  </si>
  <si>
    <t>www.lixinger.com/analytics/company/sz/300865/300865/detail</t>
  </si>
  <si>
    <t>南都物业</t>
  </si>
  <si>
    <t>www.lixinger.com/analytics/company/sh/603506/603506/detail</t>
  </si>
  <si>
    <t>海联金汇</t>
  </si>
  <si>
    <t>www.lixinger.com/analytics/company/sz/002537/2537/detail</t>
  </si>
  <si>
    <t>赛特新材</t>
  </si>
  <si>
    <t>www.lixinger.com/analytics/company/sh/688398/688398/detail</t>
  </si>
  <si>
    <t>三川智慧</t>
  </si>
  <si>
    <t>www.lixinger.com/analytics/company/sz/300066/300066/detail</t>
  </si>
  <si>
    <t>显盈科技</t>
  </si>
  <si>
    <t>www.lixinger.com/analytics/company/sz/301067/301067/detail</t>
  </si>
  <si>
    <t>奥拓电子</t>
  </si>
  <si>
    <t>www.lixinger.com/analytics/company/sz/002587/2587/detail</t>
  </si>
  <si>
    <t>宏华数科</t>
  </si>
  <si>
    <t>www.lixinger.com/analytics/company/sh/688789/688789/detail</t>
  </si>
  <si>
    <t>秦川机床</t>
  </si>
  <si>
    <t>www.lixinger.com/analytics/company/sz/000837/837/detail</t>
  </si>
  <si>
    <t>石英股份</t>
  </si>
  <si>
    <t>www.lixinger.com/analytics/company/sh/603688/603688/detail</t>
  </si>
  <si>
    <t>安靠智电</t>
  </si>
  <si>
    <t>www.lixinger.com/analytics/company/sz/300617/300617/detail</t>
  </si>
  <si>
    <t>莫高股份</t>
  </si>
  <si>
    <t>www.lixinger.com/analytics/company/sh/600543/600543/detail</t>
  </si>
  <si>
    <t>湖南海利</t>
  </si>
  <si>
    <t>www.lixinger.com/analytics/company/sh/600731/600731/detail</t>
  </si>
  <si>
    <t>诚达药业</t>
  </si>
  <si>
    <t>www.lixinger.com/analytics/company/sz/301201/301201/detail</t>
  </si>
  <si>
    <t>湖南发展</t>
  </si>
  <si>
    <t>www.lixinger.com/analytics/company/sz/000722/722/detail</t>
  </si>
  <si>
    <t>舒泰神</t>
  </si>
  <si>
    <t>www.lixinger.com/analytics/company/sz/300204/300204/detail</t>
  </si>
  <si>
    <t>凤竹纺织</t>
  </si>
  <si>
    <t>www.lixinger.com/analytics/company/sh/600493/600493/detail</t>
  </si>
  <si>
    <t>锋龙股份</t>
  </si>
  <si>
    <t>www.lixinger.com/analytics/company/sz/002931/2931/detail</t>
  </si>
  <si>
    <t>百龙创园</t>
  </si>
  <si>
    <t>www.lixinger.com/analytics/company/sh/605016/605016/detail</t>
  </si>
  <si>
    <t>中旗股份</t>
  </si>
  <si>
    <t>www.lixinger.com/analytics/company/sz/300575/300575/detail</t>
  </si>
  <si>
    <t>科信技术</t>
  </si>
  <si>
    <t>www.lixinger.com/analytics/company/sz/300565/300565/detail</t>
  </si>
  <si>
    <t>麒盛科技</t>
  </si>
  <si>
    <t>www.lixinger.com/analytics/company/sh/603610/603610/detail</t>
  </si>
  <si>
    <t>科力尔</t>
  </si>
  <si>
    <t>www.lixinger.com/analytics/company/sz/002892/2892/detail</t>
  </si>
  <si>
    <t>鲍斯股份</t>
  </si>
  <si>
    <t>www.lixinger.com/analytics/company/sz/300441/300441/detail</t>
  </si>
  <si>
    <t>光庭信息</t>
  </si>
  <si>
    <t>www.lixinger.com/analytics/company/sz/301221/301221/detail</t>
  </si>
  <si>
    <t>派斯林</t>
  </si>
  <si>
    <t>www.lixinger.com/analytics/company/sh/600215/600215/detail</t>
  </si>
  <si>
    <t>方正电机</t>
  </si>
  <si>
    <t>www.lixinger.com/analytics/company/sz/002196/2196/detail</t>
  </si>
  <si>
    <t>顺网科技</t>
  </si>
  <si>
    <t>www.lixinger.com/analytics/company/sz/300113/300113/detail</t>
  </si>
  <si>
    <t>吉贝尔</t>
  </si>
  <si>
    <t>www.lixinger.com/analytics/company/sh/688566/688566/detail</t>
  </si>
  <si>
    <t>同大股份</t>
  </si>
  <si>
    <t>www.lixinger.com/analytics/company/sz/300321/300321/detail</t>
  </si>
  <si>
    <t>雷尔伟</t>
  </si>
  <si>
    <t>www.lixinger.com/analytics/company/sz/301016/301016/detail</t>
  </si>
  <si>
    <t>*ST圣莱</t>
  </si>
  <si>
    <t>www.lixinger.com/analytics/company/sz/002473/2473/detail</t>
  </si>
  <si>
    <t>达瑞电子</t>
  </si>
  <si>
    <t>www.lixinger.com/analytics/company/sz/300976/300976/detail</t>
  </si>
  <si>
    <t>乐鑫科技</t>
  </si>
  <si>
    <t>www.lixinger.com/analytics/company/sh/688018/688018/detail</t>
  </si>
  <si>
    <t>湘油泵</t>
  </si>
  <si>
    <t>www.lixinger.com/analytics/company/sh/603319/603319/detail</t>
  </si>
  <si>
    <t>名家汇</t>
  </si>
  <si>
    <t>www.lixinger.com/analytics/company/sz/300506/300506/detail</t>
  </si>
  <si>
    <t>普源精电</t>
  </si>
  <si>
    <t>www.lixinger.com/analytics/company/sh/688337/688337/detail</t>
  </si>
  <si>
    <t>嘉美包装</t>
  </si>
  <si>
    <t>www.lixinger.com/analytics/company/sz/002969/2969/detail</t>
  </si>
  <si>
    <t>锦江酒店</t>
  </si>
  <si>
    <t>www.lixinger.com/analytics/company/sh/600754/600754/detail</t>
  </si>
  <si>
    <t>赛福天</t>
  </si>
  <si>
    <t>www.lixinger.com/analytics/company/sh/603028/603028/detail</t>
  </si>
  <si>
    <t>普洛药业</t>
  </si>
  <si>
    <t>www.lixinger.com/analytics/company/sz/000739/739/detail</t>
  </si>
  <si>
    <t>南京聚隆</t>
  </si>
  <si>
    <t>www.lixinger.com/analytics/company/sz/300644/300644/detail</t>
  </si>
  <si>
    <t>万安科技</t>
  </si>
  <si>
    <t>www.lixinger.com/analytics/company/sz/002590/2590/detail</t>
  </si>
  <si>
    <t>*ST博信</t>
  </si>
  <si>
    <t>www.lixinger.com/analytics/company/sh/600083/600083/detail</t>
  </si>
  <si>
    <t>晶瑞电材</t>
  </si>
  <si>
    <t>www.lixinger.com/analytics/company/sz/300655/300655/detail</t>
  </si>
  <si>
    <t>正源股份</t>
  </si>
  <si>
    <t>www.lixinger.com/analytics/company/sh/600321/600321/detail</t>
  </si>
  <si>
    <t>瑞达期货</t>
  </si>
  <si>
    <t>www.lixinger.com/analytics/company/sz/002961/2961/detail</t>
  </si>
  <si>
    <t>京城股份</t>
  </si>
  <si>
    <t>www.lixinger.com/analytics/company/sh/600860/600860/detail</t>
  </si>
  <si>
    <t>日盈电子</t>
  </si>
  <si>
    <t>www.lixinger.com/analytics/company/sh/603286/603286/detail</t>
  </si>
  <si>
    <t>芯能科技</t>
  </si>
  <si>
    <t>www.lixinger.com/analytics/company/sh/603105/603105/detail</t>
  </si>
  <si>
    <t>泰永长征</t>
  </si>
  <si>
    <t>www.lixinger.com/analytics/company/sz/002927/2927/detail</t>
  </si>
  <si>
    <t>纽泰格</t>
  </si>
  <si>
    <t>www.lixinger.com/analytics/company/sz/301229/301229/detail</t>
  </si>
  <si>
    <t>达意隆</t>
  </si>
  <si>
    <t>www.lixinger.com/analytics/company/sz/002209/2209/detail</t>
  </si>
  <si>
    <t>鑫科材料</t>
  </si>
  <si>
    <t>www.lixinger.com/analytics/company/sh/600255/600255/detail</t>
  </si>
  <si>
    <t>智光电气</t>
  </si>
  <si>
    <t>www.lixinger.com/analytics/company/sz/002169/2169/detail</t>
  </si>
  <si>
    <t>霍莱沃</t>
  </si>
  <si>
    <t>www.lixinger.com/analytics/company/sh/688682/688682/detail</t>
  </si>
  <si>
    <t>上海沿浦</t>
  </si>
  <si>
    <t>www.lixinger.com/analytics/company/sh/605128/605128/detail</t>
  </si>
  <si>
    <t>东亚药业</t>
  </si>
  <si>
    <t>www.lixinger.com/analytics/company/sh/605177/605177/detail</t>
  </si>
  <si>
    <t>凯普生物</t>
  </si>
  <si>
    <t>www.lixinger.com/analytics/company/sz/300639/300639/detail</t>
  </si>
  <si>
    <t>佳士科技</t>
  </si>
  <si>
    <t>www.lixinger.com/analytics/company/sz/300193/300193/detail</t>
  </si>
  <si>
    <t>赛托生物</t>
  </si>
  <si>
    <t>www.lixinger.com/analytics/company/sz/300583/300583/detail</t>
  </si>
  <si>
    <t>新洋丰</t>
  </si>
  <si>
    <t>www.lixinger.com/analytics/company/sz/000902/902/detail</t>
  </si>
  <si>
    <t>迈得医疗</t>
  </si>
  <si>
    <t>www.lixinger.com/analytics/company/sh/688310/688310/detail</t>
  </si>
  <si>
    <t>西藏旅游</t>
  </si>
  <si>
    <t>www.lixinger.com/analytics/company/sh/600749/600749/detail</t>
  </si>
  <si>
    <t>第一医药</t>
  </si>
  <si>
    <t>www.lixinger.com/analytics/company/sh/600833/600833/detail</t>
  </si>
  <si>
    <t>芯源微</t>
  </si>
  <si>
    <t>www.lixinger.com/analytics/company/sh/688037/688037/detail</t>
  </si>
  <si>
    <t>汉嘉设计</t>
  </si>
  <si>
    <t>www.lixinger.com/analytics/company/sz/300746/300746/detail</t>
  </si>
  <si>
    <t>立昂技术</t>
  </si>
  <si>
    <t>www.lixinger.com/analytics/company/sz/300603/300603/detail</t>
  </si>
  <si>
    <t>天普股份</t>
  </si>
  <si>
    <t>www.lixinger.com/analytics/company/sh/605255/605255/detail</t>
  </si>
  <si>
    <t>湖南投资</t>
  </si>
  <si>
    <t>www.lixinger.com/analytics/company/sz/000548/548/detail</t>
  </si>
  <si>
    <t>金三江</t>
  </si>
  <si>
    <t>www.lixinger.com/analytics/company/sz/301059/301059/detail</t>
  </si>
  <si>
    <t>青云科技</t>
  </si>
  <si>
    <t>www.lixinger.com/analytics/company/sh/688316/688316/detail</t>
  </si>
  <si>
    <t>特力Ａ</t>
  </si>
  <si>
    <t>www.lixinger.com/analytics/company/sz/000025/25/detail</t>
  </si>
  <si>
    <t>和而泰</t>
  </si>
  <si>
    <t>www.lixinger.com/analytics/company/sz/002402/2402/detail</t>
  </si>
  <si>
    <t>瑞丰新材</t>
  </si>
  <si>
    <t>www.lixinger.com/analytics/company/sz/300910/300910/detail</t>
  </si>
  <si>
    <t>川投能源</t>
  </si>
  <si>
    <t>www.lixinger.com/analytics/company/sh/600674/600674/detail</t>
  </si>
  <si>
    <t>双林股份</t>
  </si>
  <si>
    <t>www.lixinger.com/analytics/company/sz/300100/300100/detail</t>
  </si>
  <si>
    <t>佳缘科技</t>
  </si>
  <si>
    <t>www.lixinger.com/analytics/company/sz/301117/301117/detail</t>
  </si>
  <si>
    <t>曙光股份</t>
  </si>
  <si>
    <t>www.lixinger.com/analytics/company/sh/600303/600303/detail</t>
  </si>
  <si>
    <t>三角防务</t>
  </si>
  <si>
    <t>www.lixinger.com/analytics/company/sz/300775/300775/detail</t>
  </si>
  <si>
    <t>中旗新材</t>
  </si>
  <si>
    <t>www.lixinger.com/analytics/company/sz/001212/1212/detail</t>
  </si>
  <si>
    <t>银之杰</t>
  </si>
  <si>
    <t>www.lixinger.com/analytics/company/sz/300085/300085/detail</t>
  </si>
  <si>
    <t>国新文化</t>
  </si>
  <si>
    <t>www.lixinger.com/analytics/company/sh/600636/600636/detail</t>
  </si>
  <si>
    <t>海波重科</t>
  </si>
  <si>
    <t>www.lixinger.com/analytics/company/sz/300517/300517/detail</t>
  </si>
  <si>
    <t>新城市</t>
  </si>
  <si>
    <t>www.lixinger.com/analytics/company/sz/300778/300778/detail</t>
  </si>
  <si>
    <t>嘉戎技术</t>
  </si>
  <si>
    <t>www.lixinger.com/analytics/company/sz/301148/301148/detail</t>
  </si>
  <si>
    <t>海泰科</t>
  </si>
  <si>
    <t>www.lixinger.com/analytics/company/sz/301022/301022/detail</t>
  </si>
  <si>
    <t>中创物流</t>
  </si>
  <si>
    <t>www.lixinger.com/analytics/company/sh/603967/603967/detail</t>
  </si>
  <si>
    <t>登云股份</t>
  </si>
  <si>
    <t>www.lixinger.com/analytics/company/sz/002715/2715/detail</t>
  </si>
  <si>
    <t>湘潭电化</t>
  </si>
  <si>
    <t>www.lixinger.com/analytics/company/sz/002125/2125/detail</t>
  </si>
  <si>
    <t>金陵体育</t>
  </si>
  <si>
    <t>www.lixinger.com/analytics/company/sz/300651/300651/detail</t>
  </si>
  <si>
    <t>大东方</t>
  </si>
  <si>
    <t>www.lixinger.com/analytics/company/sh/600327/600327/detail</t>
  </si>
  <si>
    <t>绿康生化</t>
  </si>
  <si>
    <t>www.lixinger.com/analytics/company/sz/002868/2868/detail</t>
  </si>
  <si>
    <t>华录百纳</t>
  </si>
  <si>
    <t>www.lixinger.com/analytics/company/sz/300291/300291/detail</t>
  </si>
  <si>
    <t>华是科技</t>
  </si>
  <si>
    <t>www.lixinger.com/analytics/company/sz/301218/301218/detail</t>
  </si>
  <si>
    <t>松井股份</t>
  </si>
  <si>
    <t>www.lixinger.com/analytics/company/sh/688157/688157/detail</t>
  </si>
  <si>
    <t>国新B股</t>
  </si>
  <si>
    <t>www.lixinger.com/analytics/company/sh/900913/900913/detail</t>
  </si>
  <si>
    <t>京源环保</t>
  </si>
  <si>
    <t>www.lixinger.com/analytics/company/sh/688096/688096/detail</t>
  </si>
  <si>
    <t>国光电气</t>
  </si>
  <si>
    <t>www.lixinger.com/analytics/company/sh/688776/688776/detail</t>
  </si>
  <si>
    <t>*ST厦华</t>
  </si>
  <si>
    <t>www.lixinger.com/analytics/company/sh/600870/600870/detail</t>
  </si>
  <si>
    <t>扬电科技</t>
  </si>
  <si>
    <t>www.lixinger.com/analytics/company/sz/301012/301012/detail</t>
  </si>
  <si>
    <t>岭南股份</t>
  </si>
  <si>
    <t>www.lixinger.com/analytics/company/sz/002717/2717/detail</t>
  </si>
  <si>
    <t>雅运股份</t>
  </si>
  <si>
    <t>www.lixinger.com/analytics/company/sh/603790/603790/detail</t>
  </si>
  <si>
    <t>明新旭腾</t>
  </si>
  <si>
    <t>www.lixinger.com/analytics/company/sh/605068/605068/detail</t>
  </si>
  <si>
    <t>创益通</t>
  </si>
  <si>
    <t>www.lixinger.com/analytics/company/sz/300991/300991/detail</t>
  </si>
  <si>
    <t>兴业科技</t>
  </si>
  <si>
    <t>www.lixinger.com/analytics/company/sz/002674/2674/detail</t>
  </si>
  <si>
    <t>中兰环保</t>
  </si>
  <si>
    <t>www.lixinger.com/analytics/company/sz/300854/300854/detail</t>
  </si>
  <si>
    <t>申菱环境</t>
  </si>
  <si>
    <t>www.lixinger.com/analytics/company/sz/301018/301018/detail</t>
  </si>
  <si>
    <t>吉翔股份</t>
  </si>
  <si>
    <t>www.lixinger.com/analytics/company/sh/603399/603399/detail</t>
  </si>
  <si>
    <t>天银机电</t>
  </si>
  <si>
    <t>www.lixinger.com/analytics/company/sz/300342/300342/detail</t>
  </si>
  <si>
    <t>易华录</t>
  </si>
  <si>
    <t>www.lixinger.com/analytics/company/sz/300212/300212/detail</t>
  </si>
  <si>
    <t>佳发教育</t>
  </si>
  <si>
    <t>www.lixinger.com/analytics/company/sz/300559/300559/detail</t>
  </si>
  <si>
    <t>中石科技</t>
  </si>
  <si>
    <t>www.lixinger.com/analytics/company/sz/300684/300684/detail</t>
  </si>
  <si>
    <t>恒立实业</t>
  </si>
  <si>
    <t>www.lixinger.com/analytics/company/sz/000622/622/detail</t>
  </si>
  <si>
    <t>掌趣科技</t>
  </si>
  <si>
    <t>www.lixinger.com/analytics/company/sz/300315/300315/detail</t>
  </si>
  <si>
    <t>奥来德</t>
  </si>
  <si>
    <t>www.lixinger.com/analytics/company/sh/688378/688378/detail</t>
  </si>
  <si>
    <t>埃斯顿</t>
  </si>
  <si>
    <t>www.lixinger.com/analytics/company/sz/002747/2747/detail</t>
  </si>
  <si>
    <t>中能电气</t>
  </si>
  <si>
    <t>www.lixinger.com/analytics/company/sz/300062/300062/detail</t>
  </si>
  <si>
    <t>松芝股份</t>
  </si>
  <si>
    <t>www.lixinger.com/analytics/company/sz/002454/2454/detail</t>
  </si>
  <si>
    <t>锦鸡股份</t>
  </si>
  <si>
    <t>www.lixinger.com/analytics/company/sz/300798/300798/detail</t>
  </si>
  <si>
    <t>罗平锌电</t>
  </si>
  <si>
    <t>www.lixinger.com/analytics/company/sz/002114/2114/detail</t>
  </si>
  <si>
    <t>合诚股份</t>
  </si>
  <si>
    <t>www.lixinger.com/analytics/company/sh/603909/603909/detail</t>
  </si>
  <si>
    <t>唐德影视</t>
  </si>
  <si>
    <t>www.lixinger.com/analytics/company/sz/300426/300426/detail</t>
  </si>
  <si>
    <t>浙江力诺</t>
  </si>
  <si>
    <t>www.lixinger.com/analytics/company/sz/300838/300838/detail</t>
  </si>
  <si>
    <t>永贵电器</t>
  </si>
  <si>
    <t>www.lixinger.com/analytics/company/sz/300351/300351/detail</t>
  </si>
  <si>
    <t>沃格光电</t>
  </si>
  <si>
    <t>www.lixinger.com/analytics/company/sh/603773/603773/detail</t>
  </si>
  <si>
    <t>金轮股份</t>
  </si>
  <si>
    <t>www.lixinger.com/analytics/company/sz/002722/2722/detail</t>
  </si>
  <si>
    <t>诚意药业</t>
  </si>
  <si>
    <t>www.lixinger.com/analytics/company/sh/603811/603811/detail</t>
  </si>
  <si>
    <t>联得装备</t>
  </si>
  <si>
    <t>www.lixinger.com/analytics/company/sz/300545/300545/detail</t>
  </si>
  <si>
    <t>唐源电气</t>
  </si>
  <si>
    <t>www.lixinger.com/analytics/company/sz/300789/300789/detail</t>
  </si>
  <si>
    <t>天箭科技</t>
  </si>
  <si>
    <t>www.lixinger.com/analytics/company/sz/002977/2977/detail</t>
  </si>
  <si>
    <t>争光股份</t>
  </si>
  <si>
    <t>www.lixinger.com/analytics/company/sz/301092/301092/detail</t>
  </si>
  <si>
    <t>奥特迅</t>
  </si>
  <si>
    <t>www.lixinger.com/analytics/company/sz/002227/2227/detail</t>
  </si>
  <si>
    <t>利群股份</t>
  </si>
  <si>
    <t>www.lixinger.com/analytics/company/sh/601366/601366/detail</t>
  </si>
  <si>
    <t>中晶科技</t>
  </si>
  <si>
    <t>www.lixinger.com/analytics/company/sz/003026/3026/detail</t>
  </si>
  <si>
    <t>福达股份</t>
  </si>
  <si>
    <t>www.lixinger.com/analytics/company/sh/603166/603166/detail</t>
  </si>
  <si>
    <t>三星新材</t>
  </si>
  <si>
    <t>www.lixinger.com/analytics/company/sh/603578/603578/detail</t>
  </si>
  <si>
    <t>美诺华</t>
  </si>
  <si>
    <t>www.lixinger.com/analytics/company/sh/603538/603538/detail</t>
  </si>
  <si>
    <t>碳元科技</t>
  </si>
  <si>
    <t>www.lixinger.com/analytics/company/sh/603133/603133/detail</t>
  </si>
  <si>
    <t>太阳能</t>
  </si>
  <si>
    <t>www.lixinger.com/analytics/company/sz/000591/591/detail</t>
  </si>
  <si>
    <t>翔宇医疗</t>
  </si>
  <si>
    <t>www.lixinger.com/analytics/company/sh/688626/688626/detail</t>
  </si>
  <si>
    <t>海鸥股份</t>
  </si>
  <si>
    <t>www.lixinger.com/analytics/company/sh/603269/603269/detail</t>
  </si>
  <si>
    <t>震有科技</t>
  </si>
  <si>
    <t>www.lixinger.com/analytics/company/sh/688418/688418/detail</t>
  </si>
  <si>
    <t>奕瑞科技</t>
  </si>
  <si>
    <t>www.lixinger.com/analytics/company/sh/688301/688301/detail</t>
  </si>
  <si>
    <t>*ST恒康</t>
  </si>
  <si>
    <t>www.lixinger.com/analytics/company/sz/002219/2219/detail</t>
  </si>
  <si>
    <t>秦川物联</t>
  </si>
  <si>
    <t>www.lixinger.com/analytics/company/sh/688528/688528/detail</t>
  </si>
  <si>
    <t>山石网科</t>
  </si>
  <si>
    <t>www.lixinger.com/analytics/company/sh/688030/688030/detail</t>
  </si>
  <si>
    <t>华力创通</t>
  </si>
  <si>
    <t>www.lixinger.com/analytics/company/sz/300045/300045/detail</t>
  </si>
  <si>
    <t>中科创达</t>
  </si>
  <si>
    <t>www.lixinger.com/analytics/company/sz/300496/300496/detail</t>
  </si>
  <si>
    <t>滨海能源</t>
  </si>
  <si>
    <t>www.lixinger.com/analytics/company/sz/000695/695/detail</t>
  </si>
  <si>
    <t>国美通讯</t>
  </si>
  <si>
    <t>www.lixinger.com/analytics/company/sh/600898/600898/detail</t>
  </si>
  <si>
    <t>生意宝</t>
  </si>
  <si>
    <t>www.lixinger.com/analytics/company/sz/002095/2095/detail</t>
  </si>
  <si>
    <t>东旭蓝天</t>
  </si>
  <si>
    <t>www.lixinger.com/analytics/company/sz/000040/40/detail</t>
  </si>
  <si>
    <t>上纬新材</t>
  </si>
  <si>
    <t>www.lixinger.com/analytics/company/sh/688585/688585/detail</t>
  </si>
  <si>
    <t>绿岛风</t>
  </si>
  <si>
    <t>www.lixinger.com/analytics/company/sz/301043/301043/detail</t>
  </si>
  <si>
    <t>*ST万方</t>
  </si>
  <si>
    <t>www.lixinger.com/analytics/company/sz/000638/638/detail</t>
  </si>
  <si>
    <t>江阴银行</t>
  </si>
  <si>
    <t>www.lixinger.com/analytics/company/sz/002807/2807/detail</t>
  </si>
  <si>
    <t>滨化股份</t>
  </si>
  <si>
    <t>www.lixinger.com/analytics/company/sh/601678/601678/detail</t>
  </si>
  <si>
    <t>药康生物</t>
  </si>
  <si>
    <t>www.lixinger.com/analytics/company/sh/688046/688046/detail</t>
  </si>
  <si>
    <t>三利谱</t>
  </si>
  <si>
    <t>www.lixinger.com/analytics/company/sz/002876/2876/detail</t>
  </si>
  <si>
    <t>铜峰电子</t>
  </si>
  <si>
    <t>www.lixinger.com/analytics/company/sh/600237/600237/detail</t>
  </si>
  <si>
    <t>赞宇科技</t>
  </si>
  <si>
    <t>www.lixinger.com/analytics/company/sz/002637/2637/detail</t>
  </si>
  <si>
    <t>丽江股份</t>
  </si>
  <si>
    <t>www.lixinger.com/analytics/company/sz/002033/2033/detail</t>
  </si>
  <si>
    <t>迎丰股份</t>
  </si>
  <si>
    <t>www.lixinger.com/analytics/company/sh/605055/605055/detail</t>
  </si>
  <si>
    <t>*ST凯瑞</t>
  </si>
  <si>
    <t>www.lixinger.com/analytics/company/sz/002072/2072/detail</t>
  </si>
  <si>
    <t>新风光</t>
  </si>
  <si>
    <t>www.lixinger.com/analytics/company/sh/688663/688663/detail</t>
  </si>
  <si>
    <t>元祖股份</t>
  </si>
  <si>
    <t>www.lixinger.com/analytics/company/sh/603886/603886/detail</t>
  </si>
  <si>
    <t>正裕工业</t>
  </si>
  <si>
    <t>www.lixinger.com/analytics/company/sh/603089/603089/detail</t>
  </si>
  <si>
    <t>南大环境</t>
  </si>
  <si>
    <t>www.lixinger.com/analytics/company/sz/300864/300864/detail</t>
  </si>
  <si>
    <t>珠江钢琴</t>
  </si>
  <si>
    <t>www.lixinger.com/analytics/company/sz/002678/2678/detail</t>
  </si>
  <si>
    <t>中电电机</t>
  </si>
  <si>
    <t>www.lixinger.com/analytics/company/sh/603988/603988/detail</t>
  </si>
  <si>
    <t>康隆达</t>
  </si>
  <si>
    <t>www.lixinger.com/analytics/company/sh/603665/603665/detail</t>
  </si>
  <si>
    <t>全聚德</t>
  </si>
  <si>
    <t>www.lixinger.com/analytics/company/sz/002186/2186/detail</t>
  </si>
  <si>
    <t>中天火箭</t>
  </si>
  <si>
    <t>www.lixinger.com/analytics/company/sz/003009/3009/detail</t>
  </si>
  <si>
    <t>四川九洲</t>
  </si>
  <si>
    <t>www.lixinger.com/analytics/company/sz/000801/801/detail</t>
  </si>
  <si>
    <t>森马服饰</t>
  </si>
  <si>
    <t>www.lixinger.com/analytics/company/sz/002563/2563/detail</t>
  </si>
  <si>
    <t>四方精创</t>
  </si>
  <si>
    <t>www.lixinger.com/analytics/company/sz/300468/300468/detail</t>
  </si>
  <si>
    <t>超越科技</t>
  </si>
  <si>
    <t>www.lixinger.com/analytics/company/sz/301049/301049/detail</t>
  </si>
  <si>
    <t>岳阳林纸</t>
  </si>
  <si>
    <t>www.lixinger.com/analytics/company/sh/600963/600963/detail</t>
  </si>
  <si>
    <t>徕木股份</t>
  </si>
  <si>
    <t>www.lixinger.com/analytics/company/sh/603633/603633/detail</t>
  </si>
  <si>
    <t>华宝股份</t>
  </si>
  <si>
    <t>www.lixinger.com/analytics/company/sz/300741/300741/detail</t>
  </si>
  <si>
    <t>渤海股份</t>
  </si>
  <si>
    <t>www.lixinger.com/analytics/company/sz/000605/605/detail</t>
  </si>
  <si>
    <t>中铁装配</t>
  </si>
  <si>
    <t>www.lixinger.com/analytics/company/sz/300374/300374/detail</t>
  </si>
  <si>
    <t>微芯生物</t>
  </si>
  <si>
    <t>www.lixinger.com/analytics/company/sh/688321/688321/detail</t>
  </si>
  <si>
    <t>中润资源</t>
  </si>
  <si>
    <t>www.lixinger.com/analytics/company/sz/000506/506/detail</t>
  </si>
  <si>
    <t>全通教育</t>
  </si>
  <si>
    <t>www.lixinger.com/analytics/company/sz/300359/300359/detail</t>
  </si>
  <si>
    <t>探路者</t>
  </si>
  <si>
    <t>www.lixinger.com/analytics/company/sz/300005/300005/detail</t>
  </si>
  <si>
    <t>梅轮电梯</t>
  </si>
  <si>
    <t>www.lixinger.com/analytics/company/sh/603321/603321/detail</t>
  </si>
  <si>
    <t>新劲刚</t>
  </si>
  <si>
    <t>www.lixinger.com/analytics/company/sz/300629/300629/detail</t>
  </si>
  <si>
    <t>仲景食品</t>
  </si>
  <si>
    <t>www.lixinger.com/analytics/company/sz/300908/300908/detail</t>
  </si>
  <si>
    <t>庄园牧场</t>
  </si>
  <si>
    <t>www.lixinger.com/analytics/company/sz/002910/2910/detail</t>
  </si>
  <si>
    <t>雄帝科技</t>
  </si>
  <si>
    <t>www.lixinger.com/analytics/company/sz/300546/300546/detail</t>
  </si>
  <si>
    <t>西菱动力</t>
  </si>
  <si>
    <t>www.lixinger.com/analytics/company/sz/300733/300733/detail</t>
  </si>
  <si>
    <t>九华旅游</t>
  </si>
  <si>
    <t>www.lixinger.com/analytics/company/sh/603199/603199/detail</t>
  </si>
  <si>
    <t>昀冢科技</t>
  </si>
  <si>
    <t>www.lixinger.com/analytics/company/sh/688260/688260/detail</t>
  </si>
  <si>
    <t>珠江啤酒</t>
  </si>
  <si>
    <t>www.lixinger.com/analytics/company/sz/002461/2461/detail</t>
  </si>
  <si>
    <t>江西长运</t>
  </si>
  <si>
    <t>www.lixinger.com/analytics/company/sh/600561/600561/detail</t>
  </si>
  <si>
    <t>张小泉</t>
  </si>
  <si>
    <t>www.lixinger.com/analytics/company/sz/301055/301055/detail</t>
  </si>
  <si>
    <t>巴比食品</t>
  </si>
  <si>
    <t>www.lixinger.com/analytics/company/sh/605338/605338/detail</t>
  </si>
  <si>
    <t>新乳业</t>
  </si>
  <si>
    <t>www.lixinger.com/analytics/company/sz/002946/2946/detail</t>
  </si>
  <si>
    <t>大胜达</t>
  </si>
  <si>
    <t>www.lixinger.com/analytics/company/sh/603687/603687/detail</t>
  </si>
  <si>
    <t>阳光照明</t>
  </si>
  <si>
    <t>www.lixinger.com/analytics/company/sh/600261/600261/detail</t>
  </si>
  <si>
    <t>天坛生物</t>
  </si>
  <si>
    <t>www.lixinger.com/analytics/company/sh/600161/600161/detail</t>
  </si>
  <si>
    <t>海伦钢琴</t>
  </si>
  <si>
    <t>www.lixinger.com/analytics/company/sz/300329/300329/detail</t>
  </si>
  <si>
    <t>光云科技</t>
  </si>
  <si>
    <t>www.lixinger.com/analytics/company/sh/688365/688365/detail</t>
  </si>
  <si>
    <t>德创环保</t>
  </si>
  <si>
    <t>www.lixinger.com/analytics/company/sh/603177/603177/detail</t>
  </si>
  <si>
    <t>华翔股份</t>
  </si>
  <si>
    <t>www.lixinger.com/analytics/company/sh/603112/603112/detail</t>
  </si>
  <si>
    <t>君禾股份</t>
  </si>
  <si>
    <t>www.lixinger.com/analytics/company/sh/603617/603617/detail</t>
  </si>
  <si>
    <t>利和兴</t>
  </si>
  <si>
    <t>www.lixinger.com/analytics/company/sz/301013/301013/detail</t>
  </si>
  <si>
    <t>利安隆</t>
  </si>
  <si>
    <t>www.lixinger.com/analytics/company/sz/300596/300596/detail</t>
  </si>
  <si>
    <t>豪尔赛</t>
  </si>
  <si>
    <t>www.lixinger.com/analytics/company/sz/002963/2963/detail</t>
  </si>
  <si>
    <t>英科再生</t>
  </si>
  <si>
    <t>www.lixinger.com/analytics/company/sh/688087/688087/detail</t>
  </si>
  <si>
    <t>迪生力</t>
  </si>
  <si>
    <t>www.lixinger.com/analytics/company/sh/603335/603335/detail</t>
  </si>
  <si>
    <t>伊戈尔</t>
  </si>
  <si>
    <t>www.lixinger.com/analytics/company/sz/002922/2922/detail</t>
  </si>
  <si>
    <t>创元科技</t>
  </si>
  <si>
    <t>www.lixinger.com/analytics/company/sz/000551/551/detail</t>
  </si>
  <si>
    <t>合兴股份</t>
  </si>
  <si>
    <t>www.lixinger.com/analytics/company/sh/605005/605005/detail</t>
  </si>
  <si>
    <t>舒华体育</t>
  </si>
  <si>
    <t>www.lixinger.com/analytics/company/sh/605299/605299/detail</t>
  </si>
  <si>
    <t>中环海陆</t>
  </si>
  <si>
    <t>www.lixinger.com/analytics/company/sz/301040/301040/detail</t>
  </si>
  <si>
    <t>中建环能</t>
  </si>
  <si>
    <t>www.lixinger.com/analytics/company/sz/300425/300425/detail</t>
  </si>
  <si>
    <t>科泰电源</t>
  </si>
  <si>
    <t>www.lixinger.com/analytics/company/sz/300153/300153/detail</t>
  </si>
  <si>
    <t>新农股份</t>
  </si>
  <si>
    <t>www.lixinger.com/analytics/company/sz/002942/2942/detail</t>
  </si>
  <si>
    <t>星湖科技</t>
  </si>
  <si>
    <t>www.lixinger.com/analytics/company/sh/600866/600866/detail</t>
  </si>
  <si>
    <t>瑞松科技</t>
  </si>
  <si>
    <t>www.lixinger.com/analytics/company/sh/688090/688090/detail</t>
  </si>
  <si>
    <t>东亚机械</t>
  </si>
  <si>
    <t>www.lixinger.com/analytics/company/sz/301028/301028/detail</t>
  </si>
  <si>
    <t>太和水</t>
  </si>
  <si>
    <t>www.lixinger.com/analytics/company/sh/605081/605081/detail</t>
  </si>
  <si>
    <t>金科环境</t>
  </si>
  <si>
    <t>www.lixinger.com/analytics/company/sh/688466/688466/detail</t>
  </si>
  <si>
    <t>海利生物</t>
  </si>
  <si>
    <t>www.lixinger.com/analytics/company/sh/603718/603718/detail</t>
  </si>
  <si>
    <t>金麒麟</t>
  </si>
  <si>
    <t>www.lixinger.com/analytics/company/sh/603586/603586/detail</t>
  </si>
  <si>
    <t>盛泰集团</t>
  </si>
  <si>
    <t>www.lixinger.com/analytics/company/sh/605138/605138/detail</t>
  </si>
  <si>
    <t>君亭酒店</t>
  </si>
  <si>
    <t>www.lixinger.com/analytics/company/sz/301073/301073/detail</t>
  </si>
  <si>
    <t>晶华新材</t>
  </si>
  <si>
    <t>www.lixinger.com/analytics/company/sh/603683/603683/detail</t>
  </si>
  <si>
    <t>华骐环保</t>
  </si>
  <si>
    <t>www.lixinger.com/analytics/company/sz/300929/300929/detail</t>
  </si>
  <si>
    <t>协鑫能科</t>
  </si>
  <si>
    <t>www.lixinger.com/analytics/company/sz/002015/2015/detail</t>
  </si>
  <si>
    <t>香雪制药</t>
  </si>
  <si>
    <t>www.lixinger.com/analytics/company/sz/300147/300147/detail</t>
  </si>
  <si>
    <t>西安饮食</t>
  </si>
  <si>
    <t>www.lixinger.com/analytics/company/sz/000721/721/detail</t>
  </si>
  <si>
    <t>复旦张江</t>
  </si>
  <si>
    <t>www.lixinger.com/analytics/company/sh/688505/688505/detail</t>
  </si>
  <si>
    <t>沃尔德</t>
  </si>
  <si>
    <t>www.lixinger.com/analytics/company/sh/688028/688028/detail</t>
  </si>
  <si>
    <t>浙海德曼</t>
  </si>
  <si>
    <t>www.lixinger.com/analytics/company/sh/688577/688577/detail</t>
  </si>
  <si>
    <t>奇正藏药</t>
  </si>
  <si>
    <t>www.lixinger.com/analytics/company/sz/002287/2287/detail</t>
  </si>
  <si>
    <t>金马游乐</t>
  </si>
  <si>
    <t>www.lixinger.com/analytics/company/sz/300756/300756/detail</t>
  </si>
  <si>
    <t>艾迪精密</t>
  </si>
  <si>
    <t>www.lixinger.com/analytics/company/sh/603638/603638/detail</t>
  </si>
  <si>
    <t>新华网</t>
  </si>
  <si>
    <t>www.lixinger.com/analytics/company/sh/603888/603888/detail</t>
  </si>
  <si>
    <t>浩欧博</t>
  </si>
  <si>
    <t>www.lixinger.com/analytics/company/sh/688656/688656/detail</t>
  </si>
  <si>
    <t>吉大通信</t>
  </si>
  <si>
    <t>www.lixinger.com/analytics/company/sz/300597/300597/detail</t>
  </si>
  <si>
    <t>华菱精工</t>
  </si>
  <si>
    <t>www.lixinger.com/analytics/company/sh/603356/603356/detail</t>
  </si>
  <si>
    <t>旗天科技</t>
  </si>
  <si>
    <t>www.lixinger.com/analytics/company/sz/300061/300061/detail</t>
  </si>
  <si>
    <t>左江科技</t>
  </si>
  <si>
    <t>www.lixinger.com/analytics/company/sz/300799/300799/detail</t>
  </si>
  <si>
    <t>海南椰岛</t>
  </si>
  <si>
    <t>www.lixinger.com/analytics/company/sh/600238/600238/detail</t>
  </si>
  <si>
    <t>卫光生物</t>
  </si>
  <si>
    <t>www.lixinger.com/analytics/company/sz/002880/2880/detail</t>
  </si>
  <si>
    <t>安迪苏</t>
  </si>
  <si>
    <t>www.lixinger.com/analytics/company/sh/600299/600299/detail</t>
  </si>
  <si>
    <t>双乐股份</t>
  </si>
  <si>
    <t>www.lixinger.com/analytics/company/sz/301036/301036/detail</t>
  </si>
  <si>
    <t>广博股份</t>
  </si>
  <si>
    <t>www.lixinger.com/analytics/company/sz/002103/2103/detail</t>
  </si>
  <si>
    <t>中科通达</t>
  </si>
  <si>
    <t>www.lixinger.com/analytics/company/sh/688038/688038/detail</t>
  </si>
  <si>
    <t>海象新材</t>
  </si>
  <si>
    <t>www.lixinger.com/analytics/company/sz/003011/3011/detail</t>
  </si>
  <si>
    <t>海天股份</t>
  </si>
  <si>
    <t>www.lixinger.com/analytics/company/sh/603759/603759/detail</t>
  </si>
  <si>
    <t>德石股份</t>
  </si>
  <si>
    <t>www.lixinger.com/analytics/company/sz/301158/301158/detail</t>
  </si>
  <si>
    <t>华联控股</t>
  </si>
  <si>
    <t>www.lixinger.com/analytics/company/sz/000036/36/detail</t>
  </si>
  <si>
    <t>ST方科</t>
  </si>
  <si>
    <t>www.lixinger.com/analytics/company/sh/600601/600601/detail</t>
  </si>
  <si>
    <t>诚益通</t>
  </si>
  <si>
    <t>www.lixinger.com/analytics/company/sz/300430/300430/detail</t>
  </si>
  <si>
    <t>廊坊发展</t>
  </si>
  <si>
    <t>www.lixinger.com/analytics/company/sh/600149/600149/detail</t>
  </si>
  <si>
    <t>开普云</t>
  </si>
  <si>
    <t>www.lixinger.com/analytics/company/sh/688228/688228/detail</t>
  </si>
  <si>
    <t>新雷能</t>
  </si>
  <si>
    <t>www.lixinger.com/analytics/company/sz/300593/300593/detail</t>
  </si>
  <si>
    <t>冠石科技</t>
  </si>
  <si>
    <t>www.lixinger.com/analytics/company/sh/605588/605588/detail</t>
  </si>
  <si>
    <t>特力Ｂ</t>
  </si>
  <si>
    <t>www.lixinger.com/analytics/company/sz/200025/200025/detail</t>
  </si>
  <si>
    <t>皖仪科技</t>
  </si>
  <si>
    <t>www.lixinger.com/analytics/company/sh/688600/688600/detail</t>
  </si>
  <si>
    <t>金富科技</t>
  </si>
  <si>
    <t>www.lixinger.com/analytics/company/sz/003018/3018/detail</t>
  </si>
  <si>
    <t>金沃股份</t>
  </si>
  <si>
    <t>www.lixinger.com/analytics/company/sz/300984/300984/detail</t>
  </si>
  <si>
    <t>金宏气体</t>
  </si>
  <si>
    <t>www.lixinger.com/analytics/company/sh/688106/688106/detail</t>
  </si>
  <si>
    <t>永东股份</t>
  </si>
  <si>
    <t>www.lixinger.com/analytics/company/sz/002753/2753/detail</t>
  </si>
  <si>
    <t>银江技术</t>
  </si>
  <si>
    <t>www.lixinger.com/analytics/company/sz/300020/300020/detail</t>
  </si>
  <si>
    <t>美力科技</t>
  </si>
  <si>
    <t>www.lixinger.com/analytics/company/sz/300611/300611/detail</t>
  </si>
  <si>
    <t>永吉股份</t>
  </si>
  <si>
    <t>www.lixinger.com/analytics/company/sh/603058/603058/detail</t>
  </si>
  <si>
    <t>国脉科技</t>
  </si>
  <si>
    <t>www.lixinger.com/analytics/company/sz/002093/2093/detail</t>
  </si>
  <si>
    <t>维业股份</t>
  </si>
  <si>
    <t>www.lixinger.com/analytics/company/sz/300621/300621/detail</t>
  </si>
  <si>
    <t>电声股份</t>
  </si>
  <si>
    <t>www.lixinger.com/analytics/company/sz/300805/300805/detail</t>
  </si>
  <si>
    <t>桂林旅游</t>
  </si>
  <si>
    <t>www.lixinger.com/analytics/company/sz/000978/978/detail</t>
  </si>
  <si>
    <t>文峰股份</t>
  </si>
  <si>
    <t>www.lixinger.com/analytics/company/sh/601010/601010/detail</t>
  </si>
  <si>
    <t>得利斯</t>
  </si>
  <si>
    <t>www.lixinger.com/analytics/company/sz/002330/2330/detail</t>
  </si>
  <si>
    <t>新天科技</t>
  </si>
  <si>
    <t>www.lixinger.com/analytics/company/sz/300259/300259/detail</t>
  </si>
  <si>
    <t>金道科技</t>
  </si>
  <si>
    <t>www.lixinger.com/analytics/company/sz/301279/301279/detail</t>
  </si>
  <si>
    <t>申联生物</t>
  </si>
  <si>
    <t>www.lixinger.com/analytics/company/sh/688098/688098/detail</t>
  </si>
  <si>
    <t>天创时尚</t>
  </si>
  <si>
    <t>www.lixinger.com/analytics/company/sh/603608/603608/detail</t>
  </si>
  <si>
    <t>中源家居</t>
  </si>
  <si>
    <t>www.lixinger.com/analytics/company/sh/603709/603709/detail</t>
  </si>
  <si>
    <t>芯海科技</t>
  </si>
  <si>
    <t>www.lixinger.com/analytics/company/sh/688595/688595/detail</t>
  </si>
  <si>
    <t>惠博普</t>
  </si>
  <si>
    <t>www.lixinger.com/analytics/company/sz/002554/2554/detail</t>
  </si>
  <si>
    <t>*ST巴士</t>
  </si>
  <si>
    <t>www.lixinger.com/analytics/company/sz/002188/2188/detail</t>
  </si>
  <si>
    <t>科隆股份</t>
  </si>
  <si>
    <t>www.lixinger.com/analytics/company/sz/300405/300405/detail</t>
  </si>
  <si>
    <t>铜牛信息</t>
  </si>
  <si>
    <t>www.lixinger.com/analytics/company/sz/300895/300895/detail</t>
  </si>
  <si>
    <t>招商南油</t>
  </si>
  <si>
    <t>www.lixinger.com/analytics/company/sh/601975/601975/detail</t>
  </si>
  <si>
    <t>海锅股份</t>
  </si>
  <si>
    <t>www.lixinger.com/analytics/company/sz/301063/301063/detail</t>
  </si>
  <si>
    <t>派克新材</t>
  </si>
  <si>
    <t>www.lixinger.com/analytics/company/sh/605123/605123/detail</t>
  </si>
  <si>
    <t>中大力德</t>
  </si>
  <si>
    <t>www.lixinger.com/analytics/company/sz/002896/2896/detail</t>
  </si>
  <si>
    <t>聚灿光电</t>
  </si>
  <si>
    <t>www.lixinger.com/analytics/company/sz/300708/300708/detail</t>
  </si>
  <si>
    <t>麦趣尔</t>
  </si>
  <si>
    <t>www.lixinger.com/analytics/company/sz/002719/2719/detail</t>
  </si>
  <si>
    <t>金迪克</t>
  </si>
  <si>
    <t>www.lixinger.com/analytics/company/sh/688670/688670/detail</t>
  </si>
  <si>
    <t>兴瑞科技</t>
  </si>
  <si>
    <t>www.lixinger.com/analytics/company/sz/002937/2937/detail</t>
  </si>
  <si>
    <t>敏芯股份</t>
  </si>
  <si>
    <t>www.lixinger.com/analytics/company/sh/688286/688286/detail</t>
  </si>
  <si>
    <t>洛凯股份</t>
  </si>
  <si>
    <t>www.lixinger.com/analytics/company/sh/603829/603829/detail</t>
  </si>
  <si>
    <t>金丹科技</t>
  </si>
  <si>
    <t>www.lixinger.com/analytics/company/sz/300829/300829/detail</t>
  </si>
  <si>
    <t>中京电子</t>
  </si>
  <si>
    <t>www.lixinger.com/analytics/company/sz/002579/2579/detail</t>
  </si>
  <si>
    <t>天迈科技</t>
  </si>
  <si>
    <t>www.lixinger.com/analytics/company/sz/300807/300807/detail</t>
  </si>
  <si>
    <t>创识科技</t>
  </si>
  <si>
    <t>www.lixinger.com/analytics/company/sz/300941/300941/detail</t>
  </si>
  <si>
    <t>华伍股份</t>
  </si>
  <si>
    <t>www.lixinger.com/analytics/company/sz/300095/300095/detail</t>
  </si>
  <si>
    <t>生物股份</t>
  </si>
  <si>
    <t>www.lixinger.com/analytics/company/sh/600201/600201/detail</t>
  </si>
  <si>
    <t>华凯创意</t>
  </si>
  <si>
    <t>www.lixinger.com/analytics/company/sz/300592/300592/detail</t>
  </si>
  <si>
    <t>盛通股份</t>
  </si>
  <si>
    <t>www.lixinger.com/analytics/company/sz/002599/2599/detail</t>
  </si>
  <si>
    <t>中科信息</t>
  </si>
  <si>
    <t>www.lixinger.com/analytics/company/sz/300678/300678/detail</t>
  </si>
  <si>
    <t>澳弘电子</t>
  </si>
  <si>
    <t>www.lixinger.com/analytics/company/sh/605058/605058/detail</t>
  </si>
  <si>
    <t>信息发展</t>
  </si>
  <si>
    <t>www.lixinger.com/analytics/company/sz/300469/300469/detail</t>
  </si>
  <si>
    <t>新乡化纤</t>
  </si>
  <si>
    <t>www.lixinger.com/analytics/company/sz/000949/949/detail</t>
  </si>
  <si>
    <t>昊志机电</t>
  </si>
  <si>
    <t>www.lixinger.com/analytics/company/sz/300503/300503/detail</t>
  </si>
  <si>
    <t>东软载波</t>
  </si>
  <si>
    <t>www.lixinger.com/analytics/company/sz/300183/300183/detail</t>
  </si>
  <si>
    <t>雪榕生物</t>
  </si>
  <si>
    <t>www.lixinger.com/analytics/company/sz/300511/300511/detail</t>
  </si>
  <si>
    <t>同飞股份</t>
  </si>
  <si>
    <t>www.lixinger.com/analytics/company/sz/300990/300990/detail</t>
  </si>
  <si>
    <t>金浦钛业</t>
  </si>
  <si>
    <t>www.lixinger.com/analytics/company/sz/000545/545/detail</t>
  </si>
  <si>
    <t>捷安高科</t>
  </si>
  <si>
    <t>www.lixinger.com/analytics/company/sz/300845/300845/detail</t>
  </si>
  <si>
    <t>博晖创新</t>
  </si>
  <si>
    <t>www.lixinger.com/analytics/company/sz/300318/300318/detail</t>
  </si>
  <si>
    <t>南纺股份</t>
  </si>
  <si>
    <t>www.lixinger.com/analytics/company/sh/600250/600250/detail</t>
  </si>
  <si>
    <t>清水源</t>
  </si>
  <si>
    <t>www.lixinger.com/analytics/company/sz/300437/300437/detail</t>
  </si>
  <si>
    <t>纳微科技</t>
  </si>
  <si>
    <t>www.lixinger.com/analytics/company/sh/688690/688690/detail</t>
  </si>
  <si>
    <t>拓邦股份</t>
  </si>
  <si>
    <t>www.lixinger.com/analytics/company/sz/002139/2139/detail</t>
  </si>
  <si>
    <t>四方股份</t>
  </si>
  <si>
    <t>www.lixinger.com/analytics/company/sh/601126/601126/detail</t>
  </si>
  <si>
    <t>光洋股份</t>
  </si>
  <si>
    <t>www.lixinger.com/analytics/company/sz/002708/2708/detail</t>
  </si>
  <si>
    <t>每日互动</t>
  </si>
  <si>
    <t>www.lixinger.com/analytics/company/sz/300766/300766/detail</t>
  </si>
  <si>
    <t>江中药业</t>
  </si>
  <si>
    <t>www.lixinger.com/analytics/company/sh/600750/600750/detail</t>
  </si>
  <si>
    <t>江苏阳光</t>
  </si>
  <si>
    <t>www.lixinger.com/analytics/company/sh/600220/600220/detail</t>
  </si>
  <si>
    <t>麦格米特</t>
  </si>
  <si>
    <t>www.lixinger.com/analytics/company/sz/002851/2851/detail</t>
  </si>
  <si>
    <t>音飞储存</t>
  </si>
  <si>
    <t>www.lixinger.com/analytics/company/sh/603066/603066/detail</t>
  </si>
  <si>
    <t>奥雅设计</t>
  </si>
  <si>
    <t>www.lixinger.com/analytics/company/sz/300949/300949/detail</t>
  </si>
  <si>
    <t>东土科技</t>
  </si>
  <si>
    <t>www.lixinger.com/analytics/company/sz/300353/300353/detail</t>
  </si>
  <si>
    <t>潍柴重机</t>
  </si>
  <si>
    <t>www.lixinger.com/analytics/company/sz/000880/880/detail</t>
  </si>
  <si>
    <t>上海沪工</t>
  </si>
  <si>
    <t>www.lixinger.com/analytics/company/sh/603131/603131/detail</t>
  </si>
  <si>
    <t>松原股份</t>
  </si>
  <si>
    <t>www.lixinger.com/analytics/company/sz/300893/300893/detail</t>
  </si>
  <si>
    <t>南京化纤</t>
  </si>
  <si>
    <t>www.lixinger.com/analytics/company/sh/600889/600889/detail</t>
  </si>
  <si>
    <t>法尔胜</t>
  </si>
  <si>
    <t>www.lixinger.com/analytics/company/sz/000890/890/detail</t>
  </si>
  <si>
    <t>华北制药</t>
  </si>
  <si>
    <t>www.lixinger.com/analytics/company/sh/600812/600812/detail</t>
  </si>
  <si>
    <t>网达软件</t>
  </si>
  <si>
    <t>www.lixinger.com/analytics/company/sh/603189/603189/detail</t>
  </si>
  <si>
    <t>华依科技</t>
  </si>
  <si>
    <t>www.lixinger.com/analytics/company/sh/688071/688071/detail</t>
  </si>
  <si>
    <t>安科瑞</t>
  </si>
  <si>
    <t>www.lixinger.com/analytics/company/sz/300286/300286/detail</t>
  </si>
  <si>
    <t>泰禾智能</t>
  </si>
  <si>
    <t>www.lixinger.com/analytics/company/sh/603656/603656/detail</t>
  </si>
  <si>
    <t>华立股份</t>
  </si>
  <si>
    <t>www.lixinger.com/analytics/company/sh/603038/603038/detail</t>
  </si>
  <si>
    <t>优博讯</t>
  </si>
  <si>
    <t>www.lixinger.com/analytics/company/sz/300531/300531/detail</t>
  </si>
  <si>
    <t>华阳新材</t>
  </si>
  <si>
    <t>www.lixinger.com/analytics/company/sh/600281/600281/detail</t>
  </si>
  <si>
    <t>锋尚文化</t>
  </si>
  <si>
    <t>www.lixinger.com/analytics/company/sz/300860/300860/detail</t>
  </si>
  <si>
    <t>爱朋医疗</t>
  </si>
  <si>
    <t>www.lixinger.com/analytics/company/sz/300753/300753/detail</t>
  </si>
  <si>
    <t>天威视讯</t>
  </si>
  <si>
    <t>www.lixinger.com/analytics/company/sz/002238/2238/detail</t>
  </si>
  <si>
    <t>大湖股份</t>
  </si>
  <si>
    <t>www.lixinger.com/analytics/company/sh/600257/600257/detail</t>
  </si>
  <si>
    <t>电光科技</t>
  </si>
  <si>
    <t>www.lixinger.com/analytics/company/sz/002730/2730/detail</t>
  </si>
  <si>
    <t>福光股份</t>
  </si>
  <si>
    <t>www.lixinger.com/analytics/company/sh/688010/688010/detail</t>
  </si>
  <si>
    <t>富临运业</t>
  </si>
  <si>
    <t>www.lixinger.com/analytics/company/sz/002357/2357/detail</t>
  </si>
  <si>
    <t>赛诺医疗</t>
  </si>
  <si>
    <t>www.lixinger.com/analytics/company/sh/688108/688108/detail</t>
  </si>
  <si>
    <t>*ST云城</t>
  </si>
  <si>
    <t>www.lixinger.com/analytics/company/sh/600239/600239/detail</t>
  </si>
  <si>
    <t>江南化工</t>
  </si>
  <si>
    <t>www.lixinger.com/analytics/company/sz/002226/2226/detail</t>
  </si>
  <si>
    <t>崇达技术</t>
  </si>
  <si>
    <t>www.lixinger.com/analytics/company/sz/002815/2815/detail</t>
  </si>
  <si>
    <t>深赛格</t>
  </si>
  <si>
    <t>www.lixinger.com/analytics/company/sz/000058/58/detail</t>
  </si>
  <si>
    <t>博彦科技</t>
  </si>
  <si>
    <t>www.lixinger.com/analytics/company/sz/002649/2649/detail</t>
  </si>
  <si>
    <t>药易购</t>
  </si>
  <si>
    <t>www.lixinger.com/analytics/company/sz/300937/300937/detail</t>
  </si>
  <si>
    <t>合富中国</t>
  </si>
  <si>
    <t>www.lixinger.com/analytics/company/sh/603122/603122/detail</t>
  </si>
  <si>
    <t>神工股份</t>
  </si>
  <si>
    <t>www.lixinger.com/analytics/company/sh/688233/688233/detail</t>
  </si>
  <si>
    <t>建龙微纳</t>
  </si>
  <si>
    <t>www.lixinger.com/analytics/company/sh/688357/688357/detail</t>
  </si>
  <si>
    <t>易瑞生物</t>
  </si>
  <si>
    <t>www.lixinger.com/analytics/company/sz/300942/300942/detail</t>
  </si>
  <si>
    <t>安奈儿</t>
  </si>
  <si>
    <t>www.lixinger.com/analytics/company/sz/002875/2875/detail</t>
  </si>
  <si>
    <t>传音控股</t>
  </si>
  <si>
    <t>www.lixinger.com/analytics/company/sh/688036/688036/detail</t>
  </si>
  <si>
    <t>移远通信</t>
  </si>
  <si>
    <t>www.lixinger.com/analytics/company/sh/603236/603236/detail</t>
  </si>
  <si>
    <t>神开股份</t>
  </si>
  <si>
    <t>www.lixinger.com/analytics/company/sz/002278/2278/detail</t>
  </si>
  <si>
    <t>安博通</t>
  </si>
  <si>
    <t>www.lixinger.com/analytics/company/sh/688168/688168/detail</t>
  </si>
  <si>
    <t>网宿科技</t>
  </si>
  <si>
    <t>www.lixinger.com/analytics/company/sz/300017/300017/detail</t>
  </si>
  <si>
    <t>福立旺</t>
  </si>
  <si>
    <t>www.lixinger.com/analytics/company/sh/688678/688678/detail</t>
  </si>
  <si>
    <t>迪威尔</t>
  </si>
  <si>
    <t>www.lixinger.com/analytics/company/sh/688377/688377/detail</t>
  </si>
  <si>
    <t>创维数字</t>
  </si>
  <si>
    <t>www.lixinger.com/analytics/company/sz/000810/810/detail</t>
  </si>
  <si>
    <t>华阳集团</t>
  </si>
  <si>
    <t>www.lixinger.com/analytics/company/sz/002906/2906/detail</t>
  </si>
  <si>
    <t>名雕股份</t>
  </si>
  <si>
    <t>www.lixinger.com/analytics/company/sz/002830/2830/detail</t>
  </si>
  <si>
    <t>金冠股份</t>
  </si>
  <si>
    <t>www.lixinger.com/analytics/company/sz/300510/300510/detail</t>
  </si>
  <si>
    <t>通宇通讯</t>
  </si>
  <si>
    <t>www.lixinger.com/analytics/company/sz/002792/2792/detail</t>
  </si>
  <si>
    <t>宇瞳光学</t>
  </si>
  <si>
    <t>www.lixinger.com/analytics/company/sz/300790/300790/detail</t>
  </si>
  <si>
    <t>电魂网络</t>
  </si>
  <si>
    <t>www.lixinger.com/analytics/company/sh/603258/603258/detail</t>
  </si>
  <si>
    <t>豆神教育</t>
  </si>
  <si>
    <t>www.lixinger.com/analytics/company/sz/300010/300010/detail</t>
  </si>
  <si>
    <t>品高股份</t>
  </si>
  <si>
    <t>www.lixinger.com/analytics/company/sh/688227/688227/detail</t>
  </si>
  <si>
    <t>智明达</t>
  </si>
  <si>
    <t>www.lixinger.com/analytics/company/sh/688636/688636/detail</t>
  </si>
  <si>
    <t>恒而达</t>
  </si>
  <si>
    <t>www.lixinger.com/analytics/company/sz/300946/300946/detail</t>
  </si>
  <si>
    <t>佳讯飞鸿</t>
  </si>
  <si>
    <t>www.lixinger.com/analytics/company/sz/300213/300213/detail</t>
  </si>
  <si>
    <t>鼎龙股份</t>
  </si>
  <si>
    <t>www.lixinger.com/analytics/company/sz/300054/300054/detail</t>
  </si>
  <si>
    <t>宏创控股</t>
  </si>
  <si>
    <t>www.lixinger.com/analytics/company/sz/002379/2379/detail</t>
  </si>
  <si>
    <t>长华股份</t>
  </si>
  <si>
    <t>www.lixinger.com/analytics/company/sh/605018/605018/detail</t>
  </si>
  <si>
    <t>申能股份</t>
  </si>
  <si>
    <t>www.lixinger.com/analytics/company/sh/600642/600642/detail</t>
  </si>
  <si>
    <t>振芯科技</t>
  </si>
  <si>
    <t>www.lixinger.com/analytics/company/sz/300101/300101/detail</t>
  </si>
  <si>
    <t>柳钢股份</t>
  </si>
  <si>
    <t>www.lixinger.com/analytics/company/sh/601003/601003/detail</t>
  </si>
  <si>
    <t>中再资环</t>
  </si>
  <si>
    <t>www.lixinger.com/analytics/company/sh/600217/600217/detail</t>
  </si>
  <si>
    <t>沧州明珠</t>
  </si>
  <si>
    <t>www.lixinger.com/analytics/company/sz/002108/2108/detail</t>
  </si>
  <si>
    <t>安达维尔</t>
  </si>
  <si>
    <t>www.lixinger.com/analytics/company/sz/300719/300719/detail</t>
  </si>
  <si>
    <t>中电兴发</t>
  </si>
  <si>
    <t>www.lixinger.com/analytics/company/sz/002298/2298/detail</t>
  </si>
  <si>
    <t>普莱柯</t>
  </si>
  <si>
    <t>www.lixinger.com/analytics/company/sh/603566/603566/detail</t>
  </si>
  <si>
    <t>南极光</t>
  </si>
  <si>
    <t>www.lixinger.com/analytics/company/sz/300940/300940/detail</t>
  </si>
  <si>
    <t>中红医疗</t>
  </si>
  <si>
    <t>www.lixinger.com/analytics/company/sz/300981/300981/detail</t>
  </si>
  <si>
    <t>亚虹医药</t>
  </si>
  <si>
    <t>www.lixinger.com/analytics/company/sh/688176/688176/detail</t>
  </si>
  <si>
    <t>东尼电子</t>
  </si>
  <si>
    <t>www.lixinger.com/analytics/company/sh/603595/603595/detail</t>
  </si>
  <si>
    <t>光库科技</t>
  </si>
  <si>
    <t>www.lixinger.com/analytics/company/sz/300620/300620/detail</t>
  </si>
  <si>
    <t>川金诺</t>
  </si>
  <si>
    <t>www.lixinger.com/analytics/company/sz/300505/300505/detail</t>
  </si>
  <si>
    <t>实丰文化</t>
  </si>
  <si>
    <t>www.lixinger.com/analytics/company/sz/002862/2862/detail</t>
  </si>
  <si>
    <t>华脉科技</t>
  </si>
  <si>
    <t>www.lixinger.com/analytics/company/sh/603042/603042/detail</t>
  </si>
  <si>
    <t>罗普斯金</t>
  </si>
  <si>
    <t>www.lixinger.com/analytics/company/sz/002333/2333/detail</t>
  </si>
  <si>
    <t>广弘控股</t>
  </si>
  <si>
    <t>www.lixinger.com/analytics/company/sz/000529/529/detail</t>
  </si>
  <si>
    <t>欧林生物</t>
  </si>
  <si>
    <t>www.lixinger.com/analytics/company/sh/688319/688319/detail</t>
  </si>
  <si>
    <t>翔丰华</t>
  </si>
  <si>
    <t>www.lixinger.com/analytics/company/sz/300890/300890/detail</t>
  </si>
  <si>
    <t>东方通</t>
  </si>
  <si>
    <t>www.lixinger.com/analytics/company/sz/300379/300379/detail</t>
  </si>
  <si>
    <t>名臣健康</t>
  </si>
  <si>
    <t>www.lixinger.com/analytics/company/sz/002919/2919/detail</t>
  </si>
  <si>
    <t>百利电气</t>
  </si>
  <si>
    <t>www.lixinger.com/analytics/company/sh/600468/600468/detail</t>
  </si>
  <si>
    <t>新世界</t>
  </si>
  <si>
    <t>www.lixinger.com/analytics/company/sh/600628/600628/detail</t>
  </si>
  <si>
    <t>迈为股份</t>
  </si>
  <si>
    <t>www.lixinger.com/analytics/company/sz/300751/300751/detail</t>
  </si>
  <si>
    <t>瑞纳智能</t>
  </si>
  <si>
    <t>www.lixinger.com/analytics/company/sz/301129/301129/detail</t>
  </si>
  <si>
    <t>力诺特玻</t>
  </si>
  <si>
    <t>www.lixinger.com/analytics/company/sz/301188/301188/detail</t>
  </si>
  <si>
    <t>盾安环境</t>
  </si>
  <si>
    <t>www.lixinger.com/analytics/company/sz/002011/2011/detail</t>
  </si>
  <si>
    <t>大西洋</t>
  </si>
  <si>
    <t>www.lixinger.com/analytics/company/sh/600558/600558/detail</t>
  </si>
  <si>
    <t>测绘股份</t>
  </si>
  <si>
    <t>www.lixinger.com/analytics/company/sz/300826/300826/detail</t>
  </si>
  <si>
    <t>建科院</t>
  </si>
  <si>
    <t>www.lixinger.com/analytics/company/sz/300675/300675/detail</t>
  </si>
  <si>
    <t>科陆电子</t>
  </si>
  <si>
    <t>www.lixinger.com/analytics/company/sz/002121/2121/detail</t>
  </si>
  <si>
    <t>氯碱Ｂ股</t>
  </si>
  <si>
    <t>www.lixinger.com/analytics/company/sh/900908/900908/detail</t>
  </si>
  <si>
    <t>欧科亿</t>
  </si>
  <si>
    <t>www.lixinger.com/analytics/company/sh/688308/688308/detail</t>
  </si>
  <si>
    <t>东风股份</t>
  </si>
  <si>
    <t>www.lixinger.com/analytics/company/sh/601515/601515/detail</t>
  </si>
  <si>
    <t>汤臣倍健</t>
  </si>
  <si>
    <t>www.lixinger.com/analytics/company/sz/300146/300146/detail</t>
  </si>
  <si>
    <t>美利云</t>
  </si>
  <si>
    <t>www.lixinger.com/analytics/company/sz/000815/815/detail</t>
  </si>
  <si>
    <t>ST远程</t>
  </si>
  <si>
    <t>www.lixinger.com/analytics/company/sz/002692/2692/detail</t>
  </si>
  <si>
    <t>天娱数科</t>
  </si>
  <si>
    <t>www.lixinger.com/analytics/company/sz/002354/2354/detail</t>
  </si>
  <si>
    <t>新元科技</t>
  </si>
  <si>
    <t>www.lixinger.com/analytics/company/sz/300472/300472/detail</t>
  </si>
  <si>
    <t>北方股份</t>
  </si>
  <si>
    <t>www.lixinger.com/analytics/company/sh/600262/600262/detail</t>
  </si>
  <si>
    <t>吴通控股</t>
  </si>
  <si>
    <t>www.lixinger.com/analytics/company/sz/300292/300292/detail</t>
  </si>
  <si>
    <t>飞马国际</t>
  </si>
  <si>
    <t>www.lixinger.com/analytics/company/sz/002210/2210/detail</t>
  </si>
  <si>
    <t>大烨智能</t>
  </si>
  <si>
    <t>www.lixinger.com/analytics/company/sz/300670/300670/detail</t>
  </si>
  <si>
    <t>启迪环境</t>
  </si>
  <si>
    <t>www.lixinger.com/analytics/company/sz/000826/826/detail</t>
  </si>
  <si>
    <t>狄耐克</t>
  </si>
  <si>
    <t>www.lixinger.com/analytics/company/sz/300884/300884/detail</t>
  </si>
  <si>
    <t>江南水务</t>
  </si>
  <si>
    <t>www.lixinger.com/analytics/company/sh/601199/601199/detail</t>
  </si>
  <si>
    <t>永清环保</t>
  </si>
  <si>
    <t>www.lixinger.com/analytics/company/sz/300187/300187/detail</t>
  </si>
  <si>
    <t>黑芝麻</t>
  </si>
  <si>
    <t>www.lixinger.com/analytics/company/sz/000716/716/detail</t>
  </si>
  <si>
    <t>山水比德</t>
  </si>
  <si>
    <t>www.lixinger.com/analytics/company/sz/300844/300844/detail</t>
  </si>
  <si>
    <t>华秦科技</t>
  </si>
  <si>
    <t>www.lixinger.com/analytics/company/sh/688281/688281/detail</t>
  </si>
  <si>
    <t>和顺石油</t>
  </si>
  <si>
    <t>www.lixinger.com/analytics/company/sh/603353/603353/detail</t>
  </si>
  <si>
    <t>精进电动</t>
  </si>
  <si>
    <t>www.lixinger.com/analytics/company/sh/688280/688280/detail</t>
  </si>
  <si>
    <t>值得买</t>
  </si>
  <si>
    <t>www.lixinger.com/analytics/company/sz/300785/300785/detail</t>
  </si>
  <si>
    <t>金钟股份</t>
  </si>
  <si>
    <t>www.lixinger.com/analytics/company/sz/301133/301133/detail</t>
  </si>
  <si>
    <t>利扬芯片</t>
  </si>
  <si>
    <t>www.lixinger.com/analytics/company/sh/688135/688135/detail</t>
  </si>
  <si>
    <t>节能铁汉</t>
  </si>
  <si>
    <t>www.lixinger.com/analytics/company/sz/300197/300197/detail</t>
  </si>
  <si>
    <t>蔚蓝锂芯</t>
  </si>
  <si>
    <t>www.lixinger.com/analytics/company/sz/002245/2245/detail</t>
  </si>
  <si>
    <t>博云新材</t>
  </si>
  <si>
    <t>www.lixinger.com/analytics/company/sz/002297/2297/detail</t>
  </si>
  <si>
    <t>恒基达鑫</t>
  </si>
  <si>
    <t>www.lixinger.com/analytics/company/sz/002492/2492/detail</t>
  </si>
  <si>
    <t>倍轻松</t>
  </si>
  <si>
    <t>www.lixinger.com/analytics/company/sh/688793/688793/detail</t>
  </si>
  <si>
    <t>鸿富瀚</t>
  </si>
  <si>
    <t>www.lixinger.com/analytics/company/sz/301086/301086/detail</t>
  </si>
  <si>
    <t>彩讯股份</t>
  </si>
  <si>
    <t>www.lixinger.com/analytics/company/sz/300634/300634/detail</t>
  </si>
  <si>
    <t>宜安科技</t>
  </si>
  <si>
    <t>www.lixinger.com/analytics/company/sz/300328/300328/detail</t>
  </si>
  <si>
    <t>恒信东方</t>
  </si>
  <si>
    <t>www.lixinger.com/analytics/company/sz/300081/300081/detail</t>
  </si>
  <si>
    <t>日久光电</t>
  </si>
  <si>
    <t>www.lixinger.com/analytics/company/sz/003015/3015/detail</t>
  </si>
  <si>
    <t>协创数据</t>
  </si>
  <si>
    <t>www.lixinger.com/analytics/company/sz/300857/300857/detail</t>
  </si>
  <si>
    <t>利通电子</t>
  </si>
  <si>
    <t>www.lixinger.com/analytics/company/sh/603629/603629/detail</t>
  </si>
  <si>
    <t>上海物贸</t>
  </si>
  <si>
    <t>www.lixinger.com/analytics/company/sh/600822/600822/detail</t>
  </si>
  <si>
    <t>盛弘股份</t>
  </si>
  <si>
    <t>www.lixinger.com/analytics/company/sz/300693/300693/detail</t>
  </si>
  <si>
    <t>迪森股份</t>
  </si>
  <si>
    <t>www.lixinger.com/analytics/company/sz/300335/300335/detail</t>
  </si>
  <si>
    <t>杭州园林</t>
  </si>
  <si>
    <t>www.lixinger.com/analytics/company/sz/300649/300649/detail</t>
  </si>
  <si>
    <t>博汇科技</t>
  </si>
  <si>
    <t>www.lixinger.com/analytics/company/sh/688004/688004/detail</t>
  </si>
  <si>
    <t>普元信息</t>
  </si>
  <si>
    <t>www.lixinger.com/analytics/company/sh/688118/688118/detail</t>
  </si>
  <si>
    <t>雄韬股份</t>
  </si>
  <si>
    <t>www.lixinger.com/analytics/company/sz/002733/2733/detail</t>
  </si>
  <si>
    <t>奕东电子</t>
  </si>
  <si>
    <t>www.lixinger.com/analytics/company/sz/301123/301123/detail</t>
  </si>
  <si>
    <t>盘江股份</t>
  </si>
  <si>
    <t>www.lixinger.com/analytics/company/sh/600395/600395/detail</t>
  </si>
  <si>
    <t>亚威股份</t>
  </si>
  <si>
    <t>www.lixinger.com/analytics/company/sz/002559/2559/detail</t>
  </si>
  <si>
    <t>捷强装备</t>
  </si>
  <si>
    <t>www.lixinger.com/analytics/company/sz/300875/300875/detail</t>
  </si>
  <si>
    <t>*ST德奥</t>
  </si>
  <si>
    <t>www.lixinger.com/analytics/company/sz/002260/2260/detail</t>
  </si>
  <si>
    <t>熊猫乳品</t>
  </si>
  <si>
    <t>www.lixinger.com/analytics/company/sz/300898/300898/detail</t>
  </si>
  <si>
    <t>青达环保</t>
  </si>
  <si>
    <t>www.lixinger.com/analytics/company/sh/688501/688501/detail</t>
  </si>
  <si>
    <t>康芝药业</t>
  </si>
  <si>
    <t>www.lixinger.com/analytics/company/sz/300086/300086/detail</t>
  </si>
  <si>
    <t>英联股份</t>
  </si>
  <si>
    <t>www.lixinger.com/analytics/company/sz/002846/2846/detail</t>
  </si>
  <si>
    <t>优利德</t>
  </si>
  <si>
    <t>www.lixinger.com/analytics/company/sh/688628/688628/detail</t>
  </si>
  <si>
    <t>新华制药</t>
  </si>
  <si>
    <t>www.lixinger.com/analytics/company/sz/000756/756/detail</t>
  </si>
  <si>
    <t>皖天然气</t>
  </si>
  <si>
    <t>www.lixinger.com/analytics/company/sh/603689/603689/detail</t>
  </si>
  <si>
    <t>胜蓝股份</t>
  </si>
  <si>
    <t>www.lixinger.com/analytics/company/sz/300843/300843/detail</t>
  </si>
  <si>
    <t>搜于特</t>
  </si>
  <si>
    <t>www.lixinger.com/analytics/company/sz/002503/2503/detail</t>
  </si>
  <si>
    <t>力星股份</t>
  </si>
  <si>
    <t>www.lixinger.com/analytics/company/sz/300421/300421/detail</t>
  </si>
  <si>
    <t>隆华科技</t>
  </si>
  <si>
    <t>www.lixinger.com/analytics/company/sz/300263/300263/detail</t>
  </si>
  <si>
    <t>云赛Ｂ股</t>
  </si>
  <si>
    <t>www.lixinger.com/analytics/company/sh/900901/900901/detail</t>
  </si>
  <si>
    <t>祥源文化</t>
  </si>
  <si>
    <t>www.lixinger.com/analytics/company/sh/600576/600576/detail</t>
  </si>
  <si>
    <t>山科智能</t>
  </si>
  <si>
    <t>www.lixinger.com/analytics/company/sz/300897/300897/detail</t>
  </si>
  <si>
    <t>东箭科技</t>
  </si>
  <si>
    <t>www.lixinger.com/analytics/company/sz/300978/300978/detail</t>
  </si>
  <si>
    <t>寒锐钴业</t>
  </si>
  <si>
    <t>www.lixinger.com/analytics/company/sz/300618/300618/detail</t>
  </si>
  <si>
    <t>元琛科技</t>
  </si>
  <si>
    <t>www.lixinger.com/analytics/company/sh/688659/688659/detail</t>
  </si>
  <si>
    <t>中恒电气</t>
  </si>
  <si>
    <t>www.lixinger.com/analytics/company/sz/002364/2364/detail</t>
  </si>
  <si>
    <t>品茗股份</t>
  </si>
  <si>
    <t>www.lixinger.com/analytics/company/sh/688109/688109/detail</t>
  </si>
  <si>
    <t>汇金通</t>
  </si>
  <si>
    <t>www.lixinger.com/analytics/company/sh/603577/603577/detail</t>
  </si>
  <si>
    <t>苏常柴Ａ</t>
  </si>
  <si>
    <t>www.lixinger.com/analytics/company/sz/000570/570/detail</t>
  </si>
  <si>
    <t>华谊兄弟</t>
  </si>
  <si>
    <t>www.lixinger.com/analytics/company/sz/300027/300027/detail</t>
  </si>
  <si>
    <t>复旦微电</t>
  </si>
  <si>
    <t>www.lixinger.com/analytics/company/sh/688385/688385/detail</t>
  </si>
  <si>
    <t>纵横股份</t>
  </si>
  <si>
    <t>www.lixinger.com/analytics/company/sh/688070/688070/detail</t>
  </si>
  <si>
    <t>通达股份</t>
  </si>
  <si>
    <t>www.lixinger.com/analytics/company/sz/002560/2560/detail</t>
  </si>
  <si>
    <t>兴通股份</t>
  </si>
  <si>
    <t>www.lixinger.com/analytics/company/sh/603209/603209/detail</t>
  </si>
  <si>
    <t>鸿泉物联</t>
  </si>
  <si>
    <t>www.lixinger.com/analytics/company/sh/688288/688288/detail</t>
  </si>
  <si>
    <t>博通集成</t>
  </si>
  <si>
    <t>www.lixinger.com/analytics/company/sh/603068/603068/detail</t>
  </si>
  <si>
    <t>华光环能</t>
  </si>
  <si>
    <t>www.lixinger.com/analytics/company/sh/600475/600475/detail</t>
  </si>
  <si>
    <t>天智航</t>
  </si>
  <si>
    <t>www.lixinger.com/analytics/company/sh/688277/688277/detail</t>
  </si>
  <si>
    <t>大洋生物</t>
  </si>
  <si>
    <t>www.lixinger.com/analytics/company/sz/003017/3017/detail</t>
  </si>
  <si>
    <t>得润电子</t>
  </si>
  <si>
    <t>www.lixinger.com/analytics/company/sz/002055/2055/detail</t>
  </si>
  <si>
    <t>航天动力</t>
  </si>
  <si>
    <t>www.lixinger.com/analytics/company/sh/600343/600343/detail</t>
  </si>
  <si>
    <t>广安爱众</t>
  </si>
  <si>
    <t>www.lixinger.com/analytics/company/sh/600979/600979/detail</t>
  </si>
  <si>
    <t>恒为科技</t>
  </si>
  <si>
    <t>www.lixinger.com/analytics/company/sh/603496/603496/detail</t>
  </si>
  <si>
    <t>荣泰健康</t>
  </si>
  <si>
    <t>www.lixinger.com/analytics/company/sh/603579/603579/detail</t>
  </si>
  <si>
    <t>美芝股份</t>
  </si>
  <si>
    <t>www.lixinger.com/analytics/company/sz/002856/2856/detail</t>
  </si>
  <si>
    <t>恒锋信息</t>
  </si>
  <si>
    <t>www.lixinger.com/analytics/company/sz/300605/300605/detail</t>
  </si>
  <si>
    <t>新钢股份</t>
  </si>
  <si>
    <t>www.lixinger.com/analytics/company/sh/600782/600782/detail</t>
  </si>
  <si>
    <t>同庆楼</t>
  </si>
  <si>
    <t>www.lixinger.com/analytics/company/sh/605108/605108/detail</t>
  </si>
  <si>
    <t>仕净科技</t>
  </si>
  <si>
    <t>www.lixinger.com/analytics/company/sz/301030/301030/detail</t>
  </si>
  <si>
    <t>深水规院</t>
  </si>
  <si>
    <t>www.lixinger.com/analytics/company/sz/301038/301038/detail</t>
  </si>
  <si>
    <t>百奥泰</t>
  </si>
  <si>
    <t>www.lixinger.com/analytics/company/sh/688177/688177/detail</t>
  </si>
  <si>
    <t>奥园美谷</t>
  </si>
  <si>
    <t>www.lixinger.com/analytics/company/sz/000615/615/detail</t>
  </si>
  <si>
    <t>武汉凡谷</t>
  </si>
  <si>
    <t>www.lixinger.com/analytics/company/sz/002194/2194/detail</t>
  </si>
  <si>
    <t>华旺科技</t>
  </si>
  <si>
    <t>www.lixinger.com/analytics/company/sh/605377/605377/detail</t>
  </si>
  <si>
    <t>福建金森</t>
  </si>
  <si>
    <t>www.lixinger.com/analytics/company/sz/002679/2679/detail</t>
  </si>
  <si>
    <t>世名科技</t>
  </si>
  <si>
    <t>www.lixinger.com/analytics/company/sz/300522/300522/detail</t>
  </si>
  <si>
    <t>海峡环保</t>
  </si>
  <si>
    <t>www.lixinger.com/analytics/company/sh/603817/603817/detail</t>
  </si>
  <si>
    <t>万胜智能</t>
  </si>
  <si>
    <t>www.lixinger.com/analytics/company/sz/300882/300882/detail</t>
  </si>
  <si>
    <t>达华智能</t>
  </si>
  <si>
    <t>www.lixinger.com/analytics/company/sz/002512/2512/detail</t>
  </si>
  <si>
    <t>深纺织Ａ</t>
  </si>
  <si>
    <t>www.lixinger.com/analytics/company/sz/000045/45/detail</t>
  </si>
  <si>
    <t>卡倍亿</t>
  </si>
  <si>
    <t>www.lixinger.com/analytics/company/sz/300863/300863/detail</t>
  </si>
  <si>
    <t>能科科技</t>
  </si>
  <si>
    <t>www.lixinger.com/analytics/company/sh/603859/603859/detail</t>
  </si>
  <si>
    <t>武进不锈</t>
  </si>
  <si>
    <t>www.lixinger.com/analytics/company/sh/603878/603878/detail</t>
  </si>
  <si>
    <t>立高食品</t>
  </si>
  <si>
    <t>www.lixinger.com/analytics/company/sz/300973/300973/detail</t>
  </si>
  <si>
    <t>任子行</t>
  </si>
  <si>
    <t>www.lixinger.com/analytics/company/sz/300311/300311/detail</t>
  </si>
  <si>
    <t>广生堂</t>
  </si>
  <si>
    <t>www.lixinger.com/analytics/company/sz/300436/300436/detail</t>
  </si>
  <si>
    <t>晶雪节能</t>
  </si>
  <si>
    <t>www.lixinger.com/analytics/company/sz/301010/301010/detail</t>
  </si>
  <si>
    <t>兆威机电</t>
  </si>
  <si>
    <t>www.lixinger.com/analytics/company/sz/003021/3021/detail</t>
  </si>
  <si>
    <t>星云股份</t>
  </si>
  <si>
    <t>www.lixinger.com/analytics/company/sz/300648/300648/detail</t>
  </si>
  <si>
    <t>鼎汉技术</t>
  </si>
  <si>
    <t>www.lixinger.com/analytics/company/sz/300011/300011/detail</t>
  </si>
  <si>
    <t>白云机场</t>
  </si>
  <si>
    <t>www.lixinger.com/analytics/company/sh/600004/600004/detail</t>
  </si>
  <si>
    <t>严牌股份</t>
  </si>
  <si>
    <t>www.lixinger.com/analytics/company/sz/301081/301081/detail</t>
  </si>
  <si>
    <t>铁流股份</t>
  </si>
  <si>
    <t>www.lixinger.com/analytics/company/sh/603926/603926/detail</t>
  </si>
  <si>
    <t>冠盛股份</t>
  </si>
  <si>
    <t>www.lixinger.com/analytics/company/sh/605088/605088/detail</t>
  </si>
  <si>
    <t>瑞可达</t>
  </si>
  <si>
    <t>www.lixinger.com/analytics/company/sh/688800/688800/detail</t>
  </si>
  <si>
    <t>长盛轴承</t>
  </si>
  <si>
    <t>www.lixinger.com/analytics/company/sz/300718/300718/detail</t>
  </si>
  <si>
    <t>厦钨新能</t>
  </si>
  <si>
    <t>www.lixinger.com/analytics/company/sh/688778/688778/detail</t>
  </si>
  <si>
    <t>久日新材</t>
  </si>
  <si>
    <t>www.lixinger.com/analytics/company/sh/688199/688199/detail</t>
  </si>
  <si>
    <t>神马电力</t>
  </si>
  <si>
    <t>www.lixinger.com/analytics/company/sh/603530/603530/detail</t>
  </si>
  <si>
    <t>苏博特</t>
  </si>
  <si>
    <t>www.lixinger.com/analytics/company/sh/603916/603916/detail</t>
  </si>
  <si>
    <t>维康药业</t>
  </si>
  <si>
    <t>www.lixinger.com/analytics/company/sz/300878/300878/detail</t>
  </si>
  <si>
    <t>山东墨龙</t>
  </si>
  <si>
    <t>www.lixinger.com/analytics/company/sz/002490/2490/detail</t>
  </si>
  <si>
    <t>嵘泰股份</t>
  </si>
  <si>
    <t>www.lixinger.com/analytics/company/sh/605133/605133/detail</t>
  </si>
  <si>
    <t>声光电科</t>
  </si>
  <si>
    <t>www.lixinger.com/analytics/company/sh/600877/600877/detail</t>
  </si>
  <si>
    <t>星网宇达</t>
  </si>
  <si>
    <t>www.lixinger.com/analytics/company/sz/002829/2829/detail</t>
  </si>
  <si>
    <t>秀强股份</t>
  </si>
  <si>
    <t>www.lixinger.com/analytics/company/sz/300160/300160/detail</t>
  </si>
  <si>
    <t>正和生态</t>
  </si>
  <si>
    <t>www.lixinger.com/analytics/company/sh/605069/605069/detail</t>
  </si>
  <si>
    <t>洁美科技</t>
  </si>
  <si>
    <t>www.lixinger.com/analytics/company/sz/002859/2859/detail</t>
  </si>
  <si>
    <t>恒大高新</t>
  </si>
  <si>
    <t>www.lixinger.com/analytics/company/sz/002591/2591/detail</t>
  </si>
  <si>
    <t>北京利尔</t>
  </si>
  <si>
    <t>www.lixinger.com/analytics/company/sz/002392/2392/detail</t>
  </si>
  <si>
    <t>华兰生物</t>
  </si>
  <si>
    <t>www.lixinger.com/analytics/company/sz/002007/2007/detail</t>
  </si>
  <si>
    <t>福莱蒽特</t>
  </si>
  <si>
    <t>www.lixinger.com/analytics/company/sh/605566/605566/detail</t>
  </si>
  <si>
    <t>均普智能</t>
  </si>
  <si>
    <t>www.lixinger.com/analytics/company/sh/688306/688306/detail</t>
  </si>
  <si>
    <t>可靠股份</t>
  </si>
  <si>
    <t>www.lixinger.com/analytics/company/sz/301009/301009/detail</t>
  </si>
  <si>
    <t>水星家纺</t>
  </si>
  <si>
    <t>www.lixinger.com/analytics/company/sh/603365/603365/detail</t>
  </si>
  <si>
    <t>空港股份</t>
  </si>
  <si>
    <t>www.lixinger.com/analytics/company/sh/600463/600463/detail</t>
  </si>
  <si>
    <t>和达科技</t>
  </si>
  <si>
    <t>www.lixinger.com/analytics/company/sh/688296/688296/detail</t>
  </si>
  <si>
    <t>*ST沈机</t>
  </si>
  <si>
    <t>www.lixinger.com/analytics/company/sz/000410/410/detail</t>
  </si>
  <si>
    <t>万和电气</t>
  </si>
  <si>
    <t>www.lixinger.com/analytics/company/sz/002543/2543/detail</t>
  </si>
  <si>
    <t>大地海洋</t>
  </si>
  <si>
    <t>www.lixinger.com/analytics/company/sz/301068/301068/detail</t>
  </si>
  <si>
    <t>豪森股份</t>
  </si>
  <si>
    <t>www.lixinger.com/analytics/company/sh/688529/688529/detail</t>
  </si>
  <si>
    <t>奥康国际</t>
  </si>
  <si>
    <t>www.lixinger.com/analytics/company/sh/603001/603001/detail</t>
  </si>
  <si>
    <t>中富通</t>
  </si>
  <si>
    <t>www.lixinger.com/analytics/company/sz/300560/300560/detail</t>
  </si>
  <si>
    <t>奥士康</t>
  </si>
  <si>
    <t>www.lixinger.com/analytics/company/sz/002913/2913/detail</t>
  </si>
  <si>
    <t>金桥信息</t>
  </si>
  <si>
    <t>www.lixinger.com/analytics/company/sh/603918/603918/detail</t>
  </si>
  <si>
    <t>海能达</t>
  </si>
  <si>
    <t>www.lixinger.com/analytics/company/sz/002583/2583/detail</t>
  </si>
  <si>
    <t>兄弟科技</t>
  </si>
  <si>
    <t>www.lixinger.com/analytics/company/sz/002562/2562/detail</t>
  </si>
  <si>
    <t>龙利得</t>
  </si>
  <si>
    <t>www.lixinger.com/analytics/company/sz/300883/300883/detail</t>
  </si>
  <si>
    <t>天目湖</t>
  </si>
  <si>
    <t>www.lixinger.com/analytics/company/sh/603136/603136/detail</t>
  </si>
  <si>
    <t>深赛格B</t>
  </si>
  <si>
    <t>www.lixinger.com/analytics/company/sz/200058/200058/detail</t>
  </si>
  <si>
    <t>恒通股份</t>
  </si>
  <si>
    <t>www.lixinger.com/analytics/company/sh/603223/603223/detail</t>
  </si>
  <si>
    <t>航新科技</t>
  </si>
  <si>
    <t>www.lixinger.com/analytics/company/sz/300424/300424/detail</t>
  </si>
  <si>
    <t>天润工业</t>
  </si>
  <si>
    <t>www.lixinger.com/analytics/company/sz/002283/2283/detail</t>
  </si>
  <si>
    <t>瑞鹄模具</t>
  </si>
  <si>
    <t>www.lixinger.com/analytics/company/sz/002997/2997/detail</t>
  </si>
  <si>
    <t>乐惠国际</t>
  </si>
  <si>
    <t>www.lixinger.com/analytics/company/sh/603076/603076/detail</t>
  </si>
  <si>
    <t>泽璟制药</t>
  </si>
  <si>
    <t>www.lixinger.com/analytics/company/sh/688266/688266/detail</t>
  </si>
  <si>
    <t>国星光电</t>
  </si>
  <si>
    <t>www.lixinger.com/analytics/company/sz/002449/2449/detail</t>
  </si>
  <si>
    <t>国泰集团</t>
  </si>
  <si>
    <t>www.lixinger.com/analytics/company/sh/603977/603977/detail</t>
  </si>
  <si>
    <t>通策医疗</t>
  </si>
  <si>
    <t>www.lixinger.com/analytics/company/sh/600763/600763/detail</t>
  </si>
  <si>
    <t>通源环境</t>
  </si>
  <si>
    <t>www.lixinger.com/analytics/company/sh/688679/688679/detail</t>
  </si>
  <si>
    <t>华兰疫苗</t>
  </si>
  <si>
    <t>www.lixinger.com/analytics/company/sz/301207/301207/detail</t>
  </si>
  <si>
    <t>美邦股份</t>
  </si>
  <si>
    <t>www.lixinger.com/analytics/company/sh/605033/605033/detail</t>
  </si>
  <si>
    <t>共同药业</t>
  </si>
  <si>
    <t>www.lixinger.com/analytics/company/sz/300966/300966/detail</t>
  </si>
  <si>
    <t>日海智能</t>
  </si>
  <si>
    <t>www.lixinger.com/analytics/company/sz/002313/2313/detail</t>
  </si>
  <si>
    <t>山大地纬</t>
  </si>
  <si>
    <t>www.lixinger.com/analytics/company/sh/688579/688579/detail</t>
  </si>
  <si>
    <t>海创药业</t>
  </si>
  <si>
    <t>www.lixinger.com/analytics/company/sh/688302/688302/detail</t>
  </si>
  <si>
    <t>松炀资源</t>
  </si>
  <si>
    <t>www.lixinger.com/analytics/company/sh/603863/603863/detail</t>
  </si>
  <si>
    <t>*ST星星</t>
  </si>
  <si>
    <t>www.lixinger.com/analytics/company/sz/300256/300256/detail</t>
  </si>
  <si>
    <t>天鹅股份</t>
  </si>
  <si>
    <t>www.lixinger.com/analytics/company/sh/603029/603029/detail</t>
  </si>
  <si>
    <t>宁波联合</t>
  </si>
  <si>
    <t>www.lixinger.com/analytics/company/sh/600051/600051/detail</t>
  </si>
  <si>
    <t>瑞华泰</t>
  </si>
  <si>
    <t>www.lixinger.com/analytics/company/sh/688323/688323/detail</t>
  </si>
  <si>
    <t>深圳瑞捷</t>
  </si>
  <si>
    <t>www.lixinger.com/analytics/company/sz/300977/300977/detail</t>
  </si>
  <si>
    <t>甘肃电投</t>
  </si>
  <si>
    <t>www.lixinger.com/analytics/company/sz/000791/791/detail</t>
  </si>
  <si>
    <t>普冉股份</t>
  </si>
  <si>
    <t>www.lixinger.com/analytics/company/sh/688766/688766/detail</t>
  </si>
  <si>
    <t>正帆科技</t>
  </si>
  <si>
    <t>www.lixinger.com/analytics/company/sh/688596/688596/detail</t>
  </si>
  <si>
    <t>万控智造</t>
  </si>
  <si>
    <t>www.lixinger.com/analytics/company/sh/603070/603070/detail</t>
  </si>
  <si>
    <t>湘佳股份</t>
  </si>
  <si>
    <t>www.lixinger.com/analytics/company/sz/002982/2982/detail</t>
  </si>
  <si>
    <t>汇绿生态</t>
  </si>
  <si>
    <t>www.lixinger.com/analytics/company/sz/001267/1267/detail</t>
  </si>
  <si>
    <t>弘讯科技</t>
  </si>
  <si>
    <t>www.lixinger.com/analytics/company/sh/603015/603015/detail</t>
  </si>
  <si>
    <t>上海钢联</t>
  </si>
  <si>
    <t>www.lixinger.com/analytics/company/sz/300226/300226/detail</t>
  </si>
  <si>
    <t>三元股份</t>
  </si>
  <si>
    <t>www.lixinger.com/analytics/company/sh/600429/600429/detail</t>
  </si>
  <si>
    <t>方邦股份</t>
  </si>
  <si>
    <t>www.lixinger.com/analytics/company/sh/688020/688020/detail</t>
  </si>
  <si>
    <t>南微医学</t>
  </si>
  <si>
    <t>www.lixinger.com/analytics/company/sh/688029/688029/detail</t>
  </si>
  <si>
    <t>大智慧</t>
  </si>
  <si>
    <t>www.lixinger.com/analytics/company/sh/601519/601519/detail</t>
  </si>
  <si>
    <t>佳禾智能</t>
  </si>
  <si>
    <t>www.lixinger.com/analytics/company/sz/300793/300793/detail</t>
  </si>
  <si>
    <t>金一文化</t>
  </si>
  <si>
    <t>www.lixinger.com/analytics/company/sz/002721/2721/detail</t>
  </si>
  <si>
    <t>苏州龙杰</t>
  </si>
  <si>
    <t>www.lixinger.com/analytics/company/sh/603332/603332/detail</t>
  </si>
  <si>
    <t>同有科技</t>
  </si>
  <si>
    <t>www.lixinger.com/analytics/company/sz/300302/300302/detail</t>
  </si>
  <si>
    <t>聚力文化</t>
  </si>
  <si>
    <t>www.lixinger.com/analytics/company/sz/002247/2247/detail</t>
  </si>
  <si>
    <t>绿茵生态</t>
  </si>
  <si>
    <t>www.lixinger.com/analytics/company/sz/002887/2887/detail</t>
  </si>
  <si>
    <t>广东骏亚</t>
  </si>
  <si>
    <t>www.lixinger.com/analytics/company/sh/603386/603386/detail</t>
  </si>
  <si>
    <t>禾川科技</t>
  </si>
  <si>
    <t>www.lixinger.com/analytics/company/sh/688320/688320/detail</t>
  </si>
  <si>
    <t>百合花</t>
  </si>
  <si>
    <t>www.lixinger.com/analytics/company/sh/603823/603823/detail</t>
  </si>
  <si>
    <t>雅创电子</t>
  </si>
  <si>
    <t>www.lixinger.com/analytics/company/sz/301099/301099/detail</t>
  </si>
  <si>
    <t>粤海饲料</t>
  </si>
  <si>
    <t>www.lixinger.com/analytics/company/sz/001313/1313/detail</t>
  </si>
  <si>
    <t>易德龙</t>
  </si>
  <si>
    <t>www.lixinger.com/analytics/company/sh/603380/603380/detail</t>
  </si>
  <si>
    <t>南山智尚</t>
  </si>
  <si>
    <t>www.lixinger.com/analytics/company/sz/300918/300918/detail</t>
  </si>
  <si>
    <t>江龙船艇</t>
  </si>
  <si>
    <t>www.lixinger.com/analytics/company/sz/300589/300589/detail</t>
  </si>
  <si>
    <t>通程控股</t>
  </si>
  <si>
    <t>www.lixinger.com/analytics/company/sz/000419/419/detail</t>
  </si>
  <si>
    <t>海兴电力</t>
  </si>
  <si>
    <t>www.lixinger.com/analytics/company/sh/603556/603556/detail</t>
  </si>
  <si>
    <t>盛视科技</t>
  </si>
  <si>
    <t>www.lixinger.com/analytics/company/sz/002990/2990/detail</t>
  </si>
  <si>
    <t>天玑科技</t>
  </si>
  <si>
    <t>www.lixinger.com/analytics/company/sz/300245/300245/detail</t>
  </si>
  <si>
    <t>光峰科技</t>
  </si>
  <si>
    <t>www.lixinger.com/analytics/company/sh/688007/688007/detail</t>
  </si>
  <si>
    <t>希荻微</t>
  </si>
  <si>
    <t>www.lixinger.com/analytics/company/sh/688173/688173/detail</t>
  </si>
  <si>
    <t>中农联合</t>
  </si>
  <si>
    <t>www.lixinger.com/analytics/company/sz/003042/3042/detail</t>
  </si>
  <si>
    <t>江苏舜天</t>
  </si>
  <si>
    <t>www.lixinger.com/analytics/company/sh/600287/600287/detail</t>
  </si>
  <si>
    <t>仙鹤股份</t>
  </si>
  <si>
    <t>www.lixinger.com/analytics/company/sh/603733/603733/detail</t>
  </si>
  <si>
    <t>金现代</t>
  </si>
  <si>
    <t>www.lixinger.com/analytics/company/sz/300830/300830/detail</t>
  </si>
  <si>
    <t>海汽集团</t>
  </si>
  <si>
    <t>www.lixinger.com/analytics/company/sh/603069/603069/detail</t>
  </si>
  <si>
    <t>新华文轩</t>
  </si>
  <si>
    <t>www.lixinger.com/analytics/company/sh/601811/601811/detail</t>
  </si>
  <si>
    <t>晨光生物</t>
  </si>
  <si>
    <t>www.lixinger.com/analytics/company/sz/300138/300138/detail</t>
  </si>
  <si>
    <t>宋城演艺</t>
  </si>
  <si>
    <t>www.lixinger.com/analytics/company/sz/300144/300144/detail</t>
  </si>
  <si>
    <t>ST冠福</t>
  </si>
  <si>
    <t>www.lixinger.com/analytics/company/sz/002102/2102/detail</t>
  </si>
  <si>
    <t>天正电气</t>
  </si>
  <si>
    <t>www.lixinger.com/analytics/company/sh/605066/605066/detail</t>
  </si>
  <si>
    <t>益民集团</t>
  </si>
  <si>
    <t>www.lixinger.com/analytics/company/sh/600824/600824/detail</t>
  </si>
  <si>
    <t>天舟文化</t>
  </si>
  <si>
    <t>www.lixinger.com/analytics/company/sz/300148/300148/detail</t>
  </si>
  <si>
    <t>*ST华电Ｂ</t>
  </si>
  <si>
    <t>www.lixinger.com/analytics/company/sh/900937/900937/detail</t>
  </si>
  <si>
    <t>隆盛科技</t>
  </si>
  <si>
    <t>www.lixinger.com/analytics/company/sz/300680/300680/detail</t>
  </si>
  <si>
    <t>中银绒业</t>
  </si>
  <si>
    <t>www.lixinger.com/analytics/company/sz/000982/982/detail</t>
  </si>
  <si>
    <t>威腾电气</t>
  </si>
  <si>
    <t>www.lixinger.com/analytics/company/sh/688226/688226/detail</t>
  </si>
  <si>
    <t>中炬高新</t>
  </si>
  <si>
    <t>www.lixinger.com/analytics/company/sh/600872/600872/detail</t>
  </si>
  <si>
    <t>沃特股份</t>
  </si>
  <si>
    <t>www.lixinger.com/analytics/company/sz/002886/2886/detail</t>
  </si>
  <si>
    <t>康德莱</t>
  </si>
  <si>
    <t>www.lixinger.com/analytics/company/sh/603987/603987/detail</t>
  </si>
  <si>
    <t>协鑫集成</t>
  </si>
  <si>
    <t>www.lixinger.com/analytics/company/sz/002506/2506/detail</t>
  </si>
  <si>
    <t>百润股份</t>
  </si>
  <si>
    <t>www.lixinger.com/analytics/company/sz/002568/2568/detail</t>
  </si>
  <si>
    <t>光华科技</t>
  </si>
  <si>
    <t>www.lixinger.com/analytics/company/sz/002741/2741/detail</t>
  </si>
  <si>
    <t>中山公用</t>
  </si>
  <si>
    <t>www.lixinger.com/analytics/company/sz/000685/685/detail</t>
  </si>
  <si>
    <t>中新赛克</t>
  </si>
  <si>
    <t>www.lixinger.com/analytics/company/sz/002912/2912/detail</t>
  </si>
  <si>
    <t>保隆科技</t>
  </si>
  <si>
    <t>www.lixinger.com/analytics/company/sh/603197/603197/detail</t>
  </si>
  <si>
    <t>中广核技</t>
  </si>
  <si>
    <t>www.lixinger.com/analytics/company/sz/000881/881/detail</t>
  </si>
  <si>
    <t>新日恒力</t>
  </si>
  <si>
    <t>www.lixinger.com/analytics/company/sh/600165/600165/detail</t>
  </si>
  <si>
    <t>金山股份</t>
  </si>
  <si>
    <t>www.lixinger.com/analytics/company/sh/600396/600396/detail</t>
  </si>
  <si>
    <t>天喻信息</t>
  </si>
  <si>
    <t>www.lixinger.com/analytics/company/sz/300205/300205/detail</t>
  </si>
  <si>
    <t>精锻科技</t>
  </si>
  <si>
    <t>www.lixinger.com/analytics/company/sz/300258/300258/detail</t>
  </si>
  <si>
    <t>锦龙股份</t>
  </si>
  <si>
    <t>www.lixinger.com/analytics/company/sz/000712/712/detail</t>
  </si>
  <si>
    <t>皖通科技</t>
  </si>
  <si>
    <t>www.lixinger.com/analytics/company/sz/002331/2331/detail</t>
  </si>
  <si>
    <t>联诚精密</t>
  </si>
  <si>
    <t>www.lixinger.com/analytics/company/sz/002921/2921/detail</t>
  </si>
  <si>
    <t>旭升股份</t>
  </si>
  <si>
    <t>www.lixinger.com/analytics/company/sh/603305/603305/detail</t>
  </si>
  <si>
    <t>华帝股份</t>
  </si>
  <si>
    <t>www.lixinger.com/analytics/company/sz/002035/2035/detail</t>
  </si>
  <si>
    <t>*ST盈方</t>
  </si>
  <si>
    <t>www.lixinger.com/analytics/company/sz/000670/670/detail</t>
  </si>
  <si>
    <t>宁波东力</t>
  </si>
  <si>
    <t>www.lixinger.com/analytics/company/sz/002164/2164/detail</t>
  </si>
  <si>
    <t>宝丽迪</t>
  </si>
  <si>
    <t>www.lixinger.com/analytics/company/sz/300905/300905/detail</t>
  </si>
  <si>
    <t>维维股份</t>
  </si>
  <si>
    <t>www.lixinger.com/analytics/company/sh/600300/600300/detail</t>
  </si>
  <si>
    <t>海特生物</t>
  </si>
  <si>
    <t>www.lixinger.com/analytics/company/sz/300683/300683/detail</t>
  </si>
  <si>
    <t>新天绿能</t>
  </si>
  <si>
    <t>www.lixinger.com/analytics/company/sh/600956/600956/detail</t>
  </si>
  <si>
    <t>鲁泰Ａ</t>
  </si>
  <si>
    <t>www.lixinger.com/analytics/company/sz/000726/726/detail</t>
  </si>
  <si>
    <t>牧高笛</t>
  </si>
  <si>
    <t>www.lixinger.com/analytics/company/sh/603908/603908/detail</t>
  </si>
  <si>
    <t>中远海科</t>
  </si>
  <si>
    <t>www.lixinger.com/analytics/company/sz/002401/2401/detail</t>
  </si>
  <si>
    <t>交运股份</t>
  </si>
  <si>
    <t>www.lixinger.com/analytics/company/sh/600676/600676/detail</t>
  </si>
  <si>
    <t>国芯科技</t>
  </si>
  <si>
    <t>www.lixinger.com/analytics/company/sh/688262/688262/detail</t>
  </si>
  <si>
    <t>长光华芯</t>
  </si>
  <si>
    <t>www.lixinger.com/analytics/company/sh/688048/688048/detail</t>
  </si>
  <si>
    <t>ST和佳</t>
  </si>
  <si>
    <t>www.lixinger.com/analytics/company/sz/300273/300273/detail</t>
  </si>
  <si>
    <t>洪兴股份</t>
  </si>
  <si>
    <t>www.lixinger.com/analytics/company/sz/001209/1209/detail</t>
  </si>
  <si>
    <t>森林包装</t>
  </si>
  <si>
    <t>www.lixinger.com/analytics/company/sh/605500/605500/detail</t>
  </si>
  <si>
    <t>振华科技</t>
  </si>
  <si>
    <t>www.lixinger.com/analytics/company/sz/000733/733/detail</t>
  </si>
  <si>
    <t>健麾信息</t>
  </si>
  <si>
    <t>www.lixinger.com/analytics/company/sh/605186/605186/detail</t>
  </si>
  <si>
    <t>千金药业</t>
  </si>
  <si>
    <t>www.lixinger.com/analytics/company/sh/600479/600479/detail</t>
  </si>
  <si>
    <t>科华数据</t>
  </si>
  <si>
    <t>www.lixinger.com/analytics/company/sz/002335/2335/detail</t>
  </si>
  <si>
    <t>恒顺醋业</t>
  </si>
  <si>
    <t>www.lixinger.com/analytics/company/sh/600305/600305/detail</t>
  </si>
  <si>
    <t>上海贝岭</t>
  </si>
  <si>
    <t>www.lixinger.com/analytics/company/sh/600171/600171/detail</t>
  </si>
  <si>
    <t>保立佳</t>
  </si>
  <si>
    <t>www.lixinger.com/analytics/company/sz/301037/301037/detail</t>
  </si>
  <si>
    <t>晋控煤业</t>
  </si>
  <si>
    <t>www.lixinger.com/analytics/company/sh/601001/601001/detail</t>
  </si>
  <si>
    <t>云南旅游</t>
  </si>
  <si>
    <t>www.lixinger.com/analytics/company/sz/002059/2059/detail</t>
  </si>
  <si>
    <t>嘉澳环保</t>
  </si>
  <si>
    <t>www.lixinger.com/analytics/company/sh/603822/603822/detail</t>
  </si>
  <si>
    <t>苏常柴Ｂ</t>
  </si>
  <si>
    <t>www.lixinger.com/analytics/company/sz/200570/200570/detail</t>
  </si>
  <si>
    <t>天润乳业</t>
  </si>
  <si>
    <t>www.lixinger.com/analytics/company/sh/600419/600419/detail</t>
  </si>
  <si>
    <t>艾比森</t>
  </si>
  <si>
    <t>www.lixinger.com/analytics/company/sz/300389/300389/detail</t>
  </si>
  <si>
    <t>国恩股份</t>
  </si>
  <si>
    <t>www.lixinger.com/analytics/company/sz/002768/2768/detail</t>
  </si>
  <si>
    <t>震安科技</t>
  </si>
  <si>
    <t>www.lixinger.com/analytics/company/sz/300767/300767/detail</t>
  </si>
  <si>
    <t>美晨生态</t>
  </si>
  <si>
    <t>www.lixinger.com/analytics/company/sz/300237/300237/detail</t>
  </si>
  <si>
    <t>万事利</t>
  </si>
  <si>
    <t>www.lixinger.com/analytics/company/sz/301066/301066/detail</t>
  </si>
  <si>
    <t>竞业达</t>
  </si>
  <si>
    <t>www.lixinger.com/analytics/company/sz/003005/3005/detail</t>
  </si>
  <si>
    <t>嘉诚国际</t>
  </si>
  <si>
    <t>www.lixinger.com/analytics/company/sh/603535/603535/detail</t>
  </si>
  <si>
    <t>菲林格尔</t>
  </si>
  <si>
    <t>www.lixinger.com/analytics/company/sh/603226/603226/detail</t>
  </si>
  <si>
    <t>康跃科技</t>
  </si>
  <si>
    <t>www.lixinger.com/analytics/company/sz/300391/300391/detail</t>
  </si>
  <si>
    <t>贝瑞基因</t>
  </si>
  <si>
    <t>www.lixinger.com/analytics/company/sz/000710/710/detail</t>
  </si>
  <si>
    <t>宁波富达</t>
  </si>
  <si>
    <t>www.lixinger.com/analytics/company/sh/600724/600724/detail</t>
  </si>
  <si>
    <t>龙头股份</t>
  </si>
  <si>
    <t>www.lixinger.com/analytics/company/sh/600630/600630/detail</t>
  </si>
  <si>
    <t>钢研纳克</t>
  </si>
  <si>
    <t>www.lixinger.com/analytics/company/sz/300797/300797/detail</t>
  </si>
  <si>
    <t>温州宏丰</t>
  </si>
  <si>
    <t>www.lixinger.com/analytics/company/sz/300283/300283/detail</t>
  </si>
  <si>
    <t>天海防务</t>
  </si>
  <si>
    <t>www.lixinger.com/analytics/company/sz/300008/300008/detail</t>
  </si>
  <si>
    <t>长龄液压</t>
  </si>
  <si>
    <t>www.lixinger.com/analytics/company/sh/605389/605389/detail</t>
  </si>
  <si>
    <t>苏利股份</t>
  </si>
  <si>
    <t>www.lixinger.com/analytics/company/sh/603585/603585/detail</t>
  </si>
  <si>
    <t>欢乐家</t>
  </si>
  <si>
    <t>www.lixinger.com/analytics/company/sz/300997/300997/detail</t>
  </si>
  <si>
    <t>凌钢股份</t>
  </si>
  <si>
    <t>www.lixinger.com/analytics/company/sh/600231/600231/detail</t>
  </si>
  <si>
    <t>征和工业</t>
  </si>
  <si>
    <t>www.lixinger.com/analytics/company/sz/003033/3033/detail</t>
  </si>
  <si>
    <t>华锐精密</t>
  </si>
  <si>
    <t>www.lixinger.com/analytics/company/sh/688059/688059/detail</t>
  </si>
  <si>
    <t>深纺织Ｂ</t>
  </si>
  <si>
    <t>www.lixinger.com/analytics/company/sz/200045/200045/detail</t>
  </si>
  <si>
    <t>晓鸣股份</t>
  </si>
  <si>
    <t>www.lixinger.com/analytics/company/sz/300967/300967/detail</t>
  </si>
  <si>
    <t>筑博设计</t>
  </si>
  <si>
    <t>www.lixinger.com/analytics/company/sz/300564/300564/detail</t>
  </si>
  <si>
    <t>金辰股份</t>
  </si>
  <si>
    <t>www.lixinger.com/analytics/company/sh/603396/603396/detail</t>
  </si>
  <si>
    <t>国新健康</t>
  </si>
  <si>
    <t>www.lixinger.com/analytics/company/sz/000503/503/detail</t>
  </si>
  <si>
    <t>华神科技</t>
  </si>
  <si>
    <t>www.lixinger.com/analytics/company/sz/000790/790/detail</t>
  </si>
  <si>
    <t>天永智能</t>
  </si>
  <si>
    <t>www.lixinger.com/analytics/company/sh/603895/603895/detail</t>
  </si>
  <si>
    <t>华特气体</t>
  </si>
  <si>
    <t>www.lixinger.com/analytics/company/sh/688268/688268/detail</t>
  </si>
  <si>
    <t>航锦科技</t>
  </si>
  <si>
    <t>www.lixinger.com/analytics/company/sz/000818/818/detail</t>
  </si>
  <si>
    <t>科思股份</t>
  </si>
  <si>
    <t>www.lixinger.com/analytics/company/sz/300856/300856/detail</t>
  </si>
  <si>
    <t>晋西车轴</t>
  </si>
  <si>
    <t>www.lixinger.com/analytics/company/sh/600495/600495/detail</t>
  </si>
  <si>
    <t>宝明科技</t>
  </si>
  <si>
    <t>www.lixinger.com/analytics/company/sz/002992/2992/detail</t>
  </si>
  <si>
    <t>联合光电</t>
  </si>
  <si>
    <t>www.lixinger.com/analytics/company/sz/300691/300691/detail</t>
  </si>
  <si>
    <t>优刻得</t>
  </si>
  <si>
    <t>www.lixinger.com/analytics/company/sh/688158/688158/detail</t>
  </si>
  <si>
    <t>鼎龙文化</t>
  </si>
  <si>
    <t>www.lixinger.com/analytics/company/sz/002502/2502/detail</t>
  </si>
  <si>
    <t>法狮龙</t>
  </si>
  <si>
    <t>www.lixinger.com/analytics/company/sh/605318/605318/detail</t>
  </si>
  <si>
    <t>海辰药业</t>
  </si>
  <si>
    <t>www.lixinger.com/analytics/company/sz/300584/300584/detail</t>
  </si>
  <si>
    <t>科创信息</t>
  </si>
  <si>
    <t>www.lixinger.com/analytics/company/sz/300730/300730/detail</t>
  </si>
  <si>
    <t>建研院</t>
  </si>
  <si>
    <t>www.lixinger.com/analytics/company/sh/603183/603183/detail</t>
  </si>
  <si>
    <t>台华新材</t>
  </si>
  <si>
    <t>www.lixinger.com/analytics/company/sh/603055/603055/detail</t>
  </si>
  <si>
    <t>七彩化学</t>
  </si>
  <si>
    <t>www.lixinger.com/analytics/company/sz/300758/300758/detail</t>
  </si>
  <si>
    <t>东阳光</t>
  </si>
  <si>
    <t>www.lixinger.com/analytics/company/sh/600673/600673/detail</t>
  </si>
  <si>
    <t>新锐股份</t>
  </si>
  <si>
    <t>www.lixinger.com/analytics/company/sh/688257/688257/detail</t>
  </si>
  <si>
    <t>和仁科技</t>
  </si>
  <si>
    <t>www.lixinger.com/analytics/company/sz/300550/300550/detail</t>
  </si>
  <si>
    <t>延华智能</t>
  </si>
  <si>
    <t>www.lixinger.com/analytics/company/sz/002178/2178/detail</t>
  </si>
  <si>
    <t>罗博特科</t>
  </si>
  <si>
    <t>www.lixinger.com/analytics/company/sz/300757/300757/detail</t>
  </si>
  <si>
    <t>郴电国际</t>
  </si>
  <si>
    <t>www.lixinger.com/analytics/company/sh/600969/600969/detail</t>
  </si>
  <si>
    <t>宏和科技</t>
  </si>
  <si>
    <t>www.lixinger.com/analytics/company/sh/603256/603256/detail</t>
  </si>
  <si>
    <t>ST熊猫</t>
  </si>
  <si>
    <t>www.lixinger.com/analytics/company/sh/600599/600599/detail</t>
  </si>
  <si>
    <t>南新制药</t>
  </si>
  <si>
    <t>www.lixinger.com/analytics/company/sh/688189/688189/detail</t>
  </si>
  <si>
    <t>三诺生物</t>
  </si>
  <si>
    <t>www.lixinger.com/analytics/company/sz/300298/300298/detail</t>
  </si>
  <si>
    <t>江海股份</t>
  </si>
  <si>
    <t>www.lixinger.com/analytics/company/sz/002484/2484/detail</t>
  </si>
  <si>
    <t>新炬网络</t>
  </si>
  <si>
    <t>www.lixinger.com/analytics/company/sh/605398/605398/detail</t>
  </si>
  <si>
    <t>兆易创新</t>
  </si>
  <si>
    <t>www.lixinger.com/analytics/company/sh/603986/603986/detail</t>
  </si>
  <si>
    <t>建艺集团</t>
  </si>
  <si>
    <t>www.lixinger.com/analytics/company/sz/002789/2789/detail</t>
  </si>
  <si>
    <t>安诺其</t>
  </si>
  <si>
    <t>www.lixinger.com/analytics/company/sz/300067/300067/detail</t>
  </si>
  <si>
    <t>永安行</t>
  </si>
  <si>
    <t>www.lixinger.com/analytics/company/sh/603776/603776/detail</t>
  </si>
  <si>
    <t>中材节能</t>
  </si>
  <si>
    <t>www.lixinger.com/analytics/company/sh/603126/603126/detail</t>
  </si>
  <si>
    <t>侨银股份</t>
  </si>
  <si>
    <t>www.lixinger.com/analytics/company/sz/002973/2973/detail</t>
  </si>
  <si>
    <t>华强科技</t>
  </si>
  <si>
    <t>www.lixinger.com/analytics/company/sh/688151/688151/detail</t>
  </si>
  <si>
    <t>金奥博</t>
  </si>
  <si>
    <t>www.lixinger.com/analytics/company/sz/002917/2917/detail</t>
  </si>
  <si>
    <t>山东矿机</t>
  </si>
  <si>
    <t>www.lixinger.com/analytics/company/sz/002526/2526/detail</t>
  </si>
  <si>
    <t>风光股份</t>
  </si>
  <si>
    <t>www.lixinger.com/analytics/company/sz/301100/301100/detail</t>
  </si>
  <si>
    <t>斯瑞新材</t>
  </si>
  <si>
    <t>www.lixinger.com/analytics/company/sh/688102/688102/detail</t>
  </si>
  <si>
    <t>丝路视觉</t>
  </si>
  <si>
    <t>www.lixinger.com/analytics/company/sz/300556/300556/detail</t>
  </si>
  <si>
    <t>赛意信息</t>
  </si>
  <si>
    <t>www.lixinger.com/analytics/company/sz/300687/300687/detail</t>
  </si>
  <si>
    <t>深科达</t>
  </si>
  <si>
    <t>www.lixinger.com/analytics/company/sh/688328/688328/detail</t>
  </si>
  <si>
    <t>长春燃气</t>
  </si>
  <si>
    <t>www.lixinger.com/analytics/company/sh/600333/600333/detail</t>
  </si>
  <si>
    <t>延江股份</t>
  </si>
  <si>
    <t>www.lixinger.com/analytics/company/sz/300658/300658/detail</t>
  </si>
  <si>
    <t>嘉化能源</t>
  </si>
  <si>
    <t>www.lixinger.com/analytics/company/sh/600273/600273/detail</t>
  </si>
  <si>
    <t>理工能科</t>
  </si>
  <si>
    <t>www.lixinger.com/analytics/company/sz/002322/2322/detail</t>
  </si>
  <si>
    <t>兴业股份</t>
  </si>
  <si>
    <t>www.lixinger.com/analytics/company/sh/603928/603928/detail</t>
  </si>
  <si>
    <t>迦南科技</t>
  </si>
  <si>
    <t>www.lixinger.com/analytics/company/sz/300412/300412/detail</t>
  </si>
  <si>
    <t>和元生物</t>
  </si>
  <si>
    <t>www.lixinger.com/analytics/company/sh/688238/688238/detail</t>
  </si>
  <si>
    <t>金石资源</t>
  </si>
  <si>
    <t>www.lixinger.com/analytics/company/sh/603505/603505/detail</t>
  </si>
  <si>
    <t>长阳科技</t>
  </si>
  <si>
    <t>www.lixinger.com/analytics/company/sh/688299/688299/detail</t>
  </si>
  <si>
    <t>飞荣达</t>
  </si>
  <si>
    <t>www.lixinger.com/analytics/company/sz/300602/300602/detail</t>
  </si>
  <si>
    <t>飞利信</t>
  </si>
  <si>
    <t>www.lixinger.com/analytics/company/sz/300287/300287/detail</t>
  </si>
  <si>
    <t>远大智能</t>
  </si>
  <si>
    <t>www.lixinger.com/analytics/company/sz/002689/2689/detail</t>
  </si>
  <si>
    <t>前沿生物</t>
  </si>
  <si>
    <t>www.lixinger.com/analytics/company/sh/688221/688221/detail</t>
  </si>
  <si>
    <t>阳光城</t>
  </si>
  <si>
    <t>www.lixinger.com/analytics/company/sz/000671/671/detail</t>
  </si>
  <si>
    <t>华荣股份</t>
  </si>
  <si>
    <t>www.lixinger.com/analytics/company/sh/603855/603855/detail</t>
  </si>
  <si>
    <t>盛新锂能</t>
  </si>
  <si>
    <t>www.lixinger.com/analytics/company/sz/002240/2240/detail</t>
  </si>
  <si>
    <t>三元生物</t>
  </si>
  <si>
    <t>www.lixinger.com/analytics/company/sz/301206/301206/detail</t>
  </si>
  <si>
    <t>艾为电子</t>
  </si>
  <si>
    <t>www.lixinger.com/analytics/company/sh/688798/688798/detail</t>
  </si>
  <si>
    <t>博俊科技</t>
  </si>
  <si>
    <t>www.lixinger.com/analytics/company/sz/300926/300926/detail</t>
  </si>
  <si>
    <t>古越龙山</t>
  </si>
  <si>
    <t>www.lixinger.com/analytics/company/sh/600059/600059/detail</t>
  </si>
  <si>
    <t>新柴股份</t>
  </si>
  <si>
    <t>www.lixinger.com/analytics/company/sz/301032/301032/detail</t>
  </si>
  <si>
    <t>禾信仪器</t>
  </si>
  <si>
    <t>www.lixinger.com/analytics/company/sh/688622/688622/detail</t>
  </si>
  <si>
    <t>华光新材</t>
  </si>
  <si>
    <t>www.lixinger.com/analytics/company/sh/688379/688379/detail</t>
  </si>
  <si>
    <t>广百股份</t>
  </si>
  <si>
    <t>www.lixinger.com/analytics/company/sz/002187/2187/detail</t>
  </si>
  <si>
    <t>金智科技</t>
  </si>
  <si>
    <t>www.lixinger.com/analytics/company/sz/002090/2090/detail</t>
  </si>
  <si>
    <t>创新医疗</t>
  </si>
  <si>
    <t>www.lixinger.com/analytics/company/sz/002173/2173/detail</t>
  </si>
  <si>
    <t>会通股份</t>
  </si>
  <si>
    <t>www.lixinger.com/analytics/company/sh/688219/688219/detail</t>
  </si>
  <si>
    <t>旭光电子</t>
  </si>
  <si>
    <t>www.lixinger.com/analytics/company/sh/600353/600353/detail</t>
  </si>
  <si>
    <t>加加食品</t>
  </si>
  <si>
    <t>www.lixinger.com/analytics/company/sz/002650/2650/detail</t>
  </si>
  <si>
    <t>上海新阳</t>
  </si>
  <si>
    <t>www.lixinger.com/analytics/company/sz/300236/300236/detail</t>
  </si>
  <si>
    <t>古鳌科技</t>
  </si>
  <si>
    <t>www.lixinger.com/analytics/company/sz/300551/300551/detail</t>
  </si>
  <si>
    <t>奥福环保</t>
  </si>
  <si>
    <t>www.lixinger.com/analytics/company/sh/688021/688021/detail</t>
  </si>
  <si>
    <t>软控股份</t>
  </si>
  <si>
    <t>www.lixinger.com/analytics/company/sz/002073/2073/detail</t>
  </si>
  <si>
    <t>线上线下</t>
  </si>
  <si>
    <t>www.lixinger.com/analytics/company/sz/300959/300959/detail</t>
  </si>
  <si>
    <t>正元地信</t>
  </si>
  <si>
    <t>www.lixinger.com/analytics/company/sh/688509/688509/detail</t>
  </si>
  <si>
    <t>凯龙高科</t>
  </si>
  <si>
    <t>www.lixinger.com/analytics/company/sz/300912/300912/detail</t>
  </si>
  <si>
    <t>新澳股份</t>
  </si>
  <si>
    <t>www.lixinger.com/analytics/company/sh/603889/603889/detail</t>
  </si>
  <si>
    <t>引力传媒</t>
  </si>
  <si>
    <t>www.lixinger.com/analytics/company/sh/603598/603598/detail</t>
  </si>
  <si>
    <t>博众精工</t>
  </si>
  <si>
    <t>www.lixinger.com/analytics/company/sh/688097/688097/detail</t>
  </si>
  <si>
    <t>铜冠铜箔</t>
  </si>
  <si>
    <t>www.lixinger.com/analytics/company/sz/301217/301217/detail</t>
  </si>
  <si>
    <t>瑞丰高材</t>
  </si>
  <si>
    <t>www.lixinger.com/analytics/company/sz/300243/300243/detail</t>
  </si>
  <si>
    <t>醋化股份</t>
  </si>
  <si>
    <t>www.lixinger.com/analytics/company/sh/603968/603968/detail</t>
  </si>
  <si>
    <t>农尚环境</t>
  </si>
  <si>
    <t>www.lixinger.com/analytics/company/sz/300536/300536/detail</t>
  </si>
  <si>
    <t>英杰电气</t>
  </si>
  <si>
    <t>www.lixinger.com/analytics/company/sz/300820/300820/detail</t>
  </si>
  <si>
    <t>美好置业</t>
  </si>
  <si>
    <t>www.lixinger.com/analytics/company/sz/000667/667/detail</t>
  </si>
  <si>
    <t>中胤时尚</t>
  </si>
  <si>
    <t>www.lixinger.com/analytics/company/sz/300901/300901/detail</t>
  </si>
  <si>
    <t>恒润股份</t>
  </si>
  <si>
    <t>www.lixinger.com/analytics/company/sh/603985/603985/detail</t>
  </si>
  <si>
    <t>大立科技</t>
  </si>
  <si>
    <t>www.lixinger.com/analytics/company/sz/002214/2214/detail</t>
  </si>
  <si>
    <t>蓝光发展</t>
  </si>
  <si>
    <t>www.lixinger.com/analytics/company/sh/600466/600466/detail</t>
  </si>
  <si>
    <t>富春染织</t>
  </si>
  <si>
    <t>www.lixinger.com/analytics/company/sh/605189/605189/detail</t>
  </si>
  <si>
    <t>丸美股份</t>
  </si>
  <si>
    <t>www.lixinger.com/analytics/company/sh/603983/603983/detail</t>
  </si>
  <si>
    <t>通达电气</t>
  </si>
  <si>
    <t>www.lixinger.com/analytics/company/sh/603390/603390/detail</t>
  </si>
  <si>
    <t>金春股份</t>
  </si>
  <si>
    <t>www.lixinger.com/analytics/company/sz/300877/300877/detail</t>
  </si>
  <si>
    <t>江化微</t>
  </si>
  <si>
    <t>www.lixinger.com/analytics/company/sh/603078/603078/detail</t>
  </si>
  <si>
    <t>金莱特</t>
  </si>
  <si>
    <t>www.lixinger.com/analytics/company/sz/002723/2723/detail</t>
  </si>
  <si>
    <t>今创集团</t>
  </si>
  <si>
    <t>www.lixinger.com/analytics/company/sh/603680/603680/detail</t>
  </si>
  <si>
    <t>北清环能</t>
  </si>
  <si>
    <t>www.lixinger.com/analytics/company/sz/000803/803/detail</t>
  </si>
  <si>
    <t>粤传媒</t>
  </si>
  <si>
    <t>www.lixinger.com/analytics/company/sz/002181/2181/detail</t>
  </si>
  <si>
    <t>冰山冷热</t>
  </si>
  <si>
    <t>www.lixinger.com/analytics/company/sz/000530/530/detail</t>
  </si>
  <si>
    <t>广州酒家</t>
  </si>
  <si>
    <t>www.lixinger.com/analytics/company/sh/603043/603043/detail</t>
  </si>
  <si>
    <t>华阳股份</t>
  </si>
  <si>
    <t>www.lixinger.com/analytics/company/sh/600348/600348/detail</t>
  </si>
  <si>
    <t>道森股份</t>
  </si>
  <si>
    <t>www.lixinger.com/analytics/company/sh/603800/603800/detail</t>
  </si>
  <si>
    <t>奥翔药业</t>
  </si>
  <si>
    <t>www.lixinger.com/analytics/company/sh/603229/603229/detail</t>
  </si>
  <si>
    <t>新智认知</t>
  </si>
  <si>
    <t>www.lixinger.com/analytics/company/sh/603869/603869/detail</t>
  </si>
  <si>
    <t>*ST围海</t>
  </si>
  <si>
    <t>www.lixinger.com/analytics/company/sz/002586/2586/detail</t>
  </si>
  <si>
    <t>铂力特</t>
  </si>
  <si>
    <t>www.lixinger.com/analytics/company/sh/688333/688333/detail</t>
  </si>
  <si>
    <t>科兴制药</t>
  </si>
  <si>
    <t>www.lixinger.com/analytics/company/sh/688136/688136/detail</t>
  </si>
  <si>
    <t>康拓红外</t>
  </si>
  <si>
    <t>www.lixinger.com/analytics/company/sz/300455/300455/detail</t>
  </si>
  <si>
    <t>上工申贝</t>
  </si>
  <si>
    <t>www.lixinger.com/analytics/company/sh/600843/600843/detail</t>
  </si>
  <si>
    <t>七一二</t>
  </si>
  <si>
    <t>www.lixinger.com/analytics/company/sh/603712/603712/detail</t>
  </si>
  <si>
    <t>风范股份</t>
  </si>
  <si>
    <t>www.lixinger.com/analytics/company/sh/601700/601700/detail</t>
  </si>
  <si>
    <t>瑞贝卡</t>
  </si>
  <si>
    <t>www.lixinger.com/analytics/company/sh/600439/600439/detail</t>
  </si>
  <si>
    <t>阿尔特</t>
  </si>
  <si>
    <t>www.lixinger.com/analytics/company/sz/300825/300825/detail</t>
  </si>
  <si>
    <t>证通电子</t>
  </si>
  <si>
    <t>www.lixinger.com/analytics/company/sz/002197/2197/detail</t>
  </si>
  <si>
    <t>轻纺城</t>
  </si>
  <si>
    <t>www.lixinger.com/analytics/company/sh/600790/600790/detail</t>
  </si>
  <si>
    <t>苏大维格</t>
  </si>
  <si>
    <t>www.lixinger.com/analytics/company/sz/300331/300331/detail</t>
  </si>
  <si>
    <t>欧比特</t>
  </si>
  <si>
    <t>www.lixinger.com/analytics/company/sz/300053/300053/detail</t>
  </si>
  <si>
    <t>悦心健康</t>
  </si>
  <si>
    <t>www.lixinger.com/analytics/company/sz/002162/2162/detail</t>
  </si>
  <si>
    <t>长青集团</t>
  </si>
  <si>
    <t>www.lixinger.com/analytics/company/sz/002616/2616/detail</t>
  </si>
  <si>
    <t>中海达</t>
  </si>
  <si>
    <t>www.lixinger.com/analytics/company/sz/300177/300177/detail</t>
  </si>
  <si>
    <t>鞍重股份</t>
  </si>
  <si>
    <t>www.lixinger.com/analytics/company/sz/002667/2667/detail</t>
  </si>
  <si>
    <t>艾布鲁</t>
  </si>
  <si>
    <t>www.lixinger.com/analytics/company/sz/301259/301259/detail</t>
  </si>
  <si>
    <t>红相股份</t>
  </si>
  <si>
    <t>www.lixinger.com/analytics/company/sz/300427/300427/detail</t>
  </si>
  <si>
    <t>利尔化学</t>
  </si>
  <si>
    <t>www.lixinger.com/analytics/company/sz/002258/2258/detail</t>
  </si>
  <si>
    <t>交控科技</t>
  </si>
  <si>
    <t>www.lixinger.com/analytics/company/sh/688015/688015/detail</t>
  </si>
  <si>
    <t>天汽模</t>
  </si>
  <si>
    <t>www.lixinger.com/analytics/company/sz/002510/2510/detail</t>
  </si>
  <si>
    <t>皇氏集团</t>
  </si>
  <si>
    <t>www.lixinger.com/analytics/company/sz/002329/2329/detail</t>
  </si>
  <si>
    <t>友讯达</t>
  </si>
  <si>
    <t>www.lixinger.com/analytics/company/sz/300514/300514/detail</t>
  </si>
  <si>
    <t>佳华科技</t>
  </si>
  <si>
    <t>www.lixinger.com/analytics/company/sh/688051/688051/detail</t>
  </si>
  <si>
    <t>同兴达</t>
  </si>
  <si>
    <t>www.lixinger.com/analytics/company/sz/002845/2845/detail</t>
  </si>
  <si>
    <t>飞天诚信</t>
  </si>
  <si>
    <t>www.lixinger.com/analytics/company/sz/300386/300386/detail</t>
  </si>
  <si>
    <t>景嘉微</t>
  </si>
  <si>
    <t>www.lixinger.com/analytics/company/sz/300474/300474/detail</t>
  </si>
  <si>
    <t>中原传媒</t>
  </si>
  <si>
    <t>www.lixinger.com/analytics/company/sz/000719/719/detail</t>
  </si>
  <si>
    <t>玉禾田</t>
  </si>
  <si>
    <t>www.lixinger.com/analytics/company/sz/300815/300815/detail</t>
  </si>
  <si>
    <t>鸥玛软件</t>
  </si>
  <si>
    <t>www.lixinger.com/analytics/company/sz/301185/301185/detail</t>
  </si>
  <si>
    <t>苏垦农发</t>
  </si>
  <si>
    <t>www.lixinger.com/analytics/company/sh/601952/601952/detail</t>
  </si>
  <si>
    <t>博汇股份</t>
  </si>
  <si>
    <t>www.lixinger.com/analytics/company/sz/300839/300839/detail</t>
  </si>
  <si>
    <t>森麒麟</t>
  </si>
  <si>
    <t>www.lixinger.com/analytics/company/sz/002984/2984/detail</t>
  </si>
  <si>
    <t>西王食品</t>
  </si>
  <si>
    <t>www.lixinger.com/analytics/company/sz/000639/639/detail</t>
  </si>
  <si>
    <t>天顺风能</t>
  </si>
  <si>
    <t>www.lixinger.com/analytics/company/sz/002531/2531/detail</t>
  </si>
  <si>
    <t>福莱新材</t>
  </si>
  <si>
    <t>www.lixinger.com/analytics/company/sh/605488/605488/detail</t>
  </si>
  <si>
    <t>镇海股份</t>
  </si>
  <si>
    <t>www.lixinger.com/analytics/company/sh/603637/603637/detail</t>
  </si>
  <si>
    <t>高新兴</t>
  </si>
  <si>
    <t>www.lixinger.com/analytics/company/sz/300098/300098/detail</t>
  </si>
  <si>
    <t>汉王科技</t>
  </si>
  <si>
    <t>www.lixinger.com/analytics/company/sz/002362/2362/detail</t>
  </si>
  <si>
    <t>鸣志电器</t>
  </si>
  <si>
    <t>www.lixinger.com/analytics/company/sh/603728/603728/detail</t>
  </si>
  <si>
    <t>法兰泰克</t>
  </si>
  <si>
    <t>www.lixinger.com/analytics/company/sh/603966/603966/detail</t>
  </si>
  <si>
    <t>银都股份</t>
  </si>
  <si>
    <t>www.lixinger.com/analytics/company/sh/603277/603277/detail</t>
  </si>
  <si>
    <t>*ST达志</t>
  </si>
  <si>
    <t>www.lixinger.com/analytics/company/sz/300530/300530/detail</t>
  </si>
  <si>
    <t>浙江仙通</t>
  </si>
  <si>
    <t>www.lixinger.com/analytics/company/sh/603239/603239/detail</t>
  </si>
  <si>
    <t>天源环保</t>
  </si>
  <si>
    <t>www.lixinger.com/analytics/company/sz/301127/301127/detail</t>
  </si>
  <si>
    <t>天桥起重</t>
  </si>
  <si>
    <t>www.lixinger.com/analytics/company/sz/002523/2523/detail</t>
  </si>
  <si>
    <t>康欣新材</t>
  </si>
  <si>
    <t>www.lixinger.com/analytics/company/sh/600076/600076/detail</t>
  </si>
  <si>
    <t>尤安设计</t>
  </si>
  <si>
    <t>www.lixinger.com/analytics/company/sz/300983/300983/detail</t>
  </si>
  <si>
    <t>日上集团</t>
  </si>
  <si>
    <t>www.lixinger.com/analytics/company/sz/002593/2593/detail</t>
  </si>
  <si>
    <t>中关村</t>
  </si>
  <si>
    <t>www.lixinger.com/analytics/company/sz/000931/931/detail</t>
  </si>
  <si>
    <t>蕾奥规划</t>
  </si>
  <si>
    <t>www.lixinger.com/analytics/company/sz/300989/300989/detail</t>
  </si>
  <si>
    <t>浙文影业</t>
  </si>
  <si>
    <t>www.lixinger.com/analytics/company/sh/601599/601599/detail</t>
  </si>
  <si>
    <t>美瑞新材</t>
  </si>
  <si>
    <t>www.lixinger.com/analytics/company/sz/300848/300848/detail</t>
  </si>
  <si>
    <t>金财互联</t>
  </si>
  <si>
    <t>www.lixinger.com/analytics/company/sz/002530/2530/detail</t>
  </si>
  <si>
    <t>苑东生物</t>
  </si>
  <si>
    <t>www.lixinger.com/analytics/company/sh/688513/688513/detail</t>
  </si>
  <si>
    <t>斯莱克</t>
  </si>
  <si>
    <t>www.lixinger.com/analytics/company/sz/300382/300382/detail</t>
  </si>
  <si>
    <t>三力士</t>
  </si>
  <si>
    <t>www.lixinger.com/analytics/company/sz/002224/2224/detail</t>
  </si>
  <si>
    <t>海洋王</t>
  </si>
  <si>
    <t>www.lixinger.com/analytics/company/sz/002724/2724/detail</t>
  </si>
  <si>
    <t>杰创智能</t>
  </si>
  <si>
    <t>www.lixinger.com/analytics/company/sz/301248/301248/detail</t>
  </si>
  <si>
    <t>鸿利智汇</t>
  </si>
  <si>
    <t>www.lixinger.com/analytics/company/sz/300219/300219/detail</t>
  </si>
  <si>
    <t>吉大正元</t>
  </si>
  <si>
    <t>www.lixinger.com/analytics/company/sz/003029/3029/detail</t>
  </si>
  <si>
    <t>鲁泰Ｂ</t>
  </si>
  <si>
    <t>www.lixinger.com/analytics/company/sz/200726/200726/detail</t>
  </si>
  <si>
    <t>科翔股份</t>
  </si>
  <si>
    <t>www.lixinger.com/analytics/company/sz/300903/300903/detail</t>
  </si>
  <si>
    <t>申昊科技</t>
  </si>
  <si>
    <t>www.lixinger.com/analytics/company/sz/300853/300853/detail</t>
  </si>
  <si>
    <t>思特奇</t>
  </si>
  <si>
    <t>www.lixinger.com/analytics/company/sz/300608/300608/detail</t>
  </si>
  <si>
    <t>兰生股份</t>
  </si>
  <si>
    <t>www.lixinger.com/analytics/company/sh/600826/600826/detail</t>
  </si>
  <si>
    <t>运达科技</t>
  </si>
  <si>
    <t>www.lixinger.com/analytics/company/sz/300440/300440/detail</t>
  </si>
  <si>
    <t>雄塑科技</t>
  </si>
  <si>
    <t>www.lixinger.com/analytics/company/sz/300599/300599/detail</t>
  </si>
  <si>
    <t>西部黄金</t>
  </si>
  <si>
    <t>www.lixinger.com/analytics/company/sh/601069/601069/detail</t>
  </si>
  <si>
    <t>大千生态</t>
  </si>
  <si>
    <t>www.lixinger.com/analytics/company/sh/603955/603955/detail</t>
  </si>
  <si>
    <t>金信诺</t>
  </si>
  <si>
    <t>www.lixinger.com/analytics/company/sz/300252/300252/detail</t>
  </si>
  <si>
    <t>奥佳华</t>
  </si>
  <si>
    <t>www.lixinger.com/analytics/company/sz/002614/2614/detail</t>
  </si>
  <si>
    <t>中信出版</t>
  </si>
  <si>
    <t>www.lixinger.com/analytics/company/sz/300788/300788/detail</t>
  </si>
  <si>
    <t>振德医疗</t>
  </si>
  <si>
    <t>www.lixinger.com/analytics/company/sh/603301/603301/detail</t>
  </si>
  <si>
    <t>中信国安</t>
  </si>
  <si>
    <t>www.lixinger.com/analytics/company/sz/000839/839/detail</t>
  </si>
  <si>
    <t>张家界</t>
  </si>
  <si>
    <t>www.lixinger.com/analytics/company/sz/000430/430/detail</t>
  </si>
  <si>
    <t>厚普股份</t>
  </si>
  <si>
    <t>www.lixinger.com/analytics/company/sz/300471/300471/detail</t>
  </si>
  <si>
    <t>北京科锐</t>
  </si>
  <si>
    <t>www.lixinger.com/analytics/company/sz/002350/2350/detail</t>
  </si>
  <si>
    <t>重庆水务</t>
  </si>
  <si>
    <t>www.lixinger.com/analytics/company/sh/601158/601158/detail</t>
  </si>
  <si>
    <t>巨轮智能</t>
  </si>
  <si>
    <t>www.lixinger.com/analytics/company/sz/002031/2031/detail</t>
  </si>
  <si>
    <t>西安旅游</t>
  </si>
  <si>
    <t>www.lixinger.com/analytics/company/sz/000610/610/detail</t>
  </si>
  <si>
    <t>金花股份</t>
  </si>
  <si>
    <t>www.lixinger.com/analytics/company/sh/600080/600080/detail</t>
  </si>
  <si>
    <t>怡合达</t>
  </si>
  <si>
    <t>www.lixinger.com/analytics/company/sz/301029/301029/detail</t>
  </si>
  <si>
    <t>同德化工</t>
  </si>
  <si>
    <t>www.lixinger.com/analytics/company/sz/002360/2360/detail</t>
  </si>
  <si>
    <t>雪人股份</t>
  </si>
  <si>
    <t>www.lixinger.com/analytics/company/sz/002639/2639/detail</t>
  </si>
  <si>
    <t>东港股份</t>
  </si>
  <si>
    <t>www.lixinger.com/analytics/company/sz/002117/2117/detail</t>
  </si>
  <si>
    <t>雅克科技</t>
  </si>
  <si>
    <t>www.lixinger.com/analytics/company/sz/002409/2409/detail</t>
  </si>
  <si>
    <t>康达新材</t>
  </si>
  <si>
    <t>www.lixinger.com/analytics/company/sz/002669/2669/detail</t>
  </si>
  <si>
    <t>智能自控</t>
  </si>
  <si>
    <t>www.lixinger.com/analytics/company/sz/002877/2877/detail</t>
  </si>
  <si>
    <t>顶点软件</t>
  </si>
  <si>
    <t>www.lixinger.com/analytics/company/sh/603383/603383/detail</t>
  </si>
  <si>
    <t>西部材料</t>
  </si>
  <si>
    <t>www.lixinger.com/analytics/company/sz/002149/2149/detail</t>
  </si>
  <si>
    <t>塞力医疗</t>
  </si>
  <si>
    <t>www.lixinger.com/analytics/company/sh/603716/603716/detail</t>
  </si>
  <si>
    <t>朗进科技</t>
  </si>
  <si>
    <t>www.lixinger.com/analytics/company/sz/300594/300594/detail</t>
  </si>
  <si>
    <t>先河环保</t>
  </si>
  <si>
    <t>www.lixinger.com/analytics/company/sz/300137/300137/detail</t>
  </si>
  <si>
    <t>百洋医药</t>
  </si>
  <si>
    <t>www.lixinger.com/analytics/company/sz/301015/301015/detail</t>
  </si>
  <si>
    <t>力合科技</t>
  </si>
  <si>
    <t>www.lixinger.com/analytics/company/sz/300800/300800/detail</t>
  </si>
  <si>
    <t>深振业Ａ</t>
  </si>
  <si>
    <t>www.lixinger.com/analytics/company/sz/000006/6/detail</t>
  </si>
  <si>
    <t>金杯汽车</t>
  </si>
  <si>
    <t>www.lixinger.com/analytics/company/sh/600609/600609/detail</t>
  </si>
  <si>
    <t>超声电子</t>
  </si>
  <si>
    <t>www.lixinger.com/analytics/company/sz/000823/823/detail</t>
  </si>
  <si>
    <t>全志科技</t>
  </si>
  <si>
    <t>www.lixinger.com/analytics/company/sz/300458/300458/detail</t>
  </si>
  <si>
    <t>大连重工</t>
  </si>
  <si>
    <t>www.lixinger.com/analytics/company/sz/002204/2204/detail</t>
  </si>
  <si>
    <t>奥飞娱乐</t>
  </si>
  <si>
    <t>www.lixinger.com/analytics/company/sz/002292/2292/detail</t>
  </si>
  <si>
    <t>瑞芯微</t>
  </si>
  <si>
    <t>www.lixinger.com/analytics/company/sh/603893/603893/detail</t>
  </si>
  <si>
    <t>优宁维</t>
  </si>
  <si>
    <t>www.lixinger.com/analytics/company/sz/301166/301166/detail</t>
  </si>
  <si>
    <t>大名城B</t>
  </si>
  <si>
    <t>www.lixinger.com/analytics/company/sh/900940/900940/detail</t>
  </si>
  <si>
    <t>三雄极光</t>
  </si>
  <si>
    <t>www.lixinger.com/analytics/company/sz/300625/300625/detail</t>
  </si>
  <si>
    <t>久之洋</t>
  </si>
  <si>
    <t>www.lixinger.com/analytics/company/sz/300516/300516/detail</t>
  </si>
  <si>
    <t>百克生物</t>
  </si>
  <si>
    <t>www.lixinger.com/analytics/company/sh/688276/688276/detail</t>
  </si>
  <si>
    <t>长久物流</t>
  </si>
  <si>
    <t>www.lixinger.com/analytics/company/sh/603569/603569/detail</t>
  </si>
  <si>
    <t>健民集团</t>
  </si>
  <si>
    <t>www.lixinger.com/analytics/company/sh/600976/600976/detail</t>
  </si>
  <si>
    <t>金安国纪</t>
  </si>
  <si>
    <t>www.lixinger.com/analytics/company/sz/002636/2636/detail</t>
  </si>
  <si>
    <t>齐峰新材</t>
  </si>
  <si>
    <t>www.lixinger.com/analytics/company/sz/002521/2521/detail</t>
  </si>
  <si>
    <t>中宠股份</t>
  </si>
  <si>
    <t>www.lixinger.com/analytics/company/sz/002891/2891/detail</t>
  </si>
  <si>
    <t>立航科技</t>
  </si>
  <si>
    <t>www.lixinger.com/analytics/company/sh/603261/603261/detail</t>
  </si>
  <si>
    <t>海立Ｂ股</t>
  </si>
  <si>
    <t>www.lixinger.com/analytics/company/sh/900910/900910/detail</t>
  </si>
  <si>
    <t>美迪西</t>
  </si>
  <si>
    <t>www.lixinger.com/analytics/company/sh/688202/688202/detail</t>
  </si>
  <si>
    <t>岭南控股</t>
  </si>
  <si>
    <t>www.lixinger.com/analytics/company/sz/000524/524/detail</t>
  </si>
  <si>
    <t>三维股份</t>
  </si>
  <si>
    <t>www.lixinger.com/analytics/company/sh/603033/603033/detail</t>
  </si>
  <si>
    <t>陕西金叶</t>
  </si>
  <si>
    <t>www.lixinger.com/analytics/company/sz/000812/812/detail</t>
  </si>
  <si>
    <t>中持股份</t>
  </si>
  <si>
    <t>www.lixinger.com/analytics/company/sh/603903/603903/detail</t>
  </si>
  <si>
    <t>伟星新材</t>
  </si>
  <si>
    <t>www.lixinger.com/analytics/company/sz/002372/2372/detail</t>
  </si>
  <si>
    <t>恒华科技</t>
  </si>
  <si>
    <t>www.lixinger.com/analytics/company/sz/300365/300365/detail</t>
  </si>
  <si>
    <t>济南高新</t>
  </si>
  <si>
    <t>www.lixinger.com/analytics/company/sh/600807/600807/detail</t>
  </si>
  <si>
    <t>深水海纳</t>
  </si>
  <si>
    <t>www.lixinger.com/analytics/company/sz/300961/300961/detail</t>
  </si>
  <si>
    <t>恒银科技</t>
  </si>
  <si>
    <t>www.lixinger.com/analytics/company/sh/603106/603106/detail</t>
  </si>
  <si>
    <t>常青股份</t>
  </si>
  <si>
    <t>www.lixinger.com/analytics/company/sh/603768/603768/detail</t>
  </si>
  <si>
    <t>英派斯</t>
  </si>
  <si>
    <t>www.lixinger.com/analytics/company/sz/002899/2899/detail</t>
  </si>
  <si>
    <t>正川股份</t>
  </si>
  <si>
    <t>www.lixinger.com/analytics/company/sh/603976/603976/detail</t>
  </si>
  <si>
    <t>威星智能</t>
  </si>
  <si>
    <t>www.lixinger.com/analytics/company/sz/002849/2849/detail</t>
  </si>
  <si>
    <t>好太太</t>
  </si>
  <si>
    <t>www.lixinger.com/analytics/company/sh/603848/603848/detail</t>
  </si>
  <si>
    <t>联环药业</t>
  </si>
  <si>
    <t>www.lixinger.com/analytics/company/sh/600513/600513/detail</t>
  </si>
  <si>
    <t>报喜鸟</t>
  </si>
  <si>
    <t>www.lixinger.com/analytics/company/sz/002154/2154/detail</t>
  </si>
  <si>
    <t>丰山集团</t>
  </si>
  <si>
    <t>www.lixinger.com/analytics/company/sh/603810/603810/detail</t>
  </si>
  <si>
    <t>巨力索具</t>
  </si>
  <si>
    <t>www.lixinger.com/analytics/company/sz/002342/2342/detail</t>
  </si>
  <si>
    <t>双杰电气</t>
  </si>
  <si>
    <t>www.lixinger.com/analytics/company/sz/300444/300444/detail</t>
  </si>
  <si>
    <t>金域医学</t>
  </si>
  <si>
    <t>www.lixinger.com/analytics/company/sh/603882/603882/detail</t>
  </si>
  <si>
    <t>药石科技</t>
  </si>
  <si>
    <t>www.lixinger.com/analytics/company/sz/300725/300725/detail</t>
  </si>
  <si>
    <t>云维股份</t>
  </si>
  <si>
    <t>www.lixinger.com/analytics/company/sh/600725/600725/detail</t>
  </si>
  <si>
    <t>国城矿业</t>
  </si>
  <si>
    <t>www.lixinger.com/analytics/company/sz/000688/688/detail</t>
  </si>
  <si>
    <t>飞凯材料</t>
  </si>
  <si>
    <t>www.lixinger.com/analytics/company/sz/300398/300398/detail</t>
  </si>
  <si>
    <t>艾力斯</t>
  </si>
  <si>
    <t>www.lixinger.com/analytics/company/sh/688578/688578/detail</t>
  </si>
  <si>
    <t>万盛股份</t>
  </si>
  <si>
    <t>www.lixinger.com/analytics/company/sh/603010/603010/detail</t>
  </si>
  <si>
    <t>中衡设计</t>
  </si>
  <si>
    <t>www.lixinger.com/analytics/company/sh/603017/603017/detail</t>
  </si>
  <si>
    <t>洽洽食品</t>
  </si>
  <si>
    <t>www.lixinger.com/analytics/company/sz/002557/2557/detail</t>
  </si>
  <si>
    <t>韶能股份</t>
  </si>
  <si>
    <t>www.lixinger.com/analytics/company/sz/000601/601/detail</t>
  </si>
  <si>
    <t>汉钟精机</t>
  </si>
  <si>
    <t>www.lixinger.com/analytics/company/sz/002158/2158/detail</t>
  </si>
  <si>
    <t>恒宝股份</t>
  </si>
  <si>
    <t>www.lixinger.com/analytics/company/sz/002104/2104/detail</t>
  </si>
  <si>
    <t>中望软件</t>
  </si>
  <si>
    <t>www.lixinger.com/analytics/company/sh/688083/688083/detail</t>
  </si>
  <si>
    <t>恒玄科技</t>
  </si>
  <si>
    <t>www.lixinger.com/analytics/company/sh/688608/688608/detail</t>
  </si>
  <si>
    <t>润都股份</t>
  </si>
  <si>
    <t>www.lixinger.com/analytics/company/sz/002923/2923/detail</t>
  </si>
  <si>
    <t>哈焊华通</t>
  </si>
  <si>
    <t>www.lixinger.com/analytics/company/sz/301137/301137/detail</t>
  </si>
  <si>
    <t>数字政通</t>
  </si>
  <si>
    <t>www.lixinger.com/analytics/company/sz/300075/300075/detail</t>
  </si>
  <si>
    <t>圣元环保</t>
  </si>
  <si>
    <t>www.lixinger.com/analytics/company/sz/300867/300867/detail</t>
  </si>
  <si>
    <t>中远海特</t>
  </si>
  <si>
    <t>www.lixinger.com/analytics/company/sh/600428/600428/detail</t>
  </si>
  <si>
    <t>南卫股份</t>
  </si>
  <si>
    <t>www.lixinger.com/analytics/company/sh/603880/603880/detail</t>
  </si>
  <si>
    <t>飞鹿股份</t>
  </si>
  <si>
    <t>www.lixinger.com/analytics/company/sz/300665/300665/detail</t>
  </si>
  <si>
    <t>乐凯胶片</t>
  </si>
  <si>
    <t>www.lixinger.com/analytics/company/sh/600135/600135/detail</t>
  </si>
  <si>
    <t>中恒集团</t>
  </si>
  <si>
    <t>www.lixinger.com/analytics/company/sh/600252/600252/detail</t>
  </si>
  <si>
    <t>启明星辰</t>
  </si>
  <si>
    <t>www.lixinger.com/analytics/company/sz/002439/2439/detail</t>
  </si>
  <si>
    <t>紫晶存储</t>
  </si>
  <si>
    <t>www.lixinger.com/analytics/company/sh/688086/688086/detail</t>
  </si>
  <si>
    <t>佳电股份</t>
  </si>
  <si>
    <t>www.lixinger.com/analytics/company/sz/000922/922/detail</t>
  </si>
  <si>
    <t>英洛华</t>
  </si>
  <si>
    <t>www.lixinger.com/analytics/company/sz/000795/795/detail</t>
  </si>
  <si>
    <t>明微电子</t>
  </si>
  <si>
    <t>www.lixinger.com/analytics/company/sh/688699/688699/detail</t>
  </si>
  <si>
    <t>顶固集创</t>
  </si>
  <si>
    <t>www.lixinger.com/analytics/company/sz/300749/300749/detail</t>
  </si>
  <si>
    <t>南大光电</t>
  </si>
  <si>
    <t>www.lixinger.com/analytics/company/sz/300346/300346/detail</t>
  </si>
  <si>
    <t>铂科新材</t>
  </si>
  <si>
    <t>www.lixinger.com/analytics/company/sz/300811/300811/detail</t>
  </si>
  <si>
    <t>新益昌</t>
  </si>
  <si>
    <t>www.lixinger.com/analytics/company/sh/688383/688383/detail</t>
  </si>
  <si>
    <t>三维通信</t>
  </si>
  <si>
    <t>www.lixinger.com/analytics/company/sz/002115/2115/detail</t>
  </si>
  <si>
    <t>林洋能源</t>
  </si>
  <si>
    <t>www.lixinger.com/analytics/company/sh/601222/601222/detail</t>
  </si>
  <si>
    <t>峨眉山Ａ</t>
  </si>
  <si>
    <t>www.lixinger.com/analytics/company/sz/000888/888/detail</t>
  </si>
  <si>
    <t>天地在线</t>
  </si>
  <si>
    <t>www.lixinger.com/analytics/company/sz/002995/2995/detail</t>
  </si>
  <si>
    <t>天瑞仪器</t>
  </si>
  <si>
    <t>www.lixinger.com/analytics/company/sz/300165/300165/detail</t>
  </si>
  <si>
    <t>安彩高科</t>
  </si>
  <si>
    <t>www.lixinger.com/analytics/company/sh/600207/600207/detail</t>
  </si>
  <si>
    <t>上海天洋</t>
  </si>
  <si>
    <t>www.lixinger.com/analytics/company/sh/603330/603330/detail</t>
  </si>
  <si>
    <t>科锐国际</t>
  </si>
  <si>
    <t>www.lixinger.com/analytics/company/sz/300662/300662/detail</t>
  </si>
  <si>
    <t>双星新材</t>
  </si>
  <si>
    <t>www.lixinger.com/analytics/company/sz/002585/2585/detail</t>
  </si>
  <si>
    <t>超讯通信</t>
  </si>
  <si>
    <t>www.lixinger.com/analytics/company/sh/603322/603322/detail</t>
  </si>
  <si>
    <t>亿田智能</t>
  </si>
  <si>
    <t>www.lixinger.com/analytics/company/sz/300911/300911/detail</t>
  </si>
  <si>
    <t>天奇股份</t>
  </si>
  <si>
    <t>www.lixinger.com/analytics/company/sz/002009/2009/detail</t>
  </si>
  <si>
    <t>冰山B</t>
  </si>
  <si>
    <t>www.lixinger.com/analytics/company/sz/200530/200530/detail</t>
  </si>
  <si>
    <t>海顺新材</t>
  </si>
  <si>
    <t>www.lixinger.com/analytics/company/sz/300501/300501/detail</t>
  </si>
  <si>
    <t>诚邦股份</t>
  </si>
  <si>
    <t>www.lixinger.com/analytics/company/sh/603316/603316/detail</t>
  </si>
  <si>
    <t>城市传媒</t>
  </si>
  <si>
    <t>www.lixinger.com/analytics/company/sh/600229/600229/detail</t>
  </si>
  <si>
    <t>弘业股份</t>
  </si>
  <si>
    <t>www.lixinger.com/analytics/company/sh/600128/600128/detail</t>
  </si>
  <si>
    <t>石化机械</t>
  </si>
  <si>
    <t>www.lixinger.com/analytics/company/sz/000852/852/detail</t>
  </si>
  <si>
    <t>凯撒旅业</t>
  </si>
  <si>
    <t>www.lixinger.com/analytics/company/sz/000796/796/detail</t>
  </si>
  <si>
    <t>格尔软件</t>
  </si>
  <si>
    <t>www.lixinger.com/analytics/company/sh/603232/603232/detail</t>
  </si>
  <si>
    <t>有研粉材</t>
  </si>
  <si>
    <t>www.lixinger.com/analytics/company/sh/688456/688456/detail</t>
  </si>
  <si>
    <t>爱乐达</t>
  </si>
  <si>
    <t>www.lixinger.com/analytics/company/sz/300696/300696/detail</t>
  </si>
  <si>
    <t>百诚医药</t>
  </si>
  <si>
    <t>www.lixinger.com/analytics/company/sz/301096/301096/detail</t>
  </si>
  <si>
    <t>瓦轴B</t>
  </si>
  <si>
    <t>www.lixinger.com/analytics/company/sz/200706/200706/detail</t>
  </si>
  <si>
    <t>仁和药业</t>
  </si>
  <si>
    <t>www.lixinger.com/analytics/company/sz/000650/650/detail</t>
  </si>
  <si>
    <t>先惠技术</t>
  </si>
  <si>
    <t>www.lixinger.com/analytics/company/sh/688155/688155/detail</t>
  </si>
  <si>
    <t>耐普矿机</t>
  </si>
  <si>
    <t>www.lixinger.com/analytics/company/sz/300818/300818/detail</t>
  </si>
  <si>
    <t>国光股份</t>
  </si>
  <si>
    <t>www.lixinger.com/analytics/company/sz/002749/2749/detail</t>
  </si>
  <si>
    <t>蓝帆医疗</t>
  </si>
  <si>
    <t>www.lixinger.com/analytics/company/sz/002382/2382/detail</t>
  </si>
  <si>
    <t>雪浪环境</t>
  </si>
  <si>
    <t>www.lixinger.com/analytics/company/sz/300385/300385/detail</t>
  </si>
  <si>
    <t>开润股份</t>
  </si>
  <si>
    <t>www.lixinger.com/analytics/company/sz/300577/300577/detail</t>
  </si>
  <si>
    <t>海天精工</t>
  </si>
  <si>
    <t>www.lixinger.com/analytics/company/sh/601882/601882/detail</t>
  </si>
  <si>
    <t>贵绳股份</t>
  </si>
  <si>
    <t>www.lixinger.com/analytics/company/sh/600992/600992/detail</t>
  </si>
  <si>
    <t>天奈科技</t>
  </si>
  <si>
    <t>www.lixinger.com/analytics/company/sh/688116/688116/detail</t>
  </si>
  <si>
    <t>沪光股份</t>
  </si>
  <si>
    <t>www.lixinger.com/analytics/company/sh/605333/605333/detail</t>
  </si>
  <si>
    <t>榕基软件</t>
  </si>
  <si>
    <t>www.lixinger.com/analytics/company/sz/002474/2474/detail</t>
  </si>
  <si>
    <t>火炬电子</t>
  </si>
  <si>
    <t>www.lixinger.com/analytics/company/sh/603678/603678/detail</t>
  </si>
  <si>
    <t>安路科技</t>
  </si>
  <si>
    <t>www.lixinger.com/analytics/company/sh/688107/688107/detail</t>
  </si>
  <si>
    <t>黄山旅游</t>
  </si>
  <si>
    <t>www.lixinger.com/analytics/company/sh/600054/600054/detail</t>
  </si>
  <si>
    <t>航宇科技</t>
  </si>
  <si>
    <t>www.lixinger.com/analytics/company/sh/688239/688239/detail</t>
  </si>
  <si>
    <t>金城医药</t>
  </si>
  <si>
    <t>www.lixinger.com/analytics/company/sz/300233/300233/detail</t>
  </si>
  <si>
    <t>卓然股份</t>
  </si>
  <si>
    <t>www.lixinger.com/analytics/company/sh/688121/688121/detail</t>
  </si>
  <si>
    <t>青松建化</t>
  </si>
  <si>
    <t>www.lixinger.com/analytics/company/sh/600425/600425/detail</t>
  </si>
  <si>
    <t>万邦德</t>
  </si>
  <si>
    <t>www.lixinger.com/analytics/company/sz/002082/2082/detail</t>
  </si>
  <si>
    <t>荃银高科</t>
  </si>
  <si>
    <t>www.lixinger.com/analytics/company/sz/300087/300087/detail</t>
  </si>
  <si>
    <t>亚星客车</t>
  </si>
  <si>
    <t>www.lixinger.com/analytics/company/sh/600213/600213/detail</t>
  </si>
  <si>
    <t>蓝盾光电</t>
  </si>
  <si>
    <t>www.lixinger.com/analytics/company/sz/300862/300862/detail</t>
  </si>
  <si>
    <t>创世纪</t>
  </si>
  <si>
    <t>www.lixinger.com/analytics/company/sz/300083/300083/detail</t>
  </si>
  <si>
    <t>渤海汽车</t>
  </si>
  <si>
    <t>www.lixinger.com/analytics/company/sh/600960/600960/detail</t>
  </si>
  <si>
    <t>航亚科技</t>
  </si>
  <si>
    <t>www.lixinger.com/analytics/company/sh/688510/688510/detail</t>
  </si>
  <si>
    <t>华邦健康</t>
  </si>
  <si>
    <t>www.lixinger.com/analytics/company/sz/002004/2004/detail</t>
  </si>
  <si>
    <t>数字认证</t>
  </si>
  <si>
    <t>www.lixinger.com/analytics/company/sz/300579/300579/detail</t>
  </si>
  <si>
    <t>怡达股份</t>
  </si>
  <si>
    <t>www.lixinger.com/analytics/company/sz/300721/300721/detail</t>
  </si>
  <si>
    <t>诺泰生物</t>
  </si>
  <si>
    <t>www.lixinger.com/analytics/company/sh/688076/688076/detail</t>
  </si>
  <si>
    <t>三友联众</t>
  </si>
  <si>
    <t>www.lixinger.com/analytics/company/sz/300932/300932/detail</t>
  </si>
  <si>
    <t>大连热电</t>
  </si>
  <si>
    <t>www.lixinger.com/analytics/company/sh/600719/600719/detail</t>
  </si>
  <si>
    <t>垒知集团</t>
  </si>
  <si>
    <t>www.lixinger.com/analytics/company/sz/002398/2398/detail</t>
  </si>
  <si>
    <t>天和防务</t>
  </si>
  <si>
    <t>www.lixinger.com/analytics/company/sz/300397/300397/detail</t>
  </si>
  <si>
    <t>英威腾</t>
  </si>
  <si>
    <t>www.lixinger.com/analytics/company/sz/002334/2334/detail</t>
  </si>
  <si>
    <t>同达创业</t>
  </si>
  <si>
    <t>www.lixinger.com/analytics/company/sh/600647/600647/detail</t>
  </si>
  <si>
    <t>美康生物</t>
  </si>
  <si>
    <t>www.lixinger.com/analytics/company/sz/300439/300439/detail</t>
  </si>
  <si>
    <t>神剑股份</t>
  </si>
  <si>
    <t>www.lixinger.com/analytics/company/sz/002361/2361/detail</t>
  </si>
  <si>
    <t>苏试试验</t>
  </si>
  <si>
    <t>www.lixinger.com/analytics/company/sz/300416/300416/detail</t>
  </si>
  <si>
    <t>德生科技</t>
  </si>
  <si>
    <t>www.lixinger.com/analytics/company/sz/002908/2908/detail</t>
  </si>
  <si>
    <t>成大生物</t>
  </si>
  <si>
    <t>www.lixinger.com/analytics/company/sh/688739/688739/detail</t>
  </si>
  <si>
    <t>美达股份</t>
  </si>
  <si>
    <t>www.lixinger.com/analytics/company/sz/000782/782/detail</t>
  </si>
  <si>
    <t>首都在线</t>
  </si>
  <si>
    <t>www.lixinger.com/analytics/company/sz/300846/300846/detail</t>
  </si>
  <si>
    <t>亚邦股份</t>
  </si>
  <si>
    <t>www.lixinger.com/analytics/company/sh/603188/603188/detail</t>
  </si>
  <si>
    <t>瑞联新材</t>
  </si>
  <si>
    <t>www.lixinger.com/analytics/company/sh/688550/688550/detail</t>
  </si>
  <si>
    <t>苏州固锝</t>
  </si>
  <si>
    <t>www.lixinger.com/analytics/company/sz/002079/2079/detail</t>
  </si>
  <si>
    <t>宏达电子</t>
  </si>
  <si>
    <t>www.lixinger.com/analytics/company/sz/300726/300726/detail</t>
  </si>
  <si>
    <t>圣阳股份</t>
  </si>
  <si>
    <t>www.lixinger.com/analytics/company/sz/002580/2580/detail</t>
  </si>
  <si>
    <t>申通快递</t>
  </si>
  <si>
    <t>www.lixinger.com/analytics/company/sz/002468/2468/detail</t>
  </si>
  <si>
    <t>力源信息</t>
  </si>
  <si>
    <t>www.lixinger.com/analytics/company/sz/300184/300184/detail</t>
  </si>
  <si>
    <t>普联软件</t>
  </si>
  <si>
    <t>www.lixinger.com/analytics/company/sz/300996/300996/detail</t>
  </si>
  <si>
    <t>平高电气</t>
  </si>
  <si>
    <t>www.lixinger.com/analytics/company/sh/600312/600312/detail</t>
  </si>
  <si>
    <t>菲利华</t>
  </si>
  <si>
    <t>www.lixinger.com/analytics/company/sz/300395/300395/detail</t>
  </si>
  <si>
    <t>瑞普生物</t>
  </si>
  <si>
    <t>www.lixinger.com/analytics/company/sz/300119/300119/detail</t>
  </si>
  <si>
    <t>中光学</t>
  </si>
  <si>
    <t>www.lixinger.com/analytics/company/sz/002189/2189/detail</t>
  </si>
  <si>
    <t>万林物流</t>
  </si>
  <si>
    <t>www.lixinger.com/analytics/company/sh/603117/603117/detail</t>
  </si>
  <si>
    <t>万集科技</t>
  </si>
  <si>
    <t>www.lixinger.com/analytics/company/sz/300552/300552/detail</t>
  </si>
  <si>
    <t>春雪食品</t>
  </si>
  <si>
    <t>www.lixinger.com/analytics/company/sh/605567/605567/detail</t>
  </si>
  <si>
    <t>鹏辉能源</t>
  </si>
  <si>
    <t>www.lixinger.com/analytics/company/sz/300438/300438/detail</t>
  </si>
  <si>
    <t>英搏尔</t>
  </si>
  <si>
    <t>www.lixinger.com/analytics/company/sz/300681/300681/detail</t>
  </si>
  <si>
    <t>长缆科技</t>
  </si>
  <si>
    <t>www.lixinger.com/analytics/company/sz/002879/2879/detail</t>
  </si>
  <si>
    <t>中科金财</t>
  </si>
  <si>
    <t>www.lixinger.com/analytics/company/sz/002657/2657/detail</t>
  </si>
  <si>
    <t>节能风电</t>
  </si>
  <si>
    <t>www.lixinger.com/analytics/company/sh/601016/601016/detail</t>
  </si>
  <si>
    <t>高伟达</t>
  </si>
  <si>
    <t>www.lixinger.com/analytics/company/sz/300465/300465/detail</t>
  </si>
  <si>
    <t>广联航空</t>
  </si>
  <si>
    <t>www.lixinger.com/analytics/company/sz/300900/300900/detail</t>
  </si>
  <si>
    <t>亚康股份</t>
  </si>
  <si>
    <t>www.lixinger.com/analytics/company/sz/301085/301085/detail</t>
  </si>
  <si>
    <t>雷科防务</t>
  </si>
  <si>
    <t>www.lixinger.com/analytics/company/sz/002413/2413/detail</t>
  </si>
  <si>
    <t>回盛生物</t>
  </si>
  <si>
    <t>www.lixinger.com/analytics/company/sz/300871/300871/detail</t>
  </si>
  <si>
    <t>雅本化学</t>
  </si>
  <si>
    <t>www.lixinger.com/analytics/company/sz/300261/300261/detail</t>
  </si>
  <si>
    <t>经纬恒润</t>
  </si>
  <si>
    <t>www.lixinger.com/analytics/company/sh/688326/688326/detail</t>
  </si>
  <si>
    <t>沃森生物</t>
  </si>
  <si>
    <t>www.lixinger.com/analytics/company/sz/300142/300142/detail</t>
  </si>
  <si>
    <t>佩蒂股份</t>
  </si>
  <si>
    <t>www.lixinger.com/analytics/company/sz/300673/300673/detail</t>
  </si>
  <si>
    <t>红豆股份</t>
  </si>
  <si>
    <t>www.lixinger.com/analytics/company/sh/600400/600400/detail</t>
  </si>
  <si>
    <t>海南橡胶</t>
  </si>
  <si>
    <t>www.lixinger.com/analytics/company/sh/601118/601118/detail</t>
  </si>
  <si>
    <t>马应龙</t>
  </si>
  <si>
    <t>www.lixinger.com/analytics/company/sh/600993/600993/detail</t>
  </si>
  <si>
    <t>北化股份</t>
  </si>
  <si>
    <t>www.lixinger.com/analytics/company/sz/002246/2246/detail</t>
  </si>
  <si>
    <t>谱尼测试</t>
  </si>
  <si>
    <t>www.lixinger.com/analytics/company/sz/300887/300887/detail</t>
  </si>
  <si>
    <t>龙泉股份</t>
  </si>
  <si>
    <t>www.lixinger.com/analytics/company/sz/002671/2671/detail</t>
  </si>
  <si>
    <t>耀皮玻璃</t>
  </si>
  <si>
    <t>www.lixinger.com/analytics/company/sh/600819/600819/detail</t>
  </si>
  <si>
    <t>九号公司</t>
  </si>
  <si>
    <t>www.lixinger.com/analytics/company/sh/689009/689009/detail</t>
  </si>
  <si>
    <t>金刚玻璃</t>
  </si>
  <si>
    <t>www.lixinger.com/analytics/company/sz/300093/300093/detail</t>
  </si>
  <si>
    <t>远达环保</t>
  </si>
  <si>
    <t>www.lixinger.com/analytics/company/sh/600292/600292/detail</t>
  </si>
  <si>
    <t>山东赫达</t>
  </si>
  <si>
    <t>www.lixinger.com/analytics/company/sz/002810/2810/detail</t>
  </si>
  <si>
    <t>爱克股份</t>
  </si>
  <si>
    <t>www.lixinger.com/analytics/company/sz/300889/300889/detail</t>
  </si>
  <si>
    <t>好莱客</t>
  </si>
  <si>
    <t>www.lixinger.com/analytics/company/sh/603898/603898/detail</t>
  </si>
  <si>
    <t>通光线缆</t>
  </si>
  <si>
    <t>www.lixinger.com/analytics/company/sz/300265/300265/detail</t>
  </si>
  <si>
    <t>道恩股份</t>
  </si>
  <si>
    <t>www.lixinger.com/analytics/company/sz/002838/2838/detail</t>
  </si>
  <si>
    <t>大龙地产</t>
  </si>
  <si>
    <t>www.lixinger.com/analytics/company/sh/600159/600159/detail</t>
  </si>
  <si>
    <t>国瓷材料</t>
  </si>
  <si>
    <t>www.lixinger.com/analytics/company/sz/300285/300285/detail</t>
  </si>
  <si>
    <t>上海瀚讯</t>
  </si>
  <si>
    <t>www.lixinger.com/analytics/company/sz/300762/300762/detail</t>
  </si>
  <si>
    <t>西昌电力</t>
  </si>
  <si>
    <t>www.lixinger.com/analytics/company/sh/600505/600505/detail</t>
  </si>
  <si>
    <t>大族数控</t>
  </si>
  <si>
    <t>www.lixinger.com/analytics/company/sz/301200/301200/detail</t>
  </si>
  <si>
    <t>极米科技</t>
  </si>
  <si>
    <t>www.lixinger.com/analytics/company/sh/688696/688696/detail</t>
  </si>
  <si>
    <t>翠微股份</t>
  </si>
  <si>
    <t>www.lixinger.com/analytics/company/sh/603123/603123/detail</t>
  </si>
  <si>
    <t>思美传媒</t>
  </si>
  <si>
    <t>www.lixinger.com/analytics/company/sz/002712/2712/detail</t>
  </si>
  <si>
    <t>华映科技</t>
  </si>
  <si>
    <t>www.lixinger.com/analytics/company/sz/000536/536/detail</t>
  </si>
  <si>
    <t>亚玛顿</t>
  </si>
  <si>
    <t>www.lixinger.com/analytics/company/sz/002623/2623/detail</t>
  </si>
  <si>
    <t>华阳国际</t>
  </si>
  <si>
    <t>www.lixinger.com/analytics/company/sz/002949/2949/detail</t>
  </si>
  <si>
    <t>中粮工科</t>
  </si>
  <si>
    <t>www.lixinger.com/analytics/company/sz/301058/301058/detail</t>
  </si>
  <si>
    <t>联赢激光</t>
  </si>
  <si>
    <t>www.lixinger.com/analytics/company/sh/688518/688518/detail</t>
  </si>
  <si>
    <t>设研院</t>
  </si>
  <si>
    <t>www.lixinger.com/analytics/company/sz/300732/300732/detail</t>
  </si>
  <si>
    <t>梦天家居</t>
  </si>
  <si>
    <t>www.lixinger.com/analytics/company/sh/603216/603216/detail</t>
  </si>
  <si>
    <t>嘉和美康</t>
  </si>
  <si>
    <t>www.lixinger.com/analytics/company/sh/688246/688246/detail</t>
  </si>
  <si>
    <t>标准股份</t>
  </si>
  <si>
    <t>www.lixinger.com/analytics/company/sh/600302/600302/detail</t>
  </si>
  <si>
    <t>圆通速递</t>
  </si>
  <si>
    <t>www.lixinger.com/analytics/company/sh/600233/600233/detail</t>
  </si>
  <si>
    <t>江丰电子</t>
  </si>
  <si>
    <t>www.lixinger.com/analytics/company/sz/300666/300666/detail</t>
  </si>
  <si>
    <t>盛航股份</t>
  </si>
  <si>
    <t>www.lixinger.com/analytics/company/sz/001205/1205/detail</t>
  </si>
  <si>
    <t>博迁新材</t>
  </si>
  <si>
    <t>www.lixinger.com/analytics/company/sh/605376/605376/detail</t>
  </si>
  <si>
    <t>锦州港</t>
  </si>
  <si>
    <t>www.lixinger.com/analytics/company/sh/600190/600190/detail</t>
  </si>
  <si>
    <t>新开普</t>
  </si>
  <si>
    <t>www.lixinger.com/analytics/company/sz/300248/300248/detail</t>
  </si>
  <si>
    <t>强力新材</t>
  </si>
  <si>
    <t>www.lixinger.com/analytics/company/sz/300429/300429/detail</t>
  </si>
  <si>
    <t>太龙药业</t>
  </si>
  <si>
    <t>www.lixinger.com/analytics/company/sh/600222/600222/detail</t>
  </si>
  <si>
    <t>中简科技</t>
  </si>
  <si>
    <t>www.lixinger.com/analytics/company/sz/300777/300777/detail</t>
  </si>
  <si>
    <t>申通地铁</t>
  </si>
  <si>
    <t>www.lixinger.com/analytics/company/sh/600834/600834/detail</t>
  </si>
  <si>
    <t>卫宁健康</t>
  </si>
  <si>
    <t>www.lixinger.com/analytics/company/sz/300253/300253/detail</t>
  </si>
  <si>
    <t>瑞茂通</t>
  </si>
  <si>
    <t>www.lixinger.com/analytics/company/sh/600180/600180/detail</t>
  </si>
  <si>
    <t>德赛西威</t>
  </si>
  <si>
    <t>www.lixinger.com/analytics/company/sz/002920/2920/detail</t>
  </si>
  <si>
    <t>乔治白</t>
  </si>
  <si>
    <t>www.lixinger.com/analytics/company/sz/002687/2687/detail</t>
  </si>
  <si>
    <t>*ST利源</t>
  </si>
  <si>
    <t>www.lixinger.com/analytics/company/sz/002501/2501/detail</t>
  </si>
  <si>
    <t>凯发电气</t>
  </si>
  <si>
    <t>www.lixinger.com/analytics/company/sz/300407/300407/detail</t>
  </si>
  <si>
    <t>孚日股份</t>
  </si>
  <si>
    <t>www.lixinger.com/analytics/company/sz/002083/2083/detail</t>
  </si>
  <si>
    <t>重庆燃气</t>
  </si>
  <si>
    <t>www.lixinger.com/analytics/company/sh/600917/600917/detail</t>
  </si>
  <si>
    <t>一品红</t>
  </si>
  <si>
    <t>www.lixinger.com/analytics/company/sz/300723/300723/detail</t>
  </si>
  <si>
    <t>凤凰股份</t>
  </si>
  <si>
    <t>www.lixinger.com/analytics/company/sh/600716/600716/detail</t>
  </si>
  <si>
    <t>新金路</t>
  </si>
  <si>
    <t>www.lixinger.com/analytics/company/sz/000510/510/detail</t>
  </si>
  <si>
    <t>粤桂股份</t>
  </si>
  <si>
    <t>www.lixinger.com/analytics/company/sz/000833/833/detail</t>
  </si>
  <si>
    <t>启迪设计</t>
  </si>
  <si>
    <t>www.lixinger.com/analytics/company/sz/300500/300500/detail</t>
  </si>
  <si>
    <t>安硕信息</t>
  </si>
  <si>
    <t>www.lixinger.com/analytics/company/sz/300380/300380/detail</t>
  </si>
  <si>
    <t>*ST雅博</t>
  </si>
  <si>
    <t>www.lixinger.com/analytics/company/sz/002323/2323/detail</t>
  </si>
  <si>
    <t>首旅酒店</t>
  </si>
  <si>
    <t>www.lixinger.com/analytics/company/sh/600258/600258/detail</t>
  </si>
  <si>
    <t>振华Ｂ股</t>
  </si>
  <si>
    <t>www.lixinger.com/analytics/company/sh/900947/900947/detail</t>
  </si>
  <si>
    <t>城建发展</t>
  </si>
  <si>
    <t>www.lixinger.com/analytics/company/sh/600266/600266/detail</t>
  </si>
  <si>
    <t>华康股份</t>
  </si>
  <si>
    <t>www.lixinger.com/analytics/company/sh/605077/605077/detail</t>
  </si>
  <si>
    <t>思创医惠</t>
  </si>
  <si>
    <t>www.lixinger.com/analytics/company/sz/300078/300078/detail</t>
  </si>
  <si>
    <t>宝莫股份</t>
  </si>
  <si>
    <t>www.lixinger.com/analytics/company/sz/002476/2476/detail</t>
  </si>
  <si>
    <t>悦达投资</t>
  </si>
  <si>
    <t>www.lixinger.com/analytics/company/sh/600805/600805/detail</t>
  </si>
  <si>
    <t>登海种业</t>
  </si>
  <si>
    <t>www.lixinger.com/analytics/company/sz/002041/2041/detail</t>
  </si>
  <si>
    <t>出版传媒</t>
  </si>
  <si>
    <t>www.lixinger.com/analytics/company/sh/601999/601999/detail</t>
  </si>
  <si>
    <t>吉林敖东</t>
  </si>
  <si>
    <t>www.lixinger.com/analytics/company/sz/000623/623/detail</t>
  </si>
  <si>
    <t>东方园林</t>
  </si>
  <si>
    <t>www.lixinger.com/analytics/company/sz/002310/2310/detail</t>
  </si>
  <si>
    <t>恒林股份</t>
  </si>
  <si>
    <t>www.lixinger.com/analytics/company/sh/603661/603661/detail</t>
  </si>
  <si>
    <t>兰剑智能</t>
  </si>
  <si>
    <t>www.lixinger.com/analytics/company/sh/688557/688557/detail</t>
  </si>
  <si>
    <t>万德斯</t>
  </si>
  <si>
    <t>www.lixinger.com/analytics/company/sh/688178/688178/detail</t>
  </si>
  <si>
    <t>中工国际</t>
  </si>
  <si>
    <t>www.lixinger.com/analytics/company/sz/002051/2051/detail</t>
  </si>
  <si>
    <t>豫能控股</t>
  </si>
  <si>
    <t>www.lixinger.com/analytics/company/sz/001896/1896/detail</t>
  </si>
  <si>
    <t>易事特</t>
  </si>
  <si>
    <t>www.lixinger.com/analytics/company/sz/300376/300376/detail</t>
  </si>
  <si>
    <t>真爱美家</t>
  </si>
  <si>
    <t>www.lixinger.com/analytics/company/sz/003041/3041/detail</t>
  </si>
  <si>
    <t>乐歌股份</t>
  </si>
  <si>
    <t>www.lixinger.com/analytics/company/sz/300729/300729/detail</t>
  </si>
  <si>
    <t>恒星科技</t>
  </si>
  <si>
    <t>www.lixinger.com/analytics/company/sz/002132/2132/detail</t>
  </si>
  <si>
    <t>泛微网络</t>
  </si>
  <si>
    <t>www.lixinger.com/analytics/company/sh/603039/603039/detail</t>
  </si>
  <si>
    <t>湖南黄金</t>
  </si>
  <si>
    <t>www.lixinger.com/analytics/company/sz/002155/2155/detail</t>
  </si>
  <si>
    <t>华媒控股</t>
  </si>
  <si>
    <t>www.lixinger.com/analytics/company/sz/000607/607/detail</t>
  </si>
  <si>
    <t>大禹节水</t>
  </si>
  <si>
    <t>www.lixinger.com/analytics/company/sz/300021/300021/detail</t>
  </si>
  <si>
    <t>ST贵人</t>
  </si>
  <si>
    <t>www.lixinger.com/analytics/company/sh/603555/603555/detail</t>
  </si>
  <si>
    <t>三孚股份</t>
  </si>
  <si>
    <t>www.lixinger.com/analytics/company/sh/603938/603938/detail</t>
  </si>
  <si>
    <t>壹网壹创</t>
  </si>
  <si>
    <t>www.lixinger.com/analytics/company/sz/300792/300792/detail</t>
  </si>
  <si>
    <t>国风新材</t>
  </si>
  <si>
    <t>www.lixinger.com/analytics/company/sz/000859/859/detail</t>
  </si>
  <si>
    <t>杭齿前进</t>
  </si>
  <si>
    <t>www.lixinger.com/analytics/company/sh/601177/601177/detail</t>
  </si>
  <si>
    <t>光启技术</t>
  </si>
  <si>
    <t>www.lixinger.com/analytics/company/sz/002625/2625/detail</t>
  </si>
  <si>
    <t>正海磁材</t>
  </si>
  <si>
    <t>www.lixinger.com/analytics/company/sz/300224/300224/detail</t>
  </si>
  <si>
    <t>荣科科技</t>
  </si>
  <si>
    <t>www.lixinger.com/analytics/company/sz/300290/300290/detail</t>
  </si>
  <si>
    <t>联创电子</t>
  </si>
  <si>
    <t>www.lixinger.com/analytics/company/sz/002036/2036/detail</t>
  </si>
  <si>
    <t>中金环境</t>
  </si>
  <si>
    <t>www.lixinger.com/analytics/company/sz/300145/300145/detail</t>
  </si>
  <si>
    <t>圣济堂</t>
  </si>
  <si>
    <t>www.lixinger.com/analytics/company/sh/600227/600227/detail</t>
  </si>
  <si>
    <t>新晨科技</t>
  </si>
  <si>
    <t>www.lixinger.com/analytics/company/sz/300542/300542/detail</t>
  </si>
  <si>
    <t>富春环保</t>
  </si>
  <si>
    <t>www.lixinger.com/analytics/company/sz/002479/2479/detail</t>
  </si>
  <si>
    <t>外高桥</t>
  </si>
  <si>
    <t>www.lixinger.com/analytics/company/sh/600648/600648/detail</t>
  </si>
  <si>
    <t>瑞和股份</t>
  </si>
  <si>
    <t>www.lixinger.com/analytics/company/sz/002620/2620/detail</t>
  </si>
  <si>
    <t>人民网</t>
  </si>
  <si>
    <t>www.lixinger.com/analytics/company/sh/603000/603000/detail</t>
  </si>
  <si>
    <t>乐山电力</t>
  </si>
  <si>
    <t>www.lixinger.com/analytics/company/sh/600644/600644/detail</t>
  </si>
  <si>
    <t>ST鹏博士</t>
  </si>
  <si>
    <t>www.lixinger.com/analytics/company/sh/600804/600804/detail</t>
  </si>
  <si>
    <t>广西广电</t>
  </si>
  <si>
    <t>www.lixinger.com/analytics/company/sh/600936/600936/detail</t>
  </si>
  <si>
    <t>海利尔</t>
  </si>
  <si>
    <t>www.lixinger.com/analytics/company/sh/603639/603639/detail</t>
  </si>
  <si>
    <t>财信发展</t>
  </si>
  <si>
    <t>www.lixinger.com/analytics/company/sz/000838/838/detail</t>
  </si>
  <si>
    <t>豪能股份</t>
  </si>
  <si>
    <t>www.lixinger.com/analytics/company/sh/603809/603809/detail</t>
  </si>
  <si>
    <t>航天彩虹</t>
  </si>
  <si>
    <t>www.lixinger.com/analytics/company/sz/002389/2389/detail</t>
  </si>
  <si>
    <t>海程邦达</t>
  </si>
  <si>
    <t>www.lixinger.com/analytics/company/sh/603836/603836/detail</t>
  </si>
  <si>
    <t>聚合顺</t>
  </si>
  <si>
    <t>www.lixinger.com/analytics/company/sh/605166/605166/detail</t>
  </si>
  <si>
    <t>南岭民爆</t>
  </si>
  <si>
    <t>www.lixinger.com/analytics/company/sz/002096/2096/detail</t>
  </si>
  <si>
    <t>*ST广珠</t>
  </si>
  <si>
    <t>www.lixinger.com/analytics/company/sh/600382/600382/detail</t>
  </si>
  <si>
    <t>迪哲医药</t>
  </si>
  <si>
    <t>www.lixinger.com/analytics/company/sh/688192/688192/detail</t>
  </si>
  <si>
    <t>和胜股份</t>
  </si>
  <si>
    <t>www.lixinger.com/analytics/company/sz/002824/2824/detail</t>
  </si>
  <si>
    <t>高德红外</t>
  </si>
  <si>
    <t>www.lixinger.com/analytics/company/sz/002414/2414/detail</t>
  </si>
  <si>
    <t>正元智慧</t>
  </si>
  <si>
    <t>www.lixinger.com/analytics/company/sz/300645/300645/detail</t>
  </si>
  <si>
    <t>贵州燃气</t>
  </si>
  <si>
    <t>www.lixinger.com/analytics/company/sh/600903/600903/detail</t>
  </si>
  <si>
    <t>镇洋发展</t>
  </si>
  <si>
    <t>www.lixinger.com/analytics/company/sh/603213/603213/detail</t>
  </si>
  <si>
    <t>望变电气</t>
  </si>
  <si>
    <t>www.lixinger.com/analytics/company/sh/603191/603191/detail</t>
  </si>
  <si>
    <t>盛美上海</t>
  </si>
  <si>
    <t>www.lixinger.com/analytics/company/sh/688082/688082/detail</t>
  </si>
  <si>
    <t>今天国际</t>
  </si>
  <si>
    <t>www.lixinger.com/analytics/company/sz/300532/300532/detail</t>
  </si>
  <si>
    <t>宁通信B</t>
  </si>
  <si>
    <t>www.lixinger.com/analytics/company/sz/200468/200468/detail</t>
  </si>
  <si>
    <t>均瑶健康</t>
  </si>
  <si>
    <t>www.lixinger.com/analytics/company/sh/605388/605388/detail</t>
  </si>
  <si>
    <t>坤彩科技</t>
  </si>
  <si>
    <t>www.lixinger.com/analytics/company/sh/603826/603826/detail</t>
  </si>
  <si>
    <t>贵研铂业</t>
  </si>
  <si>
    <t>www.lixinger.com/analytics/company/sh/600459/600459/detail</t>
  </si>
  <si>
    <t>安车检测</t>
  </si>
  <si>
    <t>www.lixinger.com/analytics/company/sz/300572/300572/detail</t>
  </si>
  <si>
    <t>铭普光磁</t>
  </si>
  <si>
    <t>www.lixinger.com/analytics/company/sz/002902/2902/detail</t>
  </si>
  <si>
    <t>国检集团</t>
  </si>
  <si>
    <t>www.lixinger.com/analytics/company/sh/603060/603060/detail</t>
  </si>
  <si>
    <t>博迈科</t>
  </si>
  <si>
    <t>www.lixinger.com/analytics/company/sh/603727/603727/detail</t>
  </si>
  <si>
    <t>兰石重装</t>
  </si>
  <si>
    <t>www.lixinger.com/analytics/company/sh/603169/603169/detail</t>
  </si>
  <si>
    <t>胜利股份</t>
  </si>
  <si>
    <t>www.lixinger.com/analytics/company/sz/000407/407/detail</t>
  </si>
  <si>
    <t>金圆股份</t>
  </si>
  <si>
    <t>www.lixinger.com/analytics/company/sz/000546/546/detail</t>
  </si>
  <si>
    <t>合肥城建</t>
  </si>
  <si>
    <t>www.lixinger.com/analytics/company/sz/002208/2208/detail</t>
  </si>
  <si>
    <t>国民技术</t>
  </si>
  <si>
    <t>www.lixinger.com/analytics/company/sz/300077/300077/detail</t>
  </si>
  <si>
    <t>福然德</t>
  </si>
  <si>
    <t>www.lixinger.com/analytics/company/sh/605050/605050/detail</t>
  </si>
  <si>
    <t>京新药业</t>
  </si>
  <si>
    <t>www.lixinger.com/analytics/company/sz/002020/2020/detail</t>
  </si>
  <si>
    <t>科博达</t>
  </si>
  <si>
    <t>www.lixinger.com/analytics/company/sh/603786/603786/detail</t>
  </si>
  <si>
    <t>盛剑环境</t>
  </si>
  <si>
    <t>www.lixinger.com/analytics/company/sh/603324/603324/detail</t>
  </si>
  <si>
    <t>神农集团</t>
  </si>
  <si>
    <t>www.lixinger.com/analytics/company/sh/605296/605296/detail</t>
  </si>
  <si>
    <t>*ST华英</t>
  </si>
  <si>
    <t>www.lixinger.com/analytics/company/sz/002321/2321/detail</t>
  </si>
  <si>
    <t>纵横通信</t>
  </si>
  <si>
    <t>www.lixinger.com/analytics/company/sh/603602/603602/detail</t>
  </si>
  <si>
    <t>万朗磁塑</t>
  </si>
  <si>
    <t>www.lixinger.com/analytics/company/sh/603150/603150/detail</t>
  </si>
  <si>
    <t>天宜上佳</t>
  </si>
  <si>
    <t>www.lixinger.com/analytics/company/sh/688033/688033/detail</t>
  </si>
  <si>
    <t>中岩大地</t>
  </si>
  <si>
    <t>www.lixinger.com/analytics/company/sz/003001/3001/detail</t>
  </si>
  <si>
    <t>新能泰山</t>
  </si>
  <si>
    <t>www.lixinger.com/analytics/company/sz/000720/720/detail</t>
  </si>
  <si>
    <t>华泰股份</t>
  </si>
  <si>
    <t>www.lixinger.com/analytics/company/sh/600308/600308/detail</t>
  </si>
  <si>
    <t>岳阳兴长</t>
  </si>
  <si>
    <t>www.lixinger.com/analytics/company/sz/000819/819/detail</t>
  </si>
  <si>
    <t>亿帆医药</t>
  </si>
  <si>
    <t>www.lixinger.com/analytics/company/sz/002019/2019/detail</t>
  </si>
  <si>
    <t>浩丰科技</t>
  </si>
  <si>
    <t>www.lixinger.com/analytics/company/sz/300419/300419/detail</t>
  </si>
  <si>
    <t>易联众</t>
  </si>
  <si>
    <t>www.lixinger.com/analytics/company/sz/300096/300096/detail</t>
  </si>
  <si>
    <t>中科微至</t>
  </si>
  <si>
    <t>www.lixinger.com/analytics/company/sh/688211/688211/detail</t>
  </si>
  <si>
    <t>惠城环保</t>
  </si>
  <si>
    <t>www.lixinger.com/analytics/company/sz/300779/300779/detail</t>
  </si>
  <si>
    <t>曲江文旅</t>
  </si>
  <si>
    <t>www.lixinger.com/analytics/company/sh/600706/600706/detail</t>
  </si>
  <si>
    <t>康华生物</t>
  </si>
  <si>
    <t>www.lixinger.com/analytics/company/sz/300841/300841/detail</t>
  </si>
  <si>
    <t>长城军工</t>
  </si>
  <si>
    <t>www.lixinger.com/analytics/company/sh/601606/601606/detail</t>
  </si>
  <si>
    <t>宝鹰股份</t>
  </si>
  <si>
    <t>www.lixinger.com/analytics/company/sz/002047/2047/detail</t>
  </si>
  <si>
    <t>大博医疗</t>
  </si>
  <si>
    <t>www.lixinger.com/analytics/company/sz/002901/2901/detail</t>
  </si>
  <si>
    <t>美亚光电</t>
  </si>
  <si>
    <t>www.lixinger.com/analytics/company/sz/002690/2690/detail</t>
  </si>
  <si>
    <t>和远气体</t>
  </si>
  <si>
    <t>www.lixinger.com/analytics/company/sz/002971/2971/detail</t>
  </si>
  <si>
    <t>太极集团</t>
  </si>
  <si>
    <t>www.lixinger.com/analytics/company/sh/600129/600129/detail</t>
  </si>
  <si>
    <t>云煤能源</t>
  </si>
  <si>
    <t>www.lixinger.com/analytics/company/sh/600792/600792/detail</t>
  </si>
  <si>
    <t>天宸股份</t>
  </si>
  <si>
    <t>www.lixinger.com/analytics/company/sh/600620/600620/detail</t>
  </si>
  <si>
    <t>大恒科技</t>
  </si>
  <si>
    <t>www.lixinger.com/analytics/company/sh/600288/600288/detail</t>
  </si>
  <si>
    <t>仙坛股份</t>
  </si>
  <si>
    <t>www.lixinger.com/analytics/company/sz/002746/2746/detail</t>
  </si>
  <si>
    <t>盐田港</t>
  </si>
  <si>
    <t>www.lixinger.com/analytics/company/sz/000088/88/detail</t>
  </si>
  <si>
    <t>云海金属</t>
  </si>
  <si>
    <t>www.lixinger.com/analytics/company/sz/002182/2182/detail</t>
  </si>
  <si>
    <t>佛山照明</t>
  </si>
  <si>
    <t>www.lixinger.com/analytics/company/sz/000541/541/detail</t>
  </si>
  <si>
    <t>金种子酒</t>
  </si>
  <si>
    <t>www.lixinger.com/analytics/company/sh/600199/600199/detail</t>
  </si>
  <si>
    <t>重庆港</t>
  </si>
  <si>
    <t>www.lixinger.com/analytics/company/sh/600279/600279/detail</t>
  </si>
  <si>
    <t>科大国创</t>
  </si>
  <si>
    <t>www.lixinger.com/analytics/company/sz/300520/300520/detail</t>
  </si>
  <si>
    <t>江航装备</t>
  </si>
  <si>
    <t>www.lixinger.com/analytics/company/sh/688586/688586/detail</t>
  </si>
  <si>
    <t>今飞凯达</t>
  </si>
  <si>
    <t>www.lixinger.com/analytics/company/sz/002863/2863/detail</t>
  </si>
  <si>
    <t>水羊股份</t>
  </si>
  <si>
    <t>www.lixinger.com/analytics/company/sz/300740/300740/detail</t>
  </si>
  <si>
    <t>兰卫医学</t>
  </si>
  <si>
    <t>www.lixinger.com/analytics/company/sz/301060/301060/detail</t>
  </si>
  <si>
    <t>创意信息</t>
  </si>
  <si>
    <t>www.lixinger.com/analytics/company/sz/300366/300366/detail</t>
  </si>
  <si>
    <t>鹿山新材</t>
  </si>
  <si>
    <t>www.lixinger.com/analytics/company/sh/603051/603051/detail</t>
  </si>
  <si>
    <t>三聚环保</t>
  </si>
  <si>
    <t>www.lixinger.com/analytics/company/sz/300072/300072/detail</t>
  </si>
  <si>
    <t>睿创微纳</t>
  </si>
  <si>
    <t>www.lixinger.com/analytics/company/sh/688002/688002/detail</t>
  </si>
  <si>
    <t>金房节能</t>
  </si>
  <si>
    <t>www.lixinger.com/analytics/company/sz/001210/1210/detail</t>
  </si>
  <si>
    <t>新大正</t>
  </si>
  <si>
    <t>www.lixinger.com/analytics/company/sz/002968/2968/detail</t>
  </si>
  <si>
    <t>汇得科技</t>
  </si>
  <si>
    <t>www.lixinger.com/analytics/company/sh/603192/603192/detail</t>
  </si>
  <si>
    <t>鼎捷软件</t>
  </si>
  <si>
    <t>www.lixinger.com/analytics/company/sz/300378/300378/detail</t>
  </si>
  <si>
    <t>葫芦娃</t>
  </si>
  <si>
    <t>www.lixinger.com/analytics/company/sh/605199/605199/detail</t>
  </si>
  <si>
    <t>宏力达</t>
  </si>
  <si>
    <t>www.lixinger.com/analytics/company/sh/688330/688330/detail</t>
  </si>
  <si>
    <t>中国电研</t>
  </si>
  <si>
    <t>www.lixinger.com/analytics/company/sh/688128/688128/detail</t>
  </si>
  <si>
    <t>赣能股份</t>
  </si>
  <si>
    <t>www.lixinger.com/analytics/company/sz/000899/899/detail</t>
  </si>
  <si>
    <t>民和股份</t>
  </si>
  <si>
    <t>www.lixinger.com/analytics/company/sz/002234/2234/detail</t>
  </si>
  <si>
    <t>文科园林</t>
  </si>
  <si>
    <t>www.lixinger.com/analytics/company/sz/002775/2775/detail</t>
  </si>
  <si>
    <t>盛德鑫泰</t>
  </si>
  <si>
    <t>www.lixinger.com/analytics/company/sz/300881/300881/detail</t>
  </si>
  <si>
    <t>机电Ｂ股</t>
  </si>
  <si>
    <t>www.lixinger.com/analytics/company/sh/900925/900925/detail</t>
  </si>
  <si>
    <t>爱仕达</t>
  </si>
  <si>
    <t>www.lixinger.com/analytics/company/sz/002403/2403/detail</t>
  </si>
  <si>
    <t>华工科技</t>
  </si>
  <si>
    <t>www.lixinger.com/analytics/company/sz/000988/988/detail</t>
  </si>
  <si>
    <t>大众交通</t>
  </si>
  <si>
    <t>www.lixinger.com/analytics/company/sh/600611/600611/detail</t>
  </si>
  <si>
    <t>赛伍技术</t>
  </si>
  <si>
    <t>www.lixinger.com/analytics/company/sh/603212/603212/detail</t>
  </si>
  <si>
    <t>通用股份</t>
  </si>
  <si>
    <t>www.lixinger.com/analytics/company/sh/601500/601500/detail</t>
  </si>
  <si>
    <t>宇通重工</t>
  </si>
  <si>
    <t>www.lixinger.com/analytics/company/sh/600817/600817/detail</t>
  </si>
  <si>
    <t>鲁北化工</t>
  </si>
  <si>
    <t>www.lixinger.com/analytics/company/sh/600727/600727/detail</t>
  </si>
  <si>
    <t>博世科</t>
  </si>
  <si>
    <t>www.lixinger.com/analytics/company/sz/300422/300422/detail</t>
  </si>
  <si>
    <t>申达股份</t>
  </si>
  <si>
    <t>www.lixinger.com/analytics/company/sh/600626/600626/detail</t>
  </si>
  <si>
    <t>皮阿诺</t>
  </si>
  <si>
    <t>www.lixinger.com/analytics/company/sz/002853/2853/detail</t>
  </si>
  <si>
    <t>市北高新</t>
  </si>
  <si>
    <t>www.lixinger.com/analytics/company/sh/600604/600604/detail</t>
  </si>
  <si>
    <t>德美化工</t>
  </si>
  <si>
    <t>www.lixinger.com/analytics/company/sz/002054/2054/detail</t>
  </si>
  <si>
    <t>黑猫股份</t>
  </si>
  <si>
    <t>www.lixinger.com/analytics/company/sz/002068/2068/detail</t>
  </si>
  <si>
    <t>杭汽轮Ｂ</t>
  </si>
  <si>
    <t>www.lixinger.com/analytics/company/sz/200771/200771/detail</t>
  </si>
  <si>
    <t>东易日盛</t>
  </si>
  <si>
    <t>www.lixinger.com/analytics/company/sz/002713/2713/detail</t>
  </si>
  <si>
    <t>蔚蓝生物</t>
  </si>
  <si>
    <t>www.lixinger.com/analytics/company/sh/603739/603739/detail</t>
  </si>
  <si>
    <t>无锡振华</t>
  </si>
  <si>
    <t>www.lixinger.com/analytics/company/sh/605319/605319/detail</t>
  </si>
  <si>
    <t>横店东磁</t>
  </si>
  <si>
    <t>www.lixinger.com/analytics/company/sz/002056/2056/detail</t>
  </si>
  <si>
    <t>ST安泰</t>
  </si>
  <si>
    <t>www.lixinger.com/analytics/company/sh/600408/600408/detail</t>
  </si>
  <si>
    <t>维远股份</t>
  </si>
  <si>
    <t>www.lixinger.com/analytics/company/sh/600955/600955/detail</t>
  </si>
  <si>
    <t>华谊B股</t>
  </si>
  <si>
    <t>www.lixinger.com/analytics/company/sh/900909/900909/detail</t>
  </si>
  <si>
    <t>伟星股份</t>
  </si>
  <si>
    <t>www.lixinger.com/analytics/company/sz/002003/2003/detail</t>
  </si>
  <si>
    <t>久其软件</t>
  </si>
  <si>
    <t>www.lixinger.com/analytics/company/sz/002279/2279/detail</t>
  </si>
  <si>
    <t>丰乐种业</t>
  </si>
  <si>
    <t>www.lixinger.com/analytics/company/sz/000713/713/detail</t>
  </si>
  <si>
    <t>高测股份</t>
  </si>
  <si>
    <t>www.lixinger.com/analytics/company/sh/688556/688556/detail</t>
  </si>
  <si>
    <t>春风动力</t>
  </si>
  <si>
    <t>www.lixinger.com/analytics/company/sh/603129/603129/detail</t>
  </si>
  <si>
    <t>内蒙新华</t>
  </si>
  <si>
    <t>www.lixinger.com/analytics/company/sh/603230/603230/detail</t>
  </si>
  <si>
    <t>设计总院</t>
  </si>
  <si>
    <t>www.lixinger.com/analytics/company/sh/603357/603357/detail</t>
  </si>
  <si>
    <t>聚石化学</t>
  </si>
  <si>
    <t>www.lixinger.com/analytics/company/sh/688669/688669/detail</t>
  </si>
  <si>
    <t>汉威科技</t>
  </si>
  <si>
    <t>www.lixinger.com/analytics/company/sz/300007/300007/detail</t>
  </si>
  <si>
    <t>芭田股份</t>
  </si>
  <si>
    <t>www.lixinger.com/analytics/company/sz/002170/2170/detail</t>
  </si>
  <si>
    <t>美邦服饰</t>
  </si>
  <si>
    <t>www.lixinger.com/analytics/company/sz/002269/2269/detail</t>
  </si>
  <si>
    <t>海容冷链</t>
  </si>
  <si>
    <t>www.lixinger.com/analytics/company/sh/603187/603187/detail</t>
  </si>
  <si>
    <t>上海雅仕</t>
  </si>
  <si>
    <t>www.lixinger.com/analytics/company/sh/603329/603329/detail</t>
  </si>
  <si>
    <t>荣联科技</t>
  </si>
  <si>
    <t>www.lixinger.com/analytics/company/sz/002642/2642/detail</t>
  </si>
  <si>
    <t>长川科技</t>
  </si>
  <si>
    <t>www.lixinger.com/analytics/company/sz/300604/300604/detail</t>
  </si>
  <si>
    <t>中航电测</t>
  </si>
  <si>
    <t>www.lixinger.com/analytics/company/sz/300114/300114/detail</t>
  </si>
  <si>
    <t>高铁电气</t>
  </si>
  <si>
    <t>www.lixinger.com/analytics/company/sh/688285/688285/detail</t>
  </si>
  <si>
    <t>久远银海</t>
  </si>
  <si>
    <t>www.lixinger.com/analytics/company/sz/002777/2777/detail</t>
  </si>
  <si>
    <t>保税科技</t>
  </si>
  <si>
    <t>www.lixinger.com/analytics/company/sh/600794/600794/detail</t>
  </si>
  <si>
    <t>华西股份</t>
  </si>
  <si>
    <t>www.lixinger.com/analytics/company/sz/000936/936/detail</t>
  </si>
  <si>
    <t>维科技术</t>
  </si>
  <si>
    <t>www.lixinger.com/analytics/company/sh/600152/600152/detail</t>
  </si>
  <si>
    <t>正平股份</t>
  </si>
  <si>
    <t>www.lixinger.com/analytics/company/sh/603843/603843/detail</t>
  </si>
  <si>
    <t>康冠科技</t>
  </si>
  <si>
    <t>www.lixinger.com/analytics/company/sz/001308/1308/detail</t>
  </si>
  <si>
    <t>惠天热电</t>
  </si>
  <si>
    <t>www.lixinger.com/analytics/company/sz/000692/692/detail</t>
  </si>
  <si>
    <t>金埔园林</t>
  </si>
  <si>
    <t>www.lixinger.com/analytics/company/sz/301098/301098/detail</t>
  </si>
  <si>
    <t>天宇股份</t>
  </si>
  <si>
    <t>www.lixinger.com/analytics/company/sz/300702/300702/detail</t>
  </si>
  <si>
    <t>奥普家居</t>
  </si>
  <si>
    <t>www.lixinger.com/analytics/company/sh/603551/603551/detail</t>
  </si>
  <si>
    <t>*ST康美</t>
  </si>
  <si>
    <t>www.lixinger.com/analytics/company/sh/600518/600518/detail</t>
  </si>
  <si>
    <t>集泰股份</t>
  </si>
  <si>
    <t>www.lixinger.com/analytics/company/sz/002909/2909/detail</t>
  </si>
  <si>
    <t>招标股份</t>
  </si>
  <si>
    <t>www.lixinger.com/analytics/company/sz/301136/301136/detail</t>
  </si>
  <si>
    <t>京粮控股</t>
  </si>
  <si>
    <t>www.lixinger.com/analytics/company/sz/000505/505/detail</t>
  </si>
  <si>
    <t>西藏天路</t>
  </si>
  <si>
    <t>www.lixinger.com/analytics/company/sh/600326/600326/detail</t>
  </si>
  <si>
    <t>道通科技</t>
  </si>
  <si>
    <t>www.lixinger.com/analytics/company/sh/688208/688208/detail</t>
  </si>
  <si>
    <t>国茂股份</t>
  </si>
  <si>
    <t>www.lixinger.com/analytics/company/sh/603915/603915/detail</t>
  </si>
  <si>
    <t>北摩高科</t>
  </si>
  <si>
    <t>www.lixinger.com/analytics/company/sz/002985/2985/detail</t>
  </si>
  <si>
    <t>康盛股份</t>
  </si>
  <si>
    <t>www.lixinger.com/analytics/company/sz/002418/2418/detail</t>
  </si>
  <si>
    <t>华扬联众</t>
  </si>
  <si>
    <t>www.lixinger.com/analytics/company/sh/603825/603825/detail</t>
  </si>
  <si>
    <t>浙江震元</t>
  </si>
  <si>
    <t>www.lixinger.com/analytics/company/sz/000705/705/detail</t>
  </si>
  <si>
    <t>智慧农业</t>
  </si>
  <si>
    <t>www.lixinger.com/analytics/company/sz/000816/816/detail</t>
  </si>
  <si>
    <t>裕兴股份</t>
  </si>
  <si>
    <t>www.lixinger.com/analytics/company/sz/300305/300305/detail</t>
  </si>
  <si>
    <t>鹏都农牧</t>
  </si>
  <si>
    <t>www.lixinger.com/analytics/company/sz/002505/2505/detail</t>
  </si>
  <si>
    <t>广日股份</t>
  </si>
  <si>
    <t>www.lixinger.com/analytics/company/sh/600894/600894/detail</t>
  </si>
  <si>
    <t>军信股份</t>
  </si>
  <si>
    <t>www.lixinger.com/analytics/company/sz/301109/301109/detail</t>
  </si>
  <si>
    <t>东贝集团</t>
  </si>
  <si>
    <t>www.lixinger.com/analytics/company/sh/601956/601956/detail</t>
  </si>
  <si>
    <t>拓维信息</t>
  </si>
  <si>
    <t>www.lixinger.com/analytics/company/sz/002261/2261/detail</t>
  </si>
  <si>
    <t>火星人</t>
  </si>
  <si>
    <t>www.lixinger.com/analytics/company/sz/300894/300894/detail</t>
  </si>
  <si>
    <t>利元亨</t>
  </si>
  <si>
    <t>www.lixinger.com/analytics/company/sh/688499/688499/detail</t>
  </si>
  <si>
    <t>沧州大化</t>
  </si>
  <si>
    <t>www.lixinger.com/analytics/company/sh/600230/600230/detail</t>
  </si>
  <si>
    <t>德力股份</t>
  </si>
  <si>
    <t>www.lixinger.com/analytics/company/sz/002571/2571/detail</t>
  </si>
  <si>
    <t>金桥Ｂ股</t>
  </si>
  <si>
    <t>www.lixinger.com/analytics/company/sh/900911/900911/detail</t>
  </si>
  <si>
    <t>伊之密</t>
  </si>
  <si>
    <t>www.lixinger.com/analytics/company/sz/300415/300415/detail</t>
  </si>
  <si>
    <t>沙钢股份</t>
  </si>
  <si>
    <t>www.lixinger.com/analytics/company/sz/002075/2075/detail</t>
  </si>
  <si>
    <t>德尔未来</t>
  </si>
  <si>
    <t>www.lixinger.com/analytics/company/sz/002631/2631/detail</t>
  </si>
  <si>
    <t>中视传媒</t>
  </si>
  <si>
    <t>www.lixinger.com/analytics/company/sh/600088/600088/detail</t>
  </si>
  <si>
    <t>湘电股份</t>
  </si>
  <si>
    <t>www.lixinger.com/analytics/company/sh/600416/600416/detail</t>
  </si>
  <si>
    <t>海思科</t>
  </si>
  <si>
    <t>www.lixinger.com/analytics/company/sz/002653/2653/detail</t>
  </si>
  <si>
    <t>铭利达</t>
  </si>
  <si>
    <t>www.lixinger.com/analytics/company/sz/301268/301268/detail</t>
  </si>
  <si>
    <t>移为通信</t>
  </si>
  <si>
    <t>www.lixinger.com/analytics/company/sz/300590/300590/detail</t>
  </si>
  <si>
    <t>硅宝科技</t>
  </si>
  <si>
    <t>www.lixinger.com/analytics/company/sz/300019/300019/detail</t>
  </si>
  <si>
    <t>悦康药业</t>
  </si>
  <si>
    <t>www.lixinger.com/analytics/company/sh/688658/688658/detail</t>
  </si>
  <si>
    <t>东江环保</t>
  </si>
  <si>
    <t>www.lixinger.com/analytics/company/sz/002672/2672/detail</t>
  </si>
  <si>
    <t>中环环保</t>
  </si>
  <si>
    <t>www.lixinger.com/analytics/company/sz/300692/300692/detail</t>
  </si>
  <si>
    <t>信雅达</t>
  </si>
  <si>
    <t>www.lixinger.com/analytics/company/sh/600571/600571/detail</t>
  </si>
  <si>
    <t>航天科技</t>
  </si>
  <si>
    <t>www.lixinger.com/analytics/company/sz/000901/901/detail</t>
  </si>
  <si>
    <t>雷赛智能</t>
  </si>
  <si>
    <t>www.lixinger.com/analytics/company/sz/002979/2979/detail</t>
  </si>
  <si>
    <t>王力安防</t>
  </si>
  <si>
    <t>www.lixinger.com/analytics/company/sh/605268/605268/detail</t>
  </si>
  <si>
    <t>东百集团</t>
  </si>
  <si>
    <t>www.lixinger.com/analytics/company/sh/600693/600693/detail</t>
  </si>
  <si>
    <t>万泽股份</t>
  </si>
  <si>
    <t>www.lixinger.com/analytics/company/sz/000534/534/detail</t>
  </si>
  <si>
    <t>华康医疗</t>
  </si>
  <si>
    <t>www.lixinger.com/analytics/company/sz/301235/301235/detail</t>
  </si>
  <si>
    <t>江苏神通</t>
  </si>
  <si>
    <t>www.lixinger.com/analytics/company/sz/002438/2438/detail</t>
  </si>
  <si>
    <t>晋亿实业</t>
  </si>
  <si>
    <t>www.lixinger.com/analytics/company/sh/601002/601002/detail</t>
  </si>
  <si>
    <t>蒙草生态</t>
  </si>
  <si>
    <t>www.lixinger.com/analytics/company/sz/300355/300355/detail</t>
  </si>
  <si>
    <t>佛燃能源</t>
  </si>
  <si>
    <t>www.lixinger.com/analytics/company/sz/002911/2911/detail</t>
  </si>
  <si>
    <t>方大炭素</t>
  </si>
  <si>
    <t>www.lixinger.com/analytics/company/sh/600516/600516/detail</t>
  </si>
  <si>
    <t>爱柯迪</t>
  </si>
  <si>
    <t>www.lixinger.com/analytics/company/sh/600933/600933/detail</t>
  </si>
  <si>
    <t>博力威</t>
  </si>
  <si>
    <t>www.lixinger.com/analytics/company/sh/688345/688345/detail</t>
  </si>
  <si>
    <t>当虹科技</t>
  </si>
  <si>
    <t>www.lixinger.com/analytics/company/sh/688039/688039/detail</t>
  </si>
  <si>
    <t>福蓉科技</t>
  </si>
  <si>
    <t>www.lixinger.com/analytics/company/sh/603327/603327/detail</t>
  </si>
  <si>
    <t>南网科技</t>
  </si>
  <si>
    <t>www.lixinger.com/analytics/company/sh/688248/688248/detail</t>
  </si>
  <si>
    <t>瑞丰光电</t>
  </si>
  <si>
    <t>www.lixinger.com/analytics/company/sz/300241/300241/detail</t>
  </si>
  <si>
    <t>科林电气</t>
  </si>
  <si>
    <t>www.lixinger.com/analytics/company/sh/603050/603050/detail</t>
  </si>
  <si>
    <t>联络互动</t>
  </si>
  <si>
    <t>www.lixinger.com/analytics/company/sz/002280/2280/detail</t>
  </si>
  <si>
    <t>联泰环保</t>
  </si>
  <si>
    <t>www.lixinger.com/analytics/company/sh/603797/603797/detail</t>
  </si>
  <si>
    <t>合锻智能</t>
  </si>
  <si>
    <t>www.lixinger.com/analytics/company/sh/603011/603011/detail</t>
  </si>
  <si>
    <t>漳州发展</t>
  </si>
  <si>
    <t>www.lixinger.com/analytics/company/sz/000753/753/detail</t>
  </si>
  <si>
    <t>永茂泰</t>
  </si>
  <si>
    <t>www.lixinger.com/analytics/company/sh/605208/605208/detail</t>
  </si>
  <si>
    <t>华兴源创</t>
  </si>
  <si>
    <t>www.lixinger.com/analytics/company/sh/688001/688001/detail</t>
  </si>
  <si>
    <t>新五丰</t>
  </si>
  <si>
    <t>www.lixinger.com/analytics/company/sh/600975/600975/detail</t>
  </si>
  <si>
    <t>日出东方</t>
  </si>
  <si>
    <t>www.lixinger.com/analytics/company/sh/603366/603366/detail</t>
  </si>
  <si>
    <t>章源钨业</t>
  </si>
  <si>
    <t>www.lixinger.com/analytics/company/sz/002378/2378/detail</t>
  </si>
  <si>
    <t>金地集团</t>
  </si>
  <si>
    <t>www.lixinger.com/analytics/company/sh/600383/600383/detail</t>
  </si>
  <si>
    <t>多氟多</t>
  </si>
  <si>
    <t>www.lixinger.com/analytics/company/sz/002407/2407/detail</t>
  </si>
  <si>
    <t>天准科技</t>
  </si>
  <si>
    <t>www.lixinger.com/analytics/company/sh/688003/688003/detail</t>
  </si>
  <si>
    <t>致远互联</t>
  </si>
  <si>
    <t>www.lixinger.com/analytics/company/sh/688369/688369/detail</t>
  </si>
  <si>
    <t>数源科技</t>
  </si>
  <si>
    <t>www.lixinger.com/analytics/company/sz/000909/909/detail</t>
  </si>
  <si>
    <t>威派格</t>
  </si>
  <si>
    <t>www.lixinger.com/analytics/company/sh/603956/603956/detail</t>
  </si>
  <si>
    <t>我乐家居</t>
  </si>
  <si>
    <t>www.lixinger.com/analytics/company/sh/603326/603326/detail</t>
  </si>
  <si>
    <t>金陵药业</t>
  </si>
  <si>
    <t>www.lixinger.com/analytics/company/sz/000919/919/detail</t>
  </si>
  <si>
    <t>科蓝软件</t>
  </si>
  <si>
    <t>www.lixinger.com/analytics/company/sz/300663/300663/detail</t>
  </si>
  <si>
    <t>新开源</t>
  </si>
  <si>
    <t>www.lixinger.com/analytics/company/sz/300109/300109/detail</t>
  </si>
  <si>
    <t>赢时胜</t>
  </si>
  <si>
    <t>www.lixinger.com/analytics/company/sz/300377/300377/detail</t>
  </si>
  <si>
    <t>上海梅林</t>
  </si>
  <si>
    <t>www.lixinger.com/analytics/company/sh/600073/600073/detail</t>
  </si>
  <si>
    <t>浙文互联</t>
  </si>
  <si>
    <t>www.lixinger.com/analytics/company/sh/600986/600986/detail</t>
  </si>
  <si>
    <t>兴源环境</t>
  </si>
  <si>
    <t>www.lixinger.com/analytics/company/sz/300266/300266/detail</t>
  </si>
  <si>
    <t>金雷股份</t>
  </si>
  <si>
    <t>www.lixinger.com/analytics/company/sz/300443/300443/detail</t>
  </si>
  <si>
    <t>积成电子</t>
  </si>
  <si>
    <t>www.lixinger.com/analytics/company/sz/002339/2339/detail</t>
  </si>
  <si>
    <t>金卡智能</t>
  </si>
  <si>
    <t>www.lixinger.com/analytics/company/sz/300349/300349/detail</t>
  </si>
  <si>
    <t>雪天盐业</t>
  </si>
  <si>
    <t>www.lixinger.com/analytics/company/sh/600929/600929/detail</t>
  </si>
  <si>
    <t>金龙羽</t>
  </si>
  <si>
    <t>www.lixinger.com/analytics/company/sz/002882/2882/detail</t>
  </si>
  <si>
    <t>旋极信息</t>
  </si>
  <si>
    <t>www.lixinger.com/analytics/company/sz/300324/300324/detail</t>
  </si>
  <si>
    <t>科士达</t>
  </si>
  <si>
    <t>www.lixinger.com/analytics/company/sz/002518/2518/detail</t>
  </si>
  <si>
    <t>福建水泥</t>
  </si>
  <si>
    <t>www.lixinger.com/analytics/company/sh/600802/600802/detail</t>
  </si>
  <si>
    <t>绿城水务</t>
  </si>
  <si>
    <t>www.lixinger.com/analytics/company/sh/601368/601368/detail</t>
  </si>
  <si>
    <t>欧菲光</t>
  </si>
  <si>
    <t>www.lixinger.com/analytics/company/sz/002456/2456/detail</t>
  </si>
  <si>
    <t>司太立</t>
  </si>
  <si>
    <t>www.lixinger.com/analytics/company/sh/603520/603520/detail</t>
  </si>
  <si>
    <t>天岳先进</t>
  </si>
  <si>
    <t>www.lixinger.com/analytics/company/sh/688234/688234/detail</t>
  </si>
  <si>
    <t>鸿远电子</t>
  </si>
  <si>
    <t>www.lixinger.com/analytics/company/sh/603267/603267/detail</t>
  </si>
  <si>
    <t>粤照明Ｂ</t>
  </si>
  <si>
    <t>www.lixinger.com/analytics/company/sz/200541/200541/detail</t>
  </si>
  <si>
    <t>中嘉博创</t>
  </si>
  <si>
    <t>www.lixinger.com/analytics/company/sz/000889/889/detail</t>
  </si>
  <si>
    <t>家联科技</t>
  </si>
  <si>
    <t>www.lixinger.com/analytics/company/sz/301193/301193/detail</t>
  </si>
  <si>
    <t>金固股份</t>
  </si>
  <si>
    <t>www.lixinger.com/analytics/company/sz/002488/2488/detail</t>
  </si>
  <si>
    <t>四川成渝</t>
  </si>
  <si>
    <t>www.lixinger.com/analytics/company/sh/601107/601107/detail</t>
  </si>
  <si>
    <t>南威软件</t>
  </si>
  <si>
    <t>www.lixinger.com/analytics/company/sh/603636/603636/detail</t>
  </si>
  <si>
    <t>湖北广电</t>
  </si>
  <si>
    <t>www.lixinger.com/analytics/company/sz/000665/665/detail</t>
  </si>
  <si>
    <t>国际医学</t>
  </si>
  <si>
    <t>www.lixinger.com/analytics/company/sz/000516/516/detail</t>
  </si>
  <si>
    <t>国睿科技</t>
  </si>
  <si>
    <t>www.lixinger.com/analytics/company/sh/600562/600562/detail</t>
  </si>
  <si>
    <t>恒实科技</t>
  </si>
  <si>
    <t>www.lixinger.com/analytics/company/sz/300513/300513/detail</t>
  </si>
  <si>
    <t>柯利达</t>
  </si>
  <si>
    <t>www.lixinger.com/analytics/company/sh/603828/603828/detail</t>
  </si>
  <si>
    <t>水晶光电</t>
  </si>
  <si>
    <t>www.lixinger.com/analytics/company/sz/002273/2273/detail</t>
  </si>
  <si>
    <t>光大嘉宝</t>
  </si>
  <si>
    <t>www.lixinger.com/analytics/company/sh/600622/600622/detail</t>
  </si>
  <si>
    <t>广电计量</t>
  </si>
  <si>
    <t>www.lixinger.com/analytics/company/sz/002967/2967/detail</t>
  </si>
  <si>
    <t>浙大网新</t>
  </si>
  <si>
    <t>www.lixinger.com/analytics/company/sh/600797/600797/detail</t>
  </si>
  <si>
    <t>中核科技</t>
  </si>
  <si>
    <t>www.lixinger.com/analytics/company/sz/000777/777/detail</t>
  </si>
  <si>
    <t>富祥药业</t>
  </si>
  <si>
    <t>www.lixinger.com/analytics/company/sz/300497/300497/detail</t>
  </si>
  <si>
    <t>诺禾致源</t>
  </si>
  <si>
    <t>www.lixinger.com/analytics/company/sh/688315/688315/detail</t>
  </si>
  <si>
    <t>嘉友国际</t>
  </si>
  <si>
    <t>www.lixinger.com/analytics/company/sh/603871/603871/detail</t>
  </si>
  <si>
    <t>纳芯微</t>
  </si>
  <si>
    <t>www.lixinger.com/analytics/company/sh/688052/688052/detail</t>
  </si>
  <si>
    <t>长城科技</t>
  </si>
  <si>
    <t>www.lixinger.com/analytics/company/sh/603897/603897/detail</t>
  </si>
  <si>
    <t>川仪股份</t>
  </si>
  <si>
    <t>www.lixinger.com/analytics/company/sh/603100/603100/detail</t>
  </si>
  <si>
    <t>亚信安全</t>
  </si>
  <si>
    <t>www.lixinger.com/analytics/company/sh/688225/688225/detail</t>
  </si>
  <si>
    <t>*ST松江</t>
  </si>
  <si>
    <t>www.lixinger.com/analytics/company/sh/600225/600225/detail</t>
  </si>
  <si>
    <t>京运通</t>
  </si>
  <si>
    <t>www.lixinger.com/analytics/company/sh/601908/601908/detail</t>
  </si>
  <si>
    <t>合纵科技</t>
  </si>
  <si>
    <t>www.lixinger.com/analytics/company/sz/300477/300477/detail</t>
  </si>
  <si>
    <t>渤海化学</t>
  </si>
  <si>
    <t>www.lixinger.com/analytics/company/sh/600800/600800/detail</t>
  </si>
  <si>
    <t>中一科技</t>
  </si>
  <si>
    <t>www.lixinger.com/analytics/company/sz/301150/301150/detail</t>
  </si>
  <si>
    <t>奥克股份</t>
  </si>
  <si>
    <t>www.lixinger.com/analytics/company/sz/300082/300082/detail</t>
  </si>
  <si>
    <t>联创光电</t>
  </si>
  <si>
    <t>www.lixinger.com/analytics/company/sh/600363/600363/detail</t>
  </si>
  <si>
    <t>长鹰信质</t>
  </si>
  <si>
    <t>www.lixinger.com/analytics/company/sz/002664/2664/detail</t>
  </si>
  <si>
    <t>南亚新材</t>
  </si>
  <si>
    <t>www.lixinger.com/analytics/company/sh/688519/688519/detail</t>
  </si>
  <si>
    <t>东方中科</t>
  </si>
  <si>
    <t>www.lixinger.com/analytics/company/sz/002819/2819/detail</t>
  </si>
  <si>
    <t>渝开发</t>
  </si>
  <si>
    <t>www.lixinger.com/analytics/company/sz/000514/514/detail</t>
  </si>
  <si>
    <t>德业股份</t>
  </si>
  <si>
    <t>www.lixinger.com/analytics/company/sh/605117/605117/detail</t>
  </si>
  <si>
    <t>优彩资源</t>
  </si>
  <si>
    <t>www.lixinger.com/analytics/company/sz/002998/2998/detail</t>
  </si>
  <si>
    <t>金洲管道</t>
  </si>
  <si>
    <t>www.lixinger.com/analytics/company/sz/002443/2443/detail</t>
  </si>
  <si>
    <t>江山欧派</t>
  </si>
  <si>
    <t>www.lixinger.com/analytics/company/sh/603208/603208/detail</t>
  </si>
  <si>
    <t>信濠光电</t>
  </si>
  <si>
    <t>www.lixinger.com/analytics/company/sz/301051/301051/detail</t>
  </si>
  <si>
    <t>盛达资源</t>
  </si>
  <si>
    <t>www.lixinger.com/analytics/company/sz/000603/603/detail</t>
  </si>
  <si>
    <t>壹石通</t>
  </si>
  <si>
    <t>www.lixinger.com/analytics/company/sh/688733/688733/detail</t>
  </si>
  <si>
    <t>长江传媒</t>
  </si>
  <si>
    <t>www.lixinger.com/analytics/company/sh/600757/600757/detail</t>
  </si>
  <si>
    <t>宁水集团</t>
  </si>
  <si>
    <t>www.lixinger.com/analytics/company/sh/603700/603700/detail</t>
  </si>
  <si>
    <t>永冠新材</t>
  </si>
  <si>
    <t>www.lixinger.com/analytics/company/sh/603681/603681/detail</t>
  </si>
  <si>
    <t>昂立教育</t>
  </si>
  <si>
    <t>www.lixinger.com/analytics/company/sh/600661/600661/detail</t>
  </si>
  <si>
    <t>深城交</t>
  </si>
  <si>
    <t>www.lixinger.com/analytics/company/sz/301091/301091/detail</t>
  </si>
  <si>
    <t>临港B股</t>
  </si>
  <si>
    <t>www.lixinger.com/analytics/company/sh/900928/900928/detail</t>
  </si>
  <si>
    <t>京粮B</t>
  </si>
  <si>
    <t>www.lixinger.com/analytics/company/sz/200505/200505/detail</t>
  </si>
  <si>
    <t>贝达药业</t>
  </si>
  <si>
    <t>www.lixinger.com/analytics/company/sz/300558/300558/detail</t>
  </si>
  <si>
    <t>英科医疗</t>
  </si>
  <si>
    <t>www.lixinger.com/analytics/company/sz/300677/300677/detail</t>
  </si>
  <si>
    <t>海力风电</t>
  </si>
  <si>
    <t>www.lixinger.com/analytics/company/sz/301155/301155/detail</t>
  </si>
  <si>
    <t>中孚信息</t>
  </si>
  <si>
    <t>www.lixinger.com/analytics/company/sz/300659/300659/detail</t>
  </si>
  <si>
    <t>德赛电池</t>
  </si>
  <si>
    <t>www.lixinger.com/analytics/company/sz/000049/49/detail</t>
  </si>
  <si>
    <t>光威复材</t>
  </si>
  <si>
    <t>www.lixinger.com/analytics/company/sz/300699/300699/detail</t>
  </si>
  <si>
    <t>重庆钢铁</t>
  </si>
  <si>
    <t>www.lixinger.com/analytics/company/sh/601005/601005/detail</t>
  </si>
  <si>
    <t>大富科技</t>
  </si>
  <si>
    <t>www.lixinger.com/analytics/company/sz/300134/300134/detail</t>
  </si>
  <si>
    <t>锐科激光</t>
  </si>
  <si>
    <t>www.lixinger.com/analytics/company/sz/300747/300747/detail</t>
  </si>
  <si>
    <t>贝泰妮</t>
  </si>
  <si>
    <t>www.lixinger.com/analytics/company/sz/300957/300957/detail</t>
  </si>
  <si>
    <t>文灿股份</t>
  </si>
  <si>
    <t>www.lixinger.com/analytics/company/sh/603348/603348/detail</t>
  </si>
  <si>
    <t>世运电路</t>
  </si>
  <si>
    <t>www.lixinger.com/analytics/company/sh/603920/603920/detail</t>
  </si>
  <si>
    <t>南网能源</t>
  </si>
  <si>
    <t>www.lixinger.com/analytics/company/sz/003035/3035/detail</t>
  </si>
  <si>
    <t>伯特利</t>
  </si>
  <si>
    <t>www.lixinger.com/analytics/company/sh/603596/603596/detail</t>
  </si>
  <si>
    <t>青龙管业</t>
  </si>
  <si>
    <t>www.lixinger.com/analytics/company/sz/002457/2457/detail</t>
  </si>
  <si>
    <t>北斗星通</t>
  </si>
  <si>
    <t>www.lixinger.com/analytics/company/sz/002151/2151/detail</t>
  </si>
  <si>
    <t>品渥食品</t>
  </si>
  <si>
    <t>www.lixinger.com/analytics/company/sz/300892/300892/detail</t>
  </si>
  <si>
    <t>万顺新材</t>
  </si>
  <si>
    <t>www.lixinger.com/analytics/company/sz/300057/300057/detail</t>
  </si>
  <si>
    <t>康龙化成</t>
  </si>
  <si>
    <t>www.lixinger.com/analytics/company/sz/300759/300759/detail</t>
  </si>
  <si>
    <t>广电网络</t>
  </si>
  <si>
    <t>www.lixinger.com/analytics/company/sh/600831/600831/detail</t>
  </si>
  <si>
    <t>晶科科技</t>
  </si>
  <si>
    <t>www.lixinger.com/analytics/company/sh/601778/601778/detail</t>
  </si>
  <si>
    <t>勘设股份</t>
  </si>
  <si>
    <t>www.lixinger.com/analytics/company/sh/603458/603458/detail</t>
  </si>
  <si>
    <t>华中数控</t>
  </si>
  <si>
    <t>www.lixinger.com/analytics/company/sz/300161/300161/detail</t>
  </si>
  <si>
    <t>宝泰隆</t>
  </si>
  <si>
    <t>www.lixinger.com/analytics/company/sh/601011/601011/detail</t>
  </si>
  <si>
    <t>捷顺科技</t>
  </si>
  <si>
    <t>www.lixinger.com/analytics/company/sz/002609/2609/detail</t>
  </si>
  <si>
    <t>国网英大</t>
  </si>
  <si>
    <t>www.lixinger.com/analytics/company/sh/600517/600517/detail</t>
  </si>
  <si>
    <t>惠而浦</t>
  </si>
  <si>
    <t>www.lixinger.com/analytics/company/sh/600983/600983/detail</t>
  </si>
  <si>
    <t>新致软件</t>
  </si>
  <si>
    <t>www.lixinger.com/analytics/company/sh/688590/688590/detail</t>
  </si>
  <si>
    <t>中信重工</t>
  </si>
  <si>
    <t>www.lixinger.com/analytics/company/sh/601608/601608/detail</t>
  </si>
  <si>
    <t>兴森科技</t>
  </si>
  <si>
    <t>www.lixinger.com/analytics/company/sz/002436/2436/detail</t>
  </si>
  <si>
    <t>中科星图</t>
  </si>
  <si>
    <t>www.lixinger.com/analytics/company/sh/688568/688568/detail</t>
  </si>
  <si>
    <t>利亚德</t>
  </si>
  <si>
    <t>www.lixinger.com/analytics/company/sz/300296/300296/detail</t>
  </si>
  <si>
    <t>润和软件</t>
  </si>
  <si>
    <t>www.lixinger.com/analytics/company/sz/300339/300339/detail</t>
  </si>
  <si>
    <t>万年青</t>
  </si>
  <si>
    <t>www.lixinger.com/analytics/company/sz/000789/789/detail</t>
  </si>
  <si>
    <t>东富龙</t>
  </si>
  <si>
    <t>www.lixinger.com/analytics/company/sz/300171/300171/detail</t>
  </si>
  <si>
    <t>神州细胞</t>
  </si>
  <si>
    <t>www.lixinger.com/analytics/company/sh/688520/688520/detail</t>
  </si>
  <si>
    <t>山推股份</t>
  </si>
  <si>
    <t>www.lixinger.com/analytics/company/sz/000680/680/detail</t>
  </si>
  <si>
    <t>山东威达</t>
  </si>
  <si>
    <t>www.lixinger.com/analytics/company/sz/002026/2026/detail</t>
  </si>
  <si>
    <t>皓元医药</t>
  </si>
  <si>
    <t>www.lixinger.com/analytics/company/sh/688131/688131/detail</t>
  </si>
  <si>
    <t>深大通</t>
  </si>
  <si>
    <t>www.lixinger.com/analytics/company/sz/000038/38/detail</t>
  </si>
  <si>
    <t>华正新材</t>
  </si>
  <si>
    <t>www.lixinger.com/analytics/company/sh/603186/603186/detail</t>
  </si>
  <si>
    <t>中国汽研</t>
  </si>
  <si>
    <t>www.lixinger.com/analytics/company/sh/601965/601965/detail</t>
  </si>
  <si>
    <t>保龄宝</t>
  </si>
  <si>
    <t>www.lixinger.com/analytics/company/sz/002286/2286/detail</t>
  </si>
  <si>
    <t>应流股份</t>
  </si>
  <si>
    <t>www.lixinger.com/analytics/company/sh/603308/603308/detail</t>
  </si>
  <si>
    <t>宇新股份</t>
  </si>
  <si>
    <t>www.lixinger.com/analytics/company/sz/002986/2986/detail</t>
  </si>
  <si>
    <t>奥飞数据</t>
  </si>
  <si>
    <t>www.lixinger.com/analytics/company/sz/300738/300738/detail</t>
  </si>
  <si>
    <t>福龙马</t>
  </si>
  <si>
    <t>www.lixinger.com/analytics/company/sh/603686/603686/detail</t>
  </si>
  <si>
    <t>光智科技</t>
  </si>
  <si>
    <t>www.lixinger.com/analytics/company/sz/300489/300489/detail</t>
  </si>
  <si>
    <t>唯捷创芯</t>
  </si>
  <si>
    <t>www.lixinger.com/analytics/company/sh/688153/688153/detail</t>
  </si>
  <si>
    <t>盟升电子</t>
  </si>
  <si>
    <t>www.lixinger.com/analytics/company/sh/688311/688311/detail</t>
  </si>
  <si>
    <t>新北洋</t>
  </si>
  <si>
    <t>www.lixinger.com/analytics/company/sz/002376/2376/detail</t>
  </si>
  <si>
    <t>梦百合</t>
  </si>
  <si>
    <t>www.lixinger.com/analytics/company/sh/603313/603313/detail</t>
  </si>
  <si>
    <t>金证股份</t>
  </si>
  <si>
    <t>www.lixinger.com/analytics/company/sh/600446/600446/detail</t>
  </si>
  <si>
    <t>烽火电子</t>
  </si>
  <si>
    <t>www.lixinger.com/analytics/company/sz/000561/561/detail</t>
  </si>
  <si>
    <t>中钢天源</t>
  </si>
  <si>
    <t>www.lixinger.com/analytics/company/sz/002057/2057/detail</t>
  </si>
  <si>
    <t>中国海诚</t>
  </si>
  <si>
    <t>www.lixinger.com/analytics/company/sz/002116/2116/detail</t>
  </si>
  <si>
    <t>东岳硅材</t>
  </si>
  <si>
    <t>www.lixinger.com/analytics/company/sz/300821/300821/detail</t>
  </si>
  <si>
    <t>克劳斯</t>
  </si>
  <si>
    <t>www.lixinger.com/analytics/company/sh/600579/600579/detail</t>
  </si>
  <si>
    <t>共进股份</t>
  </si>
  <si>
    <t>www.lixinger.com/analytics/company/sh/603118/603118/detail</t>
  </si>
  <si>
    <t>中粮科技</t>
  </si>
  <si>
    <t>www.lixinger.com/analytics/company/sz/000930/930/detail</t>
  </si>
  <si>
    <t>洪涛股份</t>
  </si>
  <si>
    <t>www.lixinger.com/analytics/company/sz/002325/2325/detail</t>
  </si>
  <si>
    <t>银轮股份</t>
  </si>
  <si>
    <t>www.lixinger.com/analytics/company/sz/002126/2126/detail</t>
  </si>
  <si>
    <t>太平鸟</t>
  </si>
  <si>
    <t>www.lixinger.com/analytics/company/sh/603877/603877/detail</t>
  </si>
  <si>
    <t>外服控股</t>
  </si>
  <si>
    <t>www.lixinger.com/analytics/company/sh/600662/600662/detail</t>
  </si>
  <si>
    <t>先进数通</t>
  </si>
  <si>
    <t>www.lixinger.com/analytics/company/sz/300541/300541/detail</t>
  </si>
  <si>
    <t>天津港</t>
  </si>
  <si>
    <t>www.lixinger.com/analytics/company/sh/600717/600717/detail</t>
  </si>
  <si>
    <t>傲农生物</t>
  </si>
  <si>
    <t>www.lixinger.com/analytics/company/sh/603363/603363/detail</t>
  </si>
  <si>
    <t>金通灵</t>
  </si>
  <si>
    <t>www.lixinger.com/analytics/company/sz/300091/300091/detail</t>
  </si>
  <si>
    <t>香飘飘</t>
  </si>
  <si>
    <t>www.lixinger.com/analytics/company/sh/603711/603711/detail</t>
  </si>
  <si>
    <t>永鼎股份</t>
  </si>
  <si>
    <t>www.lixinger.com/analytics/company/sh/600105/600105/detail</t>
  </si>
  <si>
    <t>机器人</t>
  </si>
  <si>
    <t>www.lixinger.com/analytics/company/sz/300024/300024/detail</t>
  </si>
  <si>
    <t>苏州科达</t>
  </si>
  <si>
    <t>www.lixinger.com/analytics/company/sh/603660/603660/detail</t>
  </si>
  <si>
    <t>科伦药业</t>
  </si>
  <si>
    <t>www.lixinger.com/analytics/company/sz/002422/2422/detail</t>
  </si>
  <si>
    <t>江苏新能</t>
  </si>
  <si>
    <t>www.lixinger.com/analytics/company/sh/603693/603693/detail</t>
  </si>
  <si>
    <t>全信股份</t>
  </si>
  <si>
    <t>www.lixinger.com/analytics/company/sz/300447/300447/detail</t>
  </si>
  <si>
    <t>远光软件</t>
  </si>
  <si>
    <t>www.lixinger.com/analytics/company/sz/002063/2063/detail</t>
  </si>
  <si>
    <t>长亮科技</t>
  </si>
  <si>
    <t>www.lixinger.com/analytics/company/sz/300348/300348/detail</t>
  </si>
  <si>
    <t>中国科传</t>
  </si>
  <si>
    <t>www.lixinger.com/analytics/company/sh/601858/601858/detail</t>
  </si>
  <si>
    <t>贵广网络</t>
  </si>
  <si>
    <t>www.lixinger.com/analytics/company/sh/600996/600996/detail</t>
  </si>
  <si>
    <t>中钨高新</t>
  </si>
  <si>
    <t>www.lixinger.com/analytics/company/sz/000657/657/detail</t>
  </si>
  <si>
    <t>深南电路</t>
  </si>
  <si>
    <t>www.lixinger.com/analytics/company/sz/002916/2916/detail</t>
  </si>
  <si>
    <t>飞乐音响</t>
  </si>
  <si>
    <t>www.lixinger.com/analytics/company/sh/600651/600651/detail</t>
  </si>
  <si>
    <t>卓郎智能</t>
  </si>
  <si>
    <t>www.lixinger.com/analytics/company/sh/600545/600545/detail</t>
  </si>
  <si>
    <t>汇通集团</t>
  </si>
  <si>
    <t>www.lixinger.com/analytics/company/sh/603176/603176/detail</t>
  </si>
  <si>
    <t>濮耐股份</t>
  </si>
  <si>
    <t>www.lixinger.com/analytics/company/sz/002225/2225/detail</t>
  </si>
  <si>
    <t>罗曼股份</t>
  </si>
  <si>
    <t>www.lixinger.com/analytics/company/sh/605289/605289/detail</t>
  </si>
  <si>
    <t>山东药玻</t>
  </si>
  <si>
    <t>www.lixinger.com/analytics/company/sh/600529/600529/detail</t>
  </si>
  <si>
    <t>龙腾光电</t>
  </si>
  <si>
    <t>www.lixinger.com/analytics/company/sh/688055/688055/detail</t>
  </si>
  <si>
    <t>达嘉维康</t>
  </si>
  <si>
    <t>www.lixinger.com/analytics/company/sz/301126/301126/detail</t>
  </si>
  <si>
    <t>上海环境</t>
  </si>
  <si>
    <t>www.lixinger.com/analytics/company/sh/601200/601200/detail</t>
  </si>
  <si>
    <t>紫江企业</t>
  </si>
  <si>
    <t>www.lixinger.com/analytics/company/sh/600210/600210/detail</t>
  </si>
  <si>
    <t>益生股份</t>
  </si>
  <si>
    <t>www.lixinger.com/analytics/company/sz/002458/2458/detail</t>
  </si>
  <si>
    <t>三木集团</t>
  </si>
  <si>
    <t>www.lixinger.com/analytics/company/sz/000632/632/detail</t>
  </si>
  <si>
    <t>润丰股份</t>
  </si>
  <si>
    <t>www.lixinger.com/analytics/company/sz/301035/301035/detail</t>
  </si>
  <si>
    <t>爱康科技</t>
  </si>
  <si>
    <t>www.lixinger.com/analytics/company/sz/002610/2610/detail</t>
  </si>
  <si>
    <t>欧陆通</t>
  </si>
  <si>
    <t>www.lixinger.com/analytics/company/sz/300870/300870/detail</t>
  </si>
  <si>
    <t>洲明科技</t>
  </si>
  <si>
    <t>www.lixinger.com/analytics/company/sz/300232/300232/detail</t>
  </si>
  <si>
    <t>大地熊</t>
  </si>
  <si>
    <t>www.lixinger.com/analytics/company/sh/688077/688077/detail</t>
  </si>
  <si>
    <t>楚天龙</t>
  </si>
  <si>
    <t>www.lixinger.com/analytics/company/sz/003040/3040/detail</t>
  </si>
  <si>
    <t>泰坦科技</t>
  </si>
  <si>
    <t>www.lixinger.com/analytics/company/sh/688133/688133/detail</t>
  </si>
  <si>
    <t>中通客车</t>
  </si>
  <si>
    <t>www.lixinger.com/analytics/company/sz/000957/957/detail</t>
  </si>
  <si>
    <t>双环传动</t>
  </si>
  <si>
    <t>www.lixinger.com/analytics/company/sz/002472/2472/detail</t>
  </si>
  <si>
    <t>风语筑</t>
  </si>
  <si>
    <t>www.lixinger.com/analytics/company/sh/603466/603466/detail</t>
  </si>
  <si>
    <t>华通热力</t>
  </si>
  <si>
    <t>www.lixinger.com/analytics/company/sz/002893/2893/detail</t>
  </si>
  <si>
    <t>康力电梯</t>
  </si>
  <si>
    <t>www.lixinger.com/analytics/company/sz/002367/2367/detail</t>
  </si>
  <si>
    <t>海宁皮城</t>
  </si>
  <si>
    <t>www.lixinger.com/analytics/company/sz/002344/2344/detail</t>
  </si>
  <si>
    <t>泰和新材</t>
  </si>
  <si>
    <t>www.lixinger.com/analytics/company/sz/002254/2254/detail</t>
  </si>
  <si>
    <t>法本信息</t>
  </si>
  <si>
    <t>www.lixinger.com/analytics/company/sz/300925/300925/detail</t>
  </si>
  <si>
    <t>天阳科技</t>
  </si>
  <si>
    <t>www.lixinger.com/analytics/company/sz/300872/300872/detail</t>
  </si>
  <si>
    <t>维尔利</t>
  </si>
  <si>
    <t>www.lixinger.com/analytics/company/sz/300190/300190/detail</t>
  </si>
  <si>
    <t>白云电器</t>
  </si>
  <si>
    <t>www.lixinger.com/analytics/company/sh/603861/603861/detail</t>
  </si>
  <si>
    <t>国药一致</t>
  </si>
  <si>
    <t>www.lixinger.com/analytics/company/sz/000028/28/detail</t>
  </si>
  <si>
    <t>菲达环保</t>
  </si>
  <si>
    <t>www.lixinger.com/analytics/company/sh/600526/600526/detail</t>
  </si>
  <si>
    <t>北汽蓝谷</t>
  </si>
  <si>
    <t>www.lixinger.com/analytics/company/sh/600733/600733/detail</t>
  </si>
  <si>
    <t>中化岩土</t>
  </si>
  <si>
    <t>www.lixinger.com/analytics/company/sz/002542/2542/detail</t>
  </si>
  <si>
    <t>华设集团</t>
  </si>
  <si>
    <t>www.lixinger.com/analytics/company/sh/603018/603018/detail</t>
  </si>
  <si>
    <t>合力泰</t>
  </si>
  <si>
    <t>www.lixinger.com/analytics/company/sz/002217/2217/detail</t>
  </si>
  <si>
    <t>北京君正</t>
  </si>
  <si>
    <t>www.lixinger.com/analytics/company/sz/300223/300223/detail</t>
  </si>
  <si>
    <t>云南白药</t>
  </si>
  <si>
    <t>www.lixinger.com/analytics/company/sz/000538/538/detail</t>
  </si>
  <si>
    <t>亚太科技</t>
  </si>
  <si>
    <t>www.lixinger.com/analytics/company/sz/002540/2540/detail</t>
  </si>
  <si>
    <t>普利制药</t>
  </si>
  <si>
    <t>www.lixinger.com/analytics/company/sz/300630/300630/detail</t>
  </si>
  <si>
    <t>双塔食品</t>
  </si>
  <si>
    <t>www.lixinger.com/analytics/company/sz/002481/2481/detail</t>
  </si>
  <si>
    <t>斯迪克</t>
  </si>
  <si>
    <t>www.lixinger.com/analytics/company/sz/300806/300806/detail</t>
  </si>
  <si>
    <t>良信股份</t>
  </si>
  <si>
    <t>www.lixinger.com/analytics/company/sz/002706/2706/detail</t>
  </si>
  <si>
    <t>罗普特</t>
  </si>
  <si>
    <t>www.lixinger.com/analytics/company/sh/688619/688619/detail</t>
  </si>
  <si>
    <t>博思软件</t>
  </si>
  <si>
    <t>www.lixinger.com/analytics/company/sz/300525/300525/detail</t>
  </si>
  <si>
    <t>华测检测</t>
  </si>
  <si>
    <t>www.lixinger.com/analytics/company/sz/300012/300012/detail</t>
  </si>
  <si>
    <t>光电股份</t>
  </si>
  <si>
    <t>www.lixinger.com/analytics/company/sh/600184/600184/detail</t>
  </si>
  <si>
    <t>*ST美尚</t>
  </si>
  <si>
    <t>www.lixinger.com/analytics/company/sz/300495/300495/detail</t>
  </si>
  <si>
    <t>保变电气</t>
  </si>
  <si>
    <t>www.lixinger.com/analytics/company/sh/600550/600550/detail</t>
  </si>
  <si>
    <t>节能国祯</t>
  </si>
  <si>
    <t>www.lixinger.com/analytics/company/sz/300388/300388/detail</t>
  </si>
  <si>
    <t>福斯特</t>
  </si>
  <si>
    <t>www.lixinger.com/analytics/company/sh/603806/603806/detail</t>
  </si>
  <si>
    <t>顺络电子</t>
  </si>
  <si>
    <t>www.lixinger.com/analytics/company/sz/002138/2138/detail</t>
  </si>
  <si>
    <t>常山药业</t>
  </si>
  <si>
    <t>www.lixinger.com/analytics/company/sz/300255/300255/detail</t>
  </si>
  <si>
    <t>诺唯赞</t>
  </si>
  <si>
    <t>www.lixinger.com/analytics/company/sh/688105/688105/detail</t>
  </si>
  <si>
    <t>精工钢构</t>
  </si>
  <si>
    <t>www.lixinger.com/analytics/company/sh/600496/600496/detail</t>
  </si>
  <si>
    <t>汇川技术</t>
  </si>
  <si>
    <t>www.lixinger.com/analytics/company/sz/300124/300124/detail</t>
  </si>
  <si>
    <t>汉缆股份</t>
  </si>
  <si>
    <t>www.lixinger.com/analytics/company/sz/002498/2498/detail</t>
  </si>
  <si>
    <t>广深铁路</t>
  </si>
  <si>
    <t>www.lixinger.com/analytics/company/sh/601333/601333/detail</t>
  </si>
  <si>
    <t>联美控股</t>
  </si>
  <si>
    <t>www.lixinger.com/analytics/company/sh/600167/600167/detail</t>
  </si>
  <si>
    <t>时代出版</t>
  </si>
  <si>
    <t>www.lixinger.com/analytics/company/sh/600551/600551/detail</t>
  </si>
  <si>
    <t>航天长峰</t>
  </si>
  <si>
    <t>www.lixinger.com/analytics/company/sh/600855/600855/detail</t>
  </si>
  <si>
    <t>固德威</t>
  </si>
  <si>
    <t>www.lixinger.com/analytics/company/sh/688390/688390/detail</t>
  </si>
  <si>
    <t>光明乳业</t>
  </si>
  <si>
    <t>www.lixinger.com/analytics/company/sh/600597/600597/detail</t>
  </si>
  <si>
    <t>东南网架</t>
  </si>
  <si>
    <t>www.lixinger.com/analytics/company/sz/002135/2135/detail</t>
  </si>
  <si>
    <t>诺力股份</t>
  </si>
  <si>
    <t>www.lixinger.com/analytics/company/sh/603611/603611/detail</t>
  </si>
  <si>
    <t>快意电梯</t>
  </si>
  <si>
    <t>www.lixinger.com/analytics/company/sz/002774/2774/detail</t>
  </si>
  <si>
    <t>新亚制程</t>
  </si>
  <si>
    <t>www.lixinger.com/analytics/company/sz/002388/2388/detail</t>
  </si>
  <si>
    <t>中辰股份</t>
  </si>
  <si>
    <t>www.lixinger.com/analytics/company/sz/300933/300933/detail</t>
  </si>
  <si>
    <t>陕国投Ａ</t>
  </si>
  <si>
    <t>www.lixinger.com/analytics/company/sz/000563/563/detail</t>
  </si>
  <si>
    <t>创业慧康</t>
  </si>
  <si>
    <t>www.lixinger.com/analytics/company/sz/300451/300451/detail</t>
  </si>
  <si>
    <t>安泰科技</t>
  </si>
  <si>
    <t>www.lixinger.com/analytics/company/sz/000969/969/detail</t>
  </si>
  <si>
    <t>宝钛股份</t>
  </si>
  <si>
    <t>www.lixinger.com/analytics/company/sh/600456/600456/detail</t>
  </si>
  <si>
    <t>震裕科技</t>
  </si>
  <si>
    <t>www.lixinger.com/analytics/company/sz/300953/300953/detail</t>
  </si>
  <si>
    <t>京基智农</t>
  </si>
  <si>
    <t>www.lixinger.com/analytics/company/sz/000048/48/detail</t>
  </si>
  <si>
    <t>吉祥航空</t>
  </si>
  <si>
    <t>www.lixinger.com/analytics/company/sh/603885/603885/detail</t>
  </si>
  <si>
    <t>华测导航</t>
  </si>
  <si>
    <t>www.lixinger.com/analytics/company/sz/300627/300627/detail</t>
  </si>
  <si>
    <t>风华高科</t>
  </si>
  <si>
    <t>www.lixinger.com/analytics/company/sz/000636/636/detail</t>
  </si>
  <si>
    <t>赛微电子</t>
  </si>
  <si>
    <t>www.lixinger.com/analytics/company/sz/300456/300456/detail</t>
  </si>
  <si>
    <t>绿色动力</t>
  </si>
  <si>
    <t>www.lixinger.com/analytics/company/sh/601330/601330/detail</t>
  </si>
  <si>
    <t>蒙娜丽莎</t>
  </si>
  <si>
    <t>www.lixinger.com/analytics/company/sz/002918/2918/detail</t>
  </si>
  <si>
    <t>中船应急</t>
  </si>
  <si>
    <t>www.lixinger.com/analytics/company/sz/300527/300527/detail</t>
  </si>
  <si>
    <t>方大集团</t>
  </si>
  <si>
    <t>www.lixinger.com/analytics/company/sz/000055/55/detail</t>
  </si>
  <si>
    <t>华峰超纤</t>
  </si>
  <si>
    <t>www.lixinger.com/analytics/company/sz/300180/300180/detail</t>
  </si>
  <si>
    <t>东方时尚</t>
  </si>
  <si>
    <t>www.lixinger.com/analytics/company/sh/603377/603377/detail</t>
  </si>
  <si>
    <t>宁夏建材</t>
  </si>
  <si>
    <t>www.lixinger.com/analytics/company/sh/600449/600449/detail</t>
  </si>
  <si>
    <t>立达信</t>
  </si>
  <si>
    <t>www.lixinger.com/analytics/company/sh/605365/605365/detail</t>
  </si>
  <si>
    <t>银信科技</t>
  </si>
  <si>
    <t>www.lixinger.com/analytics/company/sz/300231/300231/detail</t>
  </si>
  <si>
    <t>天富能源</t>
  </si>
  <si>
    <t>www.lixinger.com/analytics/company/sh/600509/600509/detail</t>
  </si>
  <si>
    <t>五洲特纸</t>
  </si>
  <si>
    <t>www.lixinger.com/analytics/company/sh/605007/605007/detail</t>
  </si>
  <si>
    <t>拓尔思</t>
  </si>
  <si>
    <t>www.lixinger.com/analytics/company/sz/300229/300229/detail</t>
  </si>
  <si>
    <t>妙可蓝多</t>
  </si>
  <si>
    <t>www.lixinger.com/analytics/company/sh/600882/600882/detail</t>
  </si>
  <si>
    <t>博敏电子</t>
  </si>
  <si>
    <t>www.lixinger.com/analytics/company/sh/603936/603936/detail</t>
  </si>
  <si>
    <t>三峰环境</t>
  </si>
  <si>
    <t>www.lixinger.com/analytics/company/sh/601827/601827/detail</t>
  </si>
  <si>
    <t>*ST跨境</t>
  </si>
  <si>
    <t>www.lixinger.com/analytics/company/sz/002640/2640/detail</t>
  </si>
  <si>
    <t>开山股份</t>
  </si>
  <si>
    <t>www.lixinger.com/analytics/company/sz/300257/300257/detail</t>
  </si>
  <si>
    <t>旺能环境</t>
  </si>
  <si>
    <t>www.lixinger.com/analytics/company/sz/002034/2034/detail</t>
  </si>
  <si>
    <t>汇顶科技</t>
  </si>
  <si>
    <t>www.lixinger.com/analytics/company/sh/603160/603160/detail</t>
  </si>
  <si>
    <t>洛阳玻璃</t>
  </si>
  <si>
    <t>www.lixinger.com/analytics/company/sh/600876/600876/detail</t>
  </si>
  <si>
    <t>丽人丽妆</t>
  </si>
  <si>
    <t>www.lixinger.com/analytics/company/sh/605136/605136/detail</t>
  </si>
  <si>
    <t>晋控电力</t>
  </si>
  <si>
    <t>www.lixinger.com/analytics/company/sz/000767/767/detail</t>
  </si>
  <si>
    <t>奥瑞金</t>
  </si>
  <si>
    <t>www.lixinger.com/analytics/company/sz/002701/2701/detail</t>
  </si>
  <si>
    <t>吉视传媒</t>
  </si>
  <si>
    <t>www.lixinger.com/analytics/company/sh/601929/601929/detail</t>
  </si>
  <si>
    <t>韵达股份</t>
  </si>
  <si>
    <t>www.lixinger.com/analytics/company/sz/002120/2120/detail</t>
  </si>
  <si>
    <t>国新能源</t>
  </si>
  <si>
    <t>www.lixinger.com/analytics/company/sh/600617/600617/detail</t>
  </si>
  <si>
    <t>苏文电能</t>
  </si>
  <si>
    <t>www.lixinger.com/analytics/company/sz/300982/300982/detail</t>
  </si>
  <si>
    <t>志邦家居</t>
  </si>
  <si>
    <t>www.lixinger.com/analytics/company/sh/603801/603801/detail</t>
  </si>
  <si>
    <t>上海电力</t>
  </si>
  <si>
    <t>www.lixinger.com/analytics/company/sh/600021/600021/detail</t>
  </si>
  <si>
    <t>通用电梯</t>
  </si>
  <si>
    <t>www.lixinger.com/analytics/company/sz/300931/300931/detail</t>
  </si>
  <si>
    <t>益客食品</t>
  </si>
  <si>
    <t>www.lixinger.com/analytics/company/sz/301116/301116/detail</t>
  </si>
  <si>
    <t>钢研高纳</t>
  </si>
  <si>
    <t>www.lixinger.com/analytics/company/sz/300034/300034/detail</t>
  </si>
  <si>
    <t>久立特材</t>
  </si>
  <si>
    <t>www.lixinger.com/analytics/company/sz/002318/2318/detail</t>
  </si>
  <si>
    <t>巨星农牧</t>
  </si>
  <si>
    <t>www.lixinger.com/analytics/company/sh/603477/603477/detail</t>
  </si>
  <si>
    <t>中船科技</t>
  </si>
  <si>
    <t>www.lixinger.com/analytics/company/sh/600072/600072/detail</t>
  </si>
  <si>
    <t>冰轮环境</t>
  </si>
  <si>
    <t>www.lixinger.com/analytics/company/sz/000811/811/detail</t>
  </si>
  <si>
    <t>卧龙地产</t>
  </si>
  <si>
    <t>www.lixinger.com/analytics/company/sh/600173/600173/detail</t>
  </si>
  <si>
    <t>大丰实业</t>
  </si>
  <si>
    <t>www.lixinger.com/analytics/company/sh/603081/603081/detail</t>
  </si>
  <si>
    <t>永和股份</t>
  </si>
  <si>
    <t>www.lixinger.com/analytics/company/sh/605020/605020/detail</t>
  </si>
  <si>
    <t>康尼机电</t>
  </si>
  <si>
    <t>www.lixinger.com/analytics/company/sh/603111/603111/detail</t>
  </si>
  <si>
    <t>宜通世纪</t>
  </si>
  <si>
    <t>www.lixinger.com/analytics/company/sz/300310/300310/detail</t>
  </si>
  <si>
    <t>歌尔股份</t>
  </si>
  <si>
    <t>www.lixinger.com/analytics/company/sz/002241/2241/detail</t>
  </si>
  <si>
    <t>天邑股份</t>
  </si>
  <si>
    <t>www.lixinger.com/analytics/company/sz/300504/300504/detail</t>
  </si>
  <si>
    <t>华自科技</t>
  </si>
  <si>
    <t>www.lixinger.com/analytics/company/sz/300490/300490/detail</t>
  </si>
  <si>
    <t>三人行</t>
  </si>
  <si>
    <t>www.lixinger.com/analytics/company/sh/605168/605168/detail</t>
  </si>
  <si>
    <t>石基信息</t>
  </si>
  <si>
    <t>www.lixinger.com/analytics/company/sz/002153/2153/detail</t>
  </si>
  <si>
    <t>沪硅产业</t>
  </si>
  <si>
    <t>www.lixinger.com/analytics/company/sh/688126/688126/detail</t>
  </si>
  <si>
    <t>科达制造</t>
  </si>
  <si>
    <t>www.lixinger.com/analytics/company/sh/600499/600499/detail</t>
  </si>
  <si>
    <t>利民股份</t>
  </si>
  <si>
    <t>www.lixinger.com/analytics/company/sz/002734/2734/detail</t>
  </si>
  <si>
    <t>泰胜风能</t>
  </si>
  <si>
    <t>www.lixinger.com/analytics/company/sz/300129/300129/detail</t>
  </si>
  <si>
    <t>凯伦股份</t>
  </si>
  <si>
    <t>www.lixinger.com/analytics/company/sz/300715/300715/detail</t>
  </si>
  <si>
    <t>汉得信息</t>
  </si>
  <si>
    <t>www.lixinger.com/analytics/company/sz/300170/300170/detail</t>
  </si>
  <si>
    <t>海南发展</t>
  </si>
  <si>
    <t>www.lixinger.com/analytics/company/sz/002163/2163/detail</t>
  </si>
  <si>
    <t>丰元股份</t>
  </si>
  <si>
    <t>www.lixinger.com/analytics/company/sz/002805/2805/detail</t>
  </si>
  <si>
    <t>至纯科技</t>
  </si>
  <si>
    <t>www.lixinger.com/analytics/company/sh/603690/603690/detail</t>
  </si>
  <si>
    <t>紫光国微</t>
  </si>
  <si>
    <t>www.lixinger.com/analytics/company/sz/002049/2049/detail</t>
  </si>
  <si>
    <t>山东钢铁</t>
  </si>
  <si>
    <t>www.lixinger.com/analytics/company/sh/600022/600022/detail</t>
  </si>
  <si>
    <t>众业达</t>
  </si>
  <si>
    <t>www.lixinger.com/analytics/company/sz/002441/2441/detail</t>
  </si>
  <si>
    <t>中国海防</t>
  </si>
  <si>
    <t>www.lixinger.com/analytics/company/sh/600764/600764/detail</t>
  </si>
  <si>
    <t>京山轻机</t>
  </si>
  <si>
    <t>www.lixinger.com/analytics/company/sz/000821/821/detail</t>
  </si>
  <si>
    <t>澳柯玛</t>
  </si>
  <si>
    <t>www.lixinger.com/analytics/company/sh/600336/600336/detail</t>
  </si>
  <si>
    <t>香溢融通</t>
  </si>
  <si>
    <t>www.lixinger.com/analytics/company/sh/600830/600830/detail</t>
  </si>
  <si>
    <t>海信家电</t>
  </si>
  <si>
    <t>www.lixinger.com/analytics/company/sz/000921/921/detail</t>
  </si>
  <si>
    <t>甘咨询</t>
  </si>
  <si>
    <t>www.lixinger.com/analytics/company/sz/000779/779/detail</t>
  </si>
  <si>
    <t>迈威生物</t>
  </si>
  <si>
    <t>www.lixinger.com/analytics/company/sh/688062/688062/detail</t>
  </si>
  <si>
    <t>广宇集团</t>
  </si>
  <si>
    <t>www.lixinger.com/analytics/company/sz/002133/2133/detail</t>
  </si>
  <si>
    <t>富满微</t>
  </si>
  <si>
    <t>www.lixinger.com/analytics/company/sz/300671/300671/detail</t>
  </si>
  <si>
    <t>振华新材</t>
  </si>
  <si>
    <t>www.lixinger.com/analytics/company/sh/688707/688707/detail</t>
  </si>
  <si>
    <t>金钼股份</t>
  </si>
  <si>
    <t>www.lixinger.com/analytics/company/sh/601958/601958/detail</t>
  </si>
  <si>
    <t>长青股份</t>
  </si>
  <si>
    <t>www.lixinger.com/analytics/company/sz/002391/2391/detail</t>
  </si>
  <si>
    <t>嘉元科技</t>
  </si>
  <si>
    <t>www.lixinger.com/analytics/company/sh/688388/688388/detail</t>
  </si>
  <si>
    <t>航发控制</t>
  </si>
  <si>
    <t>www.lixinger.com/analytics/company/sz/000738/738/detail</t>
  </si>
  <si>
    <t>长鸿高科</t>
  </si>
  <si>
    <t>www.lixinger.com/analytics/company/sh/605008/605008/detail</t>
  </si>
  <si>
    <t>地铁设计</t>
  </si>
  <si>
    <t>www.lixinger.com/analytics/company/sz/003013/3013/detail</t>
  </si>
  <si>
    <t>赤峰黄金</t>
  </si>
  <si>
    <t>www.lixinger.com/analytics/company/sh/600988/600988/detail</t>
  </si>
  <si>
    <t>长源电力</t>
  </si>
  <si>
    <t>www.lixinger.com/analytics/company/sz/000966/966/detail</t>
  </si>
  <si>
    <t>香江控股</t>
  </si>
  <si>
    <t>www.lixinger.com/analytics/company/sh/600162/600162/detail</t>
  </si>
  <si>
    <t>中新集团</t>
  </si>
  <si>
    <t>www.lixinger.com/analytics/company/sh/601512/601512/detail</t>
  </si>
  <si>
    <t>海螺新材</t>
  </si>
  <si>
    <t>www.lixinger.com/analytics/company/sz/000619/619/detail</t>
  </si>
  <si>
    <t>一致Ｂ</t>
  </si>
  <si>
    <t>www.lixinger.com/analytics/company/sz/200028/200028/detail</t>
  </si>
  <si>
    <t>青岛中程</t>
  </si>
  <si>
    <t>www.lixinger.com/analytics/company/sz/300208/300208/detail</t>
  </si>
  <si>
    <t>晶丰明源</t>
  </si>
  <si>
    <t>www.lixinger.com/analytics/company/sh/688368/688368/detail</t>
  </si>
  <si>
    <t>长园集团</t>
  </si>
  <si>
    <t>www.lixinger.com/analytics/company/sh/600525/600525/detail</t>
  </si>
  <si>
    <t>扬杰科技</t>
  </si>
  <si>
    <t>www.lixinger.com/analytics/company/sz/300373/300373/detail</t>
  </si>
  <si>
    <t>中农立华</t>
  </si>
  <si>
    <t>www.lixinger.com/analytics/company/sh/603970/603970/detail</t>
  </si>
  <si>
    <t>庞大集团</t>
  </si>
  <si>
    <t>www.lixinger.com/analytics/company/sh/601258/601258/detail</t>
  </si>
  <si>
    <t>金盘科技</t>
  </si>
  <si>
    <t>www.lixinger.com/analytics/company/sh/688676/688676/detail</t>
  </si>
  <si>
    <t>昆药集团</t>
  </si>
  <si>
    <t>www.lixinger.com/analytics/company/sh/600422/600422/detail</t>
  </si>
  <si>
    <t>博瑞医药</t>
  </si>
  <si>
    <t>www.lixinger.com/analytics/company/sh/688166/688166/detail</t>
  </si>
  <si>
    <t>东瑞股份</t>
  </si>
  <si>
    <t>www.lixinger.com/analytics/company/sz/001201/1201/detail</t>
  </si>
  <si>
    <t>美克家居</t>
  </si>
  <si>
    <t>www.lixinger.com/analytics/company/sh/600337/600337/detail</t>
  </si>
  <si>
    <t>中牧股份</t>
  </si>
  <si>
    <t>www.lixinger.com/analytics/company/sh/600195/600195/detail</t>
  </si>
  <si>
    <t>广田集团</t>
  </si>
  <si>
    <t>www.lixinger.com/analytics/company/sz/002482/2482/detail</t>
  </si>
  <si>
    <t>青鸟消防</t>
  </si>
  <si>
    <t>www.lixinger.com/analytics/company/sz/002960/2960/detail</t>
  </si>
  <si>
    <t>天风证券</t>
  </si>
  <si>
    <t>www.lixinger.com/analytics/company/sh/601162/601162/detail</t>
  </si>
  <si>
    <t>东材科技</t>
  </si>
  <si>
    <t>www.lixinger.com/analytics/company/sh/601208/601208/detail</t>
  </si>
  <si>
    <t>珠海冠宇</t>
  </si>
  <si>
    <t>www.lixinger.com/analytics/company/sh/688772/688772/detail</t>
  </si>
  <si>
    <t>鲁商发展</t>
  </si>
  <si>
    <t>www.lixinger.com/analytics/company/sh/600223/600223/detail</t>
  </si>
  <si>
    <t>锦浪科技</t>
  </si>
  <si>
    <t>www.lixinger.com/analytics/company/sz/300763/300763/detail</t>
  </si>
  <si>
    <t>新华医疗</t>
  </si>
  <si>
    <t>www.lixinger.com/analytics/company/sh/600587/600587/detail</t>
  </si>
  <si>
    <t>洪都航空</t>
  </si>
  <si>
    <t>www.lixinger.com/analytics/company/sh/600316/600316/detail</t>
  </si>
  <si>
    <t>海马汽车</t>
  </si>
  <si>
    <t>www.lixinger.com/analytics/company/sz/000572/572/detail</t>
  </si>
  <si>
    <t>泉峰汽车</t>
  </si>
  <si>
    <t>www.lixinger.com/analytics/company/sh/603982/603982/detail</t>
  </si>
  <si>
    <t>清新环境</t>
  </si>
  <si>
    <t>www.lixinger.com/analytics/company/sz/002573/2573/detail</t>
  </si>
  <si>
    <t>金诚信</t>
  </si>
  <si>
    <t>www.lixinger.com/analytics/company/sh/603979/603979/detail</t>
  </si>
  <si>
    <t>福能股份</t>
  </si>
  <si>
    <t>www.lixinger.com/analytics/company/sh/600483/600483/detail</t>
  </si>
  <si>
    <t>润达医疗</t>
  </si>
  <si>
    <t>www.lixinger.com/analytics/company/sh/603108/603108/detail</t>
  </si>
  <si>
    <t>昊华科技</t>
  </si>
  <si>
    <t>www.lixinger.com/analytics/company/sh/600378/600378/detail</t>
  </si>
  <si>
    <t>金龙汽车</t>
  </si>
  <si>
    <t>www.lixinger.com/analytics/company/sh/600686/600686/detail</t>
  </si>
  <si>
    <t>天马科技</t>
  </si>
  <si>
    <t>www.lixinger.com/analytics/company/sh/603668/603668/detail</t>
  </si>
  <si>
    <t>三房巷</t>
  </si>
  <si>
    <t>www.lixinger.com/analytics/company/sh/600370/600370/detail</t>
  </si>
  <si>
    <t>立华股份</t>
  </si>
  <si>
    <t>www.lixinger.com/analytics/company/sz/300761/300761/detail</t>
  </si>
  <si>
    <t>上海机场</t>
  </si>
  <si>
    <t>www.lixinger.com/analytics/company/sh/600009/600009/detail</t>
  </si>
  <si>
    <t>伟明环保</t>
  </si>
  <si>
    <t>www.lixinger.com/analytics/company/sh/603568/603568/detail</t>
  </si>
  <si>
    <t>许继电气</t>
  </si>
  <si>
    <t>www.lixinger.com/analytics/company/sz/000400/400/detail</t>
  </si>
  <si>
    <t>天融信</t>
  </si>
  <si>
    <t>www.lixinger.com/analytics/company/sz/002212/2212/detail</t>
  </si>
  <si>
    <t>特发信息</t>
  </si>
  <si>
    <t>www.lixinger.com/analytics/company/sz/000070/70/detail</t>
  </si>
  <si>
    <t>东方电子</t>
  </si>
  <si>
    <t>www.lixinger.com/analytics/company/sz/000682/682/detail</t>
  </si>
  <si>
    <t>方大Ｂ</t>
  </si>
  <si>
    <t>www.lixinger.com/analytics/company/sz/200055/200055/detail</t>
  </si>
  <si>
    <t>亚光科技</t>
  </si>
  <si>
    <t>www.lixinger.com/analytics/company/sz/300123/300123/detail</t>
  </si>
  <si>
    <t>浙江鼎力</t>
  </si>
  <si>
    <t>www.lixinger.com/analytics/company/sh/603338/603338/detail</t>
  </si>
  <si>
    <t>永创智能</t>
  </si>
  <si>
    <t>www.lixinger.com/analytics/company/sh/603901/603901/detail</t>
  </si>
  <si>
    <t>鑫铂股份</t>
  </si>
  <si>
    <t>www.lixinger.com/analytics/company/sz/003038/3038/detail</t>
  </si>
  <si>
    <t>新时达</t>
  </si>
  <si>
    <t>www.lixinger.com/analytics/company/sz/002527/2527/detail</t>
  </si>
  <si>
    <t>太阳纸业</t>
  </si>
  <si>
    <t>www.lixinger.com/analytics/company/sz/002078/2078/detail</t>
  </si>
  <si>
    <t>新点软件</t>
  </si>
  <si>
    <t>www.lixinger.com/analytics/company/sh/688232/688232/detail</t>
  </si>
  <si>
    <t>福日电子</t>
  </si>
  <si>
    <t>www.lixinger.com/analytics/company/sh/600203/600203/detail</t>
  </si>
  <si>
    <t>长虹华意</t>
  </si>
  <si>
    <t>www.lixinger.com/analytics/company/sz/000404/404/detail</t>
  </si>
  <si>
    <t>中贝通信</t>
  </si>
  <si>
    <t>www.lixinger.com/analytics/company/sh/603220/603220/detail</t>
  </si>
  <si>
    <t>凌云股份</t>
  </si>
  <si>
    <t>www.lixinger.com/analytics/company/sh/600480/600480/detail</t>
  </si>
  <si>
    <t>齐翔腾达</t>
  </si>
  <si>
    <t>www.lixinger.com/analytics/company/sz/002408/2408/detail</t>
  </si>
  <si>
    <t>三星医疗</t>
  </si>
  <si>
    <t>www.lixinger.com/analytics/company/sh/601567/601567/detail</t>
  </si>
  <si>
    <t>泰达股份</t>
  </si>
  <si>
    <t>www.lixinger.com/analytics/company/sz/000652/652/detail</t>
  </si>
  <si>
    <t>凯莱英</t>
  </si>
  <si>
    <t>www.lixinger.com/analytics/company/sz/002821/2821/detail</t>
  </si>
  <si>
    <t>海德股份</t>
  </si>
  <si>
    <t>www.lixinger.com/analytics/company/sz/000567/567/detail</t>
  </si>
  <si>
    <t>星期六</t>
  </si>
  <si>
    <t>www.lixinger.com/analytics/company/sz/002291/2291/detail</t>
  </si>
  <si>
    <t>露笑科技</t>
  </si>
  <si>
    <t>www.lixinger.com/analytics/company/sz/002617/2617/detail</t>
  </si>
  <si>
    <t>华熙生物</t>
  </si>
  <si>
    <t>www.lixinger.com/analytics/company/sh/688363/688363/detail</t>
  </si>
  <si>
    <t>华菱线缆</t>
  </si>
  <si>
    <t>www.lixinger.com/analytics/company/sz/001208/1208/detail</t>
  </si>
  <si>
    <t>徐工机械</t>
  </si>
  <si>
    <t>www.lixinger.com/analytics/company/sz/000425/425/detail</t>
  </si>
  <si>
    <t>聚光科技</t>
  </si>
  <si>
    <t>www.lixinger.com/analytics/company/sz/300203/300203/detail</t>
  </si>
  <si>
    <t>兔宝宝</t>
  </si>
  <si>
    <t>www.lixinger.com/analytics/company/sz/002043/2043/detail</t>
  </si>
  <si>
    <t>龙佰集团</t>
  </si>
  <si>
    <t>www.lixinger.com/analytics/company/sz/002601/2601/detail</t>
  </si>
  <si>
    <t>达实智能</t>
  </si>
  <si>
    <t>www.lixinger.com/analytics/company/sz/002421/2421/detail</t>
  </si>
  <si>
    <t>上能电气</t>
  </si>
  <si>
    <t>www.lixinger.com/analytics/company/sz/300827/300827/detail</t>
  </si>
  <si>
    <t>天邦股份</t>
  </si>
  <si>
    <t>www.lixinger.com/analytics/company/sz/002124/2124/detail</t>
  </si>
  <si>
    <t>东方财富</t>
  </si>
  <si>
    <t>www.lixinger.com/analytics/company/sz/300059/300059/detail</t>
  </si>
  <si>
    <t>三六零</t>
  </si>
  <si>
    <t>www.lixinger.com/analytics/company/sh/601360/601360/detail</t>
  </si>
  <si>
    <t>旗滨集团</t>
  </si>
  <si>
    <t>www.lixinger.com/analytics/company/sh/601636/601636/detail</t>
  </si>
  <si>
    <t>芯原股份</t>
  </si>
  <si>
    <t>www.lixinger.com/analytics/company/sh/688521/688521/detail</t>
  </si>
  <si>
    <t>新强联</t>
  </si>
  <si>
    <t>www.lixinger.com/analytics/company/sz/300850/300850/detail</t>
  </si>
  <si>
    <t>中国出版</t>
  </si>
  <si>
    <t>www.lixinger.com/analytics/company/sh/601949/601949/detail</t>
  </si>
  <si>
    <t>隆平高科</t>
  </si>
  <si>
    <t>www.lixinger.com/analytics/company/sz/000998/998/detail</t>
  </si>
  <si>
    <t>动力Ｂ股</t>
  </si>
  <si>
    <t>www.lixinger.com/analytics/company/sh/900920/900920/detail</t>
  </si>
  <si>
    <t>苏交科</t>
  </si>
  <si>
    <t>www.lixinger.com/analytics/company/sz/300284/300284/detail</t>
  </si>
  <si>
    <t>平治信息</t>
  </si>
  <si>
    <t>www.lixinger.com/analytics/company/sz/300571/300571/detail</t>
  </si>
  <si>
    <t>杭氧股份</t>
  </si>
  <si>
    <t>www.lixinger.com/analytics/company/sz/002430/2430/detail</t>
  </si>
  <si>
    <t>王府井</t>
  </si>
  <si>
    <t>www.lixinger.com/analytics/company/sh/600859/600859/detail</t>
  </si>
  <si>
    <t>世荣兆业</t>
  </si>
  <si>
    <t>www.lixinger.com/analytics/company/sz/002016/2016/detail</t>
  </si>
  <si>
    <t>天能重工</t>
  </si>
  <si>
    <t>www.lixinger.com/analytics/company/sz/300569/300569/detail</t>
  </si>
  <si>
    <t>京北方</t>
  </si>
  <si>
    <t>www.lixinger.com/analytics/company/sz/002987/2987/detail</t>
  </si>
  <si>
    <t>川恒股份</t>
  </si>
  <si>
    <t>www.lixinger.com/analytics/company/sz/002895/2895/detail</t>
  </si>
  <si>
    <t>华海药业</t>
  </si>
  <si>
    <t>www.lixinger.com/analytics/company/sh/600521/600521/detail</t>
  </si>
  <si>
    <t>东方国信</t>
  </si>
  <si>
    <t>www.lixinger.com/analytics/company/sz/300166/300166/detail</t>
  </si>
  <si>
    <t>骆驼股份</t>
  </si>
  <si>
    <t>www.lixinger.com/analytics/company/sh/601311/601311/detail</t>
  </si>
  <si>
    <t>新和成</t>
  </si>
  <si>
    <t>www.lixinger.com/analytics/company/sz/002001/2001/detail</t>
  </si>
  <si>
    <t>鸿合科技</t>
  </si>
  <si>
    <t>www.lixinger.com/analytics/company/sz/002955/2955/detail</t>
  </si>
  <si>
    <t>华宇软件</t>
  </si>
  <si>
    <t>www.lixinger.com/analytics/company/sz/300271/300271/detail</t>
  </si>
  <si>
    <t>中装建设</t>
  </si>
  <si>
    <t>www.lixinger.com/analytics/company/sz/002822/2822/detail</t>
  </si>
  <si>
    <t>中微公司</t>
  </si>
  <si>
    <t>www.lixinger.com/analytics/company/sh/688012/688012/detail</t>
  </si>
  <si>
    <t>深深房Ａ</t>
  </si>
  <si>
    <t>www.lixinger.com/analytics/company/sz/000029/29/detail</t>
  </si>
  <si>
    <t>亿晶光电</t>
  </si>
  <si>
    <t>www.lixinger.com/analytics/company/sh/600537/600537/detail</t>
  </si>
  <si>
    <t>诺德股份</t>
  </si>
  <si>
    <t>www.lixinger.com/analytics/company/sh/600110/600110/detail</t>
  </si>
  <si>
    <t>百川能源</t>
  </si>
  <si>
    <t>www.lixinger.com/analytics/company/sh/600681/600681/detail</t>
  </si>
  <si>
    <t>电子城</t>
  </si>
  <si>
    <t>www.lixinger.com/analytics/company/sh/600658/600658/detail</t>
  </si>
  <si>
    <t>税友股份</t>
  </si>
  <si>
    <t>www.lixinger.com/analytics/company/sh/603171/603171/detail</t>
  </si>
  <si>
    <t>华峰化学</t>
  </si>
  <si>
    <t>www.lixinger.com/analytics/company/sz/002064/2064/detail</t>
  </si>
  <si>
    <t>视源股份</t>
  </si>
  <si>
    <t>www.lixinger.com/analytics/company/sz/002841/2841/detail</t>
  </si>
  <si>
    <t>海目星</t>
  </si>
  <si>
    <t>www.lixinger.com/analytics/company/sh/688559/688559/detail</t>
  </si>
  <si>
    <t>华东医药</t>
  </si>
  <si>
    <t>www.lixinger.com/analytics/company/sz/000963/963/detail</t>
  </si>
  <si>
    <t>杰克股份</t>
  </si>
  <si>
    <t>www.lixinger.com/analytics/company/sh/603337/603337/detail</t>
  </si>
  <si>
    <t>中复神鹰</t>
  </si>
  <si>
    <t>www.lixinger.com/analytics/company/sh/688295/688295/detail</t>
  </si>
  <si>
    <t>贵州轮胎</t>
  </si>
  <si>
    <t>www.lixinger.com/analytics/company/sz/000589/589/detail</t>
  </si>
  <si>
    <t>中科三环</t>
  </si>
  <si>
    <t>www.lixinger.com/analytics/company/sz/000970/970/detail</t>
  </si>
  <si>
    <t>景旺电子</t>
  </si>
  <si>
    <t>www.lixinger.com/analytics/company/sh/603228/603228/detail</t>
  </si>
  <si>
    <t>交建股份</t>
  </si>
  <si>
    <t>www.lixinger.com/analytics/company/sh/603815/603815/detail</t>
  </si>
  <si>
    <t>富奥股份</t>
  </si>
  <si>
    <t>www.lixinger.com/analytics/company/sz/000030/30/detail</t>
  </si>
  <si>
    <t>海格通信</t>
  </si>
  <si>
    <t>www.lixinger.com/analytics/company/sz/002465/2465/detail</t>
  </si>
  <si>
    <t>全柴动力</t>
  </si>
  <si>
    <t>www.lixinger.com/analytics/company/sh/600218/600218/detail</t>
  </si>
  <si>
    <t>中国卫星</t>
  </si>
  <si>
    <t>www.lixinger.com/analytics/company/sh/600118/600118/detail</t>
  </si>
  <si>
    <t>高新发展</t>
  </si>
  <si>
    <t>www.lixinger.com/analytics/company/sz/000628/628/detail</t>
  </si>
  <si>
    <t>众合科技</t>
  </si>
  <si>
    <t>www.lixinger.com/analytics/company/sz/000925/925/detail</t>
  </si>
  <si>
    <t>八一钢铁</t>
  </si>
  <si>
    <t>www.lixinger.com/analytics/company/sh/600581/600581/detail</t>
  </si>
  <si>
    <t>超图软件</t>
  </si>
  <si>
    <t>www.lixinger.com/analytics/company/sz/300036/300036/detail</t>
  </si>
  <si>
    <t>均胜电子</t>
  </si>
  <si>
    <t>www.lixinger.com/analytics/company/sh/600699/600699/detail</t>
  </si>
  <si>
    <t>光明地产</t>
  </si>
  <si>
    <t>www.lixinger.com/analytics/company/sh/600708/600708/detail</t>
  </si>
  <si>
    <t>索菲亚</t>
  </si>
  <si>
    <t>www.lixinger.com/analytics/company/sz/002572/2572/detail</t>
  </si>
  <si>
    <t>安恒信息</t>
  </si>
  <si>
    <t>www.lixinger.com/analytics/company/sh/688023/688023/detail</t>
  </si>
  <si>
    <t>氯碱化工</t>
  </si>
  <si>
    <t>www.lixinger.com/analytics/company/sh/600618/600618/detail</t>
  </si>
  <si>
    <t>西部超导</t>
  </si>
  <si>
    <t>www.lixinger.com/analytics/company/sh/688122/688122/detail</t>
  </si>
  <si>
    <t>中控技术</t>
  </si>
  <si>
    <t>www.lixinger.com/analytics/company/sh/688777/688777/detail</t>
  </si>
  <si>
    <t>纳思达</t>
  </si>
  <si>
    <t>www.lixinger.com/analytics/company/sz/002180/2180/detail</t>
  </si>
  <si>
    <t>永安期货</t>
  </si>
  <si>
    <t>www.lixinger.com/analytics/company/sh/600927/600927/detail</t>
  </si>
  <si>
    <t>天虹股份</t>
  </si>
  <si>
    <t>www.lixinger.com/analytics/company/sz/002419/2419/detail</t>
  </si>
  <si>
    <t>木林森</t>
  </si>
  <si>
    <t>www.lixinger.com/analytics/company/sz/002745/2745/detail</t>
  </si>
  <si>
    <t>双良节能</t>
  </si>
  <si>
    <t>www.lixinger.com/analytics/company/sh/600481/600481/detail</t>
  </si>
  <si>
    <t>江苏有线</t>
  </si>
  <si>
    <t>www.lixinger.com/analytics/company/sh/600959/600959/detail</t>
  </si>
  <si>
    <t>长飞光纤</t>
  </si>
  <si>
    <t>www.lixinger.com/analytics/company/sh/601869/601869/detail</t>
  </si>
  <si>
    <t>三花智控</t>
  </si>
  <si>
    <t>www.lixinger.com/analytics/company/sz/002050/2050/detail</t>
  </si>
  <si>
    <t>寒武纪</t>
  </si>
  <si>
    <t>www.lixinger.com/analytics/company/sh/688256/688256/detail</t>
  </si>
  <si>
    <t>龙净环保</t>
  </si>
  <si>
    <t>www.lixinger.com/analytics/company/sh/600388/600388/detail</t>
  </si>
  <si>
    <t>航天宏图</t>
  </si>
  <si>
    <t>www.lixinger.com/analytics/company/sh/688066/688066/detail</t>
  </si>
  <si>
    <t>光环新网</t>
  </si>
  <si>
    <t>www.lixinger.com/analytics/company/sz/300383/300383/detail</t>
  </si>
  <si>
    <t>深圳能源</t>
  </si>
  <si>
    <t>www.lixinger.com/analytics/company/sz/000027/27/detail</t>
  </si>
  <si>
    <t>鹭燕医药</t>
  </si>
  <si>
    <t>www.lixinger.com/analytics/company/sz/002788/2788/detail</t>
  </si>
  <si>
    <t>富临精工</t>
  </si>
  <si>
    <t>www.lixinger.com/analytics/company/sz/300432/300432/detail</t>
  </si>
  <si>
    <t>国电南自</t>
  </si>
  <si>
    <t>www.lixinger.com/analytics/company/sh/600268/600268/detail</t>
  </si>
  <si>
    <t>圣农发展</t>
  </si>
  <si>
    <t>www.lixinger.com/analytics/company/sz/002299/2299/detail</t>
  </si>
  <si>
    <t>宇信科技</t>
  </si>
  <si>
    <t>www.lixinger.com/analytics/company/sz/300674/300674/detail</t>
  </si>
  <si>
    <t>中国一重</t>
  </si>
  <si>
    <t>www.lixinger.com/analytics/company/sh/601106/601106/detail</t>
  </si>
  <si>
    <t>云赛智联</t>
  </si>
  <si>
    <t>www.lixinger.com/analytics/company/sh/600602/600602/detail</t>
  </si>
  <si>
    <t>腾远钴业</t>
  </si>
  <si>
    <t>www.lixinger.com/analytics/company/sz/301219/301219/detail</t>
  </si>
  <si>
    <t>安克创新</t>
  </si>
  <si>
    <t>www.lixinger.com/analytics/company/sz/300866/300866/detail</t>
  </si>
  <si>
    <t>财达证券</t>
  </si>
  <si>
    <t>www.lixinger.com/analytics/company/sh/600906/600906/detail</t>
  </si>
  <si>
    <t>帝欧家居</t>
  </si>
  <si>
    <t>www.lixinger.com/analytics/company/sz/002798/2798/detail</t>
  </si>
  <si>
    <t>中来股份</t>
  </si>
  <si>
    <t>www.lixinger.com/analytics/company/sz/300393/300393/detail</t>
  </si>
  <si>
    <t>浙江医药</t>
  </si>
  <si>
    <t>www.lixinger.com/analytics/company/sh/600216/600216/detail</t>
  </si>
  <si>
    <t>东鹏控股</t>
  </si>
  <si>
    <t>www.lixinger.com/analytics/company/sz/003012/3012/detail</t>
  </si>
  <si>
    <t>康泰生物</t>
  </si>
  <si>
    <t>www.lixinger.com/analytics/company/sz/300601/300601/detail</t>
  </si>
  <si>
    <t>道道全</t>
  </si>
  <si>
    <t>www.lixinger.com/analytics/company/sz/002852/2852/detail</t>
  </si>
  <si>
    <t>可孚医疗</t>
  </si>
  <si>
    <t>www.lixinger.com/analytics/company/sz/301087/301087/detail</t>
  </si>
  <si>
    <t>荣昌生物</t>
  </si>
  <si>
    <t>www.lixinger.com/analytics/company/sh/688331/688331/detail</t>
  </si>
  <si>
    <t>中信博</t>
  </si>
  <si>
    <t>www.lixinger.com/analytics/company/sh/688408/688408/detail</t>
  </si>
  <si>
    <t>山东高速</t>
  </si>
  <si>
    <t>www.lixinger.com/analytics/company/sh/600350/600350/detail</t>
  </si>
  <si>
    <t>禾丰股份</t>
  </si>
  <si>
    <t>www.lixinger.com/analytics/company/sh/603609/603609/detail</t>
  </si>
  <si>
    <t>中国黄金</t>
  </si>
  <si>
    <t>www.lixinger.com/analytics/company/sh/600916/600916/detail</t>
  </si>
  <si>
    <t>科达利</t>
  </si>
  <si>
    <t>www.lixinger.com/analytics/company/sz/002850/2850/detail</t>
  </si>
  <si>
    <t>美亚柏科</t>
  </si>
  <si>
    <t>www.lixinger.com/analytics/company/sz/300188/300188/detail</t>
  </si>
  <si>
    <t>建设机械</t>
  </si>
  <si>
    <t>www.lixinger.com/analytics/company/sh/600984/600984/detail</t>
  </si>
  <si>
    <t>万孚生物</t>
  </si>
  <si>
    <t>www.lixinger.com/analytics/company/sz/300482/300482/detail</t>
  </si>
  <si>
    <t>保利联合</t>
  </si>
  <si>
    <t>www.lixinger.com/analytics/company/sz/002037/2037/detail</t>
  </si>
  <si>
    <t>精测电子</t>
  </si>
  <si>
    <t>www.lixinger.com/analytics/company/sz/300567/300567/detail</t>
  </si>
  <si>
    <t>宝丰能源</t>
  </si>
  <si>
    <t>www.lixinger.com/analytics/company/sh/600989/600989/detail</t>
  </si>
  <si>
    <t>朗新科技</t>
  </si>
  <si>
    <t>www.lixinger.com/analytics/company/sz/300682/300682/detail</t>
  </si>
  <si>
    <t>广东宏大</t>
  </si>
  <si>
    <t>www.lixinger.com/analytics/company/sz/002683/2683/detail</t>
  </si>
  <si>
    <t>广联达</t>
  </si>
  <si>
    <t>www.lixinger.com/analytics/company/sz/002410/2410/detail</t>
  </si>
  <si>
    <t>江苏国泰</t>
  </si>
  <si>
    <t>www.lixinger.com/analytics/company/sz/002091/2091/detail</t>
  </si>
  <si>
    <t>鸿路钢构</t>
  </si>
  <si>
    <t>www.lixinger.com/analytics/company/sz/002541/2541/detail</t>
  </si>
  <si>
    <t>华统股份</t>
  </si>
  <si>
    <t>www.lixinger.com/analytics/company/sz/002840/2840/detail</t>
  </si>
  <si>
    <t>海尔智家</t>
  </si>
  <si>
    <t>www.lixinger.com/analytics/company/sh/600690/600690/detail</t>
  </si>
  <si>
    <t>大金重工</t>
  </si>
  <si>
    <t>www.lixinger.com/analytics/company/sz/002487/2487/detail</t>
  </si>
  <si>
    <t>千方科技</t>
  </si>
  <si>
    <t>www.lixinger.com/analytics/company/sz/002373/2373/detail</t>
  </si>
  <si>
    <t>福莱特</t>
  </si>
  <si>
    <t>www.lixinger.com/analytics/company/sh/601865/601865/detail</t>
  </si>
  <si>
    <t>深深房Ｂ</t>
  </si>
  <si>
    <t>www.lixinger.com/analytics/company/sz/200029/200029/detail</t>
  </si>
  <si>
    <t>长远锂科</t>
  </si>
  <si>
    <t>www.lixinger.com/analytics/company/sh/688779/688779/detail</t>
  </si>
  <si>
    <t>中青旅</t>
  </si>
  <si>
    <t>www.lixinger.com/analytics/company/sh/600138/600138/detail</t>
  </si>
  <si>
    <t>恒瑞医药</t>
  </si>
  <si>
    <t>www.lixinger.com/analytics/company/sh/600276/600276/detail</t>
  </si>
  <si>
    <t>美年健康</t>
  </si>
  <si>
    <t>www.lixinger.com/analytics/company/sz/002044/2044/detail</t>
  </si>
  <si>
    <t>金隅集团</t>
  </si>
  <si>
    <t>www.lixinger.com/analytics/company/sh/601992/601992/detail</t>
  </si>
  <si>
    <t>四创电子</t>
  </si>
  <si>
    <t>www.lixinger.com/analytics/company/sh/600990/600990/detail</t>
  </si>
  <si>
    <t>航天发展</t>
  </si>
  <si>
    <t>www.lixinger.com/analytics/company/sz/000547/547/detail</t>
  </si>
  <si>
    <t>华峰铝业</t>
  </si>
  <si>
    <t>www.lixinger.com/analytics/company/sh/601702/601702/detail</t>
  </si>
  <si>
    <t>新宝股份</t>
  </si>
  <si>
    <t>www.lixinger.com/analytics/company/sz/002705/2705/detail</t>
  </si>
  <si>
    <t>穗恒运Ａ</t>
  </si>
  <si>
    <t>www.lixinger.com/analytics/company/sz/000531/531/detail</t>
  </si>
  <si>
    <t>广大特材</t>
  </si>
  <si>
    <t>www.lixinger.com/analytics/company/sh/688186/688186/detail</t>
  </si>
  <si>
    <t>拓普集团</t>
  </si>
  <si>
    <t>www.lixinger.com/analytics/company/sh/601689/601689/detail</t>
  </si>
  <si>
    <t>富奥B</t>
  </si>
  <si>
    <t>www.lixinger.com/analytics/company/sz/200030/200030/detail</t>
  </si>
  <si>
    <t>东风汽车</t>
  </si>
  <si>
    <t>www.lixinger.com/analytics/company/sh/600006/600006/detail</t>
  </si>
  <si>
    <t>山东黄金</t>
  </si>
  <si>
    <t>www.lixinger.com/analytics/company/sh/600547/600547/detail</t>
  </si>
  <si>
    <t>航天电器</t>
  </si>
  <si>
    <t>www.lixinger.com/analytics/company/sz/002025/2025/detail</t>
  </si>
  <si>
    <t>塔牌集团</t>
  </si>
  <si>
    <t>www.lixinger.com/analytics/company/sz/002233/2233/detail</t>
  </si>
  <si>
    <t>陆家Ｂ股</t>
  </si>
  <si>
    <t>www.lixinger.com/analytics/company/sh/900932/900932/detail</t>
  </si>
  <si>
    <t>城发环境</t>
  </si>
  <si>
    <t>www.lixinger.com/analytics/company/sz/000885/885/detail</t>
  </si>
  <si>
    <t>复星医药</t>
  </si>
  <si>
    <t>www.lixinger.com/analytics/company/sh/600196/600196/detail</t>
  </si>
  <si>
    <t>国科微</t>
  </si>
  <si>
    <t>www.lixinger.com/analytics/company/sz/300672/300672/detail</t>
  </si>
  <si>
    <t>三和管桩</t>
  </si>
  <si>
    <t>www.lixinger.com/analytics/company/sz/003037/3037/detail</t>
  </si>
  <si>
    <t>思源电气</t>
  </si>
  <si>
    <t>www.lixinger.com/analytics/company/sz/002028/2028/detail</t>
  </si>
  <si>
    <t>尚品宅配</t>
  </si>
  <si>
    <t>www.lixinger.com/analytics/company/sz/300616/300616/detail</t>
  </si>
  <si>
    <t>士兰微</t>
  </si>
  <si>
    <t>www.lixinger.com/analytics/company/sh/600460/600460/detail</t>
  </si>
  <si>
    <t>中金岭南</t>
  </si>
  <si>
    <t>www.lixinger.com/analytics/company/sz/000060/60/detail</t>
  </si>
  <si>
    <t>武汉控股</t>
  </si>
  <si>
    <t>www.lixinger.com/analytics/company/sh/600168/600168/detail</t>
  </si>
  <si>
    <t>*ST海航B</t>
  </si>
  <si>
    <t>www.lixinger.com/analytics/company/sh/900945/900945/detail</t>
  </si>
  <si>
    <t>闻泰科技</t>
  </si>
  <si>
    <t>www.lixinger.com/analytics/company/sh/600745/600745/detail</t>
  </si>
  <si>
    <t>捷捷微电</t>
  </si>
  <si>
    <t>www.lixinger.com/analytics/company/sz/300623/300623/detail</t>
  </si>
  <si>
    <t>*ST华源</t>
  </si>
  <si>
    <t>www.lixinger.com/analytics/company/sh/600726/600726/detail</t>
  </si>
  <si>
    <t>时代新材</t>
  </si>
  <si>
    <t>www.lixinger.com/analytics/company/sh/600458/600458/detail</t>
  </si>
  <si>
    <t>浙江东方</t>
  </si>
  <si>
    <t>www.lixinger.com/analytics/company/sh/600120/600120/detail</t>
  </si>
  <si>
    <t>东湖高新</t>
  </si>
  <si>
    <t>www.lixinger.com/analytics/company/sh/600133/600133/detail</t>
  </si>
  <si>
    <t>杭萧钢构</t>
  </si>
  <si>
    <t>www.lixinger.com/analytics/company/sh/600477/600477/detail</t>
  </si>
  <si>
    <t>金牌厨柜</t>
  </si>
  <si>
    <t>www.lixinger.com/analytics/company/sh/603180/603180/detail</t>
  </si>
  <si>
    <t>杭电股份</t>
  </si>
  <si>
    <t>www.lixinger.com/analytics/company/sh/603618/603618/detail</t>
  </si>
  <si>
    <t>赛轮轮胎</t>
  </si>
  <si>
    <t>www.lixinger.com/analytics/company/sh/601058/601058/detail</t>
  </si>
  <si>
    <t>金力永磁</t>
  </si>
  <si>
    <t>www.lixinger.com/analytics/company/sz/300748/300748/detail</t>
  </si>
  <si>
    <t>卫士通</t>
  </si>
  <si>
    <t>www.lixinger.com/analytics/company/sz/002268/2268/detail</t>
  </si>
  <si>
    <t>高鸿股份</t>
  </si>
  <si>
    <t>www.lixinger.com/analytics/company/sz/000851/851/detail</t>
  </si>
  <si>
    <t>赢合科技</t>
  </si>
  <si>
    <t>www.lixinger.com/analytics/company/sz/300457/300457/detail</t>
  </si>
  <si>
    <t>厦门港务</t>
  </si>
  <si>
    <t>www.lixinger.com/analytics/company/sz/000905/905/detail</t>
  </si>
  <si>
    <t>中国联通</t>
  </si>
  <si>
    <t>www.lixinger.com/analytics/company/sh/600050/600050/detail</t>
  </si>
  <si>
    <t>佳都科技</t>
  </si>
  <si>
    <t>www.lixinger.com/analytics/company/sh/600728/600728/detail</t>
  </si>
  <si>
    <t>桂东电力</t>
  </si>
  <si>
    <t>www.lixinger.com/analytics/company/sh/600310/600310/detail</t>
  </si>
  <si>
    <t>南京公用</t>
  </si>
  <si>
    <t>www.lixinger.com/analytics/company/sz/000421/421/detail</t>
  </si>
  <si>
    <t>粤电力Ａ</t>
  </si>
  <si>
    <t>www.lixinger.com/analytics/company/sz/000539/539/detail</t>
  </si>
  <si>
    <t>金龙鱼</t>
  </si>
  <si>
    <t>www.lixinger.com/analytics/company/sz/300999/300999/detail</t>
  </si>
  <si>
    <t>三棵树</t>
  </si>
  <si>
    <t>www.lixinger.com/analytics/company/sh/603737/603737/detail</t>
  </si>
  <si>
    <t>中兵红箭</t>
  </si>
  <si>
    <t>www.lixinger.com/analytics/company/sz/000519/519/detail</t>
  </si>
  <si>
    <t>豪美新材</t>
  </si>
  <si>
    <t>www.lixinger.com/analytics/company/sz/002988/2988/detail</t>
  </si>
  <si>
    <t>喜临门</t>
  </si>
  <si>
    <t>www.lixinger.com/analytics/company/sh/603008/603008/detail</t>
  </si>
  <si>
    <t>和辉光电</t>
  </si>
  <si>
    <t>www.lixinger.com/analytics/company/sh/688538/688538/detail</t>
  </si>
  <si>
    <t>浙能电力</t>
  </si>
  <si>
    <t>www.lixinger.com/analytics/company/sh/600023/600023/detail</t>
  </si>
  <si>
    <t>西子洁能</t>
  </si>
  <si>
    <t>www.lixinger.com/analytics/company/sz/002534/2534/detail</t>
  </si>
  <si>
    <t>南极电商</t>
  </si>
  <si>
    <t>www.lixinger.com/analytics/company/sz/002127/2127/detail</t>
  </si>
  <si>
    <t>汇鸿集团</t>
  </si>
  <si>
    <t>www.lixinger.com/analytics/company/sh/600981/600981/detail</t>
  </si>
  <si>
    <t>亚士创能</t>
  </si>
  <si>
    <t>www.lixinger.com/analytics/company/sh/603378/603378/detail</t>
  </si>
  <si>
    <t>健之佳</t>
  </si>
  <si>
    <t>www.lixinger.com/analytics/company/sh/605266/605266/detail</t>
  </si>
  <si>
    <t>璞泰来</t>
  </si>
  <si>
    <t>www.lixinger.com/analytics/company/sh/603659/603659/detail</t>
  </si>
  <si>
    <t>汉马科技</t>
  </si>
  <si>
    <t>www.lixinger.com/analytics/company/sh/600375/600375/detail</t>
  </si>
  <si>
    <t>广州港</t>
  </si>
  <si>
    <t>www.lixinger.com/analytics/company/sh/601228/601228/detail</t>
  </si>
  <si>
    <t>中航光电</t>
  </si>
  <si>
    <t>www.lixinger.com/analytics/company/sz/002179/2179/detail</t>
  </si>
  <si>
    <t>张江高科</t>
  </si>
  <si>
    <t>www.lixinger.com/analytics/company/sh/600895/600895/detail</t>
  </si>
  <si>
    <t>太阳电缆</t>
  </si>
  <si>
    <t>www.lixinger.com/analytics/company/sz/002300/2300/detail</t>
  </si>
  <si>
    <t>欧派家居</t>
  </si>
  <si>
    <t>www.lixinger.com/analytics/company/sh/603833/603833/detail</t>
  </si>
  <si>
    <t>卓胜微</t>
  </si>
  <si>
    <t>www.lixinger.com/analytics/company/sz/300782/300782/detail</t>
  </si>
  <si>
    <t>南玻Ａ</t>
  </si>
  <si>
    <t>www.lixinger.com/analytics/company/sz/000012/12/detail</t>
  </si>
  <si>
    <t>宁波建工</t>
  </si>
  <si>
    <t>www.lixinger.com/analytics/company/sh/601789/601789/detail</t>
  </si>
  <si>
    <t>栖霞建设</t>
  </si>
  <si>
    <t>www.lixinger.com/analytics/company/sh/600533/600533/detail</t>
  </si>
  <si>
    <t>国网信通</t>
  </si>
  <si>
    <t>www.lixinger.com/analytics/company/sh/600131/600131/detail</t>
  </si>
  <si>
    <t>嘉事堂</t>
  </si>
  <si>
    <t>www.lixinger.com/analytics/company/sz/002462/2462/detail</t>
  </si>
  <si>
    <t>柳工</t>
  </si>
  <si>
    <t>www.lixinger.com/analytics/company/sz/000528/528/detail</t>
  </si>
  <si>
    <t>欣旺达</t>
  </si>
  <si>
    <t>www.lixinger.com/analytics/company/sz/300207/300207/detail</t>
  </si>
  <si>
    <t>金杯电工</t>
  </si>
  <si>
    <t>www.lixinger.com/analytics/company/sz/002533/2533/detail</t>
  </si>
  <si>
    <t>中南传媒</t>
  </si>
  <si>
    <t>www.lixinger.com/analytics/company/sh/601098/601098/detail</t>
  </si>
  <si>
    <t>国海证券</t>
  </si>
  <si>
    <t>www.lixinger.com/analytics/company/sz/000750/750/detail</t>
  </si>
  <si>
    <t>深天马Ａ</t>
  </si>
  <si>
    <t>www.lixinger.com/analytics/company/sz/000050/50/detail</t>
  </si>
  <si>
    <t>中集车辆</t>
  </si>
  <si>
    <t>www.lixinger.com/analytics/company/sz/301039/301039/detail</t>
  </si>
  <si>
    <t>天地科技</t>
  </si>
  <si>
    <t>www.lixinger.com/analytics/company/sh/600582/600582/detail</t>
  </si>
  <si>
    <t>北新建材</t>
  </si>
  <si>
    <t>www.lixinger.com/analytics/company/sz/000786/786/detail</t>
  </si>
  <si>
    <t>粤水电</t>
  </si>
  <si>
    <t>www.lixinger.com/analytics/company/sz/002060/2060/detail</t>
  </si>
  <si>
    <t>海优新材</t>
  </si>
  <si>
    <t>www.lixinger.com/analytics/company/sh/688680/688680/detail</t>
  </si>
  <si>
    <t>玲珑轮胎</t>
  </si>
  <si>
    <t>www.lixinger.com/analytics/company/sh/601966/601966/detail</t>
  </si>
  <si>
    <t>中国医药</t>
  </si>
  <si>
    <t>www.lixinger.com/analytics/company/sh/600056/600056/detail</t>
  </si>
  <si>
    <t>中科电气</t>
  </si>
  <si>
    <t>www.lixinger.com/analytics/company/sz/300035/300035/detail</t>
  </si>
  <si>
    <t>杰瑞股份</t>
  </si>
  <si>
    <t>www.lixinger.com/analytics/company/sz/002353/2353/detail</t>
  </si>
  <si>
    <t>成都银行</t>
  </si>
  <si>
    <t>www.lixinger.com/analytics/company/sh/601838/601838/detail</t>
  </si>
  <si>
    <t>天沃科技</t>
  </si>
  <si>
    <t>www.lixinger.com/analytics/company/sz/002564/2564/detail</t>
  </si>
  <si>
    <t>华润材料</t>
  </si>
  <si>
    <t>www.lixinger.com/analytics/company/sz/301090/301090/detail</t>
  </si>
  <si>
    <t>神州信息</t>
  </si>
  <si>
    <t>www.lixinger.com/analytics/company/sz/000555/555/detail</t>
  </si>
  <si>
    <t>万达信息</t>
  </si>
  <si>
    <t>www.lixinger.com/analytics/company/sz/300168/300168/detail</t>
  </si>
  <si>
    <t>安琪酵母</t>
  </si>
  <si>
    <t>www.lixinger.com/analytics/company/sh/600298/600298/detail</t>
  </si>
  <si>
    <t>芒果超媒</t>
  </si>
  <si>
    <t>www.lixinger.com/analytics/company/sz/300413/300413/detail</t>
  </si>
  <si>
    <t>际华集团</t>
  </si>
  <si>
    <t>www.lixinger.com/analytics/company/sh/601718/601718/detail</t>
  </si>
  <si>
    <t>柳药股份</t>
  </si>
  <si>
    <t>www.lixinger.com/analytics/company/sh/603368/603368/detail</t>
  </si>
  <si>
    <t>传化智联</t>
  </si>
  <si>
    <t>www.lixinger.com/analytics/company/sz/002010/2010/detail</t>
  </si>
  <si>
    <t>华电重工</t>
  </si>
  <si>
    <t>www.lixinger.com/analytics/company/sh/601226/601226/detail</t>
  </si>
  <si>
    <t>深物业A</t>
  </si>
  <si>
    <t>www.lixinger.com/analytics/company/sz/000011/11/detail</t>
  </si>
  <si>
    <t>铁建重工</t>
  </si>
  <si>
    <t>www.lixinger.com/analytics/company/sh/688425/688425/detail</t>
  </si>
  <si>
    <t>杰赛科技</t>
  </si>
  <si>
    <t>www.lixinger.com/analytics/company/sz/002544/2544/detail</t>
  </si>
  <si>
    <t>华安证券</t>
  </si>
  <si>
    <t>www.lixinger.com/analytics/company/sh/600909/600909/detail</t>
  </si>
  <si>
    <t>宝钢包装</t>
  </si>
  <si>
    <t>www.lixinger.com/analytics/company/sh/601968/601968/detail</t>
  </si>
  <si>
    <t>省广集团</t>
  </si>
  <si>
    <t>www.lixinger.com/analytics/company/sz/002400/2400/detail</t>
  </si>
  <si>
    <t>孚能科技</t>
  </si>
  <si>
    <t>www.lixinger.com/analytics/company/sh/688567/688567/detail</t>
  </si>
  <si>
    <t>楚天科技</t>
  </si>
  <si>
    <t>www.lixinger.com/analytics/company/sz/300358/300358/detail</t>
  </si>
  <si>
    <t>东方明珠</t>
  </si>
  <si>
    <t>www.lixinger.com/analytics/company/sh/600637/600637/detail</t>
  </si>
  <si>
    <t>华大基因</t>
  </si>
  <si>
    <t>www.lixinger.com/analytics/company/sz/300676/300676/detail</t>
  </si>
  <si>
    <t>诺普信</t>
  </si>
  <si>
    <t>www.lixinger.com/analytics/company/sz/002215/2215/detail</t>
  </si>
  <si>
    <t>粤电力Ｂ</t>
  </si>
  <si>
    <t>www.lixinger.com/analytics/company/sz/200539/200539/detail</t>
  </si>
  <si>
    <t>坚朗五金</t>
  </si>
  <si>
    <t>www.lixinger.com/analytics/company/sz/002791/2791/detail</t>
  </si>
  <si>
    <t>山东出版</t>
  </si>
  <si>
    <t>www.lixinger.com/analytics/company/sh/601019/601019/detail</t>
  </si>
  <si>
    <t>特锐德</t>
  </si>
  <si>
    <t>www.lixinger.com/analytics/company/sz/300001/300001/detail</t>
  </si>
  <si>
    <t>深信服</t>
  </si>
  <si>
    <t>www.lixinger.com/analytics/company/sz/300454/300454/detail</t>
  </si>
  <si>
    <t>大名城</t>
  </si>
  <si>
    <t>www.lixinger.com/analytics/company/sh/600094/600094/detail</t>
  </si>
  <si>
    <t>盈峰环境</t>
  </si>
  <si>
    <t>www.lixinger.com/analytics/company/sz/000967/967/detail</t>
  </si>
  <si>
    <t>云南铜业</t>
  </si>
  <si>
    <t>www.lixinger.com/analytics/company/sz/000878/878/detail</t>
  </si>
  <si>
    <t>浙富控股</t>
  </si>
  <si>
    <t>www.lixinger.com/analytics/company/sz/002266/2266/detail</t>
  </si>
  <si>
    <t>海立股份</t>
  </si>
  <si>
    <t>www.lixinger.com/analytics/company/sh/600619/600619/detail</t>
  </si>
  <si>
    <t>彩虹股份</t>
  </si>
  <si>
    <t>www.lixinger.com/analytics/company/sh/600707/600707/detail</t>
  </si>
  <si>
    <t>长城证券</t>
  </si>
  <si>
    <t>www.lixinger.com/analytics/company/sz/002939/2939/detail</t>
  </si>
  <si>
    <t>甬金股份</t>
  </si>
  <si>
    <t>www.lixinger.com/analytics/company/sh/603995/603995/detail</t>
  </si>
  <si>
    <t>龙源电力</t>
  </si>
  <si>
    <t>www.lixinger.com/analytics/company/sz/001289/1289/detail</t>
  </si>
  <si>
    <t>百川股份</t>
  </si>
  <si>
    <t>www.lixinger.com/analytics/company/sz/002455/2455/detail</t>
  </si>
  <si>
    <t>康希诺</t>
  </si>
  <si>
    <t>www.lixinger.com/analytics/company/sh/688185/688185/detail</t>
  </si>
  <si>
    <t>广电运通</t>
  </si>
  <si>
    <t>www.lixinger.com/analytics/company/sz/002152/2152/detail</t>
  </si>
  <si>
    <t>南玻Ｂ</t>
  </si>
  <si>
    <t>www.lixinger.com/analytics/company/sz/200012/200012/detail</t>
  </si>
  <si>
    <t>广晟有色</t>
  </si>
  <si>
    <t>www.lixinger.com/analytics/company/sh/600259/600259/detail</t>
  </si>
  <si>
    <t>宁波韵升</t>
  </si>
  <si>
    <t>www.lixinger.com/analytics/company/sh/600366/600366/detail</t>
  </si>
  <si>
    <t>兰州银行</t>
  </si>
  <si>
    <t>www.lixinger.com/analytics/company/sz/001227/1227/detail</t>
  </si>
  <si>
    <t>长盈精密</t>
  </si>
  <si>
    <t>www.lixinger.com/analytics/company/sz/300115/300115/detail</t>
  </si>
  <si>
    <t>碧水源</t>
  </si>
  <si>
    <t>www.lixinger.com/analytics/company/sz/300070/300070/detail</t>
  </si>
  <si>
    <t>立昂微</t>
  </si>
  <si>
    <t>www.lixinger.com/analytics/company/sh/605358/605358/detail</t>
  </si>
  <si>
    <t>招商积余</t>
  </si>
  <si>
    <t>www.lixinger.com/analytics/company/sz/001914/1914/detail</t>
  </si>
  <si>
    <t>大悦城</t>
  </si>
  <si>
    <t>www.lixinger.com/analytics/company/sz/000031/31/detail</t>
  </si>
  <si>
    <t>武商集团</t>
  </si>
  <si>
    <t>www.lixinger.com/analytics/company/sz/000501/501/detail</t>
  </si>
  <si>
    <t>宇通客车</t>
  </si>
  <si>
    <t>www.lixinger.com/analytics/company/sh/600066/600066/detail</t>
  </si>
  <si>
    <t>中原高速</t>
  </si>
  <si>
    <t>www.lixinger.com/analytics/company/sh/600020/600020/detail</t>
  </si>
  <si>
    <t>哈投股份</t>
  </si>
  <si>
    <t>www.lixinger.com/analytics/company/sh/600864/600864/detail</t>
  </si>
  <si>
    <t>中储股份</t>
  </si>
  <si>
    <t>www.lixinger.com/analytics/company/sh/600787/600787/detail</t>
  </si>
  <si>
    <t>博威合金</t>
  </si>
  <si>
    <t>www.lixinger.com/analytics/company/sh/601137/601137/detail</t>
  </si>
  <si>
    <t>中粮糖业</t>
  </si>
  <si>
    <t>www.lixinger.com/analytics/company/sh/600737/600737/detail</t>
  </si>
  <si>
    <t>亨通光电</t>
  </si>
  <si>
    <t>www.lixinger.com/analytics/company/sh/600487/600487/detail</t>
  </si>
  <si>
    <t>有研新材</t>
  </si>
  <si>
    <t>www.lixinger.com/analytics/company/sh/600206/600206/detail</t>
  </si>
  <si>
    <t>*ST银亿</t>
  </si>
  <si>
    <t>www.lixinger.com/analytics/company/sz/000981/981/detail</t>
  </si>
  <si>
    <t>索通发展</t>
  </si>
  <si>
    <t>www.lixinger.com/analytics/company/sh/603612/603612/detail</t>
  </si>
  <si>
    <t>山鹰国际</t>
  </si>
  <si>
    <t>www.lixinger.com/analytics/company/sh/600567/600567/detail</t>
  </si>
  <si>
    <t>厦门钨业</t>
  </si>
  <si>
    <t>www.lixinger.com/analytics/company/sh/600549/600549/detail</t>
  </si>
  <si>
    <t>顾家家居</t>
  </si>
  <si>
    <t>www.lixinger.com/analytics/company/sh/603816/603816/detail</t>
  </si>
  <si>
    <t>凯赛生物</t>
  </si>
  <si>
    <t>www.lixinger.com/analytics/company/sh/688065/688065/detail</t>
  </si>
  <si>
    <t>新黄浦</t>
  </si>
  <si>
    <t>www.lixinger.com/analytics/company/sh/600638/600638/detail</t>
  </si>
  <si>
    <t>南钢股份</t>
  </si>
  <si>
    <t>www.lixinger.com/analytics/company/sh/600282/600282/detail</t>
  </si>
  <si>
    <t>罗欣药业</t>
  </si>
  <si>
    <t>www.lixinger.com/analytics/company/sz/002793/2793/detail</t>
  </si>
  <si>
    <t>北方国际</t>
  </si>
  <si>
    <t>www.lixinger.com/analytics/company/sz/000065/65/detail</t>
  </si>
  <si>
    <t>伊利股份</t>
  </si>
  <si>
    <t>www.lixinger.com/analytics/company/sh/600887/600887/detail</t>
  </si>
  <si>
    <t>国机重装</t>
  </si>
  <si>
    <t>www.lixinger.com/analytics/company/sh/601399/601399/detail</t>
  </si>
  <si>
    <t>中航重机</t>
  </si>
  <si>
    <t>www.lixinger.com/analytics/company/sh/600765/600765/detail</t>
  </si>
  <si>
    <t>天康生物</t>
  </si>
  <si>
    <t>www.lixinger.com/analytics/company/sz/002100/2100/detail</t>
  </si>
  <si>
    <t>中国动力</t>
  </si>
  <si>
    <t>www.lixinger.com/analytics/company/sh/600482/600482/detail</t>
  </si>
  <si>
    <t>深物业B</t>
  </si>
  <si>
    <t>www.lixinger.com/analytics/company/sz/200011/200011/detail</t>
  </si>
  <si>
    <t>欧普照明</t>
  </si>
  <si>
    <t>www.lixinger.com/analytics/company/sh/603515/603515/detail</t>
  </si>
  <si>
    <t>ST海越</t>
  </si>
  <si>
    <t>www.lixinger.com/analytics/company/sh/600387/600387/detail</t>
  </si>
  <si>
    <t>东方电缆</t>
  </si>
  <si>
    <t>www.lixinger.com/analytics/company/sh/603606/603606/detail</t>
  </si>
  <si>
    <t>华建集团</t>
  </si>
  <si>
    <t>www.lixinger.com/analytics/company/sh/600629/600629/detail</t>
  </si>
  <si>
    <t>圣泉集团</t>
  </si>
  <si>
    <t>www.lixinger.com/analytics/company/sh/605589/605589/detail</t>
  </si>
  <si>
    <t>东华软件</t>
  </si>
  <si>
    <t>www.lixinger.com/analytics/company/sz/002065/2065/detail</t>
  </si>
  <si>
    <t>龙蟠科技</t>
  </si>
  <si>
    <t>www.lixinger.com/analytics/company/sh/603906/603906/detail</t>
  </si>
  <si>
    <t>东软集团</t>
  </si>
  <si>
    <t>www.lixinger.com/analytics/company/sh/600718/600718/detail</t>
  </si>
  <si>
    <t>养元饮品</t>
  </si>
  <si>
    <t>www.lixinger.com/analytics/company/sh/603156/603156/detail</t>
  </si>
  <si>
    <t>瀚蓝环境</t>
  </si>
  <si>
    <t>www.lixinger.com/analytics/company/sh/600323/600323/detail</t>
  </si>
  <si>
    <t>新疆交建</t>
  </si>
  <si>
    <t>www.lixinger.com/analytics/company/sz/002941/2941/detail</t>
  </si>
  <si>
    <t>奇安信</t>
  </si>
  <si>
    <t>www.lixinger.com/analytics/company/sh/688561/688561/detail</t>
  </si>
  <si>
    <t>唐人神</t>
  </si>
  <si>
    <t>www.lixinger.com/analytics/company/sz/002567/2567/detail</t>
  </si>
  <si>
    <t>顺鑫农业</t>
  </si>
  <si>
    <t>www.lixinger.com/analytics/company/sz/000860/860/detail</t>
  </si>
  <si>
    <t>南宁糖业</t>
  </si>
  <si>
    <t>www.lixinger.com/analytics/company/sz/000911/911/detail</t>
  </si>
  <si>
    <t>容百科技</t>
  </si>
  <si>
    <t>www.lixinger.com/analytics/company/sh/688005/688005/detail</t>
  </si>
  <si>
    <t>兴蓉环境</t>
  </si>
  <si>
    <t>www.lixinger.com/analytics/company/sz/000598/598/detail</t>
  </si>
  <si>
    <t>东方创业</t>
  </si>
  <si>
    <t>www.lixinger.com/analytics/company/sh/600278/600278/detail</t>
  </si>
  <si>
    <t>广州发展</t>
  </si>
  <si>
    <t>www.lixinger.com/analytics/company/sh/600098/600098/detail</t>
  </si>
  <si>
    <t>振华重工</t>
  </si>
  <si>
    <t>www.lixinger.com/analytics/company/sh/600320/600320/detail</t>
  </si>
  <si>
    <t>大族激光</t>
  </si>
  <si>
    <t>www.lixinger.com/analytics/company/sz/002008/2008/detail</t>
  </si>
  <si>
    <t>双汇发展</t>
  </si>
  <si>
    <t>www.lixinger.com/analytics/company/sz/000895/895/detail</t>
  </si>
  <si>
    <t>*ST山航B</t>
  </si>
  <si>
    <t>www.lixinger.com/analytics/company/sz/200152/200152/detail</t>
  </si>
  <si>
    <t>吉电股份</t>
  </si>
  <si>
    <t>www.lixinger.com/analytics/company/sz/000875/875/detail</t>
  </si>
  <si>
    <t>航天晨光</t>
  </si>
  <si>
    <t>www.lixinger.com/analytics/company/sh/600501/600501/detail</t>
  </si>
  <si>
    <t>神州数码</t>
  </si>
  <si>
    <t>www.lixinger.com/analytics/company/sz/000034/34/detail</t>
  </si>
  <si>
    <t>中原环保</t>
  </si>
  <si>
    <t>www.lixinger.com/analytics/company/sz/000544/544/detail</t>
  </si>
  <si>
    <t>信达地产</t>
  </si>
  <si>
    <t>www.lixinger.com/analytics/company/sh/600657/600657/detail</t>
  </si>
  <si>
    <t>第一创业</t>
  </si>
  <si>
    <t>www.lixinger.com/analytics/company/sz/002797/2797/detail</t>
  </si>
  <si>
    <t>新兴铸管</t>
  </si>
  <si>
    <t>www.lixinger.com/analytics/company/sz/000778/778/detail</t>
  </si>
  <si>
    <t>北部湾港</t>
  </si>
  <si>
    <t>www.lixinger.com/analytics/company/sz/000582/582/detail</t>
  </si>
  <si>
    <t>中国通号</t>
  </si>
  <si>
    <t>www.lixinger.com/analytics/company/sh/688009/688009/detail</t>
  </si>
  <si>
    <t>威孚高科</t>
  </si>
  <si>
    <t>www.lixinger.com/analytics/company/sz/000581/581/detail</t>
  </si>
  <si>
    <t>立中集团</t>
  </si>
  <si>
    <t>www.lixinger.com/analytics/company/sz/300428/300428/detail</t>
  </si>
  <si>
    <t>韦尔股份</t>
  </si>
  <si>
    <t>www.lixinger.com/analytics/company/sh/603501/603501/detail</t>
  </si>
  <si>
    <t>龙元建设</t>
  </si>
  <si>
    <t>www.lixinger.com/analytics/company/sh/600491/600491/detail</t>
  </si>
  <si>
    <t>宝胜股份</t>
  </si>
  <si>
    <t>www.lixinger.com/analytics/company/sh/600973/600973/detail</t>
  </si>
  <si>
    <t>天禾股份</t>
  </si>
  <si>
    <t>www.lixinger.com/analytics/company/sz/002999/2999/detail</t>
  </si>
  <si>
    <t>合盛硅业</t>
  </si>
  <si>
    <t>www.lixinger.com/analytics/company/sh/603260/603260/detail</t>
  </si>
  <si>
    <t>*ST基础</t>
  </si>
  <si>
    <t>www.lixinger.com/analytics/company/sh/600515/600515/detail</t>
  </si>
  <si>
    <t>太平洋</t>
  </si>
  <si>
    <t>www.lixinger.com/analytics/company/sh/601099/601099/detail</t>
  </si>
  <si>
    <t>石化油服</t>
  </si>
  <si>
    <t>www.lixinger.com/analytics/company/sh/600871/600871/detail</t>
  </si>
  <si>
    <t>迪安诊断</t>
  </si>
  <si>
    <t>www.lixinger.com/analytics/company/sz/300244/300244/detail</t>
  </si>
  <si>
    <t>长虹美菱</t>
  </si>
  <si>
    <t>www.lixinger.com/analytics/company/sz/000521/521/detail</t>
  </si>
  <si>
    <t>深圳燃气</t>
  </si>
  <si>
    <t>www.lixinger.com/analytics/company/sh/601139/601139/detail</t>
  </si>
  <si>
    <t>金开新能</t>
  </si>
  <si>
    <t>www.lixinger.com/analytics/company/sh/600821/600821/detail</t>
  </si>
  <si>
    <t>冠捷科技</t>
  </si>
  <si>
    <t>www.lixinger.com/analytics/company/sz/000727/727/detail</t>
  </si>
  <si>
    <t>晶科能源</t>
  </si>
  <si>
    <t>www.lixinger.com/analytics/company/sh/688223/688223/detail</t>
  </si>
  <si>
    <t>中科软</t>
  </si>
  <si>
    <t>www.lixinger.com/analytics/company/sh/603927/603927/detail</t>
  </si>
  <si>
    <t>小商品城</t>
  </si>
  <si>
    <t>www.lixinger.com/analytics/company/sh/600415/600415/detail</t>
  </si>
  <si>
    <t>恒生电子</t>
  </si>
  <si>
    <t>www.lixinger.com/analytics/company/sh/600570/600570/detail</t>
  </si>
  <si>
    <t>科顺股份</t>
  </si>
  <si>
    <t>www.lixinger.com/analytics/company/sz/300737/300737/detail</t>
  </si>
  <si>
    <t>华天科技</t>
  </si>
  <si>
    <t>www.lixinger.com/analytics/company/sz/002185/2185/detail</t>
  </si>
  <si>
    <t>华菱钢铁</t>
  </si>
  <si>
    <t>www.lixinger.com/analytics/company/sz/000932/932/detail</t>
  </si>
  <si>
    <t>中原证券</t>
  </si>
  <si>
    <t>www.lixinger.com/analytics/company/sh/601375/601375/detail</t>
  </si>
  <si>
    <t>冀东水泥</t>
  </si>
  <si>
    <t>www.lixinger.com/analytics/company/sz/000401/401/detail</t>
  </si>
  <si>
    <t>建投能源</t>
  </si>
  <si>
    <t>www.lixinger.com/analytics/company/sz/000600/600/detail</t>
  </si>
  <si>
    <t>江苏租赁</t>
  </si>
  <si>
    <t>www.lixinger.com/analytics/company/sh/600901/600901/detail</t>
  </si>
  <si>
    <t>远大控股</t>
  </si>
  <si>
    <t>www.lixinger.com/analytics/company/sz/000626/626/detail</t>
  </si>
  <si>
    <t>上海机电</t>
  </si>
  <si>
    <t>www.lixinger.com/analytics/company/sh/600835/600835/detail</t>
  </si>
  <si>
    <t>华数传媒</t>
  </si>
  <si>
    <t>www.lixinger.com/analytics/company/sz/000156/156/detail</t>
  </si>
  <si>
    <t>中洲控股</t>
  </si>
  <si>
    <t>www.lixinger.com/analytics/company/sz/000042/42/detail</t>
  </si>
  <si>
    <t>云内动力</t>
  </si>
  <si>
    <t>www.lixinger.com/analytics/company/sz/000903/903/detail</t>
  </si>
  <si>
    <t>方正证券</t>
  </si>
  <si>
    <t>www.lixinger.com/analytics/company/sh/601901/601901/detail</t>
  </si>
  <si>
    <t>楚江新材</t>
  </si>
  <si>
    <t>www.lixinger.com/analytics/company/sz/002171/2171/detail</t>
  </si>
  <si>
    <t>常山北明</t>
  </si>
  <si>
    <t>www.lixinger.com/analytics/company/sz/000158/158/detail</t>
  </si>
  <si>
    <t>深科技</t>
  </si>
  <si>
    <t>www.lixinger.com/analytics/company/sz/000021/21/detail</t>
  </si>
  <si>
    <t>星网锐捷</t>
  </si>
  <si>
    <t>www.lixinger.com/analytics/company/sz/002396/2396/detail</t>
  </si>
  <si>
    <t>恩捷股份</t>
  </si>
  <si>
    <t>www.lixinger.com/analytics/company/sz/002812/2812/detail</t>
  </si>
  <si>
    <t>运达股份</t>
  </si>
  <si>
    <t>www.lixinger.com/analytics/company/sz/300772/300772/detail</t>
  </si>
  <si>
    <t>华谊集团</t>
  </si>
  <si>
    <t>www.lixinger.com/analytics/company/sh/600623/600623/detail</t>
  </si>
  <si>
    <t>用友网络</t>
  </si>
  <si>
    <t>www.lixinger.com/analytics/company/sh/600588/600588/detail</t>
  </si>
  <si>
    <t>晶盛机电</t>
  </si>
  <si>
    <t>www.lixinger.com/analytics/company/sz/300316/300316/detail</t>
  </si>
  <si>
    <t>中科曙光</t>
  </si>
  <si>
    <t>www.lixinger.com/analytics/company/sh/603019/603019/detail</t>
  </si>
  <si>
    <t>电科数字</t>
  </si>
  <si>
    <t>www.lixinger.com/analytics/company/sh/600850/600850/detail</t>
  </si>
  <si>
    <t>小康股份</t>
  </si>
  <si>
    <t>www.lixinger.com/analytics/company/sh/601127/601127/detail</t>
  </si>
  <si>
    <t>英特集团</t>
  </si>
  <si>
    <t>www.lixinger.com/analytics/company/sz/000411/411/detail</t>
  </si>
  <si>
    <t>浦东金桥</t>
  </si>
  <si>
    <t>www.lixinger.com/analytics/company/sh/600639/600639/detail</t>
  </si>
  <si>
    <t>亚厦股份</t>
  </si>
  <si>
    <t>www.lixinger.com/analytics/company/sz/002375/2375/detail</t>
  </si>
  <si>
    <t>中航电子</t>
  </si>
  <si>
    <t>www.lixinger.com/analytics/company/sh/600372/600372/detail</t>
  </si>
  <si>
    <t>维信诺</t>
  </si>
  <si>
    <t>www.lixinger.com/analytics/company/sz/002387/2387/detail</t>
  </si>
  <si>
    <t>三安光电</t>
  </si>
  <si>
    <t>www.lixinger.com/analytics/company/sh/600703/600703/detail</t>
  </si>
  <si>
    <t>国药股份</t>
  </si>
  <si>
    <t>www.lixinger.com/analytics/company/sh/600511/600511/detail</t>
  </si>
  <si>
    <t>福星股份</t>
  </si>
  <si>
    <t>www.lixinger.com/analytics/company/sz/000926/926/detail</t>
  </si>
  <si>
    <t>软通动力</t>
  </si>
  <si>
    <t>www.lixinger.com/analytics/company/sz/301236/301236/detail</t>
  </si>
  <si>
    <t>先导智能</t>
  </si>
  <si>
    <t>www.lixinger.com/analytics/company/sz/300450/300450/detail</t>
  </si>
  <si>
    <t>国元证券</t>
  </si>
  <si>
    <t>www.lixinger.com/analytics/company/sz/000728/728/detail</t>
  </si>
  <si>
    <t>苏威孚Ｂ</t>
  </si>
  <si>
    <t>www.lixinger.com/analytics/company/sz/200581/200581/detail</t>
  </si>
  <si>
    <t>爱建集团</t>
  </si>
  <si>
    <t>www.lixinger.com/analytics/company/sh/600643/600643/detail</t>
  </si>
  <si>
    <t>山东路桥</t>
  </si>
  <si>
    <t>www.lixinger.com/analytics/company/sz/000498/498/detail</t>
  </si>
  <si>
    <t>隆基股份</t>
  </si>
  <si>
    <t>www.lixinger.com/analytics/company/sh/601012/601012/detail</t>
  </si>
  <si>
    <t>时代电气</t>
  </si>
  <si>
    <t>www.lixinger.com/analytics/company/sh/688187/688187/detail</t>
  </si>
  <si>
    <t>中国宝安</t>
  </si>
  <si>
    <t>www.lixinger.com/analytics/company/sz/000009/9/detail</t>
  </si>
  <si>
    <t>中远海能</t>
  </si>
  <si>
    <t>www.lixinger.com/analytics/company/sh/600026/600026/detail</t>
  </si>
  <si>
    <t>浦东建设</t>
  </si>
  <si>
    <t>www.lixinger.com/analytics/company/sh/600284/600284/detail</t>
  </si>
  <si>
    <t>虹美菱B</t>
  </si>
  <si>
    <t>www.lixinger.com/analytics/company/sz/200521/200521/detail</t>
  </si>
  <si>
    <t>金螳螂</t>
  </si>
  <si>
    <t>www.lixinger.com/analytics/company/sz/002081/2081/detail</t>
  </si>
  <si>
    <t>中国天楹</t>
  </si>
  <si>
    <t>www.lixinger.com/analytics/company/sz/000035/35/detail</t>
  </si>
  <si>
    <t>山河智能</t>
  </si>
  <si>
    <t>www.lixinger.com/analytics/company/sz/002097/2097/detail</t>
  </si>
  <si>
    <t>大北农</t>
  </si>
  <si>
    <t>www.lixinger.com/analytics/company/sz/002385/2385/detail</t>
  </si>
  <si>
    <t>航天信息</t>
  </si>
  <si>
    <t>www.lixinger.com/analytics/company/sh/600271/600271/detail</t>
  </si>
  <si>
    <t>比亚迪</t>
  </si>
  <si>
    <t>www.lixinger.com/analytics/company/sz/002594/2594/detail</t>
  </si>
  <si>
    <t>三钢闽光</t>
  </si>
  <si>
    <t>www.lixinger.com/analytics/company/sz/002110/2110/detail</t>
  </si>
  <si>
    <t>海天味业</t>
  </si>
  <si>
    <t>www.lixinger.com/analytics/company/sh/603288/603288/detail</t>
  </si>
  <si>
    <t>深康佳Ａ</t>
  </si>
  <si>
    <t>www.lixinger.com/analytics/company/sz/000016/16/detail</t>
  </si>
  <si>
    <t>京能置业</t>
  </si>
  <si>
    <t>www.lixinger.com/analytics/company/sh/600791/600791/detail</t>
  </si>
  <si>
    <t>白银有色</t>
  </si>
  <si>
    <t>www.lixinger.com/analytics/company/sh/601212/601212/detail</t>
  </si>
  <si>
    <t>中金黄金</t>
  </si>
  <si>
    <t>www.lixinger.com/analytics/company/sh/600489/600489/detail</t>
  </si>
  <si>
    <t>北新路桥</t>
  </si>
  <si>
    <t>www.lixinger.com/analytics/company/sz/002307/2307/detail</t>
  </si>
  <si>
    <t>太极股份</t>
  </si>
  <si>
    <t>www.lixinger.com/analytics/company/sz/002368/2368/detail</t>
  </si>
  <si>
    <t>正邦科技</t>
  </si>
  <si>
    <t>www.lixinger.com/analytics/company/sz/002157/2157/detail</t>
  </si>
  <si>
    <t>万马股份</t>
  </si>
  <si>
    <t>www.lixinger.com/analytics/company/sz/002276/2276/detail</t>
  </si>
  <si>
    <t>上海临港</t>
  </si>
  <si>
    <t>www.lixinger.com/analytics/company/sh/600848/600848/detail</t>
  </si>
  <si>
    <t>新城控股</t>
  </si>
  <si>
    <t>www.lixinger.com/analytics/company/sh/601155/601155/detail</t>
  </si>
  <si>
    <t>中直股份</t>
  </si>
  <si>
    <t>www.lixinger.com/analytics/company/sh/600038/600038/detail</t>
  </si>
  <si>
    <t>中铁工业</t>
  </si>
  <si>
    <t>www.lixinger.com/analytics/company/sh/600528/600528/detail</t>
  </si>
  <si>
    <t>中钢国际</t>
  </si>
  <si>
    <t>www.lixinger.com/analytics/company/sz/000928/928/detail</t>
  </si>
  <si>
    <t>北方华创</t>
  </si>
  <si>
    <t>www.lixinger.com/analytics/company/sz/002371/2371/detail</t>
  </si>
  <si>
    <t>太极实业</t>
  </si>
  <si>
    <t>www.lixinger.com/analytics/company/sh/600667/600667/detail</t>
  </si>
  <si>
    <t>杉杉股份</t>
  </si>
  <si>
    <t>www.lixinger.com/analytics/company/sh/600884/600884/detail</t>
  </si>
  <si>
    <t>国机汽车</t>
  </si>
  <si>
    <t>www.lixinger.com/analytics/company/sh/600335/600335/detail</t>
  </si>
  <si>
    <t>格科微</t>
  </si>
  <si>
    <t>www.lixinger.com/analytics/company/sh/688728/688728/detail</t>
  </si>
  <si>
    <t>药明康德</t>
  </si>
  <si>
    <t>www.lixinger.com/analytics/company/sh/603259/603259/detail</t>
  </si>
  <si>
    <t>万华化学</t>
  </si>
  <si>
    <t>www.lixinger.com/analytics/company/sh/600309/600309/detail</t>
  </si>
  <si>
    <t>航天电子</t>
  </si>
  <si>
    <t>www.lixinger.com/analytics/company/sh/600879/600879/detail</t>
  </si>
  <si>
    <t>中航机电</t>
  </si>
  <si>
    <t>www.lixinger.com/analytics/company/sz/002013/2013/detail</t>
  </si>
  <si>
    <t>科大讯飞</t>
  </si>
  <si>
    <t>www.lixinger.com/analytics/company/sz/002230/2230/detail</t>
  </si>
  <si>
    <t>南国置业</t>
  </si>
  <si>
    <t>www.lixinger.com/analytics/company/sz/002305/2305/detail</t>
  </si>
  <si>
    <t>南天信息</t>
  </si>
  <si>
    <t>www.lixinger.com/analytics/company/sz/000948/948/detail</t>
  </si>
  <si>
    <t>国电南瑞</t>
  </si>
  <si>
    <t>www.lixinger.com/analytics/company/sh/600406/600406/detail</t>
  </si>
  <si>
    <t>海亮股份</t>
  </si>
  <si>
    <t>www.lixinger.com/analytics/company/sz/002203/2203/detail</t>
  </si>
  <si>
    <t>亿纬锂能</t>
  </si>
  <si>
    <t>www.lixinger.com/analytics/company/sz/300014/300014/detail</t>
  </si>
  <si>
    <t>城投控股</t>
  </si>
  <si>
    <t>www.lixinger.com/analytics/company/sh/600649/600649/detail</t>
  </si>
  <si>
    <t>雅戈尔</t>
  </si>
  <si>
    <t>www.lixinger.com/analytics/company/sh/600177/600177/detail</t>
  </si>
  <si>
    <t>友发集团</t>
  </si>
  <si>
    <t>www.lixinger.com/analytics/company/sh/601686/601686/detail</t>
  </si>
  <si>
    <t>中国中免</t>
  </si>
  <si>
    <t>www.lixinger.com/analytics/company/sh/601888/601888/detail</t>
  </si>
  <si>
    <t>润建股份</t>
  </si>
  <si>
    <t>www.lixinger.com/analytics/company/sz/002929/2929/detail</t>
  </si>
  <si>
    <t>中国外运</t>
  </si>
  <si>
    <t>www.lixinger.com/analytics/company/sh/601598/601598/detail</t>
  </si>
  <si>
    <t>豫园股份</t>
  </si>
  <si>
    <t>www.lixinger.com/analytics/company/sh/600655/600655/detail</t>
  </si>
  <si>
    <t>深康佳Ｂ</t>
  </si>
  <si>
    <t>www.lixinger.com/analytics/company/sz/200016/200016/detail</t>
  </si>
  <si>
    <t>春秋航空</t>
  </si>
  <si>
    <t>www.lixinger.com/analytics/company/sh/601021/601021/detail</t>
  </si>
  <si>
    <t>中材科技</t>
  </si>
  <si>
    <t>www.lixinger.com/analytics/company/sz/002080/2080/detail</t>
  </si>
  <si>
    <t>南京医药</t>
  </si>
  <si>
    <t>www.lixinger.com/analytics/company/sh/600713/600713/detail</t>
  </si>
  <si>
    <t>中国软件</t>
  </si>
  <si>
    <t>www.lixinger.com/analytics/company/sh/600536/600536/detail</t>
  </si>
  <si>
    <t>温氏股份</t>
  </si>
  <si>
    <t>www.lixinger.com/analytics/company/sz/300498/300498/detail</t>
  </si>
  <si>
    <t>华新水泥</t>
  </si>
  <si>
    <t>www.lixinger.com/analytics/company/sh/600801/600801/detail</t>
  </si>
  <si>
    <t>人福医药</t>
  </si>
  <si>
    <t>www.lixinger.com/analytics/company/sh/600079/600079/detail</t>
  </si>
  <si>
    <t>江河集团</t>
  </si>
  <si>
    <t>www.lixinger.com/analytics/company/sh/601886/601886/detail</t>
  </si>
  <si>
    <t>厦门信达</t>
  </si>
  <si>
    <t>www.lixinger.com/analytics/company/sz/000701/701/detail</t>
  </si>
  <si>
    <t>阳光电源</t>
  </si>
  <si>
    <t>www.lixinger.com/analytics/company/sz/300274/300274/detail</t>
  </si>
  <si>
    <t>国盛金控</t>
  </si>
  <si>
    <t>www.lixinger.com/analytics/company/sz/002670/2670/detail</t>
  </si>
  <si>
    <t>物产环能</t>
  </si>
  <si>
    <t>www.lixinger.com/analytics/company/sh/603071/603071/detail</t>
  </si>
  <si>
    <t>黑牡丹</t>
  </si>
  <si>
    <t>www.lixinger.com/analytics/company/sh/600510/600510/detail</t>
  </si>
  <si>
    <t>深桑达Ａ</t>
  </si>
  <si>
    <t>www.lixinger.com/analytics/company/sz/000032/32/detail</t>
  </si>
  <si>
    <t>东莞控股</t>
  </si>
  <si>
    <t>www.lixinger.com/analytics/company/sz/000828/828/detail</t>
  </si>
  <si>
    <t>通富微电</t>
  </si>
  <si>
    <t>www.lixinger.com/analytics/company/sz/002156/2156/detail</t>
  </si>
  <si>
    <t>同方股份</t>
  </si>
  <si>
    <t>www.lixinger.com/analytics/company/sh/600100/600100/detail</t>
  </si>
  <si>
    <t>东华能源</t>
  </si>
  <si>
    <t>www.lixinger.com/analytics/company/sz/002221/2221/detail</t>
  </si>
  <si>
    <t>中泰化学</t>
  </si>
  <si>
    <t>www.lixinger.com/analytics/company/sz/002092/2092/detail</t>
  </si>
  <si>
    <t>中国长城</t>
  </si>
  <si>
    <t>www.lixinger.com/analytics/company/sz/000066/66/detail</t>
  </si>
  <si>
    <t>南山控股</t>
  </si>
  <si>
    <t>www.lixinger.com/analytics/company/sz/002314/2314/detail</t>
  </si>
  <si>
    <t>起帆电缆</t>
  </si>
  <si>
    <t>www.lixinger.com/analytics/company/sh/605222/605222/detail</t>
  </si>
  <si>
    <t>上海石化</t>
  </si>
  <si>
    <t>www.lixinger.com/analytics/company/sh/600688/600688/detail</t>
  </si>
  <si>
    <t>越秀金控</t>
  </si>
  <si>
    <t>www.lixinger.com/analytics/company/sz/000987/987/detail</t>
  </si>
  <si>
    <t>重庆建工</t>
  </si>
  <si>
    <t>www.lixinger.com/analytics/company/sh/600939/600939/detail</t>
  </si>
  <si>
    <t>中材国际</t>
  </si>
  <si>
    <t>www.lixinger.com/analytics/company/sh/600970/600970/detail</t>
  </si>
  <si>
    <t>安道麦A</t>
  </si>
  <si>
    <t>www.lixinger.com/analytics/company/sz/000553/553/detail</t>
  </si>
  <si>
    <t>内蒙一机</t>
  </si>
  <si>
    <t>www.lixinger.com/analytics/company/sh/600967/600967/detail</t>
  </si>
  <si>
    <t>金融街</t>
  </si>
  <si>
    <t>www.lixinger.com/analytics/company/sz/000402/402/detail</t>
  </si>
  <si>
    <t>紫光股份</t>
  </si>
  <si>
    <t>www.lixinger.com/analytics/company/sz/000938/938/detail</t>
  </si>
  <si>
    <t>中国船舶</t>
  </si>
  <si>
    <t>www.lixinger.com/analytics/company/sh/600150/600150/detail</t>
  </si>
  <si>
    <t>天合光能</t>
  </si>
  <si>
    <t>www.lixinger.com/analytics/company/sh/688599/688599/detail</t>
  </si>
  <si>
    <t>龙建股份</t>
  </si>
  <si>
    <t>www.lixinger.com/analytics/company/sh/600853/600853/detail</t>
  </si>
  <si>
    <t>江西铜业</t>
  </si>
  <si>
    <t>www.lixinger.com/analytics/company/sh/600362/600362/detail</t>
  </si>
  <si>
    <t>天健集团</t>
  </si>
  <si>
    <t>www.lixinger.com/analytics/company/sz/000090/90/detail</t>
  </si>
  <si>
    <t>中天科技</t>
  </si>
  <si>
    <t>www.lixinger.com/analytics/company/sh/600522/600522/detail</t>
  </si>
  <si>
    <t>中航沈飞</t>
  </si>
  <si>
    <t>www.lixinger.com/analytics/company/sh/600760/600760/detail</t>
  </si>
  <si>
    <t>苏美达</t>
  </si>
  <si>
    <t>www.lixinger.com/analytics/company/sh/600710/600710/detail</t>
  </si>
  <si>
    <t>德方纳米</t>
  </si>
  <si>
    <t>www.lixinger.com/analytics/company/sz/300769/300769/detail</t>
  </si>
  <si>
    <t>洛阳钼业</t>
  </si>
  <si>
    <t>www.lixinger.com/analytics/company/sh/603993/603993/detail</t>
  </si>
  <si>
    <t>烽火通信</t>
  </si>
  <si>
    <t>www.lixinger.com/analytics/company/sh/600498/600498/detail</t>
  </si>
  <si>
    <t>动力新科</t>
  </si>
  <si>
    <t>www.lixinger.com/analytics/company/sh/600841/600841/detail</t>
  </si>
  <si>
    <t>电气风电</t>
  </si>
  <si>
    <t>www.lixinger.com/analytics/company/sh/688660/688660/detail</t>
  </si>
  <si>
    <t>西部建设</t>
  </si>
  <si>
    <t>www.lixinger.com/analytics/company/sz/002302/2302/detail</t>
  </si>
  <si>
    <t>华锦股份</t>
  </si>
  <si>
    <t>www.lixinger.com/analytics/company/sz/000059/59/detail</t>
  </si>
  <si>
    <t>金发科技</t>
  </si>
  <si>
    <t>www.lixinger.com/analytics/company/sh/600143/600143/detail</t>
  </si>
  <si>
    <t>正泰电器</t>
  </si>
  <si>
    <t>www.lixinger.com/analytics/company/sh/601877/601877/detail</t>
  </si>
  <si>
    <t>大华股份</t>
  </si>
  <si>
    <t>www.lixinger.com/analytics/company/sz/002236/2236/detail</t>
  </si>
  <si>
    <t>经纬纺机</t>
  </si>
  <si>
    <t>www.lixinger.com/analytics/company/sz/000666/666/detail</t>
  </si>
  <si>
    <t>中海油服</t>
  </si>
  <si>
    <t>www.lixinger.com/analytics/company/sh/601808/601808/detail</t>
  </si>
  <si>
    <t>一汽解放</t>
  </si>
  <si>
    <t>www.lixinger.com/analytics/company/sz/000800/800/detail</t>
  </si>
  <si>
    <t>九州通</t>
  </si>
  <si>
    <t>www.lixinger.com/analytics/company/sh/600998/600998/detail</t>
  </si>
  <si>
    <t>中铝国际</t>
  </si>
  <si>
    <t>www.lixinger.com/analytics/company/sh/601068/601068/detail</t>
  </si>
  <si>
    <t>南方航空</t>
  </si>
  <si>
    <t>www.lixinger.com/analytics/company/sh/600029/600029/detail</t>
  </si>
  <si>
    <t>红塔证券</t>
  </si>
  <si>
    <t>www.lixinger.com/analytics/company/sh/601236/601236/detail</t>
  </si>
  <si>
    <t>海大集团</t>
  </si>
  <si>
    <t>www.lixinger.com/analytics/company/sz/002311/2311/detail</t>
  </si>
  <si>
    <t>安道麦B</t>
  </si>
  <si>
    <t>www.lixinger.com/analytics/company/sz/200553/200553/detail</t>
  </si>
  <si>
    <t>江铃汽车</t>
  </si>
  <si>
    <t>www.lixinger.com/analytics/company/sz/000550/550/detail</t>
  </si>
  <si>
    <t>国轩高科</t>
  </si>
  <si>
    <t>www.lixinger.com/analytics/company/sz/002074/2074/detail</t>
  </si>
  <si>
    <t>格林美</t>
  </si>
  <si>
    <t>www.lixinger.com/analytics/company/sz/002340/2340/detail</t>
  </si>
  <si>
    <t>上海医药</t>
  </si>
  <si>
    <t>www.lixinger.com/analytics/company/sh/601607/601607/detail</t>
  </si>
  <si>
    <t>中国铁物</t>
  </si>
  <si>
    <t>www.lixinger.com/analytics/company/sz/000927/927/detail</t>
  </si>
  <si>
    <t>中国重工</t>
  </si>
  <si>
    <t>www.lixinger.com/analytics/company/sh/601989/601989/detail</t>
  </si>
  <si>
    <t>中环股份</t>
  </si>
  <si>
    <t>www.lixinger.com/analytics/company/sz/002129/2129/detail</t>
  </si>
  <si>
    <t>洋河股份</t>
  </si>
  <si>
    <t>www.lixinger.com/analytics/company/sz/002304/2304/detail</t>
  </si>
  <si>
    <t>华友钴业</t>
  </si>
  <si>
    <t>www.lixinger.com/analytics/company/sh/603799/603799/detail</t>
  </si>
  <si>
    <t>天能股份</t>
  </si>
  <si>
    <t>www.lixinger.com/analytics/company/sh/688819/688819/detail</t>
  </si>
  <si>
    <t>中化国际</t>
  </si>
  <si>
    <t>www.lixinger.com/analytics/company/sh/600500/600500/detail</t>
  </si>
  <si>
    <t>重药控股</t>
  </si>
  <si>
    <t>www.lixinger.com/analytics/company/sz/000950/950/detail</t>
  </si>
  <si>
    <t>立讯精密</t>
  </si>
  <si>
    <t>www.lixinger.com/analytics/company/sz/002475/2475/detail</t>
  </si>
  <si>
    <t>五矿发展</t>
  </si>
  <si>
    <t>www.lixinger.com/analytics/company/sh/600058/600058/detail</t>
  </si>
  <si>
    <t>招商银行</t>
  </si>
  <si>
    <t>www.lixinger.com/analytics/company/sh/600036/600036/detail</t>
  </si>
  <si>
    <t>浙江交科</t>
  </si>
  <si>
    <t>www.lixinger.com/analytics/company/sz/002061/2061/detail</t>
  </si>
  <si>
    <t>隧道股份</t>
  </si>
  <si>
    <t>www.lixinger.com/analytics/company/sh/600820/600820/detail</t>
  </si>
  <si>
    <t>四川路桥</t>
  </si>
  <si>
    <t>www.lixinger.com/analytics/company/sh/600039/600039/detail</t>
  </si>
  <si>
    <t>首开股份</t>
  </si>
  <si>
    <t>www.lixinger.com/analytics/company/sh/600376/600376/detail</t>
  </si>
  <si>
    <t>三峡能源</t>
  </si>
  <si>
    <t>www.lixinger.com/analytics/company/sh/600905/600905/detail</t>
  </si>
  <si>
    <t>海螺水泥</t>
  </si>
  <si>
    <t>www.lixinger.com/analytics/company/sh/600585/600585/detail</t>
  </si>
  <si>
    <t>晶澳科技</t>
  </si>
  <si>
    <t>www.lixinger.com/analytics/company/sz/002459/2459/detail</t>
  </si>
  <si>
    <t>西部证券</t>
  </si>
  <si>
    <t>www.lixinger.com/analytics/company/sz/002673/2673/detail</t>
  </si>
  <si>
    <t>江铃Ｂ</t>
  </si>
  <si>
    <t>www.lixinger.com/analytics/company/sz/200550/200550/detail</t>
  </si>
  <si>
    <t>东方电气</t>
  </si>
  <si>
    <t>www.lixinger.com/analytics/company/sh/600875/600875/detail</t>
  </si>
  <si>
    <t>陆家嘴</t>
  </si>
  <si>
    <t>www.lixinger.com/analytics/company/sh/600663/600663/detail</t>
  </si>
  <si>
    <t>首创环保</t>
  </si>
  <si>
    <t>www.lixinger.com/analytics/company/sh/600008/600008/detail</t>
  </si>
  <si>
    <t>智飞生物</t>
  </si>
  <si>
    <t>www.lixinger.com/analytics/company/sz/300122/300122/detail</t>
  </si>
  <si>
    <t>*ST海航</t>
  </si>
  <si>
    <t>www.lixinger.com/analytics/company/sh/600221/600221/detail</t>
  </si>
  <si>
    <t>五粮液</t>
  </si>
  <si>
    <t>www.lixinger.com/analytics/company/sz/000858/858/detail</t>
  </si>
  <si>
    <t>京投发展</t>
  </si>
  <si>
    <t>www.lixinger.com/analytics/company/sh/600683/600683/detail</t>
  </si>
  <si>
    <t>新凤鸣</t>
  </si>
  <si>
    <t>www.lixinger.com/analytics/company/sh/603225/603225/detail</t>
  </si>
  <si>
    <t>金田铜业</t>
  </si>
  <si>
    <t>www.lixinger.com/analytics/company/sh/601609/601609/detail</t>
  </si>
  <si>
    <t>航发动力</t>
  </si>
  <si>
    <t>www.lixinger.com/analytics/company/sh/600893/600893/detail</t>
  </si>
  <si>
    <t>中航西飞</t>
  </si>
  <si>
    <t>www.lixinger.com/analytics/company/sz/000768/768/detail</t>
  </si>
  <si>
    <t>中伟股份</t>
  </si>
  <si>
    <t>www.lixinger.com/analytics/company/sz/300919/300919/detail</t>
  </si>
  <si>
    <t>安徽建工</t>
  </si>
  <si>
    <t>www.lixinger.com/analytics/company/sh/600502/600502/detail</t>
  </si>
  <si>
    <t>天茂集团</t>
  </si>
  <si>
    <t>www.lixinger.com/analytics/company/sz/000627/627/detail</t>
  </si>
  <si>
    <t>四川长虹</t>
  </si>
  <si>
    <t>www.lixinger.com/analytics/company/sh/600839/600839/detail</t>
  </si>
  <si>
    <t>宁德时代</t>
  </si>
  <si>
    <t>www.lixinger.com/analytics/company/sz/300750/300750/detail</t>
  </si>
  <si>
    <t>浙江建投</t>
  </si>
  <si>
    <t>www.lixinger.com/analytics/company/sz/002761/2761/detail</t>
  </si>
  <si>
    <t>招商蛇口</t>
  </si>
  <si>
    <t>www.lixinger.com/analytics/company/sz/001979/1979/detail</t>
  </si>
  <si>
    <t>海康威视</t>
  </si>
  <si>
    <t>www.lixinger.com/analytics/company/sz/002415/2415/detail</t>
  </si>
  <si>
    <t>天山股份</t>
  </si>
  <si>
    <t>www.lixinger.com/analytics/company/sz/000877/877/detail</t>
  </si>
  <si>
    <t>新奥股份</t>
  </si>
  <si>
    <t>www.lixinger.com/analytics/company/sh/600803/600803/detail</t>
  </si>
  <si>
    <t>苏州高新</t>
  </si>
  <si>
    <t>www.lixinger.com/analytics/company/sh/600736/600736/detail</t>
  </si>
  <si>
    <t>广汽集团</t>
  </si>
  <si>
    <t>www.lixinger.com/analytics/company/sh/601238/601238/detail</t>
  </si>
  <si>
    <t>新希望</t>
  </si>
  <si>
    <t>www.lixinger.com/analytics/company/sz/000876/876/detail</t>
  </si>
  <si>
    <t>恒逸石化</t>
  </si>
  <si>
    <t>www.lixinger.com/analytics/company/sz/000703/703/detail</t>
  </si>
  <si>
    <t>国联证券</t>
  </si>
  <si>
    <t>www.lixinger.com/analytics/company/sh/601456/601456/detail</t>
  </si>
  <si>
    <t>青农商行</t>
  </si>
  <si>
    <t>www.lixinger.com/analytics/company/sz/002958/2958/detail</t>
  </si>
  <si>
    <t>中国东航</t>
  </si>
  <si>
    <t>www.lixinger.com/analytics/company/sh/600115/600115/detail</t>
  </si>
  <si>
    <t>长沙银行</t>
  </si>
  <si>
    <t>www.lixinger.com/analytics/company/sh/601577/601577/detail</t>
  </si>
  <si>
    <t>明阳智能</t>
  </si>
  <si>
    <t>www.lixinger.com/analytics/company/sh/601615/601615/detail</t>
  </si>
  <si>
    <t>金风科技</t>
  </si>
  <si>
    <t>www.lixinger.com/analytics/company/sz/002202/2202/detail</t>
  </si>
  <si>
    <t>牧原股份</t>
  </si>
  <si>
    <t>www.lixinger.com/analytics/company/sz/002714/2714/detail</t>
  </si>
  <si>
    <t>潍柴动力</t>
  </si>
  <si>
    <t>www.lixinger.com/analytics/company/sz/000338/338/detail</t>
  </si>
  <si>
    <t>东方盛虹</t>
  </si>
  <si>
    <t>www.lixinger.com/analytics/company/sz/000301/301/detail</t>
  </si>
  <si>
    <t>东方雨虹</t>
  </si>
  <si>
    <t>www.lixinger.com/analytics/company/sz/002271/2271/detail</t>
  </si>
  <si>
    <t>桐昆股份</t>
  </si>
  <si>
    <t>www.lixinger.com/analytics/company/sh/601233/601233/detail</t>
  </si>
  <si>
    <t>TCL科技</t>
  </si>
  <si>
    <t>www.lixinger.com/analytics/company/sz/000100/100/detail</t>
  </si>
  <si>
    <t>中国化学</t>
  </si>
  <si>
    <t>www.lixinger.com/analytics/company/sh/601117/601117/detail</t>
  </si>
  <si>
    <t>贵阳银行</t>
  </si>
  <si>
    <t>www.lixinger.com/analytics/company/sh/601997/601997/detail</t>
  </si>
  <si>
    <t>贵州茅台</t>
  </si>
  <si>
    <t>www.lixinger.com/analytics/company/sh/600519/600519/detail</t>
  </si>
  <si>
    <t>中国国航</t>
  </si>
  <si>
    <t>www.lixinger.com/analytics/company/sh/601111/601111/detail</t>
  </si>
  <si>
    <t>广汇汽车</t>
  </si>
  <si>
    <t>www.lixinger.com/analytics/company/sh/600297/600297/detail</t>
  </si>
  <si>
    <t>浙商中拓</t>
  </si>
  <si>
    <t>www.lixinger.com/analytics/company/sz/000906/906/detail</t>
  </si>
  <si>
    <t>中国中车</t>
  </si>
  <si>
    <t>www.lixinger.com/analytics/company/sh/601766/601766/detail</t>
  </si>
  <si>
    <t>上海电气</t>
  </si>
  <si>
    <t>www.lixinger.com/analytics/company/sh/601727/601727/detail</t>
  </si>
  <si>
    <t>国信证券</t>
  </si>
  <si>
    <t>www.lixinger.com/analytics/company/sz/002736/2736/detail</t>
  </si>
  <si>
    <t>中油工程</t>
  </si>
  <si>
    <t>www.lixinger.com/analytics/company/sh/600339/600339/detail</t>
  </si>
  <si>
    <t>滨江集团</t>
  </si>
  <si>
    <t>www.lixinger.com/analytics/company/sz/002244/2244/detail</t>
  </si>
  <si>
    <t>广宇发展</t>
  </si>
  <si>
    <t>www.lixinger.com/analytics/company/sz/000537/537/detail</t>
  </si>
  <si>
    <t>中国核建</t>
  </si>
  <si>
    <t>www.lixinger.com/analytics/company/sh/601611/601611/detail</t>
  </si>
  <si>
    <t>中油资本</t>
  </si>
  <si>
    <t>www.lixinger.com/analytics/company/sz/000617/617/detail</t>
  </si>
  <si>
    <t>上汽集团</t>
  </si>
  <si>
    <t>www.lixinger.com/analytics/company/sh/600104/600104/detail</t>
  </si>
  <si>
    <t>华侨城Ａ</t>
  </si>
  <si>
    <t>www.lixinger.com/analytics/company/sz/000069/69/detail</t>
  </si>
  <si>
    <t>南京银行</t>
  </si>
  <si>
    <t>www.lixinger.com/analytics/company/sh/601009/601009/detail</t>
  </si>
  <si>
    <t>万科Ａ</t>
  </si>
  <si>
    <t>www.lixinger.com/analytics/company/sz/000002/2/detail</t>
  </si>
  <si>
    <t>中国中冶</t>
  </si>
  <si>
    <t>www.lixinger.com/analytics/company/sh/601618/601618/detail</t>
  </si>
  <si>
    <t>长城汽车</t>
  </si>
  <si>
    <t>www.lixinger.com/analytics/company/sh/601633/601633/detail</t>
  </si>
  <si>
    <t>浪潮信息</t>
  </si>
  <si>
    <t>www.lixinger.com/analytics/company/sz/000977/977/detail</t>
  </si>
  <si>
    <t>青岛银行</t>
  </si>
  <si>
    <t>www.lixinger.com/analytics/company/sz/002948/2948/detail</t>
  </si>
  <si>
    <t>中国能建</t>
  </si>
  <si>
    <t>www.lixinger.com/analytics/company/sh/601868/601868/detail</t>
  </si>
  <si>
    <t>杭州银行</t>
  </si>
  <si>
    <t>www.lixinger.com/analytics/company/sh/600926/600926/detail</t>
  </si>
  <si>
    <t>郑州银行</t>
  </si>
  <si>
    <t>www.lixinger.com/analytics/company/sz/002936/2936/detail</t>
  </si>
  <si>
    <t>物产中大</t>
  </si>
  <si>
    <t>www.lixinger.com/analytics/company/sh/600704/600704/detail</t>
  </si>
  <si>
    <t>厦门象屿</t>
  </si>
  <si>
    <t>www.lixinger.com/analytics/company/sh/600057/600057/detail</t>
  </si>
  <si>
    <t>上海建工</t>
  </si>
  <si>
    <t>www.lixinger.com/analytics/company/sh/600170/600170/detail</t>
  </si>
  <si>
    <t>重庆银行</t>
  </si>
  <si>
    <t>www.lixinger.com/analytics/company/sh/601963/601963/detail</t>
  </si>
  <si>
    <t>厦门国贸</t>
  </si>
  <si>
    <t>www.lixinger.com/analytics/company/sh/600755/600755/detail</t>
  </si>
  <si>
    <t>中国电建</t>
  </si>
  <si>
    <t>www.lixinger.com/analytics/company/sh/601669/601669/detail</t>
  </si>
  <si>
    <t>建发股份</t>
  </si>
  <si>
    <t>www.lixinger.com/analytics/company/sh/600153/600153/detail</t>
  </si>
  <si>
    <t>保利发展</t>
  </si>
  <si>
    <t>www.lixinger.com/analytics/company/sh/600048/600048/detail</t>
  </si>
  <si>
    <t>中国交建</t>
  </si>
  <si>
    <t>www.lixinger.com/analytics/company/sh/601800/601800/detail</t>
  </si>
  <si>
    <t>中国铁建</t>
  </si>
  <si>
    <t>www.lixinger.com/analytics/company/sh/601186/601186/detail</t>
  </si>
  <si>
    <t>中国中铁</t>
  </si>
  <si>
    <t>www.lixinger.com/analytics/company/sh/601390/601390/detail</t>
  </si>
  <si>
    <t>中航产融</t>
  </si>
  <si>
    <t>www.lixinger.com/analytics/company/sh/600705/600705/detail</t>
  </si>
  <si>
    <t>中国石化</t>
  </si>
  <si>
    <t>www.lixinger.com/analytics/company/sh/600028/600028/detail</t>
  </si>
  <si>
    <t>中国建筑</t>
  </si>
  <si>
    <t>www.lixinger.com/analytics/company/sh/601668/601668/detail</t>
  </si>
  <si>
    <t>光大银行</t>
  </si>
  <si>
    <t>www.lixinger.com/analytics/company/sh/601818/601818/detail</t>
  </si>
  <si>
    <t>兴业银行</t>
  </si>
  <si>
    <t>www.lixinger.com/analytics/company/sh/601166/601166/detail</t>
  </si>
  <si>
    <t>浦发银行</t>
  </si>
  <si>
    <t>www.lixinger.com/analytics/company/sh/600000/600000/detail</t>
  </si>
  <si>
    <t>中国银行</t>
  </si>
  <si>
    <t>www.lixinger.com/analytics/company/sh/601988/601988/detail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</si>
  <si>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</si>
  <si>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</si>
  <si>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</si>
  <si>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</si>
  <si>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</si>
  <si>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</si>
  <si>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</si>
  <si>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</si>
  <si>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</si>
  <si>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</si>
  <si>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</si>
  <si>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</si>
  <si>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</si>
  <si>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</si>
  <si>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</si>
  <si>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</si>
  <si>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</si>
  <si>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</si>
  <si>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</si>
  <si>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</si>
  <si>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</si>
  <si>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</si>
  <si>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</si>
  <si>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</si>
  <si>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</si>
  <si>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</si>
  <si>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</si>
  <si>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</si>
  <si>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</si>
  <si>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</si>
  <si>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</si>
  <si>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</si>
  <si>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</si>
  <si>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</si>
  <si>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</si>
  <si>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</si>
  <si>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营口港</t>
  </si>
  <si>
    <t>www.lixinger.com/analytics/company/sh/600317/600317/detail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</si>
  <si>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</si>
  <si>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</si>
  <si>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</si>
  <si>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</si>
  <si>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</si>
  <si>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</si>
  <si>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</si>
  <si>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</si>
  <si>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</si>
  <si>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</si>
  <si>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</si>
  <si>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</si>
  <si>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</si>
  <si>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</si>
  <si>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</si>
  <si>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</si>
  <si>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</si>
  <si>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</si>
  <si>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</si>
  <si>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</si>
  <si>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</si>
  <si>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</si>
  <si>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</si>
  <si>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</si>
  <si>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</si>
  <si>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</si>
  <si>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</si>
  <si>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</si>
  <si>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</si>
  <si>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</si>
  <si>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</si>
  <si>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</si>
  <si>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</si>
  <si>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</si>
  <si>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</si>
  <si>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</si>
  <si>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</si>
  <si>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</si>
  <si>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</si>
  <si>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</si>
  <si>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</si>
  <si>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</si>
  <si>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</si>
  <si>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</si>
  <si>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</si>
  <si>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</si>
  <si>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</si>
  <si>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</si>
  <si>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</si>
  <si>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</si>
  <si>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</si>
  <si>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</si>
  <si>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</si>
  <si>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</si>
  <si>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</si>
  <si>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</si>
  <si>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</si>
  <si>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</si>
  <si>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</si>
  <si>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*ST宜生</t>
  </si>
  <si>
    <t>www.lixinger.com/analytics/company/sh/600978/600978/detail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</si>
  <si>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</si>
  <si>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</si>
  <si>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</si>
  <si>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</si>
  <si>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</si>
  <si>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</si>
  <si>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</si>
  <si>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</si>
  <si>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思特威</t>
  </si>
  <si>
    <t>www.lixinger.com/analytics/company/sh/688213/688213/detail</t>
  </si>
  <si>
    <t>中芯国际</t>
  </si>
  <si>
    <t>www.lixinger.com/analytics/company/sh/688981/688981/detail</t>
  </si>
  <si>
    <t>退市鹏B</t>
  </si>
  <si>
    <t>www.lixinger.com/analytics/company/sh/900907/900907/detail</t>
  </si>
  <si>
    <t>凤凰B股</t>
  </si>
  <si>
    <t>www.lixinger.com/analytics/company/sh/900916/900916/detail</t>
  </si>
  <si>
    <t>*ST沪普B</t>
  </si>
  <si>
    <t>www.lixinger.com/analytics/company/sh/900930/900930/detail</t>
  </si>
  <si>
    <t>PT水仙Ｂ</t>
  </si>
  <si>
    <t>www.lixinger.com/analytics/company/sh/900931/900931/detail</t>
  </si>
  <si>
    <t>华新Ｂ股</t>
  </si>
  <si>
    <t>www.lixinger.com/analytics/company/sh/900933/900933/detail</t>
  </si>
  <si>
    <t>阳晨Ｂ股</t>
  </si>
  <si>
    <t>www.lixinger.com/analytics/company/sh/900935/900935/detail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</si>
  <si>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</si>
  <si>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</si>
  <si>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</si>
  <si>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</si>
  <si>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</si>
  <si>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</si>
  <si>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</si>
  <si>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</si>
  <si>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</si>
  <si>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</si>
  <si>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</si>
  <si>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</si>
  <si>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</si>
  <si>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</si>
  <si>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</si>
  <si>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</si>
  <si>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</si>
  <si>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</si>
  <si>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</si>
  <si>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</si>
  <si>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</si>
  <si>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</si>
  <si>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</si>
  <si>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</si>
  <si>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</si>
  <si>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</si>
  <si>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</si>
  <si>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</si>
  <si>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</si>
  <si>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</si>
  <si>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</si>
  <si>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</si>
  <si>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</si>
  <si>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</si>
  <si>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</si>
  <si>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</si>
  <si>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</si>
  <si>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</si>
  <si>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</si>
  <si>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</si>
  <si>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</si>
  <si>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</si>
  <si>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</si>
  <si>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</si>
  <si>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</si>
  <si>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</si>
  <si>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</si>
  <si>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</si>
  <si>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</si>
  <si>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</si>
  <si>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</si>
  <si>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</si>
  <si>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</si>
  <si>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</si>
  <si>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</si>
  <si>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</si>
  <si>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</si>
  <si>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</si>
  <si>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*ST环保</t>
  </si>
  <si>
    <t>www.lixinger.com/analytics/company/sz/000730/730/detail</t>
  </si>
  <si>
    <t>长城信息</t>
  </si>
  <si>
    <t>www.lixinger.com/analytics/company/sz/000748/748/detail</t>
  </si>
  <si>
    <t>斯太退</t>
  </si>
  <si>
    <t>www.lixinger.com/analytics/company/sz/000760/760/detail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</si>
  <si>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</si>
  <si>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</si>
  <si>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</si>
  <si>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</si>
  <si>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</si>
  <si>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</si>
  <si>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</si>
  <si>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</si>
  <si>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</si>
  <si>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</si>
  <si>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</si>
  <si>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</si>
  <si>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</si>
  <si>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</si>
  <si>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</si>
  <si>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</si>
  <si>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</si>
  <si>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</si>
  <si>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</si>
  <si>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</si>
  <si>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</si>
  <si>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</si>
  <si>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</si>
  <si>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</si>
  <si>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</si>
  <si>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</si>
  <si>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</si>
  <si>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</si>
  <si>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</si>
  <si>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</si>
  <si>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</si>
  <si>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</si>
  <si>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</si>
  <si>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</si>
  <si>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</si>
  <si>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</si>
  <si>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</si>
  <si>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</si>
  <si>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</si>
  <si>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</si>
  <si>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</si>
  <si>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</si>
  <si>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</si>
  <si>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</si>
  <si>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</si>
  <si>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</si>
  <si>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</si>
  <si>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</si>
  <si>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长生退</t>
  </si>
  <si>
    <t>www.lixinger.com/analytics/company/sz/002680/2680/detail</t>
  </si>
  <si>
    <t>欧浦退</t>
  </si>
  <si>
    <t>www.lixinger.com/analytics/company/sz/002711/2711/detail</t>
  </si>
  <si>
    <t>ST柏龙</t>
  </si>
  <si>
    <t>www.lixinger.com/analytics/company/sz/002776/2776/detail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</si>
  <si>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</si>
  <si>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</si>
  <si>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</si>
  <si>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</si>
  <si>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</si>
  <si>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</si>
  <si>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</si>
  <si>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</si>
  <si>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</si>
  <si>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</si>
  <si>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中集Ｂ</t>
  </si>
  <si>
    <t>www.lixinger.com/analytics/company/sz/200039/200039/detail</t>
  </si>
  <si>
    <t>深基地Ｂ</t>
  </si>
  <si>
    <t>www.lixinger.com/analytics/company/sz/200053/200053/detail</t>
  </si>
  <si>
    <t>东沣B退</t>
  </si>
  <si>
    <t>www.lixinger.com/analytics/company/sz/200160/200160/detail</t>
  </si>
  <si>
    <t>*ST舜喆B</t>
  </si>
  <si>
    <t>www.lixinger.com/analytics/company/sz/200168/200168/detail</t>
  </si>
  <si>
    <t>小天鹅Ｂ</t>
  </si>
  <si>
    <t>www.lixinger.com/analytics/company/sz/200418/200418/detail</t>
  </si>
  <si>
    <t>丽珠Ｂ</t>
  </si>
  <si>
    <t>www.lixinger.com/analytics/company/sz/200513/200513/detail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</si>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</sst>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"601398"</f>
        <v>601398</v>
      </c>
      <c r="C2" t="s">
        <v>18</v>
      </c>
      <c r="D2" t="s">
        <v>19</v>
      </c>
      <c r="E2">
        <v>1205455000000</v>
      </c>
      <c r="F2">
        <v>613283000000</v>
      </c>
      <c r="G2">
        <v>1947986000000</v>
      </c>
      <c r="H2">
        <v>1043547000000</v>
      </c>
      <c r="I2">
        <v>61466000000</v>
      </c>
      <c r="J2">
        <v>108975000000</v>
      </c>
      <c r="K2">
        <v>195765000000</v>
      </c>
      <c r="L2">
        <v>515361000000</v>
      </c>
      <c r="M2">
        <v>241047000000</v>
      </c>
      <c r="N2">
        <v>318528000000</v>
      </c>
      <c r="O2">
        <v>399265000000</v>
      </c>
      <c r="P2">
        <v>20386</v>
      </c>
      <c r="Q2" t="s">
        <v>20</v>
      </c>
    </row>
    <row r="3" spans="1:17" x14ac:dyDescent="0.3">
      <c r="A3" t="s">
        <v>17</v>
      </c>
      <c r="B3" t="str">
        <f>"601939"</f>
        <v>601939</v>
      </c>
      <c r="C3" t="s">
        <v>21</v>
      </c>
      <c r="D3" t="s">
        <v>19</v>
      </c>
      <c r="E3">
        <v>474185000000</v>
      </c>
      <c r="F3">
        <v>251995000000</v>
      </c>
      <c r="G3">
        <v>492865000000</v>
      </c>
      <c r="H3">
        <v>278568000000</v>
      </c>
      <c r="I3">
        <v>345850000000</v>
      </c>
      <c r="J3">
        <v>260530000000</v>
      </c>
      <c r="K3">
        <v>358453000000</v>
      </c>
      <c r="L3">
        <v>268019000000</v>
      </c>
      <c r="M3">
        <v>253988000000</v>
      </c>
      <c r="N3">
        <v>-139022000000</v>
      </c>
      <c r="O3">
        <v>242107000000</v>
      </c>
      <c r="P3">
        <v>19332</v>
      </c>
      <c r="Q3" t="s">
        <v>22</v>
      </c>
    </row>
    <row r="4" spans="1:17" x14ac:dyDescent="0.3">
      <c r="A4" t="s">
        <v>17</v>
      </c>
      <c r="B4" t="str">
        <f>"601288"</f>
        <v>601288</v>
      </c>
      <c r="C4" t="s">
        <v>23</v>
      </c>
      <c r="D4" t="s">
        <v>19</v>
      </c>
      <c r="E4">
        <v>365336000000</v>
      </c>
      <c r="F4">
        <v>381179000000</v>
      </c>
      <c r="G4">
        <v>261564000000</v>
      </c>
      <c r="H4">
        <v>263606000000</v>
      </c>
      <c r="I4">
        <v>-122390000000</v>
      </c>
      <c r="J4">
        <v>291784000000</v>
      </c>
      <c r="K4">
        <v>188749000000</v>
      </c>
      <c r="L4">
        <v>382038000000</v>
      </c>
      <c r="M4">
        <v>167247000000</v>
      </c>
      <c r="N4">
        <v>199704000000</v>
      </c>
      <c r="O4">
        <v>437231000000</v>
      </c>
      <c r="P4">
        <v>9499</v>
      </c>
      <c r="Q4" t="s">
        <v>24</v>
      </c>
    </row>
    <row r="5" spans="1:17" x14ac:dyDescent="0.3">
      <c r="A5" t="s">
        <v>17</v>
      </c>
      <c r="B5" t="str">
        <f>"601318"</f>
        <v>601318</v>
      </c>
      <c r="C5" t="s">
        <v>25</v>
      </c>
      <c r="D5" t="s">
        <v>26</v>
      </c>
      <c r="E5">
        <v>245599000000</v>
      </c>
      <c r="F5">
        <v>60303000000</v>
      </c>
      <c r="G5">
        <v>126995000000</v>
      </c>
      <c r="H5">
        <v>159905000000</v>
      </c>
      <c r="I5">
        <v>138563000000</v>
      </c>
      <c r="J5">
        <v>-44424000000</v>
      </c>
      <c r="K5">
        <v>116557000000</v>
      </c>
      <c r="L5">
        <v>58404000000</v>
      </c>
      <c r="M5">
        <v>104810000000</v>
      </c>
      <c r="N5">
        <v>59881000000</v>
      </c>
      <c r="O5">
        <v>108615000000</v>
      </c>
      <c r="P5">
        <v>27843</v>
      </c>
      <c r="Q5" t="s">
        <v>27</v>
      </c>
    </row>
    <row r="6" spans="1:17" x14ac:dyDescent="0.3">
      <c r="A6" t="s">
        <v>17</v>
      </c>
      <c r="B6" t="str">
        <f>"601628"</f>
        <v>601628</v>
      </c>
      <c r="C6" t="s">
        <v>28</v>
      </c>
      <c r="D6" t="s">
        <v>26</v>
      </c>
      <c r="E6">
        <v>173833000000</v>
      </c>
      <c r="F6">
        <v>163497000000</v>
      </c>
      <c r="G6">
        <v>123573000000</v>
      </c>
      <c r="H6">
        <v>109957000000</v>
      </c>
      <c r="I6">
        <v>20451000000</v>
      </c>
      <c r="J6">
        <v>103986000000</v>
      </c>
      <c r="K6">
        <v>-368000000</v>
      </c>
      <c r="L6">
        <v>-302000000</v>
      </c>
      <c r="M6">
        <v>49186000000</v>
      </c>
      <c r="N6">
        <v>18409000000</v>
      </c>
      <c r="O6">
        <v>31190000000</v>
      </c>
      <c r="P6">
        <v>1729</v>
      </c>
      <c r="Q6" t="s">
        <v>29</v>
      </c>
    </row>
    <row r="7" spans="1:17" x14ac:dyDescent="0.3">
      <c r="A7" t="s">
        <v>17</v>
      </c>
      <c r="B7" t="str">
        <f>"600919"</f>
        <v>600919</v>
      </c>
      <c r="C7" t="s">
        <v>30</v>
      </c>
      <c r="D7" t="s">
        <v>19</v>
      </c>
      <c r="E7">
        <v>153541673000</v>
      </c>
      <c r="F7">
        <v>86636888000</v>
      </c>
      <c r="G7">
        <v>54393837000</v>
      </c>
      <c r="H7">
        <v>23947329000</v>
      </c>
      <c r="I7">
        <v>-19610837000</v>
      </c>
      <c r="J7">
        <v>-28658103000</v>
      </c>
      <c r="K7">
        <v>30758114000</v>
      </c>
      <c r="P7">
        <v>1465</v>
      </c>
      <c r="Q7" t="s">
        <v>31</v>
      </c>
    </row>
    <row r="8" spans="1:17" x14ac:dyDescent="0.3">
      <c r="A8" t="s">
        <v>32</v>
      </c>
      <c r="B8" t="str">
        <f>"002142"</f>
        <v>002142</v>
      </c>
      <c r="C8" t="s">
        <v>33</v>
      </c>
      <c r="D8" t="s">
        <v>19</v>
      </c>
      <c r="E8">
        <v>150742000000</v>
      </c>
      <c r="F8">
        <v>7593000000</v>
      </c>
      <c r="G8">
        <v>59343668000</v>
      </c>
      <c r="H8">
        <v>-39120056000</v>
      </c>
      <c r="I8">
        <v>-969045000</v>
      </c>
      <c r="J8">
        <v>11546534000</v>
      </c>
      <c r="K8">
        <v>81077855000</v>
      </c>
      <c r="L8">
        <v>450112000</v>
      </c>
      <c r="M8">
        <v>26757170000</v>
      </c>
      <c r="N8">
        <v>34149872000</v>
      </c>
      <c r="O8">
        <v>-8992250000</v>
      </c>
      <c r="P8">
        <v>59330</v>
      </c>
      <c r="Q8" t="s">
        <v>34</v>
      </c>
    </row>
    <row r="9" spans="1:17" x14ac:dyDescent="0.3">
      <c r="A9" t="s">
        <v>32</v>
      </c>
      <c r="B9" t="str">
        <f>"000001"</f>
        <v>000001</v>
      </c>
      <c r="C9" t="s">
        <v>35</v>
      </c>
      <c r="D9" t="s">
        <v>19</v>
      </c>
      <c r="E9">
        <v>147002000000</v>
      </c>
      <c r="F9">
        <v>-15088000000</v>
      </c>
      <c r="G9">
        <v>17842000000</v>
      </c>
      <c r="H9">
        <v>53013000000</v>
      </c>
      <c r="I9">
        <v>41415000000</v>
      </c>
      <c r="J9">
        <v>-115133000000</v>
      </c>
      <c r="K9">
        <v>59032000000</v>
      </c>
      <c r="L9">
        <v>10244000000</v>
      </c>
      <c r="M9">
        <v>58866000000</v>
      </c>
      <c r="N9">
        <v>14070000000</v>
      </c>
      <c r="O9">
        <v>76782369000</v>
      </c>
      <c r="P9">
        <v>6180</v>
      </c>
      <c r="Q9" t="s">
        <v>36</v>
      </c>
    </row>
    <row r="10" spans="1:17" x14ac:dyDescent="0.3">
      <c r="A10" t="s">
        <v>17</v>
      </c>
      <c r="B10" t="str">
        <f>"600016"</f>
        <v>600016</v>
      </c>
      <c r="C10" t="s">
        <v>37</v>
      </c>
      <c r="D10" t="s">
        <v>19</v>
      </c>
      <c r="E10">
        <v>142003000000</v>
      </c>
      <c r="F10">
        <v>59672000000</v>
      </c>
      <c r="G10">
        <v>131178000000</v>
      </c>
      <c r="H10">
        <v>77536000000</v>
      </c>
      <c r="I10">
        <v>-123924000000</v>
      </c>
      <c r="J10">
        <v>-46595000000</v>
      </c>
      <c r="K10">
        <v>175394000000</v>
      </c>
      <c r="L10">
        <v>63164000000</v>
      </c>
      <c r="M10">
        <v>48177000000</v>
      </c>
      <c r="N10">
        <v>20903000000</v>
      </c>
      <c r="O10">
        <v>-43670000000</v>
      </c>
      <c r="P10">
        <v>20731</v>
      </c>
      <c r="Q10" t="s">
        <v>38</v>
      </c>
    </row>
    <row r="11" spans="1:17" x14ac:dyDescent="0.3">
      <c r="A11" t="s">
        <v>17</v>
      </c>
      <c r="B11" t="str">
        <f>"601658"</f>
        <v>601658</v>
      </c>
      <c r="C11" t="s">
        <v>39</v>
      </c>
      <c r="D11" t="s">
        <v>19</v>
      </c>
      <c r="E11">
        <v>141286000000</v>
      </c>
      <c r="F11">
        <v>111515000000</v>
      </c>
      <c r="G11">
        <v>84984000000</v>
      </c>
      <c r="H11">
        <v>346421000000</v>
      </c>
      <c r="I11">
        <v>-238941000000</v>
      </c>
      <c r="J11">
        <v>-135539000000</v>
      </c>
      <c r="P11">
        <v>1192</v>
      </c>
      <c r="Q11" t="s">
        <v>40</v>
      </c>
    </row>
    <row r="12" spans="1:17" x14ac:dyDescent="0.3">
      <c r="A12" t="s">
        <v>17</v>
      </c>
      <c r="B12" t="str">
        <f>"601328"</f>
        <v>601328</v>
      </c>
      <c r="C12" t="s">
        <v>41</v>
      </c>
      <c r="D12" t="s">
        <v>19</v>
      </c>
      <c r="E12">
        <v>98839000000</v>
      </c>
      <c r="F12">
        <v>-83592000000</v>
      </c>
      <c r="G12">
        <v>142114000000</v>
      </c>
      <c r="H12">
        <v>-15857000000</v>
      </c>
      <c r="I12">
        <v>9450000000</v>
      </c>
      <c r="J12">
        <v>42822000000</v>
      </c>
      <c r="K12">
        <v>-26081000000</v>
      </c>
      <c r="L12">
        <v>72209000000</v>
      </c>
      <c r="M12">
        <v>-65178000000</v>
      </c>
      <c r="N12">
        <v>7818000000</v>
      </c>
      <c r="O12">
        <v>42057000000</v>
      </c>
      <c r="P12">
        <v>4577</v>
      </c>
      <c r="Q12" t="s">
        <v>42</v>
      </c>
    </row>
    <row r="13" spans="1:17" x14ac:dyDescent="0.3">
      <c r="A13" t="s">
        <v>17</v>
      </c>
      <c r="B13" t="str">
        <f>"600030"</f>
        <v>600030</v>
      </c>
      <c r="C13" t="s">
        <v>43</v>
      </c>
      <c r="D13" t="s">
        <v>26</v>
      </c>
      <c r="E13">
        <v>77177301198</v>
      </c>
      <c r="F13">
        <v>-17774239904</v>
      </c>
      <c r="G13">
        <v>30517472977</v>
      </c>
      <c r="H13">
        <v>25849891505</v>
      </c>
      <c r="I13">
        <v>15076687226</v>
      </c>
      <c r="J13">
        <v>-38007622710</v>
      </c>
      <c r="K13">
        <v>-14566660123</v>
      </c>
      <c r="L13">
        <v>19780729887</v>
      </c>
      <c r="M13">
        <v>3162551448</v>
      </c>
      <c r="N13">
        <v>-5438192148</v>
      </c>
      <c r="O13">
        <v>715437251</v>
      </c>
      <c r="P13">
        <v>5754</v>
      </c>
      <c r="Q13" t="s">
        <v>44</v>
      </c>
    </row>
    <row r="14" spans="1:17" x14ac:dyDescent="0.3">
      <c r="A14" t="s">
        <v>17</v>
      </c>
      <c r="B14" t="str">
        <f>"601919"</f>
        <v>601919</v>
      </c>
      <c r="C14" t="s">
        <v>45</v>
      </c>
      <c r="D14" t="s">
        <v>46</v>
      </c>
      <c r="E14">
        <v>61998457386</v>
      </c>
      <c r="F14">
        <v>25905530772</v>
      </c>
      <c r="G14">
        <v>309680744</v>
      </c>
      <c r="H14">
        <v>2118597761</v>
      </c>
      <c r="I14">
        <v>-3141791820</v>
      </c>
      <c r="J14">
        <v>-2044217444</v>
      </c>
      <c r="K14">
        <v>-2654421584</v>
      </c>
      <c r="L14">
        <v>797097871</v>
      </c>
      <c r="M14">
        <v>-1807240611</v>
      </c>
      <c r="N14">
        <v>-6102652878</v>
      </c>
      <c r="O14">
        <v>-3886420989</v>
      </c>
      <c r="P14">
        <v>1362</v>
      </c>
      <c r="Q14" t="s">
        <v>47</v>
      </c>
    </row>
    <row r="15" spans="1:17" x14ac:dyDescent="0.3">
      <c r="A15" t="s">
        <v>17</v>
      </c>
      <c r="B15" t="str">
        <f>"601077"</f>
        <v>601077</v>
      </c>
      <c r="C15" t="s">
        <v>48</v>
      </c>
      <c r="D15" t="s">
        <v>19</v>
      </c>
      <c r="E15">
        <v>53565288000</v>
      </c>
      <c r="F15">
        <v>16571764000</v>
      </c>
      <c r="G15">
        <v>41267587000</v>
      </c>
      <c r="H15">
        <v>26540591000</v>
      </c>
      <c r="K15">
        <v>-14441653000</v>
      </c>
      <c r="L15">
        <v>23260265000</v>
      </c>
      <c r="M15">
        <v>21601850000</v>
      </c>
      <c r="N15">
        <v>-6087689000</v>
      </c>
      <c r="P15">
        <v>509</v>
      </c>
      <c r="Q15" t="s">
        <v>49</v>
      </c>
    </row>
    <row r="16" spans="1:17" x14ac:dyDescent="0.3">
      <c r="A16" t="s">
        <v>17</v>
      </c>
      <c r="B16" t="str">
        <f>"601916"</f>
        <v>601916</v>
      </c>
      <c r="C16" t="s">
        <v>50</v>
      </c>
      <c r="D16" t="s">
        <v>19</v>
      </c>
      <c r="E16">
        <v>48127000000</v>
      </c>
      <c r="F16">
        <v>-70315000000</v>
      </c>
      <c r="G16">
        <v>33693821000</v>
      </c>
      <c r="H16">
        <v>7450162000</v>
      </c>
      <c r="I16">
        <v>-54184786000</v>
      </c>
      <c r="J16">
        <v>9592596000</v>
      </c>
      <c r="P16">
        <v>537</v>
      </c>
      <c r="Q16" t="s">
        <v>51</v>
      </c>
    </row>
    <row r="17" spans="1:17" x14ac:dyDescent="0.3">
      <c r="A17" t="s">
        <v>17</v>
      </c>
      <c r="B17" t="str">
        <f>"601601"</f>
        <v>601601</v>
      </c>
      <c r="C17" t="s">
        <v>52</v>
      </c>
      <c r="D17" t="s">
        <v>26</v>
      </c>
      <c r="E17">
        <v>46813000000</v>
      </c>
      <c r="F17">
        <v>35665000000</v>
      </c>
      <c r="G17">
        <v>43420000000</v>
      </c>
      <c r="H17">
        <v>45813000000</v>
      </c>
      <c r="I17">
        <v>42867000000</v>
      </c>
      <c r="J17">
        <v>25783000000</v>
      </c>
      <c r="K17">
        <v>15653000000</v>
      </c>
      <c r="L17">
        <v>5981000000</v>
      </c>
      <c r="M17">
        <v>16949000000</v>
      </c>
      <c r="N17">
        <v>11537000000</v>
      </c>
      <c r="O17">
        <v>20191000000</v>
      </c>
      <c r="P17">
        <v>2648</v>
      </c>
      <c r="Q17" t="s">
        <v>53</v>
      </c>
    </row>
    <row r="18" spans="1:17" x14ac:dyDescent="0.3">
      <c r="A18" t="s">
        <v>17</v>
      </c>
      <c r="B18" t="str">
        <f>"601825"</f>
        <v>601825</v>
      </c>
      <c r="C18" t="s">
        <v>54</v>
      </c>
      <c r="D18" t="s">
        <v>19</v>
      </c>
      <c r="E18">
        <v>44206065000</v>
      </c>
      <c r="F18">
        <v>-1633774000</v>
      </c>
      <c r="G18">
        <v>-14958753000</v>
      </c>
      <c r="P18">
        <v>57</v>
      </c>
      <c r="Q18" t="s">
        <v>55</v>
      </c>
    </row>
    <row r="19" spans="1:17" x14ac:dyDescent="0.3">
      <c r="A19" t="s">
        <v>17</v>
      </c>
      <c r="B19" t="str">
        <f>"600941"</f>
        <v>600941</v>
      </c>
      <c r="C19" t="s">
        <v>56</v>
      </c>
      <c r="D19" t="s">
        <v>57</v>
      </c>
      <c r="E19">
        <v>36971000000</v>
      </c>
      <c r="P19">
        <v>115</v>
      </c>
      <c r="Q19" t="s">
        <v>58</v>
      </c>
    </row>
    <row r="20" spans="1:17" x14ac:dyDescent="0.3">
      <c r="A20" t="s">
        <v>17</v>
      </c>
      <c r="B20" t="str">
        <f>"600015"</f>
        <v>600015</v>
      </c>
      <c r="C20" t="s">
        <v>59</v>
      </c>
      <c r="D20" t="s">
        <v>19</v>
      </c>
      <c r="E20">
        <v>36029000000</v>
      </c>
      <c r="F20">
        <v>-19986000000</v>
      </c>
      <c r="G20">
        <v>4235000000</v>
      </c>
      <c r="H20">
        <v>47993000000</v>
      </c>
      <c r="I20">
        <v>-61969000000</v>
      </c>
      <c r="J20">
        <v>6225000000</v>
      </c>
      <c r="K20">
        <v>-102140000000</v>
      </c>
      <c r="L20">
        <v>-27016000000</v>
      </c>
      <c r="M20">
        <v>-54806000000</v>
      </c>
      <c r="N20">
        <v>-15924646508</v>
      </c>
      <c r="O20">
        <v>-7843551693</v>
      </c>
      <c r="P20">
        <v>1538</v>
      </c>
      <c r="Q20" t="s">
        <v>60</v>
      </c>
    </row>
    <row r="21" spans="1:17" x14ac:dyDescent="0.3">
      <c r="A21" t="s">
        <v>17</v>
      </c>
      <c r="B21" t="str">
        <f>"601336"</f>
        <v>601336</v>
      </c>
      <c r="C21" t="s">
        <v>61</v>
      </c>
      <c r="D21" t="s">
        <v>26</v>
      </c>
      <c r="E21">
        <v>35282000000</v>
      </c>
      <c r="F21">
        <v>25576000000</v>
      </c>
      <c r="G21">
        <v>28126000000</v>
      </c>
      <c r="H21">
        <v>9211000000</v>
      </c>
      <c r="I21">
        <v>-2138000000</v>
      </c>
      <c r="J21">
        <v>-5126000000</v>
      </c>
      <c r="K21">
        <v>4389000000</v>
      </c>
      <c r="L21">
        <v>5485000000</v>
      </c>
      <c r="M21">
        <v>26571000000</v>
      </c>
      <c r="N21">
        <v>14857000000</v>
      </c>
      <c r="O21">
        <v>21560000000</v>
      </c>
      <c r="P21">
        <v>1856</v>
      </c>
      <c r="Q21" t="s">
        <v>62</v>
      </c>
    </row>
    <row r="22" spans="1:17" x14ac:dyDescent="0.3">
      <c r="A22" t="s">
        <v>17</v>
      </c>
      <c r="B22" t="str">
        <f>"601857"</f>
        <v>601857</v>
      </c>
      <c r="C22" t="s">
        <v>63</v>
      </c>
      <c r="D22" t="s">
        <v>64</v>
      </c>
      <c r="E22">
        <v>32675000000</v>
      </c>
      <c r="F22">
        <v>-38325000000</v>
      </c>
      <c r="G22">
        <v>-67944000000</v>
      </c>
      <c r="H22">
        <v>1203000000</v>
      </c>
      <c r="I22">
        <v>2537000000</v>
      </c>
      <c r="J22">
        <v>31307000000</v>
      </c>
      <c r="K22">
        <v>8981000000</v>
      </c>
      <c r="L22">
        <v>-25461000000</v>
      </c>
      <c r="M22">
        <v>-55371000000</v>
      </c>
      <c r="N22">
        <v>-50261000000</v>
      </c>
      <c r="O22">
        <v>-50627000000</v>
      </c>
      <c r="P22">
        <v>1280</v>
      </c>
      <c r="Q22" t="s">
        <v>65</v>
      </c>
    </row>
    <row r="23" spans="1:17" x14ac:dyDescent="0.3">
      <c r="A23" t="s">
        <v>17</v>
      </c>
      <c r="B23" t="str">
        <f>"601229"</f>
        <v>601229</v>
      </c>
      <c r="C23" t="s">
        <v>66</v>
      </c>
      <c r="D23" t="s">
        <v>19</v>
      </c>
      <c r="E23">
        <v>30484328000</v>
      </c>
      <c r="F23">
        <v>-14564492000</v>
      </c>
      <c r="G23">
        <v>35505442000</v>
      </c>
      <c r="H23">
        <v>3141413000</v>
      </c>
      <c r="I23">
        <v>-82678721000</v>
      </c>
      <c r="J23">
        <v>-23655544000</v>
      </c>
      <c r="K23">
        <v>26320075000</v>
      </c>
      <c r="P23">
        <v>1546</v>
      </c>
      <c r="Q23" t="s">
        <v>67</v>
      </c>
    </row>
    <row r="24" spans="1:17" x14ac:dyDescent="0.3">
      <c r="A24" t="s">
        <v>17</v>
      </c>
      <c r="B24" t="str">
        <f>"601998"</f>
        <v>601998</v>
      </c>
      <c r="C24" t="s">
        <v>68</v>
      </c>
      <c r="D24" t="s">
        <v>19</v>
      </c>
      <c r="E24">
        <v>29584000000</v>
      </c>
      <c r="F24">
        <v>-31370000000</v>
      </c>
      <c r="G24">
        <v>-73272000000</v>
      </c>
      <c r="H24">
        <v>-8820000000</v>
      </c>
      <c r="I24">
        <v>-56372000000</v>
      </c>
      <c r="J24">
        <v>-160378000000</v>
      </c>
      <c r="K24">
        <v>50544000000</v>
      </c>
      <c r="L24">
        <v>-32390000000</v>
      </c>
      <c r="M24">
        <v>-13816000000</v>
      </c>
      <c r="N24">
        <v>-65309000000</v>
      </c>
      <c r="O24">
        <v>-127149000000</v>
      </c>
      <c r="P24">
        <v>1903</v>
      </c>
      <c r="Q24" t="s">
        <v>69</v>
      </c>
    </row>
    <row r="25" spans="1:17" x14ac:dyDescent="0.3">
      <c r="A25" t="s">
        <v>17</v>
      </c>
      <c r="B25" t="str">
        <f>"600938"</f>
        <v>600938</v>
      </c>
      <c r="C25" t="s">
        <v>70</v>
      </c>
      <c r="E25">
        <v>24197000000</v>
      </c>
      <c r="P25">
        <v>26</v>
      </c>
      <c r="Q25" t="s">
        <v>71</v>
      </c>
    </row>
    <row r="26" spans="1:17" x14ac:dyDescent="0.3">
      <c r="A26" t="s">
        <v>17</v>
      </c>
      <c r="B26" t="str">
        <f>"601088"</f>
        <v>601088</v>
      </c>
      <c r="C26" t="s">
        <v>72</v>
      </c>
      <c r="D26" t="s">
        <v>73</v>
      </c>
      <c r="E26">
        <v>23321000000</v>
      </c>
      <c r="F26">
        <v>11417000000</v>
      </c>
      <c r="G26">
        <v>27183000000</v>
      </c>
      <c r="H26">
        <v>28247000000</v>
      </c>
      <c r="I26">
        <v>9154000000</v>
      </c>
      <c r="J26">
        <v>22016000000</v>
      </c>
      <c r="K26">
        <v>12201000000</v>
      </c>
      <c r="L26">
        <v>5225000000</v>
      </c>
      <c r="M26">
        <v>423000000</v>
      </c>
      <c r="N26">
        <v>5528000000</v>
      </c>
      <c r="O26">
        <v>9265000000</v>
      </c>
      <c r="P26">
        <v>3942</v>
      </c>
      <c r="Q26" t="s">
        <v>74</v>
      </c>
    </row>
    <row r="27" spans="1:17" x14ac:dyDescent="0.3">
      <c r="A27" t="s">
        <v>17</v>
      </c>
      <c r="B27" t="str">
        <f>"601319"</f>
        <v>601319</v>
      </c>
      <c r="C27" t="s">
        <v>75</v>
      </c>
      <c r="D27" t="s">
        <v>26</v>
      </c>
      <c r="E27">
        <v>23109000000</v>
      </c>
      <c r="F27">
        <v>22875000000</v>
      </c>
      <c r="G27">
        <v>84000000</v>
      </c>
      <c r="H27">
        <v>-12119000000</v>
      </c>
      <c r="I27">
        <v>-31039000000</v>
      </c>
      <c r="P27">
        <v>901</v>
      </c>
      <c r="Q27" t="s">
        <v>76</v>
      </c>
    </row>
    <row r="28" spans="1:17" x14ac:dyDescent="0.3">
      <c r="A28" t="s">
        <v>17</v>
      </c>
      <c r="B28" t="str">
        <f>"601555"</f>
        <v>601555</v>
      </c>
      <c r="C28" t="s">
        <v>77</v>
      </c>
      <c r="D28" t="s">
        <v>26</v>
      </c>
      <c r="E28">
        <v>21830708763</v>
      </c>
      <c r="F28">
        <v>4799531749</v>
      </c>
      <c r="G28">
        <v>3868280825</v>
      </c>
      <c r="H28">
        <v>5416239581</v>
      </c>
      <c r="I28">
        <v>3712464336</v>
      </c>
      <c r="J28">
        <v>-5824934894</v>
      </c>
      <c r="K28">
        <v>-2532481809</v>
      </c>
      <c r="L28">
        <v>5104719242</v>
      </c>
      <c r="M28">
        <v>-127675621</v>
      </c>
      <c r="N28">
        <v>-810893017</v>
      </c>
      <c r="O28">
        <v>-94790881</v>
      </c>
      <c r="P28">
        <v>937</v>
      </c>
      <c r="Q28" t="s">
        <v>78</v>
      </c>
    </row>
    <row r="29" spans="1:17" x14ac:dyDescent="0.3">
      <c r="A29" t="s">
        <v>17</v>
      </c>
      <c r="B29" t="str">
        <f>"600999"</f>
        <v>600999</v>
      </c>
      <c r="C29" t="s">
        <v>79</v>
      </c>
      <c r="D29" t="s">
        <v>26</v>
      </c>
      <c r="E29">
        <v>21194880316</v>
      </c>
      <c r="F29">
        <v>-21200152640</v>
      </c>
      <c r="G29">
        <v>16359668060</v>
      </c>
      <c r="H29">
        <v>22837344258</v>
      </c>
      <c r="I29">
        <v>15355600896</v>
      </c>
      <c r="J29">
        <v>-5240799835</v>
      </c>
      <c r="K29">
        <v>10277293661</v>
      </c>
      <c r="L29">
        <v>-16033110794</v>
      </c>
      <c r="M29">
        <v>3336705198</v>
      </c>
      <c r="N29">
        <v>-9371665431</v>
      </c>
      <c r="O29">
        <v>2521437123</v>
      </c>
      <c r="P29">
        <v>2820</v>
      </c>
      <c r="Q29" t="s">
        <v>80</v>
      </c>
    </row>
    <row r="30" spans="1:17" x14ac:dyDescent="0.3">
      <c r="A30" t="s">
        <v>17</v>
      </c>
      <c r="B30" t="str">
        <f>"601788"</f>
        <v>601788</v>
      </c>
      <c r="C30" t="s">
        <v>81</v>
      </c>
      <c r="D30" t="s">
        <v>26</v>
      </c>
      <c r="E30">
        <v>19610895042</v>
      </c>
      <c r="F30">
        <v>6713699640</v>
      </c>
      <c r="G30">
        <v>23246632399</v>
      </c>
      <c r="H30">
        <v>24849309790</v>
      </c>
      <c r="I30">
        <v>4411528210</v>
      </c>
      <c r="J30">
        <v>-8502301592</v>
      </c>
      <c r="K30">
        <v>6416165089</v>
      </c>
      <c r="L30">
        <v>942777590</v>
      </c>
      <c r="M30">
        <v>1341640061</v>
      </c>
      <c r="N30">
        <v>651075831</v>
      </c>
      <c r="O30">
        <v>2224572128</v>
      </c>
      <c r="P30">
        <v>1149</v>
      </c>
      <c r="Q30" t="s">
        <v>82</v>
      </c>
    </row>
    <row r="31" spans="1:17" x14ac:dyDescent="0.3">
      <c r="A31" t="s">
        <v>17</v>
      </c>
      <c r="B31" t="str">
        <f>"601211"</f>
        <v>601211</v>
      </c>
      <c r="C31" t="s">
        <v>83</v>
      </c>
      <c r="D31" t="s">
        <v>26</v>
      </c>
      <c r="E31">
        <v>17864231217</v>
      </c>
      <c r="F31">
        <v>-13873198226</v>
      </c>
      <c r="G31">
        <v>15512688080</v>
      </c>
      <c r="H31">
        <v>14699707380</v>
      </c>
      <c r="I31">
        <v>32864526641</v>
      </c>
      <c r="J31">
        <v>-23628382501</v>
      </c>
      <c r="K31">
        <v>-662572808</v>
      </c>
      <c r="L31">
        <v>21499467333</v>
      </c>
      <c r="M31">
        <v>8669688086</v>
      </c>
      <c r="P31">
        <v>3571</v>
      </c>
      <c r="Q31" t="s">
        <v>84</v>
      </c>
    </row>
    <row r="32" spans="1:17" x14ac:dyDescent="0.3">
      <c r="A32" t="s">
        <v>17</v>
      </c>
      <c r="B32" t="str">
        <f>"601881"</f>
        <v>601881</v>
      </c>
      <c r="C32" t="s">
        <v>85</v>
      </c>
      <c r="D32" t="s">
        <v>26</v>
      </c>
      <c r="E32">
        <v>17302013874</v>
      </c>
      <c r="F32">
        <v>9025615256</v>
      </c>
      <c r="G32">
        <v>20984876917</v>
      </c>
      <c r="H32">
        <v>22893028593</v>
      </c>
      <c r="I32">
        <v>5189024229</v>
      </c>
      <c r="J32">
        <v>-14625117912</v>
      </c>
      <c r="K32">
        <v>-3996527528</v>
      </c>
      <c r="P32">
        <v>1598</v>
      </c>
      <c r="Q32" t="s">
        <v>86</v>
      </c>
    </row>
    <row r="33" spans="1:17" x14ac:dyDescent="0.3">
      <c r="A33" t="s">
        <v>17</v>
      </c>
      <c r="B33" t="str">
        <f>"601860"</f>
        <v>601860</v>
      </c>
      <c r="C33" t="s">
        <v>87</v>
      </c>
      <c r="D33" t="s">
        <v>19</v>
      </c>
      <c r="E33">
        <v>17157222000</v>
      </c>
      <c r="F33">
        <v>-371252000</v>
      </c>
      <c r="G33">
        <v>5549190000</v>
      </c>
      <c r="H33">
        <v>8781352000</v>
      </c>
      <c r="I33">
        <v>13232267000</v>
      </c>
      <c r="K33">
        <v>5144905853</v>
      </c>
      <c r="P33">
        <v>332</v>
      </c>
      <c r="Q33" t="s">
        <v>88</v>
      </c>
    </row>
    <row r="34" spans="1:17" x14ac:dyDescent="0.3">
      <c r="A34" t="s">
        <v>32</v>
      </c>
      <c r="B34" t="str">
        <f>"002966"</f>
        <v>002966</v>
      </c>
      <c r="C34" t="s">
        <v>89</v>
      </c>
      <c r="D34" t="s">
        <v>19</v>
      </c>
      <c r="E34">
        <v>15551449195</v>
      </c>
      <c r="F34">
        <v>16504142288</v>
      </c>
      <c r="G34">
        <v>-9359813441</v>
      </c>
      <c r="H34">
        <v>1079070112</v>
      </c>
      <c r="I34">
        <v>-335545384</v>
      </c>
      <c r="P34">
        <v>365</v>
      </c>
      <c r="Q34" t="s">
        <v>90</v>
      </c>
    </row>
    <row r="35" spans="1:17" x14ac:dyDescent="0.3">
      <c r="A35" t="s">
        <v>17</v>
      </c>
      <c r="B35" t="str">
        <f>"601066"</f>
        <v>601066</v>
      </c>
      <c r="C35" t="s">
        <v>91</v>
      </c>
      <c r="D35" t="s">
        <v>26</v>
      </c>
      <c r="E35">
        <v>14284633562</v>
      </c>
      <c r="F35">
        <v>24930308420</v>
      </c>
      <c r="G35">
        <v>-17856342773</v>
      </c>
      <c r="H35">
        <v>20404916715</v>
      </c>
      <c r="I35">
        <v>14651733611</v>
      </c>
      <c r="J35">
        <v>-11001035585</v>
      </c>
      <c r="L35">
        <v>19948782600</v>
      </c>
      <c r="P35">
        <v>1825</v>
      </c>
      <c r="Q35" t="s">
        <v>92</v>
      </c>
    </row>
    <row r="36" spans="1:17" x14ac:dyDescent="0.3">
      <c r="A36" t="s">
        <v>32</v>
      </c>
      <c r="B36" t="str">
        <f>"000776"</f>
        <v>000776</v>
      </c>
      <c r="C36" t="s">
        <v>93</v>
      </c>
      <c r="D36" t="s">
        <v>26</v>
      </c>
      <c r="E36">
        <v>13612338028</v>
      </c>
      <c r="F36">
        <v>-3192846021</v>
      </c>
      <c r="G36">
        <v>-7376707174</v>
      </c>
      <c r="H36">
        <v>5439952744</v>
      </c>
      <c r="I36">
        <v>17975661266</v>
      </c>
      <c r="J36">
        <v>-13214413668</v>
      </c>
      <c r="K36">
        <v>533504021</v>
      </c>
      <c r="L36">
        <v>6870777812</v>
      </c>
      <c r="M36">
        <v>-176024395</v>
      </c>
      <c r="N36">
        <v>-4590128369</v>
      </c>
      <c r="O36">
        <v>3495447741</v>
      </c>
      <c r="P36">
        <v>3522</v>
      </c>
      <c r="Q36" t="s">
        <v>94</v>
      </c>
    </row>
    <row r="37" spans="1:17" x14ac:dyDescent="0.3">
      <c r="A37" t="s">
        <v>17</v>
      </c>
      <c r="B37" t="str">
        <f>"601728"</f>
        <v>601728</v>
      </c>
      <c r="C37" t="s">
        <v>95</v>
      </c>
      <c r="D37" t="s">
        <v>57</v>
      </c>
      <c r="E37">
        <v>12715831213</v>
      </c>
      <c r="F37">
        <v>17205000000</v>
      </c>
      <c r="G37">
        <v>15200000000</v>
      </c>
      <c r="P37">
        <v>144</v>
      </c>
      <c r="Q37" t="s">
        <v>96</v>
      </c>
    </row>
    <row r="38" spans="1:17" x14ac:dyDescent="0.3">
      <c r="A38" t="s">
        <v>32</v>
      </c>
      <c r="B38" t="str">
        <f>"002432"</f>
        <v>002432</v>
      </c>
      <c r="C38" t="s">
        <v>97</v>
      </c>
      <c r="D38" t="s">
        <v>98</v>
      </c>
      <c r="E38">
        <v>12615751570</v>
      </c>
      <c r="F38">
        <v>-40012778</v>
      </c>
      <c r="G38">
        <v>51201250</v>
      </c>
      <c r="H38">
        <v>-51033967</v>
      </c>
      <c r="I38">
        <v>-45219474</v>
      </c>
      <c r="J38">
        <v>-48194978</v>
      </c>
      <c r="K38">
        <v>-22988431</v>
      </c>
      <c r="L38">
        <v>-39602606</v>
      </c>
      <c r="M38">
        <v>-24700038</v>
      </c>
      <c r="N38">
        <v>-25870152</v>
      </c>
      <c r="O38">
        <v>-6771932</v>
      </c>
      <c r="P38">
        <v>282</v>
      </c>
      <c r="Q38" t="s">
        <v>99</v>
      </c>
    </row>
    <row r="39" spans="1:17" x14ac:dyDescent="0.3">
      <c r="A39" t="s">
        <v>17</v>
      </c>
      <c r="B39" t="str">
        <f>"600061"</f>
        <v>600061</v>
      </c>
      <c r="C39" t="s">
        <v>100</v>
      </c>
      <c r="D39" t="s">
        <v>26</v>
      </c>
      <c r="E39">
        <v>12282370755</v>
      </c>
      <c r="F39">
        <v>10872547898</v>
      </c>
      <c r="G39">
        <v>12593369692</v>
      </c>
      <c r="H39">
        <v>1224842977</v>
      </c>
      <c r="I39">
        <v>-12580228206</v>
      </c>
      <c r="J39">
        <v>-1467785908</v>
      </c>
      <c r="K39">
        <v>-6359948123</v>
      </c>
      <c r="L39">
        <v>3294825926</v>
      </c>
      <c r="M39">
        <v>-54373676</v>
      </c>
      <c r="N39">
        <v>-157799194</v>
      </c>
      <c r="O39">
        <v>-85764035</v>
      </c>
      <c r="P39">
        <v>1304</v>
      </c>
      <c r="Q39" t="s">
        <v>101</v>
      </c>
    </row>
    <row r="40" spans="1:17" x14ac:dyDescent="0.3">
      <c r="A40" t="s">
        <v>17</v>
      </c>
      <c r="B40" t="str">
        <f>"601688"</f>
        <v>601688</v>
      </c>
      <c r="C40" t="s">
        <v>102</v>
      </c>
      <c r="D40" t="s">
        <v>26</v>
      </c>
      <c r="E40">
        <v>11576235896</v>
      </c>
      <c r="F40">
        <v>2580602699</v>
      </c>
      <c r="G40">
        <v>13471894816</v>
      </c>
      <c r="H40">
        <v>30157535609</v>
      </c>
      <c r="I40">
        <v>-284332109</v>
      </c>
      <c r="J40">
        <v>-22067177768</v>
      </c>
      <c r="K40">
        <v>16560794541</v>
      </c>
      <c r="L40">
        <v>28066380039</v>
      </c>
      <c r="M40">
        <v>618072485</v>
      </c>
      <c r="N40">
        <v>-1648124245</v>
      </c>
      <c r="O40">
        <v>2953930479</v>
      </c>
      <c r="P40">
        <v>6874</v>
      </c>
      <c r="Q40" t="s">
        <v>103</v>
      </c>
    </row>
    <row r="41" spans="1:17" x14ac:dyDescent="0.3">
      <c r="A41" t="s">
        <v>32</v>
      </c>
      <c r="B41" t="str">
        <f>"002493"</f>
        <v>002493</v>
      </c>
      <c r="C41" t="s">
        <v>104</v>
      </c>
      <c r="D41" t="s">
        <v>64</v>
      </c>
      <c r="E41">
        <v>10970791808</v>
      </c>
      <c r="F41">
        <v>-12835946599</v>
      </c>
      <c r="G41">
        <v>-12199799426</v>
      </c>
      <c r="H41">
        <v>-12593349177</v>
      </c>
      <c r="I41">
        <v>-5517453989</v>
      </c>
      <c r="J41">
        <v>486555322</v>
      </c>
      <c r="K41">
        <v>-3014691548</v>
      </c>
      <c r="L41">
        <v>-691409119</v>
      </c>
      <c r="M41">
        <v>454918392</v>
      </c>
      <c r="N41">
        <v>-980453987</v>
      </c>
      <c r="O41">
        <v>-885259519</v>
      </c>
      <c r="P41">
        <v>852</v>
      </c>
      <c r="Q41" t="s">
        <v>105</v>
      </c>
    </row>
    <row r="42" spans="1:17" x14ac:dyDescent="0.3">
      <c r="A42" t="s">
        <v>32</v>
      </c>
      <c r="B42" t="str">
        <f>"200725"</f>
        <v>200725</v>
      </c>
      <c r="C42" t="s">
        <v>106</v>
      </c>
      <c r="E42">
        <v>9335524011.0440006</v>
      </c>
      <c r="F42">
        <v>2003305233.2130001</v>
      </c>
      <c r="G42">
        <v>-5426751680.9961004</v>
      </c>
      <c r="H42">
        <v>-8122677640.0326004</v>
      </c>
      <c r="I42">
        <v>-4890353974.4460001</v>
      </c>
      <c r="J42">
        <v>-8772050914.4498005</v>
      </c>
      <c r="K42">
        <v>-745993787.77760005</v>
      </c>
      <c r="L42">
        <v>-4020526006.25</v>
      </c>
      <c r="M42">
        <v>-2949511371.7712002</v>
      </c>
      <c r="N42">
        <v>202686454.97760001</v>
      </c>
      <c r="O42">
        <v>-3135639845.0970001</v>
      </c>
      <c r="P42">
        <v>85</v>
      </c>
      <c r="Q42" t="s">
        <v>107</v>
      </c>
    </row>
    <row r="43" spans="1:17" x14ac:dyDescent="0.3">
      <c r="A43" t="s">
        <v>17</v>
      </c>
      <c r="B43" t="str">
        <f>"601187"</f>
        <v>601187</v>
      </c>
      <c r="C43" t="s">
        <v>108</v>
      </c>
      <c r="D43" t="s">
        <v>19</v>
      </c>
      <c r="E43">
        <v>9234312000</v>
      </c>
      <c r="F43">
        <v>-20360036000</v>
      </c>
      <c r="J43">
        <v>-12504136190</v>
      </c>
      <c r="P43">
        <v>177</v>
      </c>
      <c r="Q43" t="s">
        <v>109</v>
      </c>
    </row>
    <row r="44" spans="1:17" x14ac:dyDescent="0.3">
      <c r="A44" t="s">
        <v>17</v>
      </c>
      <c r="B44" t="str">
        <f>"601198"</f>
        <v>601198</v>
      </c>
      <c r="C44" t="s">
        <v>110</v>
      </c>
      <c r="D44" t="s">
        <v>26</v>
      </c>
      <c r="E44">
        <v>8792874542</v>
      </c>
      <c r="F44">
        <v>-1747534039</v>
      </c>
      <c r="G44">
        <v>8084444558</v>
      </c>
      <c r="H44">
        <v>9167684625</v>
      </c>
      <c r="I44">
        <v>5560409490</v>
      </c>
      <c r="J44">
        <v>1574454216</v>
      </c>
      <c r="K44">
        <v>-2601075276</v>
      </c>
      <c r="L44">
        <v>869730119</v>
      </c>
      <c r="M44">
        <v>-122072994.22</v>
      </c>
      <c r="P44">
        <v>814</v>
      </c>
      <c r="Q44" t="s">
        <v>111</v>
      </c>
    </row>
    <row r="45" spans="1:17" x14ac:dyDescent="0.3">
      <c r="A45" t="s">
        <v>17</v>
      </c>
      <c r="B45" t="str">
        <f>"601128"</f>
        <v>601128</v>
      </c>
      <c r="C45" t="s">
        <v>112</v>
      </c>
      <c r="D45" t="s">
        <v>19</v>
      </c>
      <c r="E45">
        <v>8666562000</v>
      </c>
      <c r="F45">
        <v>8615517000</v>
      </c>
      <c r="G45">
        <v>-1947675000</v>
      </c>
      <c r="H45">
        <v>5600977000</v>
      </c>
      <c r="I45">
        <v>6434999000</v>
      </c>
      <c r="J45">
        <v>-1260115000</v>
      </c>
      <c r="K45">
        <v>5856913000</v>
      </c>
      <c r="P45">
        <v>940</v>
      </c>
      <c r="Q45" t="s">
        <v>113</v>
      </c>
    </row>
    <row r="46" spans="1:17" x14ac:dyDescent="0.3">
      <c r="A46" t="s">
        <v>32</v>
      </c>
      <c r="B46" t="str">
        <f>"000166"</f>
        <v>000166</v>
      </c>
      <c r="C46" t="s">
        <v>114</v>
      </c>
      <c r="D46" t="s">
        <v>26</v>
      </c>
      <c r="E46">
        <v>8521725142</v>
      </c>
      <c r="F46">
        <v>-5487395796</v>
      </c>
      <c r="G46">
        <v>19597770250</v>
      </c>
      <c r="H46">
        <v>16315096001</v>
      </c>
      <c r="I46">
        <v>4057371767</v>
      </c>
      <c r="J46">
        <v>-18912377365</v>
      </c>
      <c r="K46">
        <v>-12667177513.889999</v>
      </c>
      <c r="L46">
        <v>33658799703.529999</v>
      </c>
      <c r="M46">
        <v>1033818435.5599999</v>
      </c>
      <c r="P46">
        <v>2819</v>
      </c>
      <c r="Q46" t="s">
        <v>115</v>
      </c>
    </row>
    <row r="47" spans="1:17" x14ac:dyDescent="0.3">
      <c r="A47" t="s">
        <v>32</v>
      </c>
      <c r="B47" t="str">
        <f>"002945"</f>
        <v>002945</v>
      </c>
      <c r="C47" t="s">
        <v>116</v>
      </c>
      <c r="D47" t="s">
        <v>26</v>
      </c>
      <c r="E47">
        <v>8521614842</v>
      </c>
      <c r="F47">
        <v>5994021979</v>
      </c>
      <c r="G47">
        <v>256236728</v>
      </c>
      <c r="H47">
        <v>3216404351</v>
      </c>
      <c r="I47">
        <v>-124729568</v>
      </c>
      <c r="J47">
        <v>-619214046</v>
      </c>
      <c r="K47">
        <v>-275762559</v>
      </c>
      <c r="P47">
        <v>913</v>
      </c>
      <c r="Q47" t="s">
        <v>117</v>
      </c>
    </row>
    <row r="48" spans="1:17" x14ac:dyDescent="0.3">
      <c r="A48" t="s">
        <v>17</v>
      </c>
      <c r="B48" t="str">
        <f>"601898"</f>
        <v>601898</v>
      </c>
      <c r="C48" t="s">
        <v>118</v>
      </c>
      <c r="D48" t="s">
        <v>73</v>
      </c>
      <c r="E48">
        <v>8021346000</v>
      </c>
      <c r="F48">
        <v>3999180000</v>
      </c>
      <c r="G48">
        <v>2619345000</v>
      </c>
      <c r="H48">
        <v>2485952000</v>
      </c>
      <c r="I48">
        <v>-1631045000</v>
      </c>
      <c r="J48">
        <v>942453000</v>
      </c>
      <c r="K48">
        <v>-3248547000</v>
      </c>
      <c r="L48">
        <v>-8017530000</v>
      </c>
      <c r="M48">
        <v>-9429066000</v>
      </c>
      <c r="N48">
        <v>-4503173000</v>
      </c>
      <c r="O48">
        <v>-1299543000</v>
      </c>
      <c r="P48">
        <v>446</v>
      </c>
      <c r="Q48" t="s">
        <v>119</v>
      </c>
    </row>
    <row r="49" spans="1:17" x14ac:dyDescent="0.3">
      <c r="A49" t="s">
        <v>17</v>
      </c>
      <c r="B49" t="str">
        <f>"601600"</f>
        <v>601600</v>
      </c>
      <c r="C49" t="s">
        <v>120</v>
      </c>
      <c r="D49" t="s">
        <v>121</v>
      </c>
      <c r="E49">
        <v>7670733000</v>
      </c>
      <c r="F49">
        <v>1872107000</v>
      </c>
      <c r="G49">
        <v>710455000</v>
      </c>
      <c r="H49">
        <v>-2306739000</v>
      </c>
      <c r="I49">
        <v>123328000</v>
      </c>
      <c r="J49">
        <v>689640000</v>
      </c>
      <c r="K49">
        <v>-644047000</v>
      </c>
      <c r="L49">
        <v>-1941382000</v>
      </c>
      <c r="M49">
        <v>-1852978000</v>
      </c>
      <c r="N49">
        <v>-3308562000</v>
      </c>
      <c r="O49">
        <v>-4266899000</v>
      </c>
      <c r="P49">
        <v>744</v>
      </c>
      <c r="Q49" t="s">
        <v>122</v>
      </c>
    </row>
    <row r="50" spans="1:17" x14ac:dyDescent="0.3">
      <c r="A50" t="s">
        <v>32</v>
      </c>
      <c r="B50" t="str">
        <f>"000725"</f>
        <v>000725</v>
      </c>
      <c r="C50" t="s">
        <v>123</v>
      </c>
      <c r="D50" t="s">
        <v>124</v>
      </c>
      <c r="E50">
        <v>7565254466</v>
      </c>
      <c r="F50">
        <v>1691266554</v>
      </c>
      <c r="G50">
        <v>-4965460409</v>
      </c>
      <c r="H50">
        <v>-6947803986</v>
      </c>
      <c r="I50">
        <v>-3910718892</v>
      </c>
      <c r="J50">
        <v>-7775262289</v>
      </c>
      <c r="K50">
        <v>-620988752</v>
      </c>
      <c r="L50">
        <v>-3216420805</v>
      </c>
      <c r="M50">
        <v>-2362633268</v>
      </c>
      <c r="N50">
        <v>162175112</v>
      </c>
      <c r="O50">
        <v>-2543098009</v>
      </c>
      <c r="P50">
        <v>4544</v>
      </c>
      <c r="Q50" t="s">
        <v>125</v>
      </c>
    </row>
    <row r="51" spans="1:17" x14ac:dyDescent="0.3">
      <c r="A51" t="s">
        <v>32</v>
      </c>
      <c r="B51" t="str">
        <f>"000333"</f>
        <v>000333</v>
      </c>
      <c r="C51" t="s">
        <v>126</v>
      </c>
      <c r="D51" t="s">
        <v>127</v>
      </c>
      <c r="E51">
        <v>6452217000</v>
      </c>
      <c r="F51">
        <v>6424892000</v>
      </c>
      <c r="G51">
        <v>6792450000</v>
      </c>
      <c r="H51">
        <v>10763348000</v>
      </c>
      <c r="I51">
        <v>3524984000</v>
      </c>
      <c r="J51">
        <v>6512068000</v>
      </c>
      <c r="K51">
        <v>6113680000</v>
      </c>
      <c r="L51">
        <v>1983696740</v>
      </c>
      <c r="M51">
        <v>3246894370</v>
      </c>
      <c r="N51">
        <v>15116440</v>
      </c>
      <c r="P51">
        <v>25076</v>
      </c>
      <c r="Q51" t="s">
        <v>128</v>
      </c>
    </row>
    <row r="52" spans="1:17" x14ac:dyDescent="0.3">
      <c r="A52" t="s">
        <v>17</v>
      </c>
      <c r="B52" t="str">
        <f>"600612"</f>
        <v>600612</v>
      </c>
      <c r="C52" t="s">
        <v>129</v>
      </c>
      <c r="D52" t="s">
        <v>130</v>
      </c>
      <c r="E52">
        <v>6171065533</v>
      </c>
      <c r="F52">
        <v>3046197386</v>
      </c>
      <c r="G52">
        <v>2924945478</v>
      </c>
      <c r="H52">
        <v>-1266653422</v>
      </c>
      <c r="I52">
        <v>-623101966</v>
      </c>
      <c r="J52">
        <v>228326068</v>
      </c>
      <c r="K52">
        <v>-2250318279</v>
      </c>
      <c r="L52">
        <v>-316989373</v>
      </c>
      <c r="M52">
        <v>179017026</v>
      </c>
      <c r="N52">
        <v>-125397280</v>
      </c>
      <c r="O52">
        <v>2543866</v>
      </c>
      <c r="P52">
        <v>45896</v>
      </c>
      <c r="Q52" t="s">
        <v>131</v>
      </c>
    </row>
    <row r="53" spans="1:17" x14ac:dyDescent="0.3">
      <c r="A53" t="s">
        <v>17</v>
      </c>
      <c r="B53" t="str">
        <f>"601225"</f>
        <v>601225</v>
      </c>
      <c r="C53" t="s">
        <v>132</v>
      </c>
      <c r="D53" t="s">
        <v>73</v>
      </c>
      <c r="E53">
        <v>5430908213</v>
      </c>
      <c r="F53">
        <v>3547959900</v>
      </c>
      <c r="G53">
        <v>2055417569</v>
      </c>
      <c r="H53">
        <v>4719137812</v>
      </c>
      <c r="I53">
        <v>2801487086</v>
      </c>
      <c r="J53">
        <v>3035997413</v>
      </c>
      <c r="K53">
        <v>-227390153</v>
      </c>
      <c r="L53">
        <v>-2050891469</v>
      </c>
      <c r="M53">
        <v>-1594666857</v>
      </c>
      <c r="N53">
        <v>1531443862</v>
      </c>
      <c r="P53">
        <v>2638</v>
      </c>
      <c r="Q53" t="s">
        <v>133</v>
      </c>
    </row>
    <row r="54" spans="1:17" x14ac:dyDescent="0.3">
      <c r="A54" t="s">
        <v>32</v>
      </c>
      <c r="B54" t="str">
        <f>"000039"</f>
        <v>000039</v>
      </c>
      <c r="C54" t="s">
        <v>134</v>
      </c>
      <c r="D54" t="s">
        <v>135</v>
      </c>
      <c r="E54">
        <v>5359572000</v>
      </c>
      <c r="F54">
        <v>2451601000</v>
      </c>
      <c r="G54">
        <v>-1658139000</v>
      </c>
      <c r="H54">
        <v>-1464753000</v>
      </c>
      <c r="I54">
        <v>-2046285000</v>
      </c>
      <c r="J54">
        <v>-630636000</v>
      </c>
      <c r="K54">
        <v>-1747047000</v>
      </c>
      <c r="L54">
        <v>-3427045000</v>
      </c>
      <c r="M54">
        <v>-4780631000</v>
      </c>
      <c r="N54">
        <v>-2506083000</v>
      </c>
      <c r="O54">
        <v>-50148000</v>
      </c>
      <c r="P54">
        <v>679</v>
      </c>
      <c r="Q54" t="s">
        <v>136</v>
      </c>
    </row>
    <row r="55" spans="1:17" x14ac:dyDescent="0.3">
      <c r="A55" t="s">
        <v>17</v>
      </c>
      <c r="B55" t="str">
        <f>"600109"</f>
        <v>600109</v>
      </c>
      <c r="C55" t="s">
        <v>137</v>
      </c>
      <c r="D55" t="s">
        <v>26</v>
      </c>
      <c r="E55">
        <v>5284085802</v>
      </c>
      <c r="F55">
        <v>2411760928</v>
      </c>
      <c r="G55">
        <v>1467110531</v>
      </c>
      <c r="H55">
        <v>4177978069</v>
      </c>
      <c r="I55">
        <v>2891265479</v>
      </c>
      <c r="J55">
        <v>-3769602910</v>
      </c>
      <c r="K55">
        <v>-1410295090</v>
      </c>
      <c r="L55">
        <v>2854967657</v>
      </c>
      <c r="M55">
        <v>584793361</v>
      </c>
      <c r="N55">
        <v>-311354441</v>
      </c>
      <c r="O55">
        <v>1468417466</v>
      </c>
      <c r="P55">
        <v>1128</v>
      </c>
      <c r="Q55" t="s">
        <v>138</v>
      </c>
    </row>
    <row r="56" spans="1:17" x14ac:dyDescent="0.3">
      <c r="A56" t="s">
        <v>32</v>
      </c>
      <c r="B56" t="str">
        <f>"000783"</f>
        <v>000783</v>
      </c>
      <c r="C56" t="s">
        <v>139</v>
      </c>
      <c r="D56" t="s">
        <v>26</v>
      </c>
      <c r="E56">
        <v>4985001181</v>
      </c>
      <c r="F56">
        <v>1111885899</v>
      </c>
      <c r="G56">
        <v>4729868201</v>
      </c>
      <c r="H56">
        <v>7201459343</v>
      </c>
      <c r="I56">
        <v>991369560</v>
      </c>
      <c r="J56">
        <v>-4001072417</v>
      </c>
      <c r="K56">
        <v>3062499331</v>
      </c>
      <c r="L56">
        <v>-441481345</v>
      </c>
      <c r="M56">
        <v>2322827340</v>
      </c>
      <c r="N56">
        <v>25625207</v>
      </c>
      <c r="O56">
        <v>2441707306</v>
      </c>
      <c r="P56">
        <v>1208</v>
      </c>
      <c r="Q56" t="s">
        <v>140</v>
      </c>
    </row>
    <row r="57" spans="1:17" x14ac:dyDescent="0.3">
      <c r="A57" t="s">
        <v>17</v>
      </c>
      <c r="B57" t="str">
        <f>"600918"</f>
        <v>600918</v>
      </c>
      <c r="C57" t="s">
        <v>141</v>
      </c>
      <c r="D57" t="s">
        <v>26</v>
      </c>
      <c r="E57">
        <v>4760255108</v>
      </c>
      <c r="F57">
        <v>-1182652680</v>
      </c>
      <c r="G57">
        <v>2876622546</v>
      </c>
      <c r="H57">
        <v>3315020033</v>
      </c>
      <c r="I57">
        <v>3355120000</v>
      </c>
      <c r="K57">
        <v>723468500</v>
      </c>
      <c r="L57">
        <v>15678065655</v>
      </c>
      <c r="P57">
        <v>568</v>
      </c>
      <c r="Q57" t="s">
        <v>142</v>
      </c>
    </row>
    <row r="58" spans="1:17" x14ac:dyDescent="0.3">
      <c r="A58" t="s">
        <v>32</v>
      </c>
      <c r="B58" t="str">
        <f>"000792"</f>
        <v>000792</v>
      </c>
      <c r="C58" t="s">
        <v>143</v>
      </c>
      <c r="D58" t="s">
        <v>144</v>
      </c>
      <c r="E58">
        <v>4398790573</v>
      </c>
      <c r="F58">
        <v>1258189556</v>
      </c>
      <c r="G58">
        <v>166436068</v>
      </c>
      <c r="H58">
        <v>963301922</v>
      </c>
      <c r="I58">
        <v>1391332555</v>
      </c>
      <c r="J58">
        <v>-1187669110</v>
      </c>
      <c r="K58">
        <v>-1572988023</v>
      </c>
      <c r="L58">
        <v>-1772772860</v>
      </c>
      <c r="M58">
        <v>-2056219716</v>
      </c>
      <c r="N58">
        <v>-1597862313</v>
      </c>
      <c r="O58">
        <v>-792933559</v>
      </c>
      <c r="P58">
        <v>422</v>
      </c>
      <c r="Q58" t="s">
        <v>145</v>
      </c>
    </row>
    <row r="59" spans="1:17" x14ac:dyDescent="0.3">
      <c r="A59" t="s">
        <v>32</v>
      </c>
      <c r="B59" t="str">
        <f>"002423"</f>
        <v>002423</v>
      </c>
      <c r="C59" t="s">
        <v>146</v>
      </c>
      <c r="D59" t="s">
        <v>26</v>
      </c>
      <c r="E59">
        <v>4379330707</v>
      </c>
      <c r="F59">
        <v>4393869479</v>
      </c>
      <c r="G59">
        <v>2440149412</v>
      </c>
      <c r="H59">
        <v>1880323538</v>
      </c>
      <c r="I59">
        <v>35239603</v>
      </c>
      <c r="J59">
        <v>39556835</v>
      </c>
      <c r="K59">
        <v>-111675519</v>
      </c>
      <c r="L59">
        <v>-170793582</v>
      </c>
      <c r="M59">
        <v>-162919236</v>
      </c>
      <c r="N59">
        <v>-149247260</v>
      </c>
      <c r="O59">
        <v>-33830885</v>
      </c>
      <c r="P59">
        <v>145</v>
      </c>
      <c r="Q59" t="s">
        <v>147</v>
      </c>
    </row>
    <row r="60" spans="1:17" x14ac:dyDescent="0.3">
      <c r="A60" t="s">
        <v>17</v>
      </c>
      <c r="B60" t="str">
        <f>"601995"</f>
        <v>601995</v>
      </c>
      <c r="C60" t="s">
        <v>148</v>
      </c>
      <c r="D60" t="s">
        <v>26</v>
      </c>
      <c r="E60">
        <v>4362371004</v>
      </c>
      <c r="F60">
        <v>-12417528234</v>
      </c>
      <c r="G60">
        <v>26222139059</v>
      </c>
      <c r="H60">
        <v>17149849697</v>
      </c>
      <c r="I60">
        <v>-465645099</v>
      </c>
      <c r="P60">
        <v>986</v>
      </c>
      <c r="Q60" t="s">
        <v>149</v>
      </c>
    </row>
    <row r="61" spans="1:17" x14ac:dyDescent="0.3">
      <c r="A61" t="s">
        <v>32</v>
      </c>
      <c r="B61" t="str">
        <f>"000961"</f>
        <v>000961</v>
      </c>
      <c r="C61" t="s">
        <v>150</v>
      </c>
      <c r="D61" t="s">
        <v>151</v>
      </c>
      <c r="E61">
        <v>4076073177</v>
      </c>
      <c r="F61">
        <v>1245619711</v>
      </c>
      <c r="G61">
        <v>-1430346411</v>
      </c>
      <c r="H61">
        <v>3550129961</v>
      </c>
      <c r="I61">
        <v>-2670184872</v>
      </c>
      <c r="J61">
        <v>90642132</v>
      </c>
      <c r="K61">
        <v>-2821463509</v>
      </c>
      <c r="L61">
        <v>-246224768</v>
      </c>
      <c r="M61">
        <v>-2559566416</v>
      </c>
      <c r="N61">
        <v>-310551450</v>
      </c>
      <c r="O61">
        <v>199753148</v>
      </c>
      <c r="P61">
        <v>898</v>
      </c>
      <c r="Q61" t="s">
        <v>152</v>
      </c>
    </row>
    <row r="62" spans="1:17" x14ac:dyDescent="0.3">
      <c r="A62" t="s">
        <v>17</v>
      </c>
      <c r="B62" t="str">
        <f>"600346"</f>
        <v>600346</v>
      </c>
      <c r="C62" t="s">
        <v>153</v>
      </c>
      <c r="D62" t="s">
        <v>64</v>
      </c>
      <c r="E62">
        <v>3932402580</v>
      </c>
      <c r="F62">
        <v>2011264454</v>
      </c>
      <c r="G62">
        <v>-1044725166</v>
      </c>
      <c r="H62">
        <v>-8670624319</v>
      </c>
      <c r="I62">
        <v>-5162527224</v>
      </c>
      <c r="J62">
        <v>406334786</v>
      </c>
      <c r="K62">
        <v>1017320185</v>
      </c>
      <c r="L62">
        <v>-48399076</v>
      </c>
      <c r="M62">
        <v>-45446571</v>
      </c>
      <c r="N62">
        <v>49033099</v>
      </c>
      <c r="O62">
        <v>-96707814</v>
      </c>
      <c r="P62">
        <v>1653</v>
      </c>
      <c r="Q62" t="s">
        <v>154</v>
      </c>
    </row>
    <row r="63" spans="1:17" x14ac:dyDescent="0.3">
      <c r="A63" t="s">
        <v>17</v>
      </c>
      <c r="B63" t="str">
        <f>"600390"</f>
        <v>600390</v>
      </c>
      <c r="C63" t="s">
        <v>155</v>
      </c>
      <c r="D63" t="s">
        <v>26</v>
      </c>
      <c r="E63">
        <v>3903855969</v>
      </c>
      <c r="F63">
        <v>5741798449</v>
      </c>
      <c r="G63">
        <v>6140179530</v>
      </c>
      <c r="H63">
        <v>821343004</v>
      </c>
      <c r="I63">
        <v>166544226</v>
      </c>
      <c r="J63">
        <v>-5895710376</v>
      </c>
      <c r="K63">
        <v>-88947838</v>
      </c>
      <c r="L63">
        <v>-124184690</v>
      </c>
      <c r="M63">
        <v>-109257236</v>
      </c>
      <c r="N63">
        <v>-76695178</v>
      </c>
      <c r="O63">
        <v>-92676654</v>
      </c>
      <c r="P63">
        <v>300</v>
      </c>
      <c r="Q63" t="s">
        <v>156</v>
      </c>
    </row>
    <row r="64" spans="1:17" x14ac:dyDescent="0.3">
      <c r="A64" t="s">
        <v>17</v>
      </c>
      <c r="B64" t="str">
        <f>"601985"</f>
        <v>601985</v>
      </c>
      <c r="C64" t="s">
        <v>157</v>
      </c>
      <c r="D64" t="s">
        <v>158</v>
      </c>
      <c r="E64">
        <v>3834274020</v>
      </c>
      <c r="F64">
        <v>1756050984</v>
      </c>
      <c r="G64">
        <v>2371630164</v>
      </c>
      <c r="H64">
        <v>401710983</v>
      </c>
      <c r="I64">
        <v>161817983</v>
      </c>
      <c r="J64">
        <v>-856701768</v>
      </c>
      <c r="K64">
        <v>-653762060</v>
      </c>
      <c r="L64">
        <v>4385010900</v>
      </c>
      <c r="M64">
        <v>2128322400</v>
      </c>
      <c r="P64">
        <v>998</v>
      </c>
      <c r="Q64" t="s">
        <v>159</v>
      </c>
    </row>
    <row r="65" spans="1:17" x14ac:dyDescent="0.3">
      <c r="A65" t="s">
        <v>17</v>
      </c>
      <c r="B65" t="str">
        <f>"601991"</f>
        <v>601991</v>
      </c>
      <c r="C65" t="s">
        <v>160</v>
      </c>
      <c r="D65" t="s">
        <v>158</v>
      </c>
      <c r="E65">
        <v>3804343000</v>
      </c>
      <c r="F65">
        <v>3647170000</v>
      </c>
      <c r="G65">
        <v>5220461000</v>
      </c>
      <c r="H65">
        <v>4319710000</v>
      </c>
      <c r="I65">
        <v>2475653000</v>
      </c>
      <c r="J65">
        <v>2160237000</v>
      </c>
      <c r="K65">
        <v>909470000</v>
      </c>
      <c r="L65">
        <v>3810456000</v>
      </c>
      <c r="M65">
        <v>2455241000</v>
      </c>
      <c r="N65">
        <v>1281484000</v>
      </c>
      <c r="O65">
        <v>-1362469000</v>
      </c>
      <c r="P65">
        <v>283</v>
      </c>
      <c r="Q65" t="s">
        <v>161</v>
      </c>
    </row>
    <row r="66" spans="1:17" x14ac:dyDescent="0.3">
      <c r="A66" t="s">
        <v>17</v>
      </c>
      <c r="B66" t="str">
        <f>"600019"</f>
        <v>600019</v>
      </c>
      <c r="C66" t="s">
        <v>162</v>
      </c>
      <c r="D66" t="s">
        <v>163</v>
      </c>
      <c r="E66">
        <v>3680257108</v>
      </c>
      <c r="F66">
        <v>8865212097</v>
      </c>
      <c r="G66">
        <v>-331215572</v>
      </c>
      <c r="H66">
        <v>-2005231951</v>
      </c>
      <c r="I66">
        <v>742184873</v>
      </c>
      <c r="J66">
        <v>-957392541</v>
      </c>
      <c r="K66">
        <v>4457809606</v>
      </c>
      <c r="L66">
        <v>-750082786</v>
      </c>
      <c r="M66">
        <v>-5038921355</v>
      </c>
      <c r="N66">
        <v>-1318023303</v>
      </c>
      <c r="O66">
        <v>3635312611</v>
      </c>
      <c r="P66">
        <v>2293</v>
      </c>
      <c r="Q66" t="s">
        <v>164</v>
      </c>
    </row>
    <row r="67" spans="1:17" x14ac:dyDescent="0.3">
      <c r="A67" t="s">
        <v>32</v>
      </c>
      <c r="B67" t="str">
        <f>"002466"</f>
        <v>002466</v>
      </c>
      <c r="C67" t="s">
        <v>165</v>
      </c>
      <c r="D67" t="s">
        <v>121</v>
      </c>
      <c r="E67">
        <v>3643549452</v>
      </c>
      <c r="F67">
        <v>256156475</v>
      </c>
      <c r="G67">
        <v>-335244366</v>
      </c>
      <c r="H67">
        <v>-649503162</v>
      </c>
      <c r="I67">
        <v>86308235</v>
      </c>
      <c r="J67">
        <v>481899088</v>
      </c>
      <c r="K67">
        <v>380259166</v>
      </c>
      <c r="L67">
        <v>92151106</v>
      </c>
      <c r="M67">
        <v>-23981303</v>
      </c>
      <c r="N67">
        <v>-47118174</v>
      </c>
      <c r="O67">
        <v>-72176716</v>
      </c>
      <c r="P67">
        <v>2365</v>
      </c>
      <c r="Q67" t="s">
        <v>166</v>
      </c>
    </row>
    <row r="68" spans="1:17" x14ac:dyDescent="0.3">
      <c r="A68" t="s">
        <v>32</v>
      </c>
      <c r="B68" t="str">
        <f>"000540"</f>
        <v>000540</v>
      </c>
      <c r="C68" t="s">
        <v>167</v>
      </c>
      <c r="D68" t="s">
        <v>151</v>
      </c>
      <c r="E68">
        <v>3609705501</v>
      </c>
      <c r="F68">
        <v>11495774039</v>
      </c>
      <c r="G68">
        <v>1657755244</v>
      </c>
      <c r="H68">
        <v>8203126701</v>
      </c>
      <c r="I68">
        <v>-1157076484</v>
      </c>
      <c r="J68">
        <v>-3002052372</v>
      </c>
      <c r="K68">
        <v>-1614670324</v>
      </c>
      <c r="L68">
        <v>-955877235</v>
      </c>
      <c r="M68">
        <v>-194231045</v>
      </c>
      <c r="N68">
        <v>-800823744</v>
      </c>
      <c r="O68">
        <v>-276092855</v>
      </c>
      <c r="P68">
        <v>5239</v>
      </c>
      <c r="Q68" t="s">
        <v>168</v>
      </c>
    </row>
    <row r="69" spans="1:17" x14ac:dyDescent="0.3">
      <c r="A69" t="s">
        <v>32</v>
      </c>
      <c r="B69" t="str">
        <f>"002926"</f>
        <v>002926</v>
      </c>
      <c r="C69" t="s">
        <v>169</v>
      </c>
      <c r="D69" t="s">
        <v>26</v>
      </c>
      <c r="E69">
        <v>3596409788</v>
      </c>
      <c r="F69">
        <v>4971704249</v>
      </c>
      <c r="G69">
        <v>-117118909</v>
      </c>
      <c r="H69">
        <v>4372926291</v>
      </c>
      <c r="I69">
        <v>-1905921072</v>
      </c>
      <c r="J69">
        <v>-2940189162</v>
      </c>
      <c r="P69">
        <v>921</v>
      </c>
      <c r="Q69" t="s">
        <v>170</v>
      </c>
    </row>
    <row r="70" spans="1:17" x14ac:dyDescent="0.3">
      <c r="A70" t="s">
        <v>17</v>
      </c>
      <c r="B70" t="str">
        <f>"600809"</f>
        <v>600809</v>
      </c>
      <c r="C70" t="s">
        <v>171</v>
      </c>
      <c r="D70" t="s">
        <v>172</v>
      </c>
      <c r="E70">
        <v>3527803273</v>
      </c>
      <c r="F70">
        <v>218741101</v>
      </c>
      <c r="G70">
        <v>117248710</v>
      </c>
      <c r="H70">
        <v>2492456602</v>
      </c>
      <c r="I70">
        <v>212048760</v>
      </c>
      <c r="J70">
        <v>-63595902</v>
      </c>
      <c r="K70">
        <v>22008442</v>
      </c>
      <c r="L70">
        <v>3548355</v>
      </c>
      <c r="M70">
        <v>141577931</v>
      </c>
      <c r="N70">
        <v>-188605672</v>
      </c>
      <c r="O70">
        <v>241959402</v>
      </c>
      <c r="P70">
        <v>3746</v>
      </c>
      <c r="Q70" t="s">
        <v>173</v>
      </c>
    </row>
    <row r="71" spans="1:17" x14ac:dyDescent="0.3">
      <c r="A71" t="s">
        <v>17</v>
      </c>
      <c r="B71" t="str">
        <f>"600598"</f>
        <v>600598</v>
      </c>
      <c r="C71" t="s">
        <v>174</v>
      </c>
      <c r="D71" t="s">
        <v>175</v>
      </c>
      <c r="E71">
        <v>3387139444</v>
      </c>
      <c r="F71">
        <v>3006641249</v>
      </c>
      <c r="G71">
        <v>2818427139</v>
      </c>
      <c r="H71">
        <v>2613590744</v>
      </c>
      <c r="I71">
        <v>2507585325</v>
      </c>
      <c r="J71">
        <v>1872032845</v>
      </c>
      <c r="K71">
        <v>1528528383</v>
      </c>
      <c r="L71">
        <v>1081119461</v>
      </c>
      <c r="M71">
        <v>2412104903</v>
      </c>
      <c r="N71">
        <v>1359572083</v>
      </c>
      <c r="O71">
        <v>1716539602</v>
      </c>
      <c r="P71">
        <v>1085</v>
      </c>
      <c r="Q71" t="s">
        <v>176</v>
      </c>
    </row>
    <row r="72" spans="1:17" x14ac:dyDescent="0.3">
      <c r="A72" t="s">
        <v>17</v>
      </c>
      <c r="B72" t="str">
        <f>"688075"</f>
        <v>688075</v>
      </c>
      <c r="C72" t="s">
        <v>177</v>
      </c>
      <c r="D72" t="s">
        <v>98</v>
      </c>
      <c r="E72">
        <v>3351093066</v>
      </c>
      <c r="P72">
        <v>37</v>
      </c>
      <c r="Q72" t="s">
        <v>178</v>
      </c>
    </row>
    <row r="73" spans="1:17" x14ac:dyDescent="0.3">
      <c r="A73" t="s">
        <v>32</v>
      </c>
      <c r="B73" t="str">
        <f>"000709"</f>
        <v>000709</v>
      </c>
      <c r="C73" t="s">
        <v>179</v>
      </c>
      <c r="D73" t="s">
        <v>163</v>
      </c>
      <c r="E73">
        <v>3325997475</v>
      </c>
      <c r="F73">
        <v>2424300565</v>
      </c>
      <c r="G73">
        <v>3031615772</v>
      </c>
      <c r="H73">
        <v>2940561571</v>
      </c>
      <c r="I73">
        <v>2600685417</v>
      </c>
      <c r="J73">
        <v>2452721529</v>
      </c>
      <c r="K73">
        <v>2771339643</v>
      </c>
      <c r="L73">
        <v>2010187362</v>
      </c>
      <c r="M73">
        <v>1671810856</v>
      </c>
      <c r="N73">
        <v>-947322556</v>
      </c>
      <c r="O73">
        <v>-2556155780</v>
      </c>
      <c r="P73">
        <v>524</v>
      </c>
      <c r="Q73" t="s">
        <v>180</v>
      </c>
    </row>
    <row r="74" spans="1:17" x14ac:dyDescent="0.3">
      <c r="A74" t="s">
        <v>32</v>
      </c>
      <c r="B74" t="str">
        <f>"200596"</f>
        <v>200596</v>
      </c>
      <c r="C74" t="s">
        <v>181</v>
      </c>
      <c r="E74">
        <v>3022271003.1859999</v>
      </c>
      <c r="F74">
        <v>-1780154995.6815</v>
      </c>
      <c r="G74">
        <v>1653685642.5243001</v>
      </c>
      <c r="H74">
        <v>1102519620.5534999</v>
      </c>
      <c r="I74">
        <v>154067138.46450001</v>
      </c>
      <c r="J74">
        <v>695621524.94140005</v>
      </c>
      <c r="K74">
        <v>521225562.77219999</v>
      </c>
      <c r="L74">
        <v>298882766.25</v>
      </c>
      <c r="M74">
        <v>-79782194.158800006</v>
      </c>
      <c r="N74">
        <v>489852179.85900003</v>
      </c>
      <c r="O74">
        <v>-248087689.713</v>
      </c>
      <c r="P74">
        <v>745</v>
      </c>
      <c r="Q74" t="s">
        <v>182</v>
      </c>
    </row>
    <row r="75" spans="1:17" x14ac:dyDescent="0.3">
      <c r="A75" t="s">
        <v>17</v>
      </c>
      <c r="B75" t="str">
        <f>"601696"</f>
        <v>601696</v>
      </c>
      <c r="C75" t="s">
        <v>183</v>
      </c>
      <c r="D75" t="s">
        <v>26</v>
      </c>
      <c r="E75">
        <v>3020552474</v>
      </c>
      <c r="F75">
        <v>3298991311</v>
      </c>
      <c r="G75">
        <v>4393848563</v>
      </c>
      <c r="H75">
        <v>5879236480</v>
      </c>
      <c r="J75">
        <v>-1822667814</v>
      </c>
      <c r="L75">
        <v>5032364953</v>
      </c>
      <c r="P75">
        <v>517</v>
      </c>
      <c r="Q75" t="s">
        <v>184</v>
      </c>
    </row>
    <row r="76" spans="1:17" x14ac:dyDescent="0.3">
      <c r="A76" t="s">
        <v>17</v>
      </c>
      <c r="B76" t="str">
        <f>"600507"</f>
        <v>600507</v>
      </c>
      <c r="C76" t="s">
        <v>185</v>
      </c>
      <c r="D76" t="s">
        <v>163</v>
      </c>
      <c r="E76">
        <v>2990030914</v>
      </c>
      <c r="F76">
        <v>-160003242</v>
      </c>
      <c r="G76">
        <v>526741998</v>
      </c>
      <c r="H76">
        <v>-1119321747</v>
      </c>
      <c r="I76">
        <v>213935231</v>
      </c>
      <c r="J76">
        <v>529557545</v>
      </c>
      <c r="K76">
        <v>473144658</v>
      </c>
      <c r="L76">
        <v>-10368609</v>
      </c>
      <c r="M76">
        <v>-756394903</v>
      </c>
      <c r="N76">
        <v>353348366</v>
      </c>
      <c r="O76">
        <v>-310738507</v>
      </c>
      <c r="P76">
        <v>1895</v>
      </c>
      <c r="Q76" t="s">
        <v>186</v>
      </c>
    </row>
    <row r="77" spans="1:17" x14ac:dyDescent="0.3">
      <c r="A77" t="s">
        <v>17</v>
      </c>
      <c r="B77" t="str">
        <f>"600685"</f>
        <v>600685</v>
      </c>
      <c r="C77" t="s">
        <v>187</v>
      </c>
      <c r="D77" t="s">
        <v>188</v>
      </c>
      <c r="E77">
        <v>2978862873</v>
      </c>
      <c r="F77">
        <v>90920868</v>
      </c>
      <c r="G77">
        <v>-1216916337</v>
      </c>
      <c r="H77">
        <v>-3015438218</v>
      </c>
      <c r="I77">
        <v>-2026836622</v>
      </c>
      <c r="J77">
        <v>-2152125259</v>
      </c>
      <c r="K77">
        <v>-2004050722</v>
      </c>
      <c r="L77">
        <v>-3606637713</v>
      </c>
      <c r="M77">
        <v>-200332821</v>
      </c>
      <c r="N77">
        <v>-730988248</v>
      </c>
      <c r="O77">
        <v>-441763809</v>
      </c>
      <c r="P77">
        <v>263</v>
      </c>
      <c r="Q77" t="s">
        <v>189</v>
      </c>
    </row>
    <row r="78" spans="1:17" x14ac:dyDescent="0.3">
      <c r="A78" t="s">
        <v>32</v>
      </c>
      <c r="B78" t="str">
        <f>"000415"</f>
        <v>000415</v>
      </c>
      <c r="C78" t="s">
        <v>190</v>
      </c>
      <c r="D78" t="s">
        <v>26</v>
      </c>
      <c r="E78">
        <v>2971462000</v>
      </c>
      <c r="F78">
        <v>-2543337000</v>
      </c>
      <c r="G78">
        <v>12631000</v>
      </c>
      <c r="H78">
        <v>3771483000</v>
      </c>
      <c r="I78">
        <v>2034563000</v>
      </c>
      <c r="J78">
        <v>-4792943000</v>
      </c>
      <c r="K78">
        <v>-3936840000</v>
      </c>
      <c r="L78">
        <v>-3216290000</v>
      </c>
      <c r="M78">
        <v>-2196043000</v>
      </c>
      <c r="N78">
        <v>-1156921221</v>
      </c>
      <c r="O78">
        <v>-1983927623</v>
      </c>
      <c r="P78">
        <v>256</v>
      </c>
      <c r="Q78" t="s">
        <v>191</v>
      </c>
    </row>
    <row r="79" spans="1:17" x14ac:dyDescent="0.3">
      <c r="A79" t="s">
        <v>32</v>
      </c>
      <c r="B79" t="str">
        <f>"000560"</f>
        <v>000560</v>
      </c>
      <c r="C79" t="s">
        <v>192</v>
      </c>
      <c r="D79" t="s">
        <v>151</v>
      </c>
      <c r="E79">
        <v>2896730887</v>
      </c>
      <c r="F79">
        <v>218619819</v>
      </c>
      <c r="G79">
        <v>-492152419</v>
      </c>
      <c r="H79">
        <v>240409331</v>
      </c>
      <c r="I79">
        <v>-541291888</v>
      </c>
      <c r="J79">
        <v>-285806665</v>
      </c>
      <c r="K79">
        <v>10379157</v>
      </c>
      <c r="L79">
        <v>-13670165</v>
      </c>
      <c r="M79">
        <v>-94042181</v>
      </c>
      <c r="N79">
        <v>-177693590</v>
      </c>
      <c r="O79">
        <v>-76286560</v>
      </c>
      <c r="P79">
        <v>206</v>
      </c>
      <c r="Q79" t="s">
        <v>193</v>
      </c>
    </row>
    <row r="80" spans="1:17" x14ac:dyDescent="0.3">
      <c r="A80" t="s">
        <v>17</v>
      </c>
      <c r="B80" t="str">
        <f>"600908"</f>
        <v>600908</v>
      </c>
      <c r="C80" t="s">
        <v>194</v>
      </c>
      <c r="D80" t="s">
        <v>19</v>
      </c>
      <c r="E80">
        <v>2790657000</v>
      </c>
      <c r="F80">
        <v>1899634000</v>
      </c>
      <c r="G80">
        <v>3975415000</v>
      </c>
      <c r="H80">
        <v>2197302000</v>
      </c>
      <c r="I80">
        <v>-3680527000</v>
      </c>
      <c r="J80">
        <v>4185842000</v>
      </c>
      <c r="K80">
        <v>-1289154000</v>
      </c>
      <c r="P80">
        <v>897</v>
      </c>
      <c r="Q80" t="s">
        <v>195</v>
      </c>
    </row>
    <row r="81" spans="1:17" x14ac:dyDescent="0.3">
      <c r="A81" t="s">
        <v>32</v>
      </c>
      <c r="B81" t="str">
        <f>"000933"</f>
        <v>000933</v>
      </c>
      <c r="C81" t="s">
        <v>196</v>
      </c>
      <c r="D81" t="s">
        <v>121</v>
      </c>
      <c r="E81">
        <v>2776407960</v>
      </c>
      <c r="F81">
        <v>2695011329</v>
      </c>
      <c r="G81">
        <v>167492770</v>
      </c>
      <c r="H81">
        <v>687197630</v>
      </c>
      <c r="I81">
        <v>261217952</v>
      </c>
      <c r="J81">
        <v>541124996</v>
      </c>
      <c r="K81">
        <v>60982188</v>
      </c>
      <c r="L81">
        <v>-185413</v>
      </c>
      <c r="M81">
        <v>-1166015869</v>
      </c>
      <c r="N81">
        <v>-105564264</v>
      </c>
      <c r="O81">
        <v>8165926</v>
      </c>
      <c r="P81">
        <v>461</v>
      </c>
      <c r="Q81" t="s">
        <v>197</v>
      </c>
    </row>
    <row r="82" spans="1:17" x14ac:dyDescent="0.3">
      <c r="A82" t="s">
        <v>17</v>
      </c>
      <c r="B82" t="str">
        <f>"600741"</f>
        <v>600741</v>
      </c>
      <c r="C82" t="s">
        <v>198</v>
      </c>
      <c r="D82" t="s">
        <v>199</v>
      </c>
      <c r="E82">
        <v>2733234925</v>
      </c>
      <c r="F82">
        <v>3086332820</v>
      </c>
      <c r="G82">
        <v>1453930890</v>
      </c>
      <c r="H82">
        <v>-2350837384</v>
      </c>
      <c r="I82">
        <v>-2713256351</v>
      </c>
      <c r="J82">
        <v>-891837609</v>
      </c>
      <c r="K82">
        <v>174148366</v>
      </c>
      <c r="L82">
        <v>205509660</v>
      </c>
      <c r="M82">
        <v>-739596728</v>
      </c>
      <c r="N82">
        <v>71401908</v>
      </c>
      <c r="O82">
        <v>20009785</v>
      </c>
      <c r="P82">
        <v>6373</v>
      </c>
      <c r="Q82" t="s">
        <v>200</v>
      </c>
    </row>
    <row r="83" spans="1:17" x14ac:dyDescent="0.3">
      <c r="A83" t="s">
        <v>32</v>
      </c>
      <c r="B83" t="str">
        <f>"000517"</f>
        <v>000517</v>
      </c>
      <c r="C83" t="s">
        <v>201</v>
      </c>
      <c r="D83" t="s">
        <v>151</v>
      </c>
      <c r="E83">
        <v>2618901270</v>
      </c>
      <c r="F83">
        <v>-2536647550</v>
      </c>
      <c r="G83">
        <v>-348159877</v>
      </c>
      <c r="H83">
        <v>-271305591</v>
      </c>
      <c r="I83">
        <v>518686609</v>
      </c>
      <c r="J83">
        <v>34016421</v>
      </c>
      <c r="K83">
        <v>246357089</v>
      </c>
      <c r="L83">
        <v>-300446189</v>
      </c>
      <c r="M83">
        <v>85450856</v>
      </c>
      <c r="N83">
        <v>248286264</v>
      </c>
      <c r="O83">
        <v>475124212</v>
      </c>
      <c r="P83">
        <v>312</v>
      </c>
      <c r="Q83" t="s">
        <v>202</v>
      </c>
    </row>
    <row r="84" spans="1:17" x14ac:dyDescent="0.3">
      <c r="A84" t="s">
        <v>17</v>
      </c>
      <c r="B84" t="str">
        <f>"600900"</f>
        <v>600900</v>
      </c>
      <c r="C84" t="s">
        <v>203</v>
      </c>
      <c r="D84" t="s">
        <v>158</v>
      </c>
      <c r="E84">
        <v>2569107756</v>
      </c>
      <c r="F84">
        <v>2822941337</v>
      </c>
      <c r="G84">
        <v>4720715992</v>
      </c>
      <c r="H84">
        <v>4315512658</v>
      </c>
      <c r="I84">
        <v>5563450685</v>
      </c>
      <c r="J84">
        <v>5019724551</v>
      </c>
      <c r="K84">
        <v>3084966580</v>
      </c>
      <c r="L84">
        <v>2091332709</v>
      </c>
      <c r="M84">
        <v>2295499710</v>
      </c>
      <c r="N84">
        <v>2093900421</v>
      </c>
      <c r="O84">
        <v>3101810498</v>
      </c>
      <c r="P84">
        <v>5904</v>
      </c>
      <c r="Q84" t="s">
        <v>204</v>
      </c>
    </row>
    <row r="85" spans="1:17" x14ac:dyDescent="0.3">
      <c r="A85" t="s">
        <v>32</v>
      </c>
      <c r="B85" t="str">
        <f>"000883"</f>
        <v>000883</v>
      </c>
      <c r="C85" t="s">
        <v>205</v>
      </c>
      <c r="D85" t="s">
        <v>158</v>
      </c>
      <c r="E85">
        <v>2564329165</v>
      </c>
      <c r="F85">
        <v>1072442727</v>
      </c>
      <c r="G85">
        <v>556945054</v>
      </c>
      <c r="H85">
        <v>62052169</v>
      </c>
      <c r="I85">
        <v>-206605801</v>
      </c>
      <c r="J85">
        <v>-821781594</v>
      </c>
      <c r="K85">
        <v>-1198413713</v>
      </c>
      <c r="L85">
        <v>427625114</v>
      </c>
      <c r="M85">
        <v>56193981</v>
      </c>
      <c r="N85">
        <v>4988127</v>
      </c>
      <c r="O85">
        <v>366289757</v>
      </c>
      <c r="P85">
        <v>419</v>
      </c>
      <c r="Q85" t="s">
        <v>206</v>
      </c>
    </row>
    <row r="86" spans="1:17" x14ac:dyDescent="0.3">
      <c r="A86" t="s">
        <v>17</v>
      </c>
      <c r="B86" t="str">
        <f>"600795"</f>
        <v>600795</v>
      </c>
      <c r="C86" t="s">
        <v>207</v>
      </c>
      <c r="D86" t="s">
        <v>158</v>
      </c>
      <c r="E86">
        <v>2532261291</v>
      </c>
      <c r="F86">
        <v>4153020288</v>
      </c>
      <c r="G86">
        <v>7619474870</v>
      </c>
      <c r="H86">
        <v>7408881812</v>
      </c>
      <c r="I86">
        <v>-622471907</v>
      </c>
      <c r="J86">
        <v>1894461535</v>
      </c>
      <c r="K86">
        <v>3199798001</v>
      </c>
      <c r="L86">
        <v>2774189379</v>
      </c>
      <c r="M86">
        <v>2478571</v>
      </c>
      <c r="N86">
        <v>-1950934248</v>
      </c>
      <c r="O86">
        <v>-1961021511</v>
      </c>
      <c r="P86">
        <v>548</v>
      </c>
      <c r="Q86" t="s">
        <v>208</v>
      </c>
    </row>
    <row r="87" spans="1:17" x14ac:dyDescent="0.3">
      <c r="A87" t="s">
        <v>32</v>
      </c>
      <c r="B87" t="str">
        <f>"000656"</f>
        <v>000656</v>
      </c>
      <c r="C87" t="s">
        <v>209</v>
      </c>
      <c r="D87" t="s">
        <v>151</v>
      </c>
      <c r="E87">
        <v>2470158134</v>
      </c>
      <c r="F87">
        <v>-2339410223</v>
      </c>
      <c r="G87">
        <v>-5947326124</v>
      </c>
      <c r="H87">
        <v>-8399258413</v>
      </c>
      <c r="I87">
        <v>-1060002183</v>
      </c>
      <c r="J87">
        <v>-6212978745</v>
      </c>
      <c r="K87">
        <v>-525326448</v>
      </c>
      <c r="L87">
        <v>-255743399</v>
      </c>
      <c r="M87">
        <v>-848362807</v>
      </c>
      <c r="N87">
        <v>-837011876</v>
      </c>
      <c r="O87">
        <v>-641089875</v>
      </c>
      <c r="P87">
        <v>1065</v>
      </c>
      <c r="Q87" t="s">
        <v>210</v>
      </c>
    </row>
    <row r="88" spans="1:17" x14ac:dyDescent="0.3">
      <c r="A88" t="s">
        <v>32</v>
      </c>
      <c r="B88" t="str">
        <f>"000596"</f>
        <v>000596</v>
      </c>
      <c r="C88" t="s">
        <v>211</v>
      </c>
      <c r="D88" t="s">
        <v>172</v>
      </c>
      <c r="E88">
        <v>2449166129</v>
      </c>
      <c r="F88">
        <v>-1502874627</v>
      </c>
      <c r="G88">
        <v>1513117067</v>
      </c>
      <c r="H88">
        <v>943049885</v>
      </c>
      <c r="I88">
        <v>123204429</v>
      </c>
      <c r="J88">
        <v>616576427</v>
      </c>
      <c r="K88">
        <v>433884594</v>
      </c>
      <c r="L88">
        <v>239106213</v>
      </c>
      <c r="M88">
        <v>-63907557</v>
      </c>
      <c r="N88">
        <v>391944455</v>
      </c>
      <c r="O88">
        <v>-201206561</v>
      </c>
      <c r="P88">
        <v>53683</v>
      </c>
      <c r="Q88" t="s">
        <v>212</v>
      </c>
    </row>
    <row r="89" spans="1:17" x14ac:dyDescent="0.3">
      <c r="A89" t="s">
        <v>17</v>
      </c>
      <c r="B89" t="str">
        <f>"601665"</f>
        <v>601665</v>
      </c>
      <c r="C89" t="s">
        <v>213</v>
      </c>
      <c r="D89" t="s">
        <v>19</v>
      </c>
      <c r="E89">
        <v>2365470000</v>
      </c>
      <c r="F89">
        <v>-1235983000</v>
      </c>
      <c r="G89">
        <v>103266000</v>
      </c>
      <c r="P89">
        <v>52</v>
      </c>
      <c r="Q89" t="s">
        <v>214</v>
      </c>
    </row>
    <row r="90" spans="1:17" x14ac:dyDescent="0.3">
      <c r="A90" t="s">
        <v>32</v>
      </c>
      <c r="B90" t="str">
        <f>"000983"</f>
        <v>000983</v>
      </c>
      <c r="C90" t="s">
        <v>215</v>
      </c>
      <c r="D90" t="s">
        <v>73</v>
      </c>
      <c r="E90">
        <v>2346933706</v>
      </c>
      <c r="F90">
        <v>652266864</v>
      </c>
      <c r="G90">
        <v>1311446787</v>
      </c>
      <c r="H90">
        <v>916620950</v>
      </c>
      <c r="I90">
        <v>1491973221</v>
      </c>
      <c r="J90">
        <v>99291947</v>
      </c>
      <c r="K90">
        <v>265906470</v>
      </c>
      <c r="L90">
        <v>-1128038584</v>
      </c>
      <c r="M90">
        <v>80418277</v>
      </c>
      <c r="N90">
        <v>2082667</v>
      </c>
      <c r="O90">
        <v>12421142</v>
      </c>
      <c r="P90">
        <v>688</v>
      </c>
      <c r="Q90" t="s">
        <v>216</v>
      </c>
    </row>
    <row r="91" spans="1:17" x14ac:dyDescent="0.3">
      <c r="A91" t="s">
        <v>17</v>
      </c>
      <c r="B91" t="str">
        <f>"601933"</f>
        <v>601933</v>
      </c>
      <c r="C91" t="s">
        <v>217</v>
      </c>
      <c r="D91" t="s">
        <v>218</v>
      </c>
      <c r="E91">
        <v>2327033611</v>
      </c>
      <c r="F91">
        <v>687295432</v>
      </c>
      <c r="G91">
        <v>3467917969</v>
      </c>
      <c r="H91">
        <v>1001736606</v>
      </c>
      <c r="I91">
        <v>616189826</v>
      </c>
      <c r="J91">
        <v>479028132</v>
      </c>
      <c r="K91">
        <v>998226050</v>
      </c>
      <c r="L91">
        <v>830378704</v>
      </c>
      <c r="M91">
        <v>662307295</v>
      </c>
      <c r="N91">
        <v>356256936</v>
      </c>
      <c r="O91">
        <v>-64588455</v>
      </c>
      <c r="P91">
        <v>2444</v>
      </c>
      <c r="Q91" t="s">
        <v>219</v>
      </c>
    </row>
    <row r="92" spans="1:17" x14ac:dyDescent="0.3">
      <c r="A92" t="s">
        <v>17</v>
      </c>
      <c r="B92" t="str">
        <f>"601899"</f>
        <v>601899</v>
      </c>
      <c r="C92" t="s">
        <v>220</v>
      </c>
      <c r="D92" t="s">
        <v>121</v>
      </c>
      <c r="E92">
        <v>2322014972</v>
      </c>
      <c r="F92">
        <v>1362097093</v>
      </c>
      <c r="G92">
        <v>655701116</v>
      </c>
      <c r="H92">
        <v>-159671660</v>
      </c>
      <c r="I92">
        <v>391452108</v>
      </c>
      <c r="J92">
        <v>436561627</v>
      </c>
      <c r="K92">
        <v>-305452737</v>
      </c>
      <c r="L92">
        <v>448118435</v>
      </c>
      <c r="M92">
        <v>-346107593</v>
      </c>
      <c r="N92">
        <v>-674905864</v>
      </c>
      <c r="O92">
        <v>-668244859</v>
      </c>
      <c r="P92">
        <v>2406</v>
      </c>
      <c r="Q92" t="s">
        <v>221</v>
      </c>
    </row>
    <row r="93" spans="1:17" x14ac:dyDescent="0.3">
      <c r="A93" t="s">
        <v>17</v>
      </c>
      <c r="B93" t="str">
        <f>"601169"</f>
        <v>601169</v>
      </c>
      <c r="C93" t="s">
        <v>222</v>
      </c>
      <c r="D93" t="s">
        <v>19</v>
      </c>
      <c r="E93">
        <v>2235000000</v>
      </c>
      <c r="F93">
        <v>25807000000</v>
      </c>
      <c r="G93">
        <v>-32326000000</v>
      </c>
      <c r="H93">
        <v>20919000000</v>
      </c>
      <c r="I93">
        <v>-28648000000</v>
      </c>
      <c r="J93">
        <v>-21250000000</v>
      </c>
      <c r="K93">
        <v>-125630000000</v>
      </c>
      <c r="L93">
        <v>-20128000000</v>
      </c>
      <c r="M93">
        <v>1205933000</v>
      </c>
      <c r="N93">
        <v>-2885888000</v>
      </c>
      <c r="O93">
        <v>-27277991000</v>
      </c>
      <c r="P93">
        <v>16387</v>
      </c>
      <c r="Q93" t="s">
        <v>223</v>
      </c>
    </row>
    <row r="94" spans="1:17" x14ac:dyDescent="0.3">
      <c r="A94" t="s">
        <v>32</v>
      </c>
      <c r="B94" t="str">
        <f>"002146"</f>
        <v>002146</v>
      </c>
      <c r="C94" t="s">
        <v>224</v>
      </c>
      <c r="D94" t="s">
        <v>151</v>
      </c>
      <c r="E94">
        <v>2209757378</v>
      </c>
      <c r="F94">
        <v>-5193470444</v>
      </c>
      <c r="G94">
        <v>-5029257369</v>
      </c>
      <c r="H94">
        <v>-1358271908</v>
      </c>
      <c r="I94">
        <v>-3534376501</v>
      </c>
      <c r="J94">
        <v>-810707020</v>
      </c>
      <c r="K94">
        <v>-6711918095</v>
      </c>
      <c r="L94">
        <v>-3123595221</v>
      </c>
      <c r="M94">
        <v>-853381564</v>
      </c>
      <c r="N94">
        <v>-2242091321</v>
      </c>
      <c r="O94">
        <v>-1158920073</v>
      </c>
      <c r="P94">
        <v>12586</v>
      </c>
      <c r="Q94" t="s">
        <v>225</v>
      </c>
    </row>
    <row r="95" spans="1:17" x14ac:dyDescent="0.3">
      <c r="A95" t="s">
        <v>32</v>
      </c>
      <c r="B95" t="str">
        <f>"002938"</f>
        <v>002938</v>
      </c>
      <c r="C95" t="s">
        <v>226</v>
      </c>
      <c r="D95" t="s">
        <v>124</v>
      </c>
      <c r="E95">
        <v>2182164163</v>
      </c>
      <c r="F95">
        <v>78913262</v>
      </c>
      <c r="G95">
        <v>1238216132</v>
      </c>
      <c r="H95">
        <v>299311750</v>
      </c>
      <c r="I95">
        <v>1784249234</v>
      </c>
      <c r="P95">
        <v>961</v>
      </c>
      <c r="Q95" t="s">
        <v>227</v>
      </c>
    </row>
    <row r="96" spans="1:17" x14ac:dyDescent="0.3">
      <c r="A96" t="s">
        <v>17</v>
      </c>
      <c r="B96" t="str">
        <f>"601108"</f>
        <v>601108</v>
      </c>
      <c r="C96" t="s">
        <v>228</v>
      </c>
      <c r="D96" t="s">
        <v>26</v>
      </c>
      <c r="E96">
        <v>2174901766</v>
      </c>
      <c r="F96">
        <v>2900517374</v>
      </c>
      <c r="G96">
        <v>1836987279</v>
      </c>
      <c r="H96">
        <v>7802635590</v>
      </c>
      <c r="I96">
        <v>3431410934</v>
      </c>
      <c r="J96">
        <v>-3816371834</v>
      </c>
      <c r="L96">
        <v>4726055700</v>
      </c>
      <c r="P96">
        <v>980</v>
      </c>
      <c r="Q96" t="s">
        <v>229</v>
      </c>
    </row>
    <row r="97" spans="1:17" x14ac:dyDescent="0.3">
      <c r="A97" t="s">
        <v>17</v>
      </c>
      <c r="B97" t="str">
        <f>"600027"</f>
        <v>600027</v>
      </c>
      <c r="C97" t="s">
        <v>230</v>
      </c>
      <c r="D97" t="s">
        <v>158</v>
      </c>
      <c r="E97">
        <v>2113798000</v>
      </c>
      <c r="F97">
        <v>918049000</v>
      </c>
      <c r="G97">
        <v>4131966000</v>
      </c>
      <c r="H97">
        <v>3405563000</v>
      </c>
      <c r="I97">
        <v>1879392000</v>
      </c>
      <c r="J97">
        <v>177568000</v>
      </c>
      <c r="K97">
        <v>3232505000</v>
      </c>
      <c r="L97">
        <v>5240299000</v>
      </c>
      <c r="M97">
        <v>3064185000</v>
      </c>
      <c r="N97">
        <v>3085746000</v>
      </c>
      <c r="O97">
        <v>-742325000</v>
      </c>
      <c r="P97">
        <v>987</v>
      </c>
      <c r="Q97" t="s">
        <v>231</v>
      </c>
    </row>
    <row r="98" spans="1:17" x14ac:dyDescent="0.3">
      <c r="A98" t="s">
        <v>17</v>
      </c>
      <c r="B98" t="str">
        <f>"600018"</f>
        <v>600018</v>
      </c>
      <c r="C98" t="s">
        <v>232</v>
      </c>
      <c r="D98" t="s">
        <v>46</v>
      </c>
      <c r="E98">
        <v>2101522923</v>
      </c>
      <c r="F98">
        <v>1929148208</v>
      </c>
      <c r="G98">
        <v>-631184997</v>
      </c>
      <c r="H98">
        <v>-596808011</v>
      </c>
      <c r="I98">
        <v>-127269591</v>
      </c>
      <c r="J98">
        <v>-33957880</v>
      </c>
      <c r="K98">
        <v>-1357130029</v>
      </c>
      <c r="L98">
        <v>1590428793</v>
      </c>
      <c r="M98">
        <v>1947413540</v>
      </c>
      <c r="N98">
        <v>941595323</v>
      </c>
      <c r="O98">
        <v>1019029585</v>
      </c>
      <c r="P98">
        <v>878</v>
      </c>
      <c r="Q98" t="s">
        <v>233</v>
      </c>
    </row>
    <row r="99" spans="1:17" x14ac:dyDescent="0.3">
      <c r="A99" t="s">
        <v>17</v>
      </c>
      <c r="B99" t="str">
        <f>"600325"</f>
        <v>600325</v>
      </c>
      <c r="C99" t="s">
        <v>234</v>
      </c>
      <c r="D99" t="s">
        <v>151</v>
      </c>
      <c r="E99">
        <v>2088936735</v>
      </c>
      <c r="F99">
        <v>-4207306201</v>
      </c>
      <c r="G99">
        <v>-1772656590</v>
      </c>
      <c r="H99">
        <v>-3851454463</v>
      </c>
      <c r="I99">
        <v>-4893227348</v>
      </c>
      <c r="J99">
        <v>-1629648678</v>
      </c>
      <c r="K99">
        <v>2916584966</v>
      </c>
      <c r="L99">
        <v>-1891785798</v>
      </c>
      <c r="M99">
        <v>-6364347841</v>
      </c>
      <c r="N99">
        <v>-998601269</v>
      </c>
      <c r="O99">
        <v>-795724367</v>
      </c>
      <c r="P99">
        <v>1185</v>
      </c>
      <c r="Q99" t="s">
        <v>235</v>
      </c>
    </row>
    <row r="100" spans="1:17" x14ac:dyDescent="0.3">
      <c r="A100" t="s">
        <v>17</v>
      </c>
      <c r="B100" t="str">
        <f>"601699"</f>
        <v>601699</v>
      </c>
      <c r="C100" t="s">
        <v>236</v>
      </c>
      <c r="D100" t="s">
        <v>73</v>
      </c>
      <c r="E100">
        <v>2044609390</v>
      </c>
      <c r="F100">
        <v>376194418</v>
      </c>
      <c r="G100">
        <v>-719875033</v>
      </c>
      <c r="H100">
        <v>887064971</v>
      </c>
      <c r="I100">
        <v>439281544</v>
      </c>
      <c r="J100">
        <v>1058827247</v>
      </c>
      <c r="K100">
        <v>268218152</v>
      </c>
      <c r="L100">
        <v>535322733</v>
      </c>
      <c r="M100">
        <v>-237204961</v>
      </c>
      <c r="N100">
        <v>-1181953649</v>
      </c>
      <c r="O100">
        <v>329348232</v>
      </c>
      <c r="P100">
        <v>791</v>
      </c>
      <c r="Q100" t="s">
        <v>237</v>
      </c>
    </row>
    <row r="101" spans="1:17" x14ac:dyDescent="0.3">
      <c r="A101" t="s">
        <v>17</v>
      </c>
      <c r="B101" t="str">
        <f>"601168"</f>
        <v>601168</v>
      </c>
      <c r="C101" t="s">
        <v>238</v>
      </c>
      <c r="D101" t="s">
        <v>121</v>
      </c>
      <c r="E101">
        <v>2030091729</v>
      </c>
      <c r="F101">
        <v>1469184691</v>
      </c>
      <c r="G101">
        <v>279987335</v>
      </c>
      <c r="H101">
        <v>1218068973</v>
      </c>
      <c r="I101">
        <v>-1255129920</v>
      </c>
      <c r="J101">
        <v>-1074012211</v>
      </c>
      <c r="K101">
        <v>-1886361743</v>
      </c>
      <c r="L101">
        <v>73878753</v>
      </c>
      <c r="M101">
        <v>-2379602941</v>
      </c>
      <c r="N101">
        <v>-886069104</v>
      </c>
      <c r="O101">
        <v>-681922809</v>
      </c>
      <c r="P101">
        <v>392</v>
      </c>
      <c r="Q101" t="s">
        <v>239</v>
      </c>
    </row>
    <row r="102" spans="1:17" x14ac:dyDescent="0.3">
      <c r="A102" t="s">
        <v>17</v>
      </c>
      <c r="B102" t="str">
        <f>"601990"</f>
        <v>601990</v>
      </c>
      <c r="C102" t="s">
        <v>240</v>
      </c>
      <c r="D102" t="s">
        <v>26</v>
      </c>
      <c r="E102">
        <v>2028742624</v>
      </c>
      <c r="F102">
        <v>-647726492</v>
      </c>
      <c r="G102">
        <v>-2049875017</v>
      </c>
      <c r="H102">
        <v>2886443037</v>
      </c>
      <c r="I102">
        <v>781888800</v>
      </c>
      <c r="J102">
        <v>357696400</v>
      </c>
      <c r="P102">
        <v>722</v>
      </c>
      <c r="Q102" t="s">
        <v>241</v>
      </c>
    </row>
    <row r="103" spans="1:17" x14ac:dyDescent="0.3">
      <c r="A103" t="s">
        <v>17</v>
      </c>
      <c r="B103" t="str">
        <f>"601156"</f>
        <v>601156</v>
      </c>
      <c r="C103" t="s">
        <v>242</v>
      </c>
      <c r="D103" t="s">
        <v>46</v>
      </c>
      <c r="E103">
        <v>2004949012</v>
      </c>
      <c r="F103">
        <v>897843626</v>
      </c>
      <c r="P103">
        <v>107</v>
      </c>
      <c r="Q103" t="s">
        <v>243</v>
      </c>
    </row>
    <row r="104" spans="1:17" x14ac:dyDescent="0.3">
      <c r="A104" t="s">
        <v>17</v>
      </c>
      <c r="B104" t="str">
        <f>"600977"</f>
        <v>600977</v>
      </c>
      <c r="C104" t="s">
        <v>244</v>
      </c>
      <c r="D104" t="s">
        <v>245</v>
      </c>
      <c r="E104">
        <v>1981787059</v>
      </c>
      <c r="F104">
        <v>1566329623</v>
      </c>
      <c r="G104">
        <v>-578428412</v>
      </c>
      <c r="H104">
        <v>1578478160</v>
      </c>
      <c r="I104">
        <v>1306188430</v>
      </c>
      <c r="J104">
        <v>1126281024</v>
      </c>
      <c r="K104">
        <v>2289966584</v>
      </c>
      <c r="L104">
        <v>-71558800</v>
      </c>
      <c r="P104">
        <v>554</v>
      </c>
      <c r="Q104" t="s">
        <v>246</v>
      </c>
    </row>
    <row r="105" spans="1:17" x14ac:dyDescent="0.3">
      <c r="A105" t="s">
        <v>17</v>
      </c>
      <c r="B105" t="str">
        <f>"600155"</f>
        <v>600155</v>
      </c>
      <c r="C105" t="s">
        <v>247</v>
      </c>
      <c r="D105" t="s">
        <v>26</v>
      </c>
      <c r="E105">
        <v>1949091498</v>
      </c>
      <c r="F105">
        <v>550509592</v>
      </c>
      <c r="G105">
        <v>2379116632</v>
      </c>
      <c r="H105">
        <v>797490566</v>
      </c>
      <c r="I105">
        <v>455134910</v>
      </c>
      <c r="J105">
        <v>-1241817852</v>
      </c>
      <c r="K105">
        <v>-53639072</v>
      </c>
      <c r="L105">
        <v>-26289615</v>
      </c>
      <c r="M105">
        <v>-110354090</v>
      </c>
      <c r="N105">
        <v>-5760021</v>
      </c>
      <c r="O105">
        <v>-41481642</v>
      </c>
      <c r="P105">
        <v>630</v>
      </c>
      <c r="Q105" t="s">
        <v>248</v>
      </c>
    </row>
    <row r="106" spans="1:17" x14ac:dyDescent="0.3">
      <c r="A106" t="s">
        <v>17</v>
      </c>
      <c r="B106" t="str">
        <f>"600606"</f>
        <v>600606</v>
      </c>
      <c r="C106" t="s">
        <v>249</v>
      </c>
      <c r="D106" t="s">
        <v>151</v>
      </c>
      <c r="E106">
        <v>1921355900</v>
      </c>
      <c r="F106">
        <v>10171559986</v>
      </c>
      <c r="G106">
        <v>-9075566927</v>
      </c>
      <c r="H106">
        <v>44149523</v>
      </c>
      <c r="I106">
        <v>3442919407</v>
      </c>
      <c r="J106">
        <v>2702951260</v>
      </c>
      <c r="K106">
        <v>-29290170690</v>
      </c>
      <c r="L106">
        <v>109661744</v>
      </c>
      <c r="M106">
        <v>110310004</v>
      </c>
      <c r="N106">
        <v>-107790797</v>
      </c>
      <c r="O106">
        <v>-113310077</v>
      </c>
      <c r="P106">
        <v>1969</v>
      </c>
      <c r="Q106" t="s">
        <v>250</v>
      </c>
    </row>
    <row r="107" spans="1:17" x14ac:dyDescent="0.3">
      <c r="A107" t="s">
        <v>32</v>
      </c>
      <c r="B107" t="str">
        <f>"000951"</f>
        <v>000951</v>
      </c>
      <c r="C107" t="s">
        <v>251</v>
      </c>
      <c r="D107" t="s">
        <v>199</v>
      </c>
      <c r="E107">
        <v>1918457632</v>
      </c>
      <c r="F107">
        <v>-826214553</v>
      </c>
      <c r="G107">
        <v>334036162</v>
      </c>
      <c r="H107">
        <v>-293408688</v>
      </c>
      <c r="I107">
        <v>137142932</v>
      </c>
      <c r="J107">
        <v>-1442702923</v>
      </c>
      <c r="K107">
        <v>142698227</v>
      </c>
      <c r="L107">
        <v>301845546</v>
      </c>
      <c r="M107">
        <v>157576463</v>
      </c>
      <c r="N107">
        <v>-24571429</v>
      </c>
      <c r="O107">
        <v>-1075967484</v>
      </c>
      <c r="P107">
        <v>856</v>
      </c>
      <c r="Q107" t="s">
        <v>252</v>
      </c>
    </row>
    <row r="108" spans="1:17" x14ac:dyDescent="0.3">
      <c r="A108" t="s">
        <v>32</v>
      </c>
      <c r="B108" t="str">
        <f>"002608"</f>
        <v>002608</v>
      </c>
      <c r="C108" t="s">
        <v>253</v>
      </c>
      <c r="D108" t="s">
        <v>158</v>
      </c>
      <c r="E108">
        <v>1892250212</v>
      </c>
      <c r="F108">
        <v>-1136548477</v>
      </c>
      <c r="G108">
        <v>1233656853</v>
      </c>
      <c r="H108">
        <v>502096286</v>
      </c>
      <c r="I108">
        <v>-303822123</v>
      </c>
      <c r="J108">
        <v>-121638334</v>
      </c>
      <c r="K108">
        <v>-47864691</v>
      </c>
      <c r="L108">
        <v>-20664891</v>
      </c>
      <c r="M108">
        <v>-469420933</v>
      </c>
      <c r="N108">
        <v>-207704507</v>
      </c>
      <c r="O108">
        <v>-61105434</v>
      </c>
      <c r="P108">
        <v>138</v>
      </c>
      <c r="Q108" t="s">
        <v>254</v>
      </c>
    </row>
    <row r="109" spans="1:17" x14ac:dyDescent="0.3">
      <c r="A109" t="s">
        <v>17</v>
      </c>
      <c r="B109" t="str">
        <f>"600111"</f>
        <v>600111</v>
      </c>
      <c r="C109" t="s">
        <v>255</v>
      </c>
      <c r="D109" t="s">
        <v>121</v>
      </c>
      <c r="E109">
        <v>1775792505</v>
      </c>
      <c r="F109">
        <v>636952504</v>
      </c>
      <c r="G109">
        <v>483829180</v>
      </c>
      <c r="H109">
        <v>293617893</v>
      </c>
      <c r="I109">
        <v>643234355</v>
      </c>
      <c r="J109">
        <v>-112145354</v>
      </c>
      <c r="K109">
        <v>61558285</v>
      </c>
      <c r="L109">
        <v>742104794</v>
      </c>
      <c r="M109">
        <v>-27768368</v>
      </c>
      <c r="N109">
        <v>-411454011</v>
      </c>
      <c r="O109">
        <v>-763949304</v>
      </c>
      <c r="P109">
        <v>1179</v>
      </c>
      <c r="Q109" t="s">
        <v>256</v>
      </c>
    </row>
    <row r="110" spans="1:17" x14ac:dyDescent="0.3">
      <c r="A110" t="s">
        <v>32</v>
      </c>
      <c r="B110" t="str">
        <f>"002416"</f>
        <v>002416</v>
      </c>
      <c r="C110" t="s">
        <v>257</v>
      </c>
      <c r="D110" t="s">
        <v>218</v>
      </c>
      <c r="E110">
        <v>1713772493</v>
      </c>
      <c r="F110">
        <v>799106384</v>
      </c>
      <c r="G110">
        <v>1371708224</v>
      </c>
      <c r="H110">
        <v>1231160130</v>
      </c>
      <c r="I110">
        <v>472399646</v>
      </c>
      <c r="J110">
        <v>-274365345</v>
      </c>
      <c r="K110">
        <v>31157620</v>
      </c>
      <c r="L110">
        <v>-923948321</v>
      </c>
      <c r="M110">
        <v>803154070</v>
      </c>
      <c r="N110">
        <v>-1534312966</v>
      </c>
      <c r="O110">
        <v>-401786252</v>
      </c>
      <c r="P110">
        <v>252</v>
      </c>
      <c r="Q110" t="s">
        <v>258</v>
      </c>
    </row>
    <row r="111" spans="1:17" x14ac:dyDescent="0.3">
      <c r="A111" t="s">
        <v>32</v>
      </c>
      <c r="B111" t="str">
        <f>"000736"</f>
        <v>000736</v>
      </c>
      <c r="C111" t="s">
        <v>259</v>
      </c>
      <c r="D111" t="s">
        <v>151</v>
      </c>
      <c r="E111">
        <v>1701543011</v>
      </c>
      <c r="F111">
        <v>-3322667044</v>
      </c>
      <c r="G111">
        <v>-9020605261</v>
      </c>
      <c r="H111">
        <v>-3431963628</v>
      </c>
      <c r="I111">
        <v>-97521126</v>
      </c>
      <c r="J111">
        <v>878356200</v>
      </c>
      <c r="K111">
        <v>233490182</v>
      </c>
      <c r="L111">
        <v>-197016521</v>
      </c>
      <c r="M111">
        <v>-165440780</v>
      </c>
      <c r="N111">
        <v>-131902629</v>
      </c>
      <c r="O111">
        <v>-5030087</v>
      </c>
      <c r="P111">
        <v>189</v>
      </c>
      <c r="Q111" t="s">
        <v>260</v>
      </c>
    </row>
    <row r="112" spans="1:17" x14ac:dyDescent="0.3">
      <c r="A112" t="s">
        <v>32</v>
      </c>
      <c r="B112" t="str">
        <f>"003816"</f>
        <v>003816</v>
      </c>
      <c r="C112" t="s">
        <v>261</v>
      </c>
      <c r="D112" t="s">
        <v>158</v>
      </c>
      <c r="E112">
        <v>1699792479</v>
      </c>
      <c r="F112">
        <v>3553993447</v>
      </c>
      <c r="G112">
        <v>3545740729</v>
      </c>
      <c r="H112">
        <v>2096050283</v>
      </c>
      <c r="I112">
        <v>2256473876</v>
      </c>
      <c r="J112">
        <v>1107438248</v>
      </c>
      <c r="P112">
        <v>523</v>
      </c>
      <c r="Q112" t="s">
        <v>262</v>
      </c>
    </row>
    <row r="113" spans="1:17" x14ac:dyDescent="0.3">
      <c r="A113" t="s">
        <v>32</v>
      </c>
      <c r="B113" t="str">
        <f>"000651"</f>
        <v>000651</v>
      </c>
      <c r="C113" t="s">
        <v>263</v>
      </c>
      <c r="D113" t="s">
        <v>127</v>
      </c>
      <c r="E113">
        <v>1689009430</v>
      </c>
      <c r="F113">
        <v>-5582553375</v>
      </c>
      <c r="G113">
        <v>-12890051169</v>
      </c>
      <c r="H113">
        <v>6899347040</v>
      </c>
      <c r="I113">
        <v>13647837282</v>
      </c>
      <c r="J113">
        <v>8167341204</v>
      </c>
      <c r="K113">
        <v>5233981575</v>
      </c>
      <c r="L113">
        <v>22120837107</v>
      </c>
      <c r="M113">
        <v>20679548457</v>
      </c>
      <c r="N113">
        <v>14804895798</v>
      </c>
      <c r="O113">
        <v>17667559218</v>
      </c>
      <c r="P113">
        <v>55072</v>
      </c>
      <c r="Q113" t="s">
        <v>264</v>
      </c>
    </row>
    <row r="114" spans="1:17" x14ac:dyDescent="0.3">
      <c r="A114" t="s">
        <v>17</v>
      </c>
      <c r="B114" t="str">
        <f>"600846"</f>
        <v>600846</v>
      </c>
      <c r="C114" t="s">
        <v>265</v>
      </c>
      <c r="D114" t="s">
        <v>151</v>
      </c>
      <c r="E114">
        <v>1647652907</v>
      </c>
      <c r="F114">
        <v>-337916716</v>
      </c>
      <c r="G114">
        <v>-766096762</v>
      </c>
      <c r="H114">
        <v>-533943492</v>
      </c>
      <c r="I114">
        <v>1376020839</v>
      </c>
      <c r="J114">
        <v>-238637102</v>
      </c>
      <c r="K114">
        <v>237894690</v>
      </c>
      <c r="L114">
        <v>-20813338</v>
      </c>
      <c r="M114">
        <v>-864544094</v>
      </c>
      <c r="N114">
        <v>79186868</v>
      </c>
      <c r="O114">
        <v>-117154514</v>
      </c>
      <c r="P114">
        <v>357</v>
      </c>
      <c r="Q114" t="s">
        <v>266</v>
      </c>
    </row>
    <row r="115" spans="1:17" x14ac:dyDescent="0.3">
      <c r="A115" t="s">
        <v>17</v>
      </c>
      <c r="B115" t="str">
        <f>"600886"</f>
        <v>600886</v>
      </c>
      <c r="C115" t="s">
        <v>267</v>
      </c>
      <c r="D115" t="s">
        <v>158</v>
      </c>
      <c r="E115">
        <v>1632426497</v>
      </c>
      <c r="F115">
        <v>1729845893</v>
      </c>
      <c r="G115">
        <v>841574319</v>
      </c>
      <c r="H115">
        <v>1728265144</v>
      </c>
      <c r="I115">
        <v>2344205895</v>
      </c>
      <c r="J115">
        <v>627248495</v>
      </c>
      <c r="K115">
        <v>-1046287981</v>
      </c>
      <c r="L115">
        <v>1666442041</v>
      </c>
      <c r="M115">
        <v>-152855071</v>
      </c>
      <c r="N115">
        <v>-1950301556</v>
      </c>
      <c r="O115">
        <v>-3412420132</v>
      </c>
      <c r="P115">
        <v>2022</v>
      </c>
      <c r="Q115" t="s">
        <v>268</v>
      </c>
    </row>
    <row r="116" spans="1:17" x14ac:dyDescent="0.3">
      <c r="A116" t="s">
        <v>32</v>
      </c>
      <c r="B116" t="str">
        <f>"300433"</f>
        <v>300433</v>
      </c>
      <c r="C116" t="s">
        <v>269</v>
      </c>
      <c r="D116" t="s">
        <v>124</v>
      </c>
      <c r="E116">
        <v>1597254444</v>
      </c>
      <c r="F116">
        <v>57869212</v>
      </c>
      <c r="G116">
        <v>723877847</v>
      </c>
      <c r="H116">
        <v>1015885686</v>
      </c>
      <c r="I116">
        <v>-436193075</v>
      </c>
      <c r="J116">
        <v>-490205783</v>
      </c>
      <c r="K116">
        <v>-76023199</v>
      </c>
      <c r="L116">
        <v>-584795844</v>
      </c>
      <c r="M116">
        <v>112287344</v>
      </c>
      <c r="P116">
        <v>1652</v>
      </c>
      <c r="Q116" t="s">
        <v>270</v>
      </c>
    </row>
    <row r="117" spans="1:17" x14ac:dyDescent="0.3">
      <c r="A117" t="s">
        <v>32</v>
      </c>
      <c r="B117" t="str">
        <f>"002027"</f>
        <v>002027</v>
      </c>
      <c r="C117" t="s">
        <v>271</v>
      </c>
      <c r="D117" t="s">
        <v>245</v>
      </c>
      <c r="E117">
        <v>1596896339</v>
      </c>
      <c r="F117">
        <v>1549979793</v>
      </c>
      <c r="G117">
        <v>641747820</v>
      </c>
      <c r="H117">
        <v>405555912</v>
      </c>
      <c r="I117">
        <v>617835340</v>
      </c>
      <c r="J117">
        <v>902886001</v>
      </c>
      <c r="K117">
        <v>476620562</v>
      </c>
      <c r="L117">
        <v>15606845</v>
      </c>
      <c r="M117">
        <v>8218309</v>
      </c>
      <c r="N117">
        <v>-41371320</v>
      </c>
      <c r="O117">
        <v>-61093464</v>
      </c>
      <c r="P117">
        <v>5236</v>
      </c>
      <c r="Q117" t="s">
        <v>272</v>
      </c>
    </row>
    <row r="118" spans="1:17" x14ac:dyDescent="0.3">
      <c r="A118" t="s">
        <v>32</v>
      </c>
      <c r="B118" t="str">
        <f>"002128"</f>
        <v>002128</v>
      </c>
      <c r="C118" t="s">
        <v>273</v>
      </c>
      <c r="D118" t="s">
        <v>73</v>
      </c>
      <c r="E118">
        <v>1561627703</v>
      </c>
      <c r="F118">
        <v>356401779</v>
      </c>
      <c r="G118">
        <v>281200084</v>
      </c>
      <c r="H118">
        <v>-338681868</v>
      </c>
      <c r="I118">
        <v>-265982297</v>
      </c>
      <c r="J118">
        <v>801470281</v>
      </c>
      <c r="K118">
        <v>-503146533</v>
      </c>
      <c r="L118">
        <v>-566669983</v>
      </c>
      <c r="M118">
        <v>-623372392</v>
      </c>
      <c r="N118">
        <v>-117692313</v>
      </c>
      <c r="O118">
        <v>-221020725</v>
      </c>
      <c r="P118">
        <v>1050</v>
      </c>
      <c r="Q118" t="s">
        <v>274</v>
      </c>
    </row>
    <row r="119" spans="1:17" x14ac:dyDescent="0.3">
      <c r="A119" t="s">
        <v>32</v>
      </c>
      <c r="B119" t="str">
        <f>"000807"</f>
        <v>000807</v>
      </c>
      <c r="C119" t="s">
        <v>275</v>
      </c>
      <c r="D119" t="s">
        <v>121</v>
      </c>
      <c r="E119">
        <v>1559451688</v>
      </c>
      <c r="F119">
        <v>1127358075</v>
      </c>
      <c r="G119">
        <v>-900039563</v>
      </c>
      <c r="H119">
        <v>169941225</v>
      </c>
      <c r="I119">
        <v>-368045113</v>
      </c>
      <c r="J119">
        <v>24250551</v>
      </c>
      <c r="K119">
        <v>-172668979</v>
      </c>
      <c r="L119">
        <v>-729890903</v>
      </c>
      <c r="M119">
        <v>357419723</v>
      </c>
      <c r="N119">
        <v>-419974152</v>
      </c>
      <c r="O119">
        <v>-486998718</v>
      </c>
      <c r="P119">
        <v>551</v>
      </c>
      <c r="Q119" t="s">
        <v>276</v>
      </c>
    </row>
    <row r="120" spans="1:17" x14ac:dyDescent="0.3">
      <c r="A120" t="s">
        <v>17</v>
      </c>
      <c r="B120" t="str">
        <f>"600823"</f>
        <v>600823</v>
      </c>
      <c r="C120" t="s">
        <v>277</v>
      </c>
      <c r="D120" t="s">
        <v>151</v>
      </c>
      <c r="E120">
        <v>1538598594</v>
      </c>
      <c r="F120">
        <v>-1442579095</v>
      </c>
      <c r="G120">
        <v>-979177741</v>
      </c>
      <c r="H120">
        <v>-2806985049</v>
      </c>
      <c r="I120">
        <v>-565817937</v>
      </c>
      <c r="J120">
        <v>-339167365</v>
      </c>
      <c r="K120">
        <v>362650217</v>
      </c>
      <c r="L120">
        <v>-1383553919</v>
      </c>
      <c r="M120">
        <v>-2342865464</v>
      </c>
      <c r="N120">
        <v>-61840533</v>
      </c>
      <c r="O120">
        <v>-1367832831</v>
      </c>
      <c r="P120">
        <v>1056</v>
      </c>
      <c r="Q120" t="s">
        <v>278</v>
      </c>
    </row>
    <row r="121" spans="1:17" x14ac:dyDescent="0.3">
      <c r="A121" t="s">
        <v>17</v>
      </c>
      <c r="B121" t="str">
        <f>"688298"</f>
        <v>688298</v>
      </c>
      <c r="C121" t="s">
        <v>279</v>
      </c>
      <c r="D121" t="s">
        <v>98</v>
      </c>
      <c r="E121">
        <v>1516320949</v>
      </c>
      <c r="F121">
        <v>1182860519</v>
      </c>
      <c r="G121">
        <v>140021848</v>
      </c>
      <c r="H121">
        <v>686271</v>
      </c>
      <c r="P121">
        <v>478</v>
      </c>
      <c r="Q121" t="s">
        <v>280</v>
      </c>
    </row>
    <row r="122" spans="1:17" x14ac:dyDescent="0.3">
      <c r="A122" t="s">
        <v>17</v>
      </c>
      <c r="B122" t="str">
        <f>"601528"</f>
        <v>601528</v>
      </c>
      <c r="C122" t="s">
        <v>281</v>
      </c>
      <c r="D122" t="s">
        <v>19</v>
      </c>
      <c r="E122">
        <v>1492869000</v>
      </c>
      <c r="F122">
        <v>-12316253993</v>
      </c>
      <c r="G122">
        <v>-8209423280</v>
      </c>
      <c r="P122">
        <v>49</v>
      </c>
      <c r="Q122" t="s">
        <v>282</v>
      </c>
    </row>
    <row r="123" spans="1:17" x14ac:dyDescent="0.3">
      <c r="A123" t="s">
        <v>17</v>
      </c>
      <c r="B123" t="str">
        <f>"600546"</f>
        <v>600546</v>
      </c>
      <c r="C123" t="s">
        <v>283</v>
      </c>
      <c r="D123" t="s">
        <v>73</v>
      </c>
      <c r="E123">
        <v>1477728392</v>
      </c>
      <c r="F123">
        <v>179682894</v>
      </c>
      <c r="G123">
        <v>-172112875</v>
      </c>
      <c r="H123">
        <v>380146716</v>
      </c>
      <c r="I123">
        <v>294797033</v>
      </c>
      <c r="J123">
        <v>275076028</v>
      </c>
      <c r="K123">
        <v>48721153</v>
      </c>
      <c r="L123">
        <v>482480</v>
      </c>
      <c r="M123">
        <v>445533516</v>
      </c>
      <c r="N123">
        <v>217914547</v>
      </c>
      <c r="O123">
        <v>-962658797</v>
      </c>
      <c r="P123">
        <v>357</v>
      </c>
      <c r="Q123" t="s">
        <v>284</v>
      </c>
    </row>
    <row r="124" spans="1:17" x14ac:dyDescent="0.3">
      <c r="A124" t="s">
        <v>32</v>
      </c>
      <c r="B124" t="str">
        <f>"000898"</f>
        <v>000898</v>
      </c>
      <c r="C124" t="s">
        <v>285</v>
      </c>
      <c r="D124" t="s">
        <v>163</v>
      </c>
      <c r="E124">
        <v>1432000000</v>
      </c>
      <c r="F124">
        <v>1578000000</v>
      </c>
      <c r="G124">
        <v>-3877000000</v>
      </c>
      <c r="H124">
        <v>1182000000</v>
      </c>
      <c r="I124">
        <v>-1095000000</v>
      </c>
      <c r="J124">
        <v>-384000000</v>
      </c>
      <c r="K124">
        <v>-1596000000</v>
      </c>
      <c r="L124">
        <v>-306000000</v>
      </c>
      <c r="M124">
        <v>435000000</v>
      </c>
      <c r="N124">
        <v>4850000000</v>
      </c>
      <c r="O124">
        <v>1764000000</v>
      </c>
      <c r="P124">
        <v>646</v>
      </c>
      <c r="Q124" t="s">
        <v>286</v>
      </c>
    </row>
    <row r="125" spans="1:17" x14ac:dyDescent="0.3">
      <c r="A125" t="s">
        <v>17</v>
      </c>
      <c r="B125" t="str">
        <f>"600426"</f>
        <v>600426</v>
      </c>
      <c r="C125" t="s">
        <v>287</v>
      </c>
      <c r="D125" t="s">
        <v>144</v>
      </c>
      <c r="E125">
        <v>1426451573</v>
      </c>
      <c r="F125">
        <v>438725632</v>
      </c>
      <c r="G125">
        <v>-20774509</v>
      </c>
      <c r="H125">
        <v>1222551408</v>
      </c>
      <c r="I125">
        <v>462809644</v>
      </c>
      <c r="J125">
        <v>-286700264</v>
      </c>
      <c r="K125">
        <v>318659442</v>
      </c>
      <c r="L125">
        <v>645281707</v>
      </c>
      <c r="M125">
        <v>282871973</v>
      </c>
      <c r="N125">
        <v>78697198</v>
      </c>
      <c r="O125">
        <v>-477890630</v>
      </c>
      <c r="P125">
        <v>1014</v>
      </c>
      <c r="Q125" t="s">
        <v>288</v>
      </c>
    </row>
    <row r="126" spans="1:17" x14ac:dyDescent="0.3">
      <c r="A126" t="s">
        <v>17</v>
      </c>
      <c r="B126" t="str">
        <f>"600025"</f>
        <v>600025</v>
      </c>
      <c r="C126" t="s">
        <v>289</v>
      </c>
      <c r="D126" t="s">
        <v>158</v>
      </c>
      <c r="E126">
        <v>1397401386</v>
      </c>
      <c r="F126">
        <v>2379532596</v>
      </c>
      <c r="G126">
        <v>2078134068</v>
      </c>
      <c r="H126">
        <v>2107845158</v>
      </c>
      <c r="I126">
        <v>930769870</v>
      </c>
      <c r="J126">
        <v>-744168189</v>
      </c>
      <c r="P126">
        <v>766</v>
      </c>
      <c r="Q126" t="s">
        <v>290</v>
      </c>
    </row>
    <row r="127" spans="1:17" x14ac:dyDescent="0.3">
      <c r="A127" t="s">
        <v>17</v>
      </c>
      <c r="B127" t="str">
        <f>"601377"</f>
        <v>601377</v>
      </c>
      <c r="C127" t="s">
        <v>291</v>
      </c>
      <c r="D127" t="s">
        <v>26</v>
      </c>
      <c r="E127">
        <v>1376842978</v>
      </c>
      <c r="F127">
        <v>7850287238</v>
      </c>
      <c r="G127">
        <v>11322502803</v>
      </c>
      <c r="H127">
        <v>10177724507</v>
      </c>
      <c r="I127">
        <v>3438692689</v>
      </c>
      <c r="J127">
        <v>-4782496271</v>
      </c>
      <c r="K127">
        <v>-4499707117</v>
      </c>
      <c r="L127">
        <v>-2967414307</v>
      </c>
      <c r="M127">
        <v>43379765</v>
      </c>
      <c r="N127">
        <v>571532882</v>
      </c>
      <c r="O127">
        <v>1624555991</v>
      </c>
      <c r="P127">
        <v>1731</v>
      </c>
      <c r="Q127" t="s">
        <v>292</v>
      </c>
    </row>
    <row r="128" spans="1:17" x14ac:dyDescent="0.3">
      <c r="A128" t="s">
        <v>32</v>
      </c>
      <c r="B128" t="str">
        <f>"002352"</f>
        <v>002352</v>
      </c>
      <c r="C128" t="s">
        <v>293</v>
      </c>
      <c r="D128" t="s">
        <v>46</v>
      </c>
      <c r="E128">
        <v>1335313000</v>
      </c>
      <c r="F128">
        <v>-5188258330</v>
      </c>
      <c r="G128">
        <v>4819930</v>
      </c>
      <c r="H128">
        <v>-513351922</v>
      </c>
      <c r="I128">
        <v>-1616406337</v>
      </c>
      <c r="J128">
        <v>-1184405036</v>
      </c>
      <c r="K128">
        <v>15206010</v>
      </c>
      <c r="L128">
        <v>22220248</v>
      </c>
      <c r="M128">
        <v>-17480963</v>
      </c>
      <c r="N128">
        <v>-20692747</v>
      </c>
      <c r="O128">
        <v>-9449511</v>
      </c>
      <c r="P128">
        <v>3730</v>
      </c>
      <c r="Q128" t="s">
        <v>294</v>
      </c>
    </row>
    <row r="129" spans="1:17" x14ac:dyDescent="0.3">
      <c r="A129" t="s">
        <v>32</v>
      </c>
      <c r="B129" t="str">
        <f>"000785"</f>
        <v>000785</v>
      </c>
      <c r="C129" t="s">
        <v>295</v>
      </c>
      <c r="D129" t="s">
        <v>218</v>
      </c>
      <c r="E129">
        <v>1310794663</v>
      </c>
      <c r="F129">
        <v>871675732</v>
      </c>
      <c r="G129">
        <v>-1618250231</v>
      </c>
      <c r="H129">
        <v>-140343993</v>
      </c>
      <c r="I129">
        <v>-32832014</v>
      </c>
      <c r="J129">
        <v>-40856475</v>
      </c>
      <c r="K129">
        <v>-39095638</v>
      </c>
      <c r="L129">
        <v>-114011961</v>
      </c>
      <c r="M129">
        <v>-73197460</v>
      </c>
      <c r="N129">
        <v>-71036449</v>
      </c>
      <c r="O129">
        <v>51389602</v>
      </c>
      <c r="P129">
        <v>333</v>
      </c>
      <c r="Q129" t="s">
        <v>296</v>
      </c>
    </row>
    <row r="130" spans="1:17" x14ac:dyDescent="0.3">
      <c r="A130" t="s">
        <v>17</v>
      </c>
      <c r="B130" t="str">
        <f>"600077"</f>
        <v>600077</v>
      </c>
      <c r="C130" t="s">
        <v>297</v>
      </c>
      <c r="D130" t="s">
        <v>151</v>
      </c>
      <c r="E130">
        <v>1257630276</v>
      </c>
      <c r="F130">
        <v>179535181</v>
      </c>
      <c r="G130">
        <v>-4377923323</v>
      </c>
      <c r="H130">
        <v>-594982607</v>
      </c>
      <c r="I130">
        <v>582376035</v>
      </c>
      <c r="J130">
        <v>45640712</v>
      </c>
      <c r="K130">
        <v>661588315</v>
      </c>
      <c r="L130">
        <v>-438934708</v>
      </c>
      <c r="M130">
        <v>-42014946</v>
      </c>
      <c r="N130">
        <v>40743733</v>
      </c>
      <c r="O130">
        <v>205258915</v>
      </c>
      <c r="P130">
        <v>126</v>
      </c>
      <c r="Q130" t="s">
        <v>298</v>
      </c>
    </row>
    <row r="131" spans="1:17" x14ac:dyDescent="0.3">
      <c r="A131" t="s">
        <v>17</v>
      </c>
      <c r="B131" t="str">
        <f>"600985"</f>
        <v>600985</v>
      </c>
      <c r="C131" t="s">
        <v>299</v>
      </c>
      <c r="D131" t="s">
        <v>73</v>
      </c>
      <c r="E131">
        <v>1234634373</v>
      </c>
      <c r="F131">
        <v>358120277</v>
      </c>
      <c r="G131">
        <v>95628181</v>
      </c>
      <c r="H131">
        <v>925449290</v>
      </c>
      <c r="I131">
        <v>-15807035</v>
      </c>
      <c r="J131">
        <v>-5431217</v>
      </c>
      <c r="K131">
        <v>-319699924</v>
      </c>
      <c r="L131">
        <v>-29800259</v>
      </c>
      <c r="M131">
        <v>-3757349</v>
      </c>
      <c r="N131">
        <v>-41790489</v>
      </c>
      <c r="O131">
        <v>-21901094</v>
      </c>
      <c r="P131">
        <v>1009</v>
      </c>
      <c r="Q131" t="s">
        <v>300</v>
      </c>
    </row>
    <row r="132" spans="1:17" x14ac:dyDescent="0.3">
      <c r="A132" t="s">
        <v>17</v>
      </c>
      <c r="B132" t="str">
        <f>"600409"</f>
        <v>600409</v>
      </c>
      <c r="C132" t="s">
        <v>301</v>
      </c>
      <c r="D132" t="s">
        <v>144</v>
      </c>
      <c r="E132">
        <v>1208546101</v>
      </c>
      <c r="F132">
        <v>418364103</v>
      </c>
      <c r="G132">
        <v>170257366</v>
      </c>
      <c r="H132">
        <v>205559842</v>
      </c>
      <c r="I132">
        <v>122722575</v>
      </c>
      <c r="J132">
        <v>194598442</v>
      </c>
      <c r="K132">
        <v>131953267</v>
      </c>
      <c r="L132">
        <v>-39535331</v>
      </c>
      <c r="M132">
        <v>-278407547</v>
      </c>
      <c r="N132">
        <v>-477666577</v>
      </c>
      <c r="O132">
        <v>-603232039</v>
      </c>
      <c r="P132">
        <v>734</v>
      </c>
      <c r="Q132" t="s">
        <v>302</v>
      </c>
    </row>
    <row r="133" spans="1:17" x14ac:dyDescent="0.3">
      <c r="A133" t="s">
        <v>32</v>
      </c>
      <c r="B133" t="str">
        <f>"002758"</f>
        <v>002758</v>
      </c>
      <c r="C133" t="s">
        <v>303</v>
      </c>
      <c r="D133" t="s">
        <v>98</v>
      </c>
      <c r="E133">
        <v>1202906195</v>
      </c>
      <c r="F133">
        <v>83878550</v>
      </c>
      <c r="G133">
        <v>-58197038</v>
      </c>
      <c r="H133">
        <v>-67187222</v>
      </c>
      <c r="I133">
        <v>-68041557</v>
      </c>
      <c r="J133">
        <v>-140722362</v>
      </c>
      <c r="K133">
        <v>-78800955</v>
      </c>
      <c r="L133">
        <v>-89872684</v>
      </c>
      <c r="M133">
        <v>-85966483</v>
      </c>
      <c r="P133">
        <v>180</v>
      </c>
      <c r="Q133" t="s">
        <v>304</v>
      </c>
    </row>
    <row r="134" spans="1:17" x14ac:dyDescent="0.3">
      <c r="A134" t="s">
        <v>17</v>
      </c>
      <c r="B134" t="str">
        <f>"601000"</f>
        <v>601000</v>
      </c>
      <c r="C134" t="s">
        <v>305</v>
      </c>
      <c r="D134" t="s">
        <v>46</v>
      </c>
      <c r="E134">
        <v>1201624393</v>
      </c>
      <c r="F134">
        <v>288735115</v>
      </c>
      <c r="G134">
        <v>231198088</v>
      </c>
      <c r="H134">
        <v>-153464817</v>
      </c>
      <c r="I134">
        <v>-226439942</v>
      </c>
      <c r="J134">
        <v>143604329</v>
      </c>
      <c r="K134">
        <v>102996751</v>
      </c>
      <c r="L134">
        <v>-192919603</v>
      </c>
      <c r="M134">
        <v>-354871426</v>
      </c>
      <c r="N134">
        <v>-136425489</v>
      </c>
      <c r="O134">
        <v>51268596</v>
      </c>
      <c r="P134">
        <v>892</v>
      </c>
      <c r="Q134" t="s">
        <v>306</v>
      </c>
    </row>
    <row r="135" spans="1:17" x14ac:dyDescent="0.3">
      <c r="A135" t="s">
        <v>17</v>
      </c>
      <c r="B135" t="str">
        <f>"600256"</f>
        <v>600256</v>
      </c>
      <c r="C135" t="s">
        <v>307</v>
      </c>
      <c r="D135" t="s">
        <v>64</v>
      </c>
      <c r="E135">
        <v>1197282086</v>
      </c>
      <c r="F135">
        <v>-319266579</v>
      </c>
      <c r="G135">
        <v>-26868389</v>
      </c>
      <c r="H135">
        <v>-146938368</v>
      </c>
      <c r="I135">
        <v>588567702</v>
      </c>
      <c r="J135">
        <v>-25227840</v>
      </c>
      <c r="K135">
        <v>41142610</v>
      </c>
      <c r="L135">
        <v>46403987</v>
      </c>
      <c r="M135">
        <v>-717812608</v>
      </c>
      <c r="N135">
        <v>-682441015</v>
      </c>
      <c r="O135">
        <v>-612520889</v>
      </c>
      <c r="P135">
        <v>496</v>
      </c>
      <c r="Q135" t="s">
        <v>308</v>
      </c>
    </row>
    <row r="136" spans="1:17" x14ac:dyDescent="0.3">
      <c r="A136" t="s">
        <v>17</v>
      </c>
      <c r="B136" t="str">
        <f>"600236"</f>
        <v>600236</v>
      </c>
      <c r="C136" t="s">
        <v>309</v>
      </c>
      <c r="D136" t="s">
        <v>158</v>
      </c>
      <c r="E136">
        <v>1194300780</v>
      </c>
      <c r="F136">
        <v>1055230314</v>
      </c>
      <c r="G136">
        <v>874992744</v>
      </c>
      <c r="H136">
        <v>1335591090</v>
      </c>
      <c r="I136">
        <v>1621248272</v>
      </c>
      <c r="J136">
        <v>769165673</v>
      </c>
      <c r="K136">
        <v>1207325889</v>
      </c>
      <c r="L136">
        <v>722699194</v>
      </c>
      <c r="M136">
        <v>340402111</v>
      </c>
      <c r="N136">
        <v>446278863</v>
      </c>
      <c r="O136">
        <v>-145554810</v>
      </c>
      <c r="P136">
        <v>651</v>
      </c>
      <c r="Q136" t="s">
        <v>310</v>
      </c>
    </row>
    <row r="137" spans="1:17" x14ac:dyDescent="0.3">
      <c r="A137" t="s">
        <v>17</v>
      </c>
      <c r="B137" t="str">
        <f>"600060"</f>
        <v>600060</v>
      </c>
      <c r="C137" t="s">
        <v>311</v>
      </c>
      <c r="D137" t="s">
        <v>127</v>
      </c>
      <c r="E137">
        <v>1187096764</v>
      </c>
      <c r="F137">
        <v>-1381938893</v>
      </c>
      <c r="G137">
        <v>147850999</v>
      </c>
      <c r="H137">
        <v>1382209989</v>
      </c>
      <c r="I137">
        <v>-348892304</v>
      </c>
      <c r="J137">
        <v>-165417820</v>
      </c>
      <c r="K137">
        <v>372009085</v>
      </c>
      <c r="L137">
        <v>73296659</v>
      </c>
      <c r="M137">
        <v>304413491</v>
      </c>
      <c r="N137">
        <v>556539590</v>
      </c>
      <c r="O137">
        <v>-327753824</v>
      </c>
      <c r="P137">
        <v>532</v>
      </c>
      <c r="Q137" t="s">
        <v>312</v>
      </c>
    </row>
    <row r="138" spans="1:17" x14ac:dyDescent="0.3">
      <c r="A138" t="s">
        <v>17</v>
      </c>
      <c r="B138" t="str">
        <f>"600968"</f>
        <v>600968</v>
      </c>
      <c r="C138" t="s">
        <v>313</v>
      </c>
      <c r="D138" t="s">
        <v>64</v>
      </c>
      <c r="E138">
        <v>1142707136</v>
      </c>
      <c r="F138">
        <v>-176106802</v>
      </c>
      <c r="G138">
        <v>549896841</v>
      </c>
      <c r="H138">
        <v>903857682</v>
      </c>
      <c r="I138">
        <v>1466619525</v>
      </c>
      <c r="P138">
        <v>189</v>
      </c>
      <c r="Q138" t="s">
        <v>314</v>
      </c>
    </row>
    <row r="139" spans="1:17" x14ac:dyDescent="0.3">
      <c r="A139" t="s">
        <v>17</v>
      </c>
      <c r="B139" t="str">
        <f>"601231"</f>
        <v>601231</v>
      </c>
      <c r="C139" t="s">
        <v>315</v>
      </c>
      <c r="D139" t="s">
        <v>124</v>
      </c>
      <c r="E139">
        <v>1132760490</v>
      </c>
      <c r="F139">
        <v>-460353475</v>
      </c>
      <c r="G139">
        <v>150074462</v>
      </c>
      <c r="H139">
        <v>792097501</v>
      </c>
      <c r="I139">
        <v>456100691</v>
      </c>
      <c r="J139">
        <v>696260216</v>
      </c>
      <c r="K139">
        <v>199291008</v>
      </c>
      <c r="L139">
        <v>-304330938</v>
      </c>
      <c r="M139">
        <v>654262599</v>
      </c>
      <c r="N139">
        <v>879482446</v>
      </c>
      <c r="O139">
        <v>217895373</v>
      </c>
      <c r="P139">
        <v>735</v>
      </c>
      <c r="Q139" t="s">
        <v>316</v>
      </c>
    </row>
    <row r="140" spans="1:17" x14ac:dyDescent="0.3">
      <c r="A140" t="s">
        <v>32</v>
      </c>
      <c r="B140" t="str">
        <f>"002024"</f>
        <v>002024</v>
      </c>
      <c r="C140" t="s">
        <v>317</v>
      </c>
      <c r="D140" t="s">
        <v>218</v>
      </c>
      <c r="E140">
        <v>1107315000</v>
      </c>
      <c r="F140">
        <v>-1084590000</v>
      </c>
      <c r="G140">
        <v>-6045081000</v>
      </c>
      <c r="H140">
        <v>-8111287000</v>
      </c>
      <c r="I140">
        <v>-3835753000</v>
      </c>
      <c r="J140">
        <v>-5603679000</v>
      </c>
      <c r="K140">
        <v>-3366639000</v>
      </c>
      <c r="L140">
        <v>616103000</v>
      </c>
      <c r="M140">
        <v>-3699282000</v>
      </c>
      <c r="N140">
        <v>-1765530000</v>
      </c>
      <c r="O140">
        <v>-2336246000</v>
      </c>
      <c r="P140">
        <v>1902</v>
      </c>
      <c r="Q140" t="s">
        <v>318</v>
      </c>
    </row>
    <row r="141" spans="1:17" x14ac:dyDescent="0.3">
      <c r="A141" t="s">
        <v>17</v>
      </c>
      <c r="B141" t="str">
        <f>"600418"</f>
        <v>600418</v>
      </c>
      <c r="C141" t="s">
        <v>319</v>
      </c>
      <c r="D141" t="s">
        <v>199</v>
      </c>
      <c r="E141">
        <v>1107165477</v>
      </c>
      <c r="F141">
        <v>569939789</v>
      </c>
      <c r="G141">
        <v>-1966861592</v>
      </c>
      <c r="H141">
        <v>-34178386</v>
      </c>
      <c r="I141">
        <v>-2592578759</v>
      </c>
      <c r="J141">
        <v>-2760258871</v>
      </c>
      <c r="K141">
        <v>1558971679</v>
      </c>
      <c r="L141">
        <v>1193508764</v>
      </c>
      <c r="M141">
        <v>-126189738</v>
      </c>
      <c r="N141">
        <v>939731768</v>
      </c>
      <c r="O141">
        <v>-448841789</v>
      </c>
      <c r="P141">
        <v>429</v>
      </c>
      <c r="Q141" t="s">
        <v>320</v>
      </c>
    </row>
    <row r="142" spans="1:17" x14ac:dyDescent="0.3">
      <c r="A142" t="s">
        <v>17</v>
      </c>
      <c r="B142" t="str">
        <f>"601878"</f>
        <v>601878</v>
      </c>
      <c r="C142" t="s">
        <v>321</v>
      </c>
      <c r="D142" t="s">
        <v>26</v>
      </c>
      <c r="E142">
        <v>1102632861</v>
      </c>
      <c r="F142">
        <v>2464724129</v>
      </c>
      <c r="G142">
        <v>4795655682</v>
      </c>
      <c r="H142">
        <v>6898385024</v>
      </c>
      <c r="I142">
        <v>1638408065</v>
      </c>
      <c r="J142">
        <v>-1348376749</v>
      </c>
      <c r="K142">
        <v>-4008092500</v>
      </c>
      <c r="P142">
        <v>842</v>
      </c>
      <c r="Q142" t="s">
        <v>322</v>
      </c>
    </row>
    <row r="143" spans="1:17" x14ac:dyDescent="0.3">
      <c r="A143" t="s">
        <v>17</v>
      </c>
      <c r="B143" t="str">
        <f>"600928"</f>
        <v>600928</v>
      </c>
      <c r="C143" t="s">
        <v>323</v>
      </c>
      <c r="D143" t="s">
        <v>19</v>
      </c>
      <c r="E143">
        <v>1099777000</v>
      </c>
      <c r="F143">
        <v>-935798000</v>
      </c>
      <c r="G143">
        <v>1384588000</v>
      </c>
      <c r="H143">
        <v>-297644000</v>
      </c>
      <c r="I143">
        <v>-17713924000</v>
      </c>
      <c r="P143">
        <v>410</v>
      </c>
      <c r="Q143" t="s">
        <v>324</v>
      </c>
    </row>
    <row r="144" spans="1:17" x14ac:dyDescent="0.3">
      <c r="A144" t="s">
        <v>17</v>
      </c>
      <c r="B144" t="str">
        <f>"600392"</f>
        <v>600392</v>
      </c>
      <c r="C144" t="s">
        <v>325</v>
      </c>
      <c r="D144" t="s">
        <v>121</v>
      </c>
      <c r="E144">
        <v>1074703281</v>
      </c>
      <c r="F144">
        <v>-289700404</v>
      </c>
      <c r="G144">
        <v>-158459869</v>
      </c>
      <c r="H144">
        <v>-162989182</v>
      </c>
      <c r="I144">
        <v>104843376</v>
      </c>
      <c r="J144">
        <v>-200635523</v>
      </c>
      <c r="K144">
        <v>-180264404</v>
      </c>
      <c r="L144">
        <v>-85424197</v>
      </c>
      <c r="M144">
        <v>-198294597</v>
      </c>
      <c r="N144">
        <v>-94308691</v>
      </c>
      <c r="O144">
        <v>-41580001</v>
      </c>
      <c r="P144">
        <v>439</v>
      </c>
      <c r="Q144" t="s">
        <v>326</v>
      </c>
    </row>
    <row r="145" spans="1:17" x14ac:dyDescent="0.3">
      <c r="A145" t="s">
        <v>17</v>
      </c>
      <c r="B145" t="str">
        <f>"600095"</f>
        <v>600095</v>
      </c>
      <c r="C145" t="s">
        <v>327</v>
      </c>
      <c r="D145" t="s">
        <v>26</v>
      </c>
      <c r="E145">
        <v>1042769544</v>
      </c>
      <c r="F145">
        <v>1344196234</v>
      </c>
      <c r="G145">
        <v>-114166911</v>
      </c>
      <c r="H145">
        <v>-9152248</v>
      </c>
      <c r="I145">
        <v>4011208</v>
      </c>
      <c r="J145">
        <v>-10276760</v>
      </c>
      <c r="K145">
        <v>2346450</v>
      </c>
      <c r="L145">
        <v>-17117940</v>
      </c>
      <c r="M145">
        <v>-49795672</v>
      </c>
      <c r="N145">
        <v>44174535</v>
      </c>
      <c r="O145">
        <v>-39785397</v>
      </c>
      <c r="P145">
        <v>330</v>
      </c>
      <c r="Q145" t="s">
        <v>328</v>
      </c>
    </row>
    <row r="146" spans="1:17" x14ac:dyDescent="0.3">
      <c r="A146" t="s">
        <v>17</v>
      </c>
      <c r="B146" t="str">
        <f>"600328"</f>
        <v>600328</v>
      </c>
      <c r="C146" t="s">
        <v>329</v>
      </c>
      <c r="D146" t="s">
        <v>144</v>
      </c>
      <c r="E146">
        <v>1036834032</v>
      </c>
      <c r="F146">
        <v>714449329</v>
      </c>
      <c r="G146">
        <v>462036863</v>
      </c>
      <c r="H146">
        <v>175362212</v>
      </c>
      <c r="I146">
        <v>128695118</v>
      </c>
      <c r="J146">
        <v>85334036</v>
      </c>
      <c r="K146">
        <v>-24821495</v>
      </c>
      <c r="L146">
        <v>-33738401</v>
      </c>
      <c r="M146">
        <v>31073902</v>
      </c>
      <c r="N146">
        <v>-24178484</v>
      </c>
      <c r="O146">
        <v>-103856997</v>
      </c>
      <c r="P146">
        <v>263</v>
      </c>
      <c r="Q146" t="s">
        <v>330</v>
      </c>
    </row>
    <row r="147" spans="1:17" x14ac:dyDescent="0.3">
      <c r="A147" t="s">
        <v>17</v>
      </c>
      <c r="B147" t="str">
        <f>"600997"</f>
        <v>600997</v>
      </c>
      <c r="C147" t="s">
        <v>331</v>
      </c>
      <c r="D147" t="s">
        <v>73</v>
      </c>
      <c r="E147">
        <v>1023956470</v>
      </c>
      <c r="F147">
        <v>576028007</v>
      </c>
      <c r="G147">
        <v>676017677</v>
      </c>
      <c r="H147">
        <v>455276452</v>
      </c>
      <c r="I147">
        <v>772660490</v>
      </c>
      <c r="J147">
        <v>44356112</v>
      </c>
      <c r="K147">
        <v>-182468488</v>
      </c>
      <c r="L147">
        <v>-238361885</v>
      </c>
      <c r="M147">
        <v>149579832</v>
      </c>
      <c r="N147">
        <v>-403918299</v>
      </c>
      <c r="O147">
        <v>237164831</v>
      </c>
      <c r="P147">
        <v>729</v>
      </c>
      <c r="Q147" t="s">
        <v>332</v>
      </c>
    </row>
    <row r="148" spans="1:17" x14ac:dyDescent="0.3">
      <c r="A148" t="s">
        <v>17</v>
      </c>
      <c r="B148" t="str">
        <f>"600126"</f>
        <v>600126</v>
      </c>
      <c r="C148" t="s">
        <v>333</v>
      </c>
      <c r="D148" t="s">
        <v>163</v>
      </c>
      <c r="E148">
        <v>1021076059</v>
      </c>
      <c r="F148">
        <v>-296997452</v>
      </c>
      <c r="G148">
        <v>634125130</v>
      </c>
      <c r="H148">
        <v>826436598</v>
      </c>
      <c r="I148">
        <v>-486253502</v>
      </c>
      <c r="J148">
        <v>171119941</v>
      </c>
      <c r="K148">
        <v>-156167652</v>
      </c>
      <c r="L148">
        <v>20989219</v>
      </c>
      <c r="M148">
        <v>-14918191</v>
      </c>
      <c r="N148">
        <v>90729348</v>
      </c>
      <c r="O148">
        <v>-69180020</v>
      </c>
      <c r="P148">
        <v>231</v>
      </c>
      <c r="Q148" t="s">
        <v>334</v>
      </c>
    </row>
    <row r="149" spans="1:17" x14ac:dyDescent="0.3">
      <c r="A149" t="s">
        <v>32</v>
      </c>
      <c r="B149" t="str">
        <f>"000630"</f>
        <v>000630</v>
      </c>
      <c r="C149" t="s">
        <v>335</v>
      </c>
      <c r="D149" t="s">
        <v>121</v>
      </c>
      <c r="E149">
        <v>1009902555</v>
      </c>
      <c r="F149">
        <v>-2454269727</v>
      </c>
      <c r="G149">
        <v>1245157904</v>
      </c>
      <c r="H149">
        <v>-197656522</v>
      </c>
      <c r="I149">
        <v>-1251598279</v>
      </c>
      <c r="J149">
        <v>-2252800164</v>
      </c>
      <c r="K149">
        <v>726050018</v>
      </c>
      <c r="L149">
        <v>749180475</v>
      </c>
      <c r="M149">
        <v>-309614433</v>
      </c>
      <c r="N149">
        <v>-1599240882</v>
      </c>
      <c r="O149">
        <v>-2759429892</v>
      </c>
      <c r="P149">
        <v>464</v>
      </c>
      <c r="Q149" t="s">
        <v>336</v>
      </c>
    </row>
    <row r="150" spans="1:17" x14ac:dyDescent="0.3">
      <c r="A150" t="s">
        <v>17</v>
      </c>
      <c r="B150" t="str">
        <f>"603093"</f>
        <v>603093</v>
      </c>
      <c r="C150" t="s">
        <v>337</v>
      </c>
      <c r="D150" t="s">
        <v>26</v>
      </c>
      <c r="E150">
        <v>1008340023</v>
      </c>
      <c r="F150">
        <v>895165761</v>
      </c>
      <c r="G150">
        <v>807737214</v>
      </c>
      <c r="H150">
        <v>663816851</v>
      </c>
      <c r="L150">
        <v>831788400</v>
      </c>
      <c r="P150">
        <v>84</v>
      </c>
      <c r="Q150" t="s">
        <v>338</v>
      </c>
    </row>
    <row r="151" spans="1:17" x14ac:dyDescent="0.3">
      <c r="A151" t="s">
        <v>17</v>
      </c>
      <c r="B151" t="str">
        <f>"601588"</f>
        <v>601588</v>
      </c>
      <c r="C151" t="s">
        <v>339</v>
      </c>
      <c r="D151" t="s">
        <v>151</v>
      </c>
      <c r="E151">
        <v>1001038754</v>
      </c>
      <c r="F151">
        <v>332588011</v>
      </c>
      <c r="G151">
        <v>-663952112</v>
      </c>
      <c r="H151">
        <v>-3068485093</v>
      </c>
      <c r="I151">
        <v>-415785593</v>
      </c>
      <c r="J151">
        <v>67800188</v>
      </c>
      <c r="K151">
        <v>119397897</v>
      </c>
      <c r="L151">
        <v>-713082217</v>
      </c>
      <c r="M151">
        <v>-150000119</v>
      </c>
      <c r="N151">
        <v>253714701</v>
      </c>
      <c r="O151">
        <v>-159746895</v>
      </c>
      <c r="P151">
        <v>536</v>
      </c>
      <c r="Q151" t="s">
        <v>340</v>
      </c>
    </row>
    <row r="152" spans="1:17" x14ac:dyDescent="0.3">
      <c r="A152" t="s">
        <v>17</v>
      </c>
      <c r="B152" t="str">
        <f>"600845"</f>
        <v>600845</v>
      </c>
      <c r="C152" t="s">
        <v>341</v>
      </c>
      <c r="D152" t="s">
        <v>342</v>
      </c>
      <c r="E152">
        <v>996340258</v>
      </c>
      <c r="F152">
        <v>302643042</v>
      </c>
      <c r="G152">
        <v>52525334</v>
      </c>
      <c r="H152">
        <v>21371865</v>
      </c>
      <c r="I152">
        <v>11599486</v>
      </c>
      <c r="J152">
        <v>169432824</v>
      </c>
      <c r="K152">
        <v>46560888</v>
      </c>
      <c r="L152">
        <v>-53254520</v>
      </c>
      <c r="M152">
        <v>-221260924</v>
      </c>
      <c r="N152">
        <v>-144791249</v>
      </c>
      <c r="O152">
        <v>-117493331</v>
      </c>
      <c r="P152">
        <v>1596</v>
      </c>
      <c r="Q152" t="s">
        <v>343</v>
      </c>
    </row>
    <row r="153" spans="1:17" x14ac:dyDescent="0.3">
      <c r="A153" t="s">
        <v>17</v>
      </c>
      <c r="B153" t="str">
        <f>"600881"</f>
        <v>600881</v>
      </c>
      <c r="C153" t="s">
        <v>344</v>
      </c>
      <c r="D153" t="s">
        <v>345</v>
      </c>
      <c r="E153">
        <v>994565433</v>
      </c>
      <c r="F153">
        <v>393749057</v>
      </c>
      <c r="G153">
        <v>90573655</v>
      </c>
      <c r="H153">
        <v>-737980957</v>
      </c>
      <c r="I153">
        <v>581803552</v>
      </c>
      <c r="J153">
        <v>1126536723</v>
      </c>
      <c r="K153">
        <v>772652060</v>
      </c>
      <c r="L153">
        <v>131578320</v>
      </c>
      <c r="M153">
        <v>-605816673</v>
      </c>
      <c r="N153">
        <v>-2673504596</v>
      </c>
      <c r="O153">
        <v>-683976012</v>
      </c>
      <c r="P153">
        <v>144</v>
      </c>
      <c r="Q153" t="s">
        <v>346</v>
      </c>
    </row>
    <row r="154" spans="1:17" x14ac:dyDescent="0.3">
      <c r="A154" t="s">
        <v>17</v>
      </c>
      <c r="B154" t="str">
        <f>"601666"</f>
        <v>601666</v>
      </c>
      <c r="C154" t="s">
        <v>347</v>
      </c>
      <c r="D154" t="s">
        <v>73</v>
      </c>
      <c r="E154">
        <v>992724199</v>
      </c>
      <c r="F154">
        <v>1116102786</v>
      </c>
      <c r="G154">
        <v>-1748765818</v>
      </c>
      <c r="H154">
        <v>203135677</v>
      </c>
      <c r="I154">
        <v>596840543</v>
      </c>
      <c r="J154">
        <v>-333059248</v>
      </c>
      <c r="K154">
        <v>-652225376</v>
      </c>
      <c r="L154">
        <v>399161310</v>
      </c>
      <c r="M154">
        <v>623779520</v>
      </c>
      <c r="N154">
        <v>326500342</v>
      </c>
      <c r="O154">
        <v>210698183</v>
      </c>
      <c r="P154">
        <v>401</v>
      </c>
      <c r="Q154" t="s">
        <v>348</v>
      </c>
    </row>
    <row r="155" spans="1:17" x14ac:dyDescent="0.3">
      <c r="A155" t="s">
        <v>17</v>
      </c>
      <c r="B155" t="str">
        <f>"600729"</f>
        <v>600729</v>
      </c>
      <c r="C155" t="s">
        <v>349</v>
      </c>
      <c r="D155" t="s">
        <v>218</v>
      </c>
      <c r="E155">
        <v>985556980</v>
      </c>
      <c r="F155">
        <v>391488636</v>
      </c>
      <c r="G155">
        <v>-367739099</v>
      </c>
      <c r="H155">
        <v>87964641</v>
      </c>
      <c r="I155">
        <v>191568457</v>
      </c>
      <c r="J155">
        <v>-102881428</v>
      </c>
      <c r="K155">
        <v>-12297106</v>
      </c>
      <c r="L155">
        <v>-28906252</v>
      </c>
      <c r="M155">
        <v>-703258242</v>
      </c>
      <c r="N155">
        <v>-352573314</v>
      </c>
      <c r="O155">
        <v>-354484246</v>
      </c>
      <c r="P155">
        <v>539</v>
      </c>
      <c r="Q155" t="s">
        <v>350</v>
      </c>
    </row>
    <row r="156" spans="1:17" x14ac:dyDescent="0.3">
      <c r="A156" t="s">
        <v>17</v>
      </c>
      <c r="B156" t="str">
        <f>"600132"</f>
        <v>600132</v>
      </c>
      <c r="C156" t="s">
        <v>351</v>
      </c>
      <c r="D156" t="s">
        <v>172</v>
      </c>
      <c r="E156">
        <v>982321916</v>
      </c>
      <c r="F156">
        <v>1111506207</v>
      </c>
      <c r="G156">
        <v>68065471</v>
      </c>
      <c r="H156">
        <v>182227843</v>
      </c>
      <c r="I156">
        <v>50348070</v>
      </c>
      <c r="J156">
        <v>104904047</v>
      </c>
      <c r="K156">
        <v>162380395</v>
      </c>
      <c r="L156">
        <v>110132221</v>
      </c>
      <c r="M156">
        <v>-9812688</v>
      </c>
      <c r="N156">
        <v>129422817</v>
      </c>
      <c r="O156">
        <v>40593964</v>
      </c>
      <c r="P156">
        <v>2098</v>
      </c>
      <c r="Q156" t="s">
        <v>352</v>
      </c>
    </row>
    <row r="157" spans="1:17" x14ac:dyDescent="0.3">
      <c r="A157" t="s">
        <v>17</v>
      </c>
      <c r="B157" t="str">
        <f>"900905"</f>
        <v>900905</v>
      </c>
      <c r="C157" t="s">
        <v>353</v>
      </c>
      <c r="E157">
        <v>972683349.31149995</v>
      </c>
      <c r="F157">
        <v>464240481.62639999</v>
      </c>
      <c r="G157">
        <v>412271065.12410003</v>
      </c>
      <c r="H157">
        <v>-188731359.87799999</v>
      </c>
      <c r="I157">
        <v>-99322453.380400002</v>
      </c>
      <c r="J157">
        <v>33152945.073600002</v>
      </c>
      <c r="K157">
        <v>-348574301.41710001</v>
      </c>
      <c r="L157">
        <v>-51130385.8649</v>
      </c>
      <c r="M157">
        <v>28785937.7808</v>
      </c>
      <c r="N157">
        <v>-20188962.079999998</v>
      </c>
      <c r="O157">
        <v>403965.92080000002</v>
      </c>
      <c r="P157">
        <v>473</v>
      </c>
      <c r="Q157" t="s">
        <v>354</v>
      </c>
    </row>
    <row r="158" spans="1:17" x14ac:dyDescent="0.3">
      <c r="A158" t="s">
        <v>32</v>
      </c>
      <c r="B158" t="str">
        <f>"002429"</f>
        <v>002429</v>
      </c>
      <c r="C158" t="s">
        <v>355</v>
      </c>
      <c r="D158" t="s">
        <v>127</v>
      </c>
      <c r="E158">
        <v>964073269</v>
      </c>
      <c r="F158">
        <v>62626603</v>
      </c>
      <c r="G158">
        <v>-61658130</v>
      </c>
      <c r="H158">
        <v>-136586029</v>
      </c>
      <c r="I158">
        <v>-644832036</v>
      </c>
      <c r="J158">
        <v>-648036537</v>
      </c>
      <c r="K158">
        <v>59566879</v>
      </c>
      <c r="L158">
        <v>-66317104</v>
      </c>
      <c r="M158">
        <v>20786350</v>
      </c>
      <c r="N158">
        <v>-115991530</v>
      </c>
      <c r="O158">
        <v>115237883</v>
      </c>
      <c r="P158">
        <v>454</v>
      </c>
      <c r="Q158" t="s">
        <v>356</v>
      </c>
    </row>
    <row r="159" spans="1:17" x14ac:dyDescent="0.3">
      <c r="A159" t="s">
        <v>17</v>
      </c>
      <c r="B159" t="str">
        <f>"600650"</f>
        <v>600650</v>
      </c>
      <c r="C159" t="s">
        <v>357</v>
      </c>
      <c r="D159" t="s">
        <v>46</v>
      </c>
      <c r="E159">
        <v>957377011</v>
      </c>
      <c r="F159">
        <v>-89877219</v>
      </c>
      <c r="G159">
        <v>-25907595</v>
      </c>
      <c r="H159">
        <v>18652076</v>
      </c>
      <c r="I159">
        <v>-53122902</v>
      </c>
      <c r="J159">
        <v>-1037067</v>
      </c>
      <c r="K159">
        <v>-86906994</v>
      </c>
      <c r="L159">
        <v>-3819746</v>
      </c>
      <c r="M159">
        <v>-52939269</v>
      </c>
      <c r="N159">
        <v>-2457777</v>
      </c>
      <c r="O159">
        <v>-21560140</v>
      </c>
      <c r="P159">
        <v>114</v>
      </c>
      <c r="Q159" t="s">
        <v>358</v>
      </c>
    </row>
    <row r="160" spans="1:17" x14ac:dyDescent="0.3">
      <c r="A160" t="s">
        <v>32</v>
      </c>
      <c r="B160" t="str">
        <f>"002532"</f>
        <v>002532</v>
      </c>
      <c r="C160" t="s">
        <v>359</v>
      </c>
      <c r="D160" t="s">
        <v>121</v>
      </c>
      <c r="E160">
        <v>957194881</v>
      </c>
      <c r="F160">
        <v>-2434390255</v>
      </c>
      <c r="G160">
        <v>6954096</v>
      </c>
      <c r="H160">
        <v>-25404166</v>
      </c>
      <c r="I160">
        <v>-79086755</v>
      </c>
      <c r="J160">
        <v>-65386882</v>
      </c>
      <c r="K160">
        <v>-2761945</v>
      </c>
      <c r="L160">
        <v>-60713860</v>
      </c>
      <c r="M160">
        <v>-104864677</v>
      </c>
      <c r="N160">
        <v>-107173268</v>
      </c>
      <c r="O160">
        <v>-43111897</v>
      </c>
      <c r="P160">
        <v>424</v>
      </c>
      <c r="Q160" t="s">
        <v>360</v>
      </c>
    </row>
    <row r="161" spans="1:17" x14ac:dyDescent="0.3">
      <c r="A161" t="s">
        <v>32</v>
      </c>
      <c r="B161" t="str">
        <f>"000408"</f>
        <v>000408</v>
      </c>
      <c r="C161" t="s">
        <v>361</v>
      </c>
      <c r="D161" t="s">
        <v>144</v>
      </c>
      <c r="E161">
        <v>936124406</v>
      </c>
      <c r="F161">
        <v>346978947</v>
      </c>
      <c r="G161">
        <v>111296856</v>
      </c>
      <c r="H161">
        <v>57107743</v>
      </c>
      <c r="I161">
        <v>-105159922</v>
      </c>
      <c r="J161">
        <v>-578991871</v>
      </c>
      <c r="K161">
        <v>-38425151</v>
      </c>
      <c r="L161">
        <v>327761</v>
      </c>
      <c r="M161">
        <v>-382482</v>
      </c>
      <c r="N161">
        <v>-5638385</v>
      </c>
      <c r="O161">
        <v>-377739</v>
      </c>
      <c r="P161">
        <v>188</v>
      </c>
      <c r="Q161" t="s">
        <v>362</v>
      </c>
    </row>
    <row r="162" spans="1:17" x14ac:dyDescent="0.3">
      <c r="A162" t="s">
        <v>32</v>
      </c>
      <c r="B162" t="str">
        <f>"002839"</f>
        <v>002839</v>
      </c>
      <c r="C162" t="s">
        <v>363</v>
      </c>
      <c r="D162" t="s">
        <v>19</v>
      </c>
      <c r="E162">
        <v>913367515</v>
      </c>
      <c r="F162">
        <v>1737564002</v>
      </c>
      <c r="G162">
        <v>4578201962</v>
      </c>
      <c r="H162">
        <v>1142772063</v>
      </c>
      <c r="I162">
        <v>-5635421556</v>
      </c>
      <c r="J162">
        <v>-950273672</v>
      </c>
      <c r="K162">
        <v>2661826463</v>
      </c>
      <c r="P162">
        <v>474</v>
      </c>
      <c r="Q162" t="s">
        <v>364</v>
      </c>
    </row>
    <row r="163" spans="1:17" x14ac:dyDescent="0.3">
      <c r="A163" t="s">
        <v>17</v>
      </c>
      <c r="B163" t="str">
        <f>"600141"</f>
        <v>600141</v>
      </c>
      <c r="C163" t="s">
        <v>365</v>
      </c>
      <c r="D163" t="s">
        <v>144</v>
      </c>
      <c r="E163">
        <v>902405405</v>
      </c>
      <c r="F163">
        <v>221629128</v>
      </c>
      <c r="G163">
        <v>-40913297</v>
      </c>
      <c r="H163">
        <v>-146840972</v>
      </c>
      <c r="I163">
        <v>-87365859</v>
      </c>
      <c r="J163">
        <v>-222100861</v>
      </c>
      <c r="K163">
        <v>-69831927</v>
      </c>
      <c r="L163">
        <v>-73824976</v>
      </c>
      <c r="M163">
        <v>97542599</v>
      </c>
      <c r="N163">
        <v>-787722360</v>
      </c>
      <c r="O163">
        <v>-637276298</v>
      </c>
      <c r="P163">
        <v>426</v>
      </c>
      <c r="Q163" t="s">
        <v>366</v>
      </c>
    </row>
    <row r="164" spans="1:17" x14ac:dyDescent="0.3">
      <c r="A164" t="s">
        <v>17</v>
      </c>
      <c r="B164" t="str">
        <f>"600157"</f>
        <v>600157</v>
      </c>
      <c r="C164" t="s">
        <v>367</v>
      </c>
      <c r="D164" t="s">
        <v>73</v>
      </c>
      <c r="E164">
        <v>892121541</v>
      </c>
      <c r="F164">
        <v>764321583</v>
      </c>
      <c r="G164">
        <v>753974141</v>
      </c>
      <c r="H164">
        <v>749690693</v>
      </c>
      <c r="I164">
        <v>548778335</v>
      </c>
      <c r="J164">
        <v>-683328871</v>
      </c>
      <c r="K164">
        <v>226131447</v>
      </c>
      <c r="L164">
        <v>432428254</v>
      </c>
      <c r="M164">
        <v>3291428</v>
      </c>
      <c r="N164">
        <v>174090665</v>
      </c>
      <c r="O164">
        <v>-255883235</v>
      </c>
      <c r="P164">
        <v>226</v>
      </c>
      <c r="Q164" t="s">
        <v>368</v>
      </c>
    </row>
    <row r="165" spans="1:17" x14ac:dyDescent="0.3">
      <c r="A165" t="s">
        <v>17</v>
      </c>
      <c r="B165" t="str">
        <f>"600566"</f>
        <v>600566</v>
      </c>
      <c r="C165" t="s">
        <v>369</v>
      </c>
      <c r="D165" t="s">
        <v>98</v>
      </c>
      <c r="E165">
        <v>890862372</v>
      </c>
      <c r="F165">
        <v>648559024</v>
      </c>
      <c r="G165">
        <v>597013606</v>
      </c>
      <c r="H165">
        <v>474242062</v>
      </c>
      <c r="I165">
        <v>315646206</v>
      </c>
      <c r="J165">
        <v>197780412</v>
      </c>
      <c r="K165">
        <v>199567094</v>
      </c>
      <c r="L165">
        <v>59676825</v>
      </c>
      <c r="M165">
        <v>185714365</v>
      </c>
      <c r="N165">
        <v>-11814313</v>
      </c>
      <c r="O165">
        <v>-18502535</v>
      </c>
      <c r="P165">
        <v>13805</v>
      </c>
      <c r="Q165" t="s">
        <v>370</v>
      </c>
    </row>
    <row r="166" spans="1:17" x14ac:dyDescent="0.3">
      <c r="A166" t="s">
        <v>17</v>
      </c>
      <c r="B166" t="str">
        <f>"600085"</f>
        <v>600085</v>
      </c>
      <c r="C166" t="s">
        <v>371</v>
      </c>
      <c r="D166" t="s">
        <v>98</v>
      </c>
      <c r="E166">
        <v>886337793</v>
      </c>
      <c r="F166">
        <v>811705387</v>
      </c>
      <c r="G166">
        <v>263801595</v>
      </c>
      <c r="H166">
        <v>271918646</v>
      </c>
      <c r="I166">
        <v>323245206</v>
      </c>
      <c r="J166">
        <v>88229563</v>
      </c>
      <c r="K166">
        <v>182185611</v>
      </c>
      <c r="L166">
        <v>159027544</v>
      </c>
      <c r="M166">
        <v>175037212</v>
      </c>
      <c r="N166">
        <v>297582171</v>
      </c>
      <c r="O166">
        <v>361477631</v>
      </c>
      <c r="P166">
        <v>2032</v>
      </c>
      <c r="Q166" t="s">
        <v>372</v>
      </c>
    </row>
    <row r="167" spans="1:17" x14ac:dyDescent="0.3">
      <c r="A167" t="s">
        <v>17</v>
      </c>
      <c r="B167" t="str">
        <f>"603529"</f>
        <v>603529</v>
      </c>
      <c r="C167" t="s">
        <v>373</v>
      </c>
      <c r="D167" t="s">
        <v>199</v>
      </c>
      <c r="E167">
        <v>885771424</v>
      </c>
      <c r="F167">
        <v>94729238</v>
      </c>
      <c r="G167">
        <v>65586247</v>
      </c>
      <c r="P167">
        <v>75</v>
      </c>
      <c r="Q167" t="s">
        <v>374</v>
      </c>
    </row>
    <row r="168" spans="1:17" x14ac:dyDescent="0.3">
      <c r="A168" t="s">
        <v>17</v>
      </c>
      <c r="B168" t="str">
        <f>"600377"</f>
        <v>600377</v>
      </c>
      <c r="C168" t="s">
        <v>375</v>
      </c>
      <c r="D168" t="s">
        <v>46</v>
      </c>
      <c r="E168">
        <v>883267252</v>
      </c>
      <c r="F168">
        <v>-184101096</v>
      </c>
      <c r="G168">
        <v>-874059564</v>
      </c>
      <c r="H168">
        <v>598994349</v>
      </c>
      <c r="I168">
        <v>41649337</v>
      </c>
      <c r="J168">
        <v>368173741</v>
      </c>
      <c r="K168">
        <v>1263789282</v>
      </c>
      <c r="L168">
        <v>572660234</v>
      </c>
      <c r="M168">
        <v>713036876</v>
      </c>
      <c r="N168">
        <v>792609893</v>
      </c>
      <c r="O168">
        <v>692843038</v>
      </c>
      <c r="P168">
        <v>1723</v>
      </c>
      <c r="Q168" t="s">
        <v>376</v>
      </c>
    </row>
    <row r="169" spans="1:17" x14ac:dyDescent="0.3">
      <c r="A169" t="s">
        <v>17</v>
      </c>
      <c r="B169" t="str">
        <f>"688606"</f>
        <v>688606</v>
      </c>
      <c r="C169" t="s">
        <v>377</v>
      </c>
      <c r="D169" t="s">
        <v>98</v>
      </c>
      <c r="E169">
        <v>882168113</v>
      </c>
      <c r="F169">
        <v>81945603</v>
      </c>
      <c r="G169">
        <v>132503776</v>
      </c>
      <c r="P169">
        <v>104</v>
      </c>
      <c r="Q169" t="s">
        <v>378</v>
      </c>
    </row>
    <row r="170" spans="1:17" x14ac:dyDescent="0.3">
      <c r="A170" t="s">
        <v>32</v>
      </c>
      <c r="B170" t="str">
        <f>"200429"</f>
        <v>200429</v>
      </c>
      <c r="C170" t="s">
        <v>379</v>
      </c>
      <c r="E170">
        <v>875183482.176</v>
      </c>
      <c r="F170">
        <v>878788977.71749997</v>
      </c>
      <c r="G170">
        <v>-18603095.7117</v>
      </c>
      <c r="H170">
        <v>265181298.06330001</v>
      </c>
      <c r="I170">
        <v>315415295.67199999</v>
      </c>
      <c r="J170">
        <v>413052820.32480001</v>
      </c>
      <c r="K170">
        <v>274579174.47189999</v>
      </c>
      <c r="L170">
        <v>215938618.75</v>
      </c>
      <c r="M170">
        <v>122159022.29960001</v>
      </c>
      <c r="N170">
        <v>-44693824.093800001</v>
      </c>
      <c r="O170">
        <v>-63540743.850000001</v>
      </c>
      <c r="P170">
        <v>453</v>
      </c>
      <c r="Q170" t="s">
        <v>380</v>
      </c>
    </row>
    <row r="171" spans="1:17" x14ac:dyDescent="0.3">
      <c r="A171" t="s">
        <v>32</v>
      </c>
      <c r="B171" t="str">
        <f>"000825"</f>
        <v>000825</v>
      </c>
      <c r="C171" t="s">
        <v>381</v>
      </c>
      <c r="D171" t="s">
        <v>163</v>
      </c>
      <c r="E171">
        <v>866924386</v>
      </c>
      <c r="F171">
        <v>2941299441</v>
      </c>
      <c r="G171">
        <v>-1488464295</v>
      </c>
      <c r="H171">
        <v>1259873645</v>
      </c>
      <c r="I171">
        <v>1010351462</v>
      </c>
      <c r="J171">
        <v>276349426</v>
      </c>
      <c r="K171">
        <v>1875980783</v>
      </c>
      <c r="L171">
        <v>141806001</v>
      </c>
      <c r="M171">
        <v>-1547784823</v>
      </c>
      <c r="N171">
        <v>-910733393</v>
      </c>
      <c r="O171">
        <v>1534777318</v>
      </c>
      <c r="P171">
        <v>581</v>
      </c>
      <c r="Q171" t="s">
        <v>382</v>
      </c>
    </row>
    <row r="172" spans="1:17" x14ac:dyDescent="0.3">
      <c r="A172" t="s">
        <v>32</v>
      </c>
      <c r="B172" t="str">
        <f>"300390"</f>
        <v>300390</v>
      </c>
      <c r="C172" t="s">
        <v>383</v>
      </c>
      <c r="D172" t="s">
        <v>124</v>
      </c>
      <c r="E172">
        <v>864969180</v>
      </c>
      <c r="F172">
        <v>-126264172</v>
      </c>
      <c r="G172">
        <v>130192038</v>
      </c>
      <c r="H172">
        <v>15765027</v>
      </c>
      <c r="I172">
        <v>-2876624</v>
      </c>
      <c r="J172">
        <v>-24079443</v>
      </c>
      <c r="K172">
        <v>-27009851</v>
      </c>
      <c r="L172">
        <v>-17507977</v>
      </c>
      <c r="M172">
        <v>8419300</v>
      </c>
      <c r="N172">
        <v>7274100</v>
      </c>
      <c r="P172">
        <v>460</v>
      </c>
      <c r="Q172" t="s">
        <v>384</v>
      </c>
    </row>
    <row r="173" spans="1:17" x14ac:dyDescent="0.3">
      <c r="A173" t="s">
        <v>17</v>
      </c>
      <c r="B173" t="str">
        <f>"601816"</f>
        <v>601816</v>
      </c>
      <c r="C173" t="s">
        <v>385</v>
      </c>
      <c r="D173" t="s">
        <v>46</v>
      </c>
      <c r="E173">
        <v>857895737</v>
      </c>
      <c r="F173">
        <v>757336277</v>
      </c>
      <c r="G173">
        <v>1016984466</v>
      </c>
      <c r="H173">
        <v>128040892</v>
      </c>
      <c r="P173">
        <v>979</v>
      </c>
      <c r="Q173" t="s">
        <v>386</v>
      </c>
    </row>
    <row r="174" spans="1:17" x14ac:dyDescent="0.3">
      <c r="A174" t="s">
        <v>32</v>
      </c>
      <c r="B174" t="str">
        <f>"000829"</f>
        <v>000829</v>
      </c>
      <c r="C174" t="s">
        <v>387</v>
      </c>
      <c r="D174" t="s">
        <v>218</v>
      </c>
      <c r="E174">
        <v>843882958</v>
      </c>
      <c r="F174">
        <v>-1142489265</v>
      </c>
      <c r="G174">
        <v>-745345147</v>
      </c>
      <c r="H174">
        <v>152248794</v>
      </c>
      <c r="I174">
        <v>406680047</v>
      </c>
      <c r="J174">
        <v>-836139606</v>
      </c>
      <c r="K174">
        <v>-381108135</v>
      </c>
      <c r="L174">
        <v>-561562343</v>
      </c>
      <c r="M174">
        <v>528309120</v>
      </c>
      <c r="N174">
        <v>-1376308188</v>
      </c>
      <c r="O174">
        <v>-1339589106</v>
      </c>
      <c r="P174">
        <v>187</v>
      </c>
      <c r="Q174" t="s">
        <v>388</v>
      </c>
    </row>
    <row r="175" spans="1:17" x14ac:dyDescent="0.3">
      <c r="A175" t="s">
        <v>17</v>
      </c>
      <c r="B175" t="str">
        <f>"600660"</f>
        <v>600660</v>
      </c>
      <c r="C175" t="s">
        <v>389</v>
      </c>
      <c r="D175" t="s">
        <v>199</v>
      </c>
      <c r="E175">
        <v>836150325</v>
      </c>
      <c r="F175">
        <v>1274982639</v>
      </c>
      <c r="G175">
        <v>606560246</v>
      </c>
      <c r="H175">
        <v>-58443184</v>
      </c>
      <c r="I175">
        <v>317740066</v>
      </c>
      <c r="J175">
        <v>368841713</v>
      </c>
      <c r="K175">
        <v>-282033009</v>
      </c>
      <c r="L175">
        <v>-248398073</v>
      </c>
      <c r="M175">
        <v>200216754</v>
      </c>
      <c r="N175">
        <v>15534767</v>
      </c>
      <c r="O175">
        <v>64079688</v>
      </c>
      <c r="P175">
        <v>13821</v>
      </c>
      <c r="Q175" t="s">
        <v>390</v>
      </c>
    </row>
    <row r="176" spans="1:17" x14ac:dyDescent="0.3">
      <c r="A176" t="s">
        <v>32</v>
      </c>
      <c r="B176" t="str">
        <f>"002588"</f>
        <v>002588</v>
      </c>
      <c r="C176" t="s">
        <v>391</v>
      </c>
      <c r="D176" t="s">
        <v>144</v>
      </c>
      <c r="E176">
        <v>829674310</v>
      </c>
      <c r="F176">
        <v>60103941</v>
      </c>
      <c r="G176">
        <v>619500451</v>
      </c>
      <c r="H176">
        <v>103358177</v>
      </c>
      <c r="I176">
        <v>-511453148</v>
      </c>
      <c r="J176">
        <v>-638056944</v>
      </c>
      <c r="K176">
        <v>103325743</v>
      </c>
      <c r="L176">
        <v>82590232</v>
      </c>
      <c r="M176">
        <v>-9152416</v>
      </c>
      <c r="N176">
        <v>22948004</v>
      </c>
      <c r="O176">
        <v>494821581</v>
      </c>
      <c r="P176">
        <v>164</v>
      </c>
      <c r="Q176" t="s">
        <v>392</v>
      </c>
    </row>
    <row r="177" spans="1:17" x14ac:dyDescent="0.3">
      <c r="A177" t="s">
        <v>32</v>
      </c>
      <c r="B177" t="str">
        <f>"000568"</f>
        <v>000568</v>
      </c>
      <c r="C177" t="s">
        <v>393</v>
      </c>
      <c r="D177" t="s">
        <v>172</v>
      </c>
      <c r="E177">
        <v>817801798</v>
      </c>
      <c r="F177">
        <v>872185430</v>
      </c>
      <c r="G177">
        <v>-751139805</v>
      </c>
      <c r="H177">
        <v>10311453</v>
      </c>
      <c r="I177">
        <v>206844773</v>
      </c>
      <c r="J177">
        <v>-137428168</v>
      </c>
      <c r="K177">
        <v>719131245</v>
      </c>
      <c r="L177">
        <v>-331309000</v>
      </c>
      <c r="M177">
        <v>875689609</v>
      </c>
      <c r="N177">
        <v>178236018</v>
      </c>
      <c r="O177">
        <v>592089233</v>
      </c>
      <c r="P177">
        <v>6442</v>
      </c>
      <c r="Q177" t="s">
        <v>394</v>
      </c>
    </row>
    <row r="178" spans="1:17" x14ac:dyDescent="0.3">
      <c r="A178" t="s">
        <v>32</v>
      </c>
      <c r="B178" t="str">
        <f>"301050"</f>
        <v>301050</v>
      </c>
      <c r="C178" t="s">
        <v>395</v>
      </c>
      <c r="D178" t="s">
        <v>188</v>
      </c>
      <c r="E178">
        <v>806455232</v>
      </c>
      <c r="F178">
        <v>-32562105</v>
      </c>
      <c r="G178">
        <v>-26417992</v>
      </c>
      <c r="P178">
        <v>31</v>
      </c>
      <c r="Q178" t="s">
        <v>396</v>
      </c>
    </row>
    <row r="179" spans="1:17" x14ac:dyDescent="0.3">
      <c r="A179" t="s">
        <v>32</v>
      </c>
      <c r="B179" t="str">
        <f>"000686"</f>
        <v>000686</v>
      </c>
      <c r="C179" t="s">
        <v>397</v>
      </c>
      <c r="D179" t="s">
        <v>26</v>
      </c>
      <c r="E179">
        <v>804837412</v>
      </c>
      <c r="F179">
        <v>838028305</v>
      </c>
      <c r="G179">
        <v>720779510</v>
      </c>
      <c r="H179">
        <v>5393462310</v>
      </c>
      <c r="I179">
        <v>434988042</v>
      </c>
      <c r="J179">
        <v>522922213</v>
      </c>
      <c r="K179">
        <v>-1290545362</v>
      </c>
      <c r="L179">
        <v>-2156999797</v>
      </c>
      <c r="M179">
        <v>-764953965</v>
      </c>
      <c r="N179">
        <v>-452461084</v>
      </c>
      <c r="O179">
        <v>799321542</v>
      </c>
      <c r="P179">
        <v>888</v>
      </c>
      <c r="Q179" t="s">
        <v>398</v>
      </c>
    </row>
    <row r="180" spans="1:17" x14ac:dyDescent="0.3">
      <c r="A180" t="s">
        <v>17</v>
      </c>
      <c r="B180" t="str">
        <f>"600176"</f>
        <v>600176</v>
      </c>
      <c r="C180" t="s">
        <v>399</v>
      </c>
      <c r="D180" t="s">
        <v>400</v>
      </c>
      <c r="E180">
        <v>801129251</v>
      </c>
      <c r="F180">
        <v>892682273</v>
      </c>
      <c r="G180">
        <v>177259181</v>
      </c>
      <c r="H180">
        <v>-358700205</v>
      </c>
      <c r="I180">
        <v>150978715</v>
      </c>
      <c r="J180">
        <v>146680893</v>
      </c>
      <c r="K180">
        <v>308685329</v>
      </c>
      <c r="L180">
        <v>259140118</v>
      </c>
      <c r="M180">
        <v>-120905686</v>
      </c>
      <c r="N180">
        <v>-160881676</v>
      </c>
      <c r="O180">
        <v>-49723578</v>
      </c>
      <c r="P180">
        <v>2780</v>
      </c>
      <c r="Q180" t="s">
        <v>401</v>
      </c>
    </row>
    <row r="181" spans="1:17" x14ac:dyDescent="0.3">
      <c r="A181" t="s">
        <v>17</v>
      </c>
      <c r="B181" t="str">
        <f>"600179"</f>
        <v>600179</v>
      </c>
      <c r="C181" t="s">
        <v>402</v>
      </c>
      <c r="D181" t="s">
        <v>46</v>
      </c>
      <c r="E181">
        <v>799196160</v>
      </c>
      <c r="F181">
        <v>203885049</v>
      </c>
      <c r="G181">
        <v>82843717</v>
      </c>
      <c r="H181">
        <v>119341977</v>
      </c>
      <c r="I181">
        <v>-383633276</v>
      </c>
      <c r="J181">
        <v>23229536</v>
      </c>
      <c r="K181">
        <v>-64113348</v>
      </c>
      <c r="L181">
        <v>78425084</v>
      </c>
      <c r="M181">
        <v>15989460</v>
      </c>
      <c r="N181">
        <v>9334871</v>
      </c>
      <c r="O181">
        <v>15208734</v>
      </c>
      <c r="P181">
        <v>128</v>
      </c>
      <c r="Q181" t="s">
        <v>403</v>
      </c>
    </row>
    <row r="182" spans="1:17" x14ac:dyDescent="0.3">
      <c r="A182" t="s">
        <v>17</v>
      </c>
      <c r="B182" t="str">
        <f>"600208"</f>
        <v>600208</v>
      </c>
      <c r="C182" t="s">
        <v>404</v>
      </c>
      <c r="D182" t="s">
        <v>151</v>
      </c>
      <c r="E182">
        <v>791056108</v>
      </c>
      <c r="F182">
        <v>2327547029</v>
      </c>
      <c r="G182">
        <v>-1007449340</v>
      </c>
      <c r="H182">
        <v>-2377250269</v>
      </c>
      <c r="I182">
        <v>-3041359702</v>
      </c>
      <c r="J182">
        <v>1718112477</v>
      </c>
      <c r="K182">
        <v>893143034</v>
      </c>
      <c r="L182">
        <v>-1787655565</v>
      </c>
      <c r="M182">
        <v>-1818945386</v>
      </c>
      <c r="N182">
        <v>-843767997</v>
      </c>
      <c r="O182">
        <v>-702476482</v>
      </c>
      <c r="P182">
        <v>331</v>
      </c>
      <c r="Q182" t="s">
        <v>405</v>
      </c>
    </row>
    <row r="183" spans="1:17" x14ac:dyDescent="0.3">
      <c r="A183" t="s">
        <v>32</v>
      </c>
      <c r="B183" t="str">
        <f>"002460"</f>
        <v>002460</v>
      </c>
      <c r="C183" t="s">
        <v>406</v>
      </c>
      <c r="D183" t="s">
        <v>121</v>
      </c>
      <c r="E183">
        <v>787332585</v>
      </c>
      <c r="F183">
        <v>-532143691</v>
      </c>
      <c r="G183">
        <v>-220242141</v>
      </c>
      <c r="H183">
        <v>78483436</v>
      </c>
      <c r="I183">
        <v>-252218399</v>
      </c>
      <c r="J183">
        <v>-157907296</v>
      </c>
      <c r="K183">
        <v>-27439189</v>
      </c>
      <c r="L183">
        <v>-7213547</v>
      </c>
      <c r="M183">
        <v>-67982285</v>
      </c>
      <c r="N183">
        <v>-71234830</v>
      </c>
      <c r="O183">
        <v>-47608139</v>
      </c>
      <c r="P183">
        <v>2488</v>
      </c>
      <c r="Q183" t="s">
        <v>407</v>
      </c>
    </row>
    <row r="184" spans="1:17" x14ac:dyDescent="0.3">
      <c r="A184" t="s">
        <v>17</v>
      </c>
      <c r="B184" t="str">
        <f>"600711"</f>
        <v>600711</v>
      </c>
      <c r="C184" t="s">
        <v>408</v>
      </c>
      <c r="D184" t="s">
        <v>121</v>
      </c>
      <c r="E184">
        <v>781944402</v>
      </c>
      <c r="F184">
        <v>644831386</v>
      </c>
      <c r="G184">
        <v>-1261518026</v>
      </c>
      <c r="H184">
        <v>-229056245</v>
      </c>
      <c r="I184">
        <v>-1576653597</v>
      </c>
      <c r="J184">
        <v>32436203</v>
      </c>
      <c r="K184">
        <v>-52812058</v>
      </c>
      <c r="L184">
        <v>-336749308</v>
      </c>
      <c r="M184">
        <v>-288644405</v>
      </c>
      <c r="N184">
        <v>12725890</v>
      </c>
      <c r="O184">
        <v>-1833957</v>
      </c>
      <c r="P184">
        <v>378</v>
      </c>
      <c r="Q184" t="s">
        <v>409</v>
      </c>
    </row>
    <row r="185" spans="1:17" x14ac:dyDescent="0.3">
      <c r="A185" t="s">
        <v>32</v>
      </c>
      <c r="B185" t="str">
        <f>"300308"</f>
        <v>300308</v>
      </c>
      <c r="C185" t="s">
        <v>410</v>
      </c>
      <c r="D185" t="s">
        <v>57</v>
      </c>
      <c r="E185">
        <v>779373375</v>
      </c>
      <c r="F185">
        <v>-332648714</v>
      </c>
      <c r="G185">
        <v>-507961904</v>
      </c>
      <c r="H185">
        <v>-255301875</v>
      </c>
      <c r="I185">
        <v>-155949276</v>
      </c>
      <c r="J185">
        <v>236473</v>
      </c>
      <c r="K185">
        <v>-24658268</v>
      </c>
      <c r="L185">
        <v>16555003</v>
      </c>
      <c r="M185">
        <v>-19207736</v>
      </c>
      <c r="N185">
        <v>3920268</v>
      </c>
      <c r="O185">
        <v>-22509458</v>
      </c>
      <c r="P185">
        <v>815</v>
      </c>
      <c r="Q185" t="s">
        <v>411</v>
      </c>
    </row>
    <row r="186" spans="1:17" x14ac:dyDescent="0.3">
      <c r="A186" t="s">
        <v>32</v>
      </c>
      <c r="B186" t="str">
        <f>"002500"</f>
        <v>002500</v>
      </c>
      <c r="C186" t="s">
        <v>412</v>
      </c>
      <c r="D186" t="s">
        <v>26</v>
      </c>
      <c r="E186">
        <v>778917817</v>
      </c>
      <c r="F186">
        <v>-161258950</v>
      </c>
      <c r="G186">
        <v>-207696443</v>
      </c>
      <c r="H186">
        <v>2586912965</v>
      </c>
      <c r="I186">
        <v>-1187700687</v>
      </c>
      <c r="J186">
        <v>3618055057</v>
      </c>
      <c r="K186">
        <v>-4345146487</v>
      </c>
      <c r="L186">
        <v>2232612505</v>
      </c>
      <c r="M186">
        <v>441271326</v>
      </c>
      <c r="N186">
        <v>-1079073833</v>
      </c>
      <c r="O186">
        <v>-401455508</v>
      </c>
      <c r="P186">
        <v>1130</v>
      </c>
      <c r="Q186" t="s">
        <v>413</v>
      </c>
    </row>
    <row r="187" spans="1:17" x14ac:dyDescent="0.3">
      <c r="A187" t="s">
        <v>17</v>
      </c>
      <c r="B187" t="str">
        <f>"600123"</f>
        <v>600123</v>
      </c>
      <c r="C187" t="s">
        <v>414</v>
      </c>
      <c r="D187" t="s">
        <v>73</v>
      </c>
      <c r="E187">
        <v>773258711</v>
      </c>
      <c r="F187">
        <v>-96229934</v>
      </c>
      <c r="G187">
        <v>-107386972</v>
      </c>
      <c r="H187">
        <v>-12412017</v>
      </c>
      <c r="I187">
        <v>-144834751</v>
      </c>
      <c r="J187">
        <v>37689558</v>
      </c>
      <c r="K187">
        <v>-213252178</v>
      </c>
      <c r="L187">
        <v>-13350152</v>
      </c>
      <c r="M187">
        <v>-88416026</v>
      </c>
      <c r="N187">
        <v>385584095</v>
      </c>
      <c r="O187">
        <v>435911415</v>
      </c>
      <c r="P187">
        <v>623</v>
      </c>
      <c r="Q187" t="s">
        <v>415</v>
      </c>
    </row>
    <row r="188" spans="1:17" x14ac:dyDescent="0.3">
      <c r="A188" t="s">
        <v>17</v>
      </c>
      <c r="B188" t="str">
        <f>"600584"</f>
        <v>600584</v>
      </c>
      <c r="C188" t="s">
        <v>416</v>
      </c>
      <c r="D188" t="s">
        <v>124</v>
      </c>
      <c r="E188">
        <v>766574738</v>
      </c>
      <c r="F188">
        <v>643731522</v>
      </c>
      <c r="G188">
        <v>477774161</v>
      </c>
      <c r="H188">
        <v>-414625622</v>
      </c>
      <c r="I188">
        <v>-495100524</v>
      </c>
      <c r="J188">
        <v>-306087373</v>
      </c>
      <c r="K188">
        <v>-594580104</v>
      </c>
      <c r="L188">
        <v>-260375662</v>
      </c>
      <c r="M188">
        <v>-71037580</v>
      </c>
      <c r="N188">
        <v>-201597266</v>
      </c>
      <c r="O188">
        <v>-22336546</v>
      </c>
      <c r="P188">
        <v>1665</v>
      </c>
      <c r="Q188" t="s">
        <v>417</v>
      </c>
    </row>
    <row r="189" spans="1:17" x14ac:dyDescent="0.3">
      <c r="A189" t="s">
        <v>32</v>
      </c>
      <c r="B189" t="str">
        <f>"300182"</f>
        <v>300182</v>
      </c>
      <c r="C189" t="s">
        <v>418</v>
      </c>
      <c r="D189" t="s">
        <v>245</v>
      </c>
      <c r="E189">
        <v>762165925</v>
      </c>
      <c r="F189">
        <v>61505067</v>
      </c>
      <c r="G189">
        <v>18056853</v>
      </c>
      <c r="H189">
        <v>-144578164</v>
      </c>
      <c r="I189">
        <v>-732791403</v>
      </c>
      <c r="J189">
        <v>-502644408</v>
      </c>
      <c r="K189">
        <v>-597535835</v>
      </c>
      <c r="L189">
        <v>-50261143</v>
      </c>
      <c r="M189">
        <v>-194398777</v>
      </c>
      <c r="N189">
        <v>-23682644</v>
      </c>
      <c r="O189">
        <v>-61100362</v>
      </c>
      <c r="P189">
        <v>514</v>
      </c>
      <c r="Q189" t="s">
        <v>419</v>
      </c>
    </row>
    <row r="190" spans="1:17" x14ac:dyDescent="0.3">
      <c r="A190" t="s">
        <v>17</v>
      </c>
      <c r="B190" t="str">
        <f>"601018"</f>
        <v>601018</v>
      </c>
      <c r="C190" t="s">
        <v>420</v>
      </c>
      <c r="D190" t="s">
        <v>46</v>
      </c>
      <c r="E190">
        <v>761427000</v>
      </c>
      <c r="F190">
        <v>-1415966000</v>
      </c>
      <c r="G190">
        <v>4416781000</v>
      </c>
      <c r="H190">
        <v>-2085236000</v>
      </c>
      <c r="I190">
        <v>1138375000</v>
      </c>
      <c r="J190">
        <v>-1322168000</v>
      </c>
      <c r="K190">
        <v>27876000</v>
      </c>
      <c r="L190">
        <v>-1180895000</v>
      </c>
      <c r="M190">
        <v>105950000</v>
      </c>
      <c r="N190">
        <v>-170217000</v>
      </c>
      <c r="O190">
        <v>-179748000</v>
      </c>
      <c r="P190">
        <v>335</v>
      </c>
      <c r="Q190" t="s">
        <v>421</v>
      </c>
    </row>
    <row r="191" spans="1:17" x14ac:dyDescent="0.3">
      <c r="A191" t="s">
        <v>32</v>
      </c>
      <c r="B191" t="str">
        <f>"300015"</f>
        <v>300015</v>
      </c>
      <c r="C191" t="s">
        <v>422</v>
      </c>
      <c r="D191" t="s">
        <v>98</v>
      </c>
      <c r="E191">
        <v>748236907</v>
      </c>
      <c r="F191">
        <v>472160867</v>
      </c>
      <c r="G191">
        <v>-98114828</v>
      </c>
      <c r="H191">
        <v>251251334</v>
      </c>
      <c r="I191">
        <v>148804677</v>
      </c>
      <c r="J191">
        <v>118776260</v>
      </c>
      <c r="K191">
        <v>91477596</v>
      </c>
      <c r="L191">
        <v>91092402</v>
      </c>
      <c r="M191">
        <v>69783700</v>
      </c>
      <c r="N191">
        <v>28383508</v>
      </c>
      <c r="O191">
        <v>-17373802</v>
      </c>
      <c r="P191">
        <v>11105</v>
      </c>
      <c r="Q191" t="s">
        <v>423</v>
      </c>
    </row>
    <row r="192" spans="1:17" x14ac:dyDescent="0.3">
      <c r="A192" t="s">
        <v>17</v>
      </c>
      <c r="B192" t="str">
        <f>"688396"</f>
        <v>688396</v>
      </c>
      <c r="C192" t="s">
        <v>424</v>
      </c>
      <c r="D192" t="s">
        <v>124</v>
      </c>
      <c r="E192">
        <v>747553128</v>
      </c>
      <c r="F192">
        <v>614310408</v>
      </c>
      <c r="G192">
        <v>133473627</v>
      </c>
      <c r="H192">
        <v>-97083464</v>
      </c>
      <c r="P192">
        <v>496</v>
      </c>
      <c r="Q192" t="s">
        <v>425</v>
      </c>
    </row>
    <row r="193" spans="1:17" x14ac:dyDescent="0.3">
      <c r="A193" t="s">
        <v>17</v>
      </c>
      <c r="B193" t="str">
        <f>"605599"</f>
        <v>605599</v>
      </c>
      <c r="C193" t="s">
        <v>426</v>
      </c>
      <c r="D193" t="s">
        <v>130</v>
      </c>
      <c r="E193">
        <v>746746339</v>
      </c>
      <c r="P193">
        <v>21</v>
      </c>
      <c r="Q193" t="s">
        <v>427</v>
      </c>
    </row>
    <row r="194" spans="1:17" x14ac:dyDescent="0.3">
      <c r="A194" t="s">
        <v>32</v>
      </c>
      <c r="B194" t="str">
        <f>"000422"</f>
        <v>000422</v>
      </c>
      <c r="C194" t="s">
        <v>428</v>
      </c>
      <c r="D194" t="s">
        <v>144</v>
      </c>
      <c r="E194">
        <v>740888012</v>
      </c>
      <c r="F194">
        <v>-244432465</v>
      </c>
      <c r="G194">
        <v>78928116</v>
      </c>
      <c r="H194">
        <v>97275439</v>
      </c>
      <c r="I194">
        <v>-1703182903</v>
      </c>
      <c r="J194">
        <v>1004617145</v>
      </c>
      <c r="K194">
        <v>129555404</v>
      </c>
      <c r="L194">
        <v>547180864</v>
      </c>
      <c r="M194">
        <v>533292606</v>
      </c>
      <c r="N194">
        <v>-345873235</v>
      </c>
      <c r="O194">
        <v>-137121517</v>
      </c>
      <c r="P194">
        <v>258</v>
      </c>
      <c r="Q194" t="s">
        <v>429</v>
      </c>
    </row>
    <row r="195" spans="1:17" x14ac:dyDescent="0.3">
      <c r="A195" t="s">
        <v>32</v>
      </c>
      <c r="B195" t="str">
        <f>"002648"</f>
        <v>002648</v>
      </c>
      <c r="C195" t="s">
        <v>430</v>
      </c>
      <c r="D195" t="s">
        <v>144</v>
      </c>
      <c r="E195">
        <v>735283996</v>
      </c>
      <c r="F195">
        <v>-1964706852</v>
      </c>
      <c r="G195">
        <v>-950071359</v>
      </c>
      <c r="H195">
        <v>-305463497</v>
      </c>
      <c r="I195">
        <v>-87308572</v>
      </c>
      <c r="J195">
        <v>-16791523</v>
      </c>
      <c r="K195">
        <v>162293688</v>
      </c>
      <c r="L195">
        <v>306290130</v>
      </c>
      <c r="M195">
        <v>-542444609</v>
      </c>
      <c r="N195">
        <v>-132747640</v>
      </c>
      <c r="O195">
        <v>-63787025</v>
      </c>
      <c r="P195">
        <v>526</v>
      </c>
      <c r="Q195" t="s">
        <v>431</v>
      </c>
    </row>
    <row r="196" spans="1:17" x14ac:dyDescent="0.3">
      <c r="A196" t="s">
        <v>32</v>
      </c>
      <c r="B196" t="str">
        <f>"000737"</f>
        <v>000737</v>
      </c>
      <c r="C196" t="s">
        <v>432</v>
      </c>
      <c r="D196" t="s">
        <v>144</v>
      </c>
      <c r="E196">
        <v>726978873</v>
      </c>
      <c r="F196">
        <v>-1412604</v>
      </c>
      <c r="G196">
        <v>-34357813</v>
      </c>
      <c r="H196">
        <v>-55576979</v>
      </c>
      <c r="I196">
        <v>9022392</v>
      </c>
      <c r="J196">
        <v>38939227</v>
      </c>
      <c r="K196">
        <v>34688044</v>
      </c>
      <c r="L196">
        <v>143834059</v>
      </c>
      <c r="M196">
        <v>-17600838</v>
      </c>
      <c r="N196">
        <v>-141608161</v>
      </c>
      <c r="O196">
        <v>61667336</v>
      </c>
      <c r="P196">
        <v>83</v>
      </c>
      <c r="Q196" t="s">
        <v>433</v>
      </c>
    </row>
    <row r="197" spans="1:17" x14ac:dyDescent="0.3">
      <c r="A197" t="s">
        <v>17</v>
      </c>
      <c r="B197" t="str">
        <f>"600403"</f>
        <v>600403</v>
      </c>
      <c r="C197" t="s">
        <v>434</v>
      </c>
      <c r="D197" t="s">
        <v>73</v>
      </c>
      <c r="E197">
        <v>726086395</v>
      </c>
      <c r="F197">
        <v>-506865520</v>
      </c>
      <c r="G197">
        <v>125171624</v>
      </c>
      <c r="H197">
        <v>213418800</v>
      </c>
      <c r="I197">
        <v>515549938</v>
      </c>
      <c r="J197">
        <v>366207303</v>
      </c>
      <c r="K197">
        <v>-206078385</v>
      </c>
      <c r="L197">
        <v>-371718287</v>
      </c>
      <c r="M197">
        <v>-79039149</v>
      </c>
      <c r="N197">
        <v>-264443258</v>
      </c>
      <c r="O197">
        <v>213680049</v>
      </c>
      <c r="P197">
        <v>221</v>
      </c>
      <c r="Q197" t="s">
        <v>435</v>
      </c>
    </row>
    <row r="198" spans="1:17" x14ac:dyDescent="0.3">
      <c r="A198" t="s">
        <v>17</v>
      </c>
      <c r="B198" t="str">
        <f>"601828"</f>
        <v>601828</v>
      </c>
      <c r="C198" t="s">
        <v>436</v>
      </c>
      <c r="D198" t="s">
        <v>218</v>
      </c>
      <c r="E198">
        <v>723997349</v>
      </c>
      <c r="F198">
        <v>-183475534</v>
      </c>
      <c r="G198">
        <v>-1893445785</v>
      </c>
      <c r="H198">
        <v>-928332601</v>
      </c>
      <c r="I198">
        <v>-1668822169</v>
      </c>
      <c r="J198">
        <v>-149278642</v>
      </c>
      <c r="P198">
        <v>351</v>
      </c>
      <c r="Q198" t="s">
        <v>437</v>
      </c>
    </row>
    <row r="199" spans="1:17" x14ac:dyDescent="0.3">
      <c r="A199" t="s">
        <v>17</v>
      </c>
      <c r="B199" t="str">
        <f>"601872"</f>
        <v>601872</v>
      </c>
      <c r="C199" t="s">
        <v>438</v>
      </c>
      <c r="D199" t="s">
        <v>46</v>
      </c>
      <c r="E199">
        <v>717913764</v>
      </c>
      <c r="F199">
        <v>548578162</v>
      </c>
      <c r="G199">
        <v>1372535960</v>
      </c>
      <c r="H199">
        <v>-969800061</v>
      </c>
      <c r="I199">
        <v>-303025373</v>
      </c>
      <c r="J199">
        <v>194123549</v>
      </c>
      <c r="K199">
        <v>-158584780</v>
      </c>
      <c r="L199">
        <v>-585192099</v>
      </c>
      <c r="M199">
        <v>270099215</v>
      </c>
      <c r="N199">
        <v>-3782430260</v>
      </c>
      <c r="O199">
        <v>-100858915</v>
      </c>
      <c r="P199">
        <v>574</v>
      </c>
      <c r="Q199" t="s">
        <v>439</v>
      </c>
    </row>
    <row r="200" spans="1:17" x14ac:dyDescent="0.3">
      <c r="A200" t="s">
        <v>32</v>
      </c>
      <c r="B200" t="str">
        <f>"002030"</f>
        <v>002030</v>
      </c>
      <c r="C200" t="s">
        <v>440</v>
      </c>
      <c r="D200" t="s">
        <v>98</v>
      </c>
      <c r="E200">
        <v>712446821</v>
      </c>
      <c r="F200">
        <v>676414723</v>
      </c>
      <c r="G200">
        <v>205629288</v>
      </c>
      <c r="H200">
        <v>-10355005</v>
      </c>
      <c r="I200">
        <v>-151475414</v>
      </c>
      <c r="J200">
        <v>-223496530</v>
      </c>
      <c r="K200">
        <v>-150116288</v>
      </c>
      <c r="L200">
        <v>-78212403</v>
      </c>
      <c r="M200">
        <v>-63952982</v>
      </c>
      <c r="N200">
        <v>-108899111</v>
      </c>
      <c r="O200">
        <v>-28335541</v>
      </c>
      <c r="P200">
        <v>1177</v>
      </c>
      <c r="Q200" t="s">
        <v>441</v>
      </c>
    </row>
    <row r="201" spans="1:17" x14ac:dyDescent="0.3">
      <c r="A201" t="s">
        <v>17</v>
      </c>
      <c r="B201" t="str">
        <f>"605090"</f>
        <v>605090</v>
      </c>
      <c r="C201" t="s">
        <v>442</v>
      </c>
      <c r="D201" t="s">
        <v>158</v>
      </c>
      <c r="E201">
        <v>710226361</v>
      </c>
      <c r="F201">
        <v>9233874</v>
      </c>
      <c r="G201">
        <v>-150713803</v>
      </c>
      <c r="P201">
        <v>51</v>
      </c>
      <c r="Q201" t="s">
        <v>443</v>
      </c>
    </row>
    <row r="202" spans="1:17" x14ac:dyDescent="0.3">
      <c r="A202" t="s">
        <v>32</v>
      </c>
      <c r="B202" t="str">
        <f>"000429"</f>
        <v>000429</v>
      </c>
      <c r="C202" t="s">
        <v>444</v>
      </c>
      <c r="D202" t="s">
        <v>46</v>
      </c>
      <c r="E202">
        <v>709224864</v>
      </c>
      <c r="F202">
        <v>741907115</v>
      </c>
      <c r="G202">
        <v>-17021773</v>
      </c>
      <c r="H202">
        <v>226825163</v>
      </c>
      <c r="I202">
        <v>252231344</v>
      </c>
      <c r="J202">
        <v>366116664</v>
      </c>
      <c r="K202">
        <v>228568363</v>
      </c>
      <c r="L202">
        <v>172750895</v>
      </c>
      <c r="M202">
        <v>97852469</v>
      </c>
      <c r="N202">
        <v>-35760781</v>
      </c>
      <c r="O202">
        <v>-51533450</v>
      </c>
      <c r="P202">
        <v>1027</v>
      </c>
      <c r="Q202" t="s">
        <v>445</v>
      </c>
    </row>
    <row r="203" spans="1:17" x14ac:dyDescent="0.3">
      <c r="A203" t="s">
        <v>17</v>
      </c>
      <c r="B203" t="str">
        <f>"600398"</f>
        <v>600398</v>
      </c>
      <c r="C203" t="s">
        <v>446</v>
      </c>
      <c r="D203" t="s">
        <v>130</v>
      </c>
      <c r="E203">
        <v>708268237</v>
      </c>
      <c r="F203">
        <v>1045456475</v>
      </c>
      <c r="G203">
        <v>845953861</v>
      </c>
      <c r="H203">
        <v>1143661727</v>
      </c>
      <c r="I203">
        <v>872051075</v>
      </c>
      <c r="J203">
        <v>24134096</v>
      </c>
      <c r="K203">
        <v>568070988</v>
      </c>
      <c r="L203">
        <v>1083966275</v>
      </c>
      <c r="M203">
        <v>-159381988</v>
      </c>
      <c r="N203">
        <v>-137350909</v>
      </c>
      <c r="O203">
        <v>-100023156</v>
      </c>
      <c r="P203">
        <v>2673</v>
      </c>
      <c r="Q203" t="s">
        <v>447</v>
      </c>
    </row>
    <row r="204" spans="1:17" x14ac:dyDescent="0.3">
      <c r="A204" t="s">
        <v>17</v>
      </c>
      <c r="B204" t="str">
        <f>"600219"</f>
        <v>600219</v>
      </c>
      <c r="C204" t="s">
        <v>448</v>
      </c>
      <c r="D204" t="s">
        <v>121</v>
      </c>
      <c r="E204">
        <v>708025957</v>
      </c>
      <c r="F204">
        <v>458949299</v>
      </c>
      <c r="G204">
        <v>-6581398</v>
      </c>
      <c r="H204">
        <v>-319618424</v>
      </c>
      <c r="I204">
        <v>-138934034</v>
      </c>
      <c r="J204">
        <v>316866810</v>
      </c>
      <c r="K204">
        <v>-644956282</v>
      </c>
      <c r="L204">
        <v>-656365977</v>
      </c>
      <c r="M204">
        <v>-788388202</v>
      </c>
      <c r="N204">
        <v>-1080438149</v>
      </c>
      <c r="O204">
        <v>-421226630</v>
      </c>
      <c r="P204">
        <v>609</v>
      </c>
      <c r="Q204" t="s">
        <v>449</v>
      </c>
    </row>
    <row r="205" spans="1:17" x14ac:dyDescent="0.3">
      <c r="A205" t="s">
        <v>17</v>
      </c>
      <c r="B205" t="str">
        <f>"603323"</f>
        <v>603323</v>
      </c>
      <c r="C205" t="s">
        <v>450</v>
      </c>
      <c r="D205" t="s">
        <v>19</v>
      </c>
      <c r="E205">
        <v>702995000</v>
      </c>
      <c r="F205">
        <v>481533000</v>
      </c>
      <c r="G205">
        <v>5301044000</v>
      </c>
      <c r="H205">
        <v>-2350995000</v>
      </c>
      <c r="I205">
        <v>-3498101000</v>
      </c>
      <c r="J205">
        <v>164592000</v>
      </c>
      <c r="K205">
        <v>1271968000</v>
      </c>
      <c r="P205">
        <v>498</v>
      </c>
      <c r="Q205" t="s">
        <v>451</v>
      </c>
    </row>
    <row r="206" spans="1:17" x14ac:dyDescent="0.3">
      <c r="A206" t="s">
        <v>32</v>
      </c>
      <c r="B206" t="str">
        <f>"000729"</f>
        <v>000729</v>
      </c>
      <c r="C206" t="s">
        <v>452</v>
      </c>
      <c r="D206" t="s">
        <v>172</v>
      </c>
      <c r="E206">
        <v>699355307</v>
      </c>
      <c r="F206">
        <v>755778300</v>
      </c>
      <c r="G206">
        <v>205899383</v>
      </c>
      <c r="H206">
        <v>125675168</v>
      </c>
      <c r="I206">
        <v>33380921</v>
      </c>
      <c r="J206">
        <v>182661564</v>
      </c>
      <c r="K206">
        <v>-12427706</v>
      </c>
      <c r="L206">
        <v>186705559</v>
      </c>
      <c r="M206">
        <v>-173559707</v>
      </c>
      <c r="N206">
        <v>238713880</v>
      </c>
      <c r="O206">
        <v>-120667764</v>
      </c>
      <c r="P206">
        <v>607</v>
      </c>
      <c r="Q206" t="s">
        <v>453</v>
      </c>
    </row>
    <row r="207" spans="1:17" x14ac:dyDescent="0.3">
      <c r="A207" t="s">
        <v>32</v>
      </c>
      <c r="B207" t="str">
        <f>"002489"</f>
        <v>002489</v>
      </c>
      <c r="C207" t="s">
        <v>454</v>
      </c>
      <c r="D207" t="s">
        <v>455</v>
      </c>
      <c r="E207">
        <v>699167480</v>
      </c>
      <c r="F207">
        <v>337273247</v>
      </c>
      <c r="G207">
        <v>547521050</v>
      </c>
      <c r="H207">
        <v>331681407</v>
      </c>
      <c r="I207">
        <v>235127523</v>
      </c>
      <c r="J207">
        <v>274690326</v>
      </c>
      <c r="K207">
        <v>426615443</v>
      </c>
      <c r="L207">
        <v>337676070</v>
      </c>
      <c r="M207">
        <v>195528929</v>
      </c>
      <c r="N207">
        <v>430859114</v>
      </c>
      <c r="O207">
        <v>607139882</v>
      </c>
      <c r="P207">
        <v>206</v>
      </c>
      <c r="Q207" t="s">
        <v>456</v>
      </c>
    </row>
    <row r="208" spans="1:17" x14ac:dyDescent="0.3">
      <c r="A208" t="s">
        <v>17</v>
      </c>
      <c r="B208" t="str">
        <f>"600031"</f>
        <v>600031</v>
      </c>
      <c r="C208" t="s">
        <v>457</v>
      </c>
      <c r="D208" t="s">
        <v>135</v>
      </c>
      <c r="E208">
        <v>696351000</v>
      </c>
      <c r="F208">
        <v>-1511040000</v>
      </c>
      <c r="G208">
        <v>-896617000</v>
      </c>
      <c r="H208">
        <v>3460957000</v>
      </c>
      <c r="I208">
        <v>2484925000</v>
      </c>
      <c r="J208">
        <v>3012127000</v>
      </c>
      <c r="K208">
        <v>-354485000</v>
      </c>
      <c r="L208">
        <v>-1050398000</v>
      </c>
      <c r="M208">
        <v>-1044054000</v>
      </c>
      <c r="N208">
        <v>-4150230000</v>
      </c>
      <c r="O208">
        <v>-5595750690</v>
      </c>
      <c r="P208">
        <v>6540</v>
      </c>
      <c r="Q208" t="s">
        <v>458</v>
      </c>
    </row>
    <row r="209" spans="1:17" x14ac:dyDescent="0.3">
      <c r="A209" t="s">
        <v>17</v>
      </c>
      <c r="B209" t="str">
        <f>"600777"</f>
        <v>600777</v>
      </c>
      <c r="C209" t="s">
        <v>459</v>
      </c>
      <c r="D209" t="s">
        <v>64</v>
      </c>
      <c r="E209">
        <v>688591878</v>
      </c>
      <c r="F209">
        <v>-2144901418</v>
      </c>
      <c r="G209">
        <v>-156690239</v>
      </c>
      <c r="H209">
        <v>-722369338</v>
      </c>
      <c r="I209">
        <v>-1053403364</v>
      </c>
      <c r="J209">
        <v>-102756152</v>
      </c>
      <c r="K209">
        <v>1243129</v>
      </c>
      <c r="L209">
        <v>3183321</v>
      </c>
      <c r="M209">
        <v>-75950930</v>
      </c>
      <c r="N209">
        <v>22899085</v>
      </c>
      <c r="O209">
        <v>29639504</v>
      </c>
      <c r="P209">
        <v>212</v>
      </c>
      <c r="Q209" t="s">
        <v>460</v>
      </c>
    </row>
    <row r="210" spans="1:17" x14ac:dyDescent="0.3">
      <c r="A210" t="s">
        <v>32</v>
      </c>
      <c r="B210" t="str">
        <f>"000683"</f>
        <v>000683</v>
      </c>
      <c r="C210" t="s">
        <v>461</v>
      </c>
      <c r="D210" t="s">
        <v>144</v>
      </c>
      <c r="E210">
        <v>685300876</v>
      </c>
      <c r="F210">
        <v>373819087</v>
      </c>
      <c r="G210">
        <v>543956258</v>
      </c>
      <c r="H210">
        <v>-14674040</v>
      </c>
      <c r="I210">
        <v>-150696766</v>
      </c>
      <c r="J210">
        <v>256142583</v>
      </c>
      <c r="K210">
        <v>105042760</v>
      </c>
      <c r="L210">
        <v>332302831</v>
      </c>
      <c r="M210">
        <v>-10297848</v>
      </c>
      <c r="N210">
        <v>-3436207</v>
      </c>
      <c r="O210">
        <v>194183852</v>
      </c>
      <c r="P210">
        <v>314</v>
      </c>
      <c r="Q210" t="s">
        <v>462</v>
      </c>
    </row>
    <row r="211" spans="1:17" x14ac:dyDescent="0.3">
      <c r="A211" t="s">
        <v>17</v>
      </c>
      <c r="B211" t="str">
        <f>"688303"</f>
        <v>688303</v>
      </c>
      <c r="C211" t="s">
        <v>463</v>
      </c>
      <c r="D211" t="s">
        <v>464</v>
      </c>
      <c r="E211">
        <v>678516746</v>
      </c>
      <c r="F211">
        <v>57325006</v>
      </c>
      <c r="G211">
        <v>26326902</v>
      </c>
      <c r="P211">
        <v>109</v>
      </c>
      <c r="Q211" t="s">
        <v>465</v>
      </c>
    </row>
    <row r="212" spans="1:17" x14ac:dyDescent="0.3">
      <c r="A212" t="s">
        <v>17</v>
      </c>
      <c r="B212" t="str">
        <f>"688767"</f>
        <v>688767</v>
      </c>
      <c r="C212" t="s">
        <v>466</v>
      </c>
      <c r="D212" t="s">
        <v>98</v>
      </c>
      <c r="E212">
        <v>660189945</v>
      </c>
      <c r="P212">
        <v>43</v>
      </c>
      <c r="Q212" t="s">
        <v>467</v>
      </c>
    </row>
    <row r="213" spans="1:17" x14ac:dyDescent="0.3">
      <c r="A213" t="s">
        <v>17</v>
      </c>
      <c r="B213" t="str">
        <f>"600675"</f>
        <v>600675</v>
      </c>
      <c r="C213" t="s">
        <v>468</v>
      </c>
      <c r="D213" t="s">
        <v>151</v>
      </c>
      <c r="E213">
        <v>658041675</v>
      </c>
      <c r="F213">
        <v>-43188788</v>
      </c>
      <c r="G213">
        <v>-300641093</v>
      </c>
      <c r="H213">
        <v>-7577154</v>
      </c>
      <c r="I213">
        <v>-43856568</v>
      </c>
      <c r="J213">
        <v>953689770</v>
      </c>
      <c r="K213">
        <v>475746475</v>
      </c>
      <c r="L213">
        <v>-205012232</v>
      </c>
      <c r="M213">
        <v>-981697986</v>
      </c>
      <c r="N213">
        <v>-69061931</v>
      </c>
      <c r="O213">
        <v>587372797</v>
      </c>
      <c r="P213">
        <v>186</v>
      </c>
      <c r="Q213" t="s">
        <v>469</v>
      </c>
    </row>
    <row r="214" spans="1:17" x14ac:dyDescent="0.3">
      <c r="A214" t="s">
        <v>17</v>
      </c>
      <c r="B214" t="str">
        <f>"600166"</f>
        <v>600166</v>
      </c>
      <c r="C214" t="s">
        <v>470</v>
      </c>
      <c r="D214" t="s">
        <v>199</v>
      </c>
      <c r="E214">
        <v>657441382</v>
      </c>
      <c r="F214">
        <v>-602822179</v>
      </c>
      <c r="G214">
        <v>-1308695987</v>
      </c>
      <c r="H214">
        <v>1718751278</v>
      </c>
      <c r="I214">
        <v>-3381793949</v>
      </c>
      <c r="J214">
        <v>-2419635202</v>
      </c>
      <c r="K214">
        <v>-1353956590</v>
      </c>
      <c r="L214">
        <v>-560697377</v>
      </c>
      <c r="M214">
        <v>-1290169543</v>
      </c>
      <c r="N214">
        <v>1603214815</v>
      </c>
      <c r="O214">
        <v>-150195901</v>
      </c>
      <c r="P214">
        <v>439</v>
      </c>
      <c r="Q214" t="s">
        <v>471</v>
      </c>
    </row>
    <row r="215" spans="1:17" x14ac:dyDescent="0.3">
      <c r="A215" t="s">
        <v>17</v>
      </c>
      <c r="B215" t="str">
        <f>"603708"</f>
        <v>603708</v>
      </c>
      <c r="C215" t="s">
        <v>472</v>
      </c>
      <c r="D215" t="s">
        <v>218</v>
      </c>
      <c r="E215">
        <v>653837642</v>
      </c>
      <c r="F215">
        <v>264331080</v>
      </c>
      <c r="G215">
        <v>626992108</v>
      </c>
      <c r="H215">
        <v>307249410</v>
      </c>
      <c r="I215">
        <v>203264074</v>
      </c>
      <c r="J215">
        <v>377618162</v>
      </c>
      <c r="K215">
        <v>489715922</v>
      </c>
      <c r="P215">
        <v>702</v>
      </c>
      <c r="Q215" t="s">
        <v>473</v>
      </c>
    </row>
    <row r="216" spans="1:17" x14ac:dyDescent="0.3">
      <c r="A216" t="s">
        <v>17</v>
      </c>
      <c r="B216" t="str">
        <f>"600096"</f>
        <v>600096</v>
      </c>
      <c r="C216" t="s">
        <v>474</v>
      </c>
      <c r="D216" t="s">
        <v>144</v>
      </c>
      <c r="E216">
        <v>651126431</v>
      </c>
      <c r="F216">
        <v>1094853288</v>
      </c>
      <c r="G216">
        <v>943295587</v>
      </c>
      <c r="H216">
        <v>937044336</v>
      </c>
      <c r="I216">
        <v>426866709</v>
      </c>
      <c r="J216">
        <v>-20574526</v>
      </c>
      <c r="K216">
        <v>-624834913</v>
      </c>
      <c r="L216">
        <v>591081837</v>
      </c>
      <c r="M216">
        <v>-2421630872</v>
      </c>
      <c r="N216">
        <v>-271766969</v>
      </c>
      <c r="O216">
        <v>-248859325</v>
      </c>
      <c r="P216">
        <v>392</v>
      </c>
      <c r="Q216" t="s">
        <v>475</v>
      </c>
    </row>
    <row r="217" spans="1:17" x14ac:dyDescent="0.3">
      <c r="A217" t="s">
        <v>17</v>
      </c>
      <c r="B217" t="str">
        <f>"600332"</f>
        <v>600332</v>
      </c>
      <c r="C217" t="s">
        <v>476</v>
      </c>
      <c r="D217" t="s">
        <v>98</v>
      </c>
      <c r="E217">
        <v>644071887</v>
      </c>
      <c r="F217">
        <v>1456565431</v>
      </c>
      <c r="G217">
        <v>-3558319223</v>
      </c>
      <c r="H217">
        <v>-2979595944</v>
      </c>
      <c r="I217">
        <v>755323119</v>
      </c>
      <c r="J217">
        <v>197063118</v>
      </c>
      <c r="K217">
        <v>689027411</v>
      </c>
      <c r="L217">
        <v>175571082</v>
      </c>
      <c r="M217">
        <v>40175582</v>
      </c>
      <c r="N217">
        <v>532053848</v>
      </c>
      <c r="O217">
        <v>55649674</v>
      </c>
      <c r="P217">
        <v>2235</v>
      </c>
      <c r="Q217" t="s">
        <v>477</v>
      </c>
    </row>
    <row r="218" spans="1:17" x14ac:dyDescent="0.3">
      <c r="A218" t="s">
        <v>32</v>
      </c>
      <c r="B218" t="str">
        <f>"002867"</f>
        <v>002867</v>
      </c>
      <c r="C218" t="s">
        <v>478</v>
      </c>
      <c r="D218" t="s">
        <v>130</v>
      </c>
      <c r="E218">
        <v>640960675</v>
      </c>
      <c r="F218">
        <v>-455082217</v>
      </c>
      <c r="G218">
        <v>-94335850</v>
      </c>
      <c r="H218">
        <v>-381876149</v>
      </c>
      <c r="I218">
        <v>-403685146</v>
      </c>
      <c r="J218">
        <v>40044889</v>
      </c>
      <c r="K218">
        <v>29493016</v>
      </c>
      <c r="P218">
        <v>1642</v>
      </c>
      <c r="Q218" t="s">
        <v>479</v>
      </c>
    </row>
    <row r="219" spans="1:17" x14ac:dyDescent="0.3">
      <c r="A219" t="s">
        <v>32</v>
      </c>
      <c r="B219" t="str">
        <f>"002042"</f>
        <v>002042</v>
      </c>
      <c r="C219" t="s">
        <v>480</v>
      </c>
      <c r="D219" t="s">
        <v>130</v>
      </c>
      <c r="E219">
        <v>632434492</v>
      </c>
      <c r="F219">
        <v>870730233</v>
      </c>
      <c r="G219">
        <v>261514158</v>
      </c>
      <c r="H219">
        <v>-5210068</v>
      </c>
      <c r="I219">
        <v>-485201899</v>
      </c>
      <c r="J219">
        <v>-486504394</v>
      </c>
      <c r="K219">
        <v>168733169</v>
      </c>
      <c r="L219">
        <v>-262837032</v>
      </c>
      <c r="M219">
        <v>-54677792</v>
      </c>
      <c r="N219">
        <v>-394504805</v>
      </c>
      <c r="O219">
        <v>-346242105</v>
      </c>
      <c r="P219">
        <v>196</v>
      </c>
      <c r="Q219" t="s">
        <v>481</v>
      </c>
    </row>
    <row r="220" spans="1:17" x14ac:dyDescent="0.3">
      <c r="A220" t="s">
        <v>17</v>
      </c>
      <c r="B220" t="str">
        <f>"600010"</f>
        <v>600010</v>
      </c>
      <c r="C220" t="s">
        <v>482</v>
      </c>
      <c r="D220" t="s">
        <v>163</v>
      </c>
      <c r="E220">
        <v>630710768</v>
      </c>
      <c r="F220">
        <v>1152145642</v>
      </c>
      <c r="G220">
        <v>-1729489228</v>
      </c>
      <c r="H220">
        <v>-695196778</v>
      </c>
      <c r="I220">
        <v>856725638</v>
      </c>
      <c r="J220">
        <v>360397912</v>
      </c>
      <c r="K220">
        <v>-6370658944</v>
      </c>
      <c r="L220">
        <v>387249522</v>
      </c>
      <c r="M220">
        <v>-2629623254</v>
      </c>
      <c r="N220">
        <v>-1315469887</v>
      </c>
      <c r="O220">
        <v>-1927053036</v>
      </c>
      <c r="P220">
        <v>623</v>
      </c>
      <c r="Q220" t="s">
        <v>483</v>
      </c>
    </row>
    <row r="221" spans="1:17" x14ac:dyDescent="0.3">
      <c r="A221" t="s">
        <v>17</v>
      </c>
      <c r="B221" t="str">
        <f>"601179"</f>
        <v>601179</v>
      </c>
      <c r="C221" t="s">
        <v>484</v>
      </c>
      <c r="D221" t="s">
        <v>464</v>
      </c>
      <c r="E221">
        <v>620105596</v>
      </c>
      <c r="F221">
        <v>-537741441</v>
      </c>
      <c r="G221">
        <v>519300177</v>
      </c>
      <c r="H221">
        <v>-2011266453</v>
      </c>
      <c r="I221">
        <v>-1825384604</v>
      </c>
      <c r="J221">
        <v>-859944720</v>
      </c>
      <c r="K221">
        <v>-1836014009</v>
      </c>
      <c r="L221">
        <v>456237568</v>
      </c>
      <c r="M221">
        <v>-1320040231</v>
      </c>
      <c r="N221">
        <v>-805694818</v>
      </c>
      <c r="O221">
        <v>-831784634</v>
      </c>
      <c r="P221">
        <v>329</v>
      </c>
      <c r="Q221" t="s">
        <v>485</v>
      </c>
    </row>
    <row r="222" spans="1:17" x14ac:dyDescent="0.3">
      <c r="A222" t="s">
        <v>17</v>
      </c>
      <c r="B222" t="str">
        <f>"600067"</f>
        <v>600067</v>
      </c>
      <c r="C222" t="s">
        <v>486</v>
      </c>
      <c r="D222" t="s">
        <v>151</v>
      </c>
      <c r="E222">
        <v>616679727</v>
      </c>
      <c r="F222">
        <v>-15743438</v>
      </c>
      <c r="G222">
        <v>-531845560</v>
      </c>
      <c r="H222">
        <v>50978817</v>
      </c>
      <c r="I222">
        <v>-1136073925</v>
      </c>
      <c r="J222">
        <v>95924049</v>
      </c>
      <c r="K222">
        <v>762447816</v>
      </c>
      <c r="L222">
        <v>-155711217</v>
      </c>
      <c r="M222">
        <v>569376274</v>
      </c>
      <c r="N222">
        <v>531104659</v>
      </c>
      <c r="O222">
        <v>-283078366</v>
      </c>
      <c r="P222">
        <v>222</v>
      </c>
      <c r="Q222" t="s">
        <v>487</v>
      </c>
    </row>
    <row r="223" spans="1:17" x14ac:dyDescent="0.3">
      <c r="A223" t="s">
        <v>17</v>
      </c>
      <c r="B223" t="str">
        <f>"601298"</f>
        <v>601298</v>
      </c>
      <c r="C223" t="s">
        <v>488</v>
      </c>
      <c r="D223" t="s">
        <v>46</v>
      </c>
      <c r="E223">
        <v>608804947</v>
      </c>
      <c r="F223">
        <v>-247861852</v>
      </c>
      <c r="G223">
        <v>325520075</v>
      </c>
      <c r="H223">
        <v>222961938</v>
      </c>
      <c r="I223">
        <v>-436992479</v>
      </c>
      <c r="P223">
        <v>431</v>
      </c>
      <c r="Q223" t="s">
        <v>489</v>
      </c>
    </row>
    <row r="224" spans="1:17" x14ac:dyDescent="0.3">
      <c r="A224" t="s">
        <v>17</v>
      </c>
      <c r="B224" t="str">
        <f>"603599"</f>
        <v>603599</v>
      </c>
      <c r="C224" t="s">
        <v>490</v>
      </c>
      <c r="D224" t="s">
        <v>144</v>
      </c>
      <c r="E224">
        <v>600556847</v>
      </c>
      <c r="F224">
        <v>24601223</v>
      </c>
      <c r="G224">
        <v>168957761</v>
      </c>
      <c r="H224">
        <v>118057681</v>
      </c>
      <c r="I224">
        <v>-10926359</v>
      </c>
      <c r="J224">
        <v>-20306666</v>
      </c>
      <c r="K224">
        <v>-52692855</v>
      </c>
      <c r="L224">
        <v>-46690900</v>
      </c>
      <c r="M224">
        <v>-9632500</v>
      </c>
      <c r="P224">
        <v>304</v>
      </c>
      <c r="Q224" t="s">
        <v>491</v>
      </c>
    </row>
    <row r="225" spans="1:17" x14ac:dyDescent="0.3">
      <c r="A225" t="s">
        <v>17</v>
      </c>
      <c r="B225" t="str">
        <f>"600380"</f>
        <v>600380</v>
      </c>
      <c r="C225" t="s">
        <v>492</v>
      </c>
      <c r="D225" t="s">
        <v>98</v>
      </c>
      <c r="E225">
        <v>594400535</v>
      </c>
      <c r="F225">
        <v>167643680</v>
      </c>
      <c r="G225">
        <v>357412815</v>
      </c>
      <c r="H225">
        <v>402673725</v>
      </c>
      <c r="I225">
        <v>128399607</v>
      </c>
      <c r="J225">
        <v>304097074</v>
      </c>
      <c r="K225">
        <v>221065173</v>
      </c>
      <c r="L225">
        <v>44630760</v>
      </c>
      <c r="M225">
        <v>-18257401</v>
      </c>
      <c r="N225">
        <v>-161188309</v>
      </c>
      <c r="O225">
        <v>-57460039</v>
      </c>
      <c r="P225">
        <v>966</v>
      </c>
      <c r="Q225" t="s">
        <v>493</v>
      </c>
    </row>
    <row r="226" spans="1:17" x14ac:dyDescent="0.3">
      <c r="A226" t="s">
        <v>17</v>
      </c>
      <c r="B226" t="str">
        <f>"600486"</f>
        <v>600486</v>
      </c>
      <c r="C226" t="s">
        <v>494</v>
      </c>
      <c r="D226" t="s">
        <v>144</v>
      </c>
      <c r="E226">
        <v>590465492</v>
      </c>
      <c r="F226">
        <v>98450967</v>
      </c>
      <c r="G226">
        <v>-283911956</v>
      </c>
      <c r="H226">
        <v>-109103650</v>
      </c>
      <c r="I226">
        <v>210032630</v>
      </c>
      <c r="J226">
        <v>19199900</v>
      </c>
      <c r="K226">
        <v>53895187</v>
      </c>
      <c r="L226">
        <v>-7191817</v>
      </c>
      <c r="M226">
        <v>131984772</v>
      </c>
      <c r="N226">
        <v>209156611</v>
      </c>
      <c r="O226">
        <v>53238392</v>
      </c>
      <c r="P226">
        <v>1254</v>
      </c>
      <c r="Q226" t="s">
        <v>495</v>
      </c>
    </row>
    <row r="227" spans="1:17" x14ac:dyDescent="0.3">
      <c r="A227" t="s">
        <v>32</v>
      </c>
      <c r="B227" t="str">
        <f>"002607"</f>
        <v>002607</v>
      </c>
      <c r="C227" t="s">
        <v>496</v>
      </c>
      <c r="D227" t="s">
        <v>497</v>
      </c>
      <c r="E227">
        <v>590120201</v>
      </c>
      <c r="F227">
        <v>-3020917197</v>
      </c>
      <c r="G227">
        <v>1752149488</v>
      </c>
      <c r="H227">
        <v>2414307491</v>
      </c>
      <c r="I227">
        <v>-416802617</v>
      </c>
      <c r="J227">
        <v>-336655619</v>
      </c>
      <c r="K227">
        <v>-85900306</v>
      </c>
      <c r="L227">
        <v>-52203593</v>
      </c>
      <c r="M227">
        <v>-268883251</v>
      </c>
      <c r="N227">
        <v>-30564913</v>
      </c>
      <c r="O227">
        <v>-203977400</v>
      </c>
      <c r="P227">
        <v>1791</v>
      </c>
      <c r="Q227" t="s">
        <v>498</v>
      </c>
    </row>
    <row r="228" spans="1:17" x14ac:dyDescent="0.3">
      <c r="A228" t="s">
        <v>17</v>
      </c>
      <c r="B228" t="str">
        <f>"601216"</f>
        <v>601216</v>
      </c>
      <c r="C228" t="s">
        <v>499</v>
      </c>
      <c r="D228" t="s">
        <v>144</v>
      </c>
      <c r="E228">
        <v>589626890</v>
      </c>
      <c r="F228">
        <v>38183343</v>
      </c>
      <c r="G228">
        <v>161967714</v>
      </c>
      <c r="H228">
        <v>466292165</v>
      </c>
      <c r="I228">
        <v>263296305</v>
      </c>
      <c r="J228">
        <v>-142590567</v>
      </c>
      <c r="K228">
        <v>753203342</v>
      </c>
      <c r="L228">
        <v>-150550099</v>
      </c>
      <c r="M228">
        <v>-272425313</v>
      </c>
      <c r="N228">
        <v>-110263784</v>
      </c>
      <c r="O228">
        <v>-179918008</v>
      </c>
      <c r="P228">
        <v>957</v>
      </c>
      <c r="Q228" t="s">
        <v>500</v>
      </c>
    </row>
    <row r="229" spans="1:17" x14ac:dyDescent="0.3">
      <c r="A229" t="s">
        <v>32</v>
      </c>
      <c r="B229" t="str">
        <f>"002556"</f>
        <v>002556</v>
      </c>
      <c r="C229" t="s">
        <v>501</v>
      </c>
      <c r="D229" t="s">
        <v>175</v>
      </c>
      <c r="E229">
        <v>587030360</v>
      </c>
      <c r="F229">
        <v>-517957696</v>
      </c>
      <c r="G229">
        <v>100860638</v>
      </c>
      <c r="H229">
        <v>97738307</v>
      </c>
      <c r="I229">
        <v>-695753534</v>
      </c>
      <c r="J229">
        <v>-154592981</v>
      </c>
      <c r="K229">
        <v>-24471425</v>
      </c>
      <c r="L229">
        <v>-109907913</v>
      </c>
      <c r="M229">
        <v>-567444488</v>
      </c>
      <c r="N229">
        <v>-524851993</v>
      </c>
      <c r="O229">
        <v>-53085019</v>
      </c>
      <c r="P229">
        <v>111</v>
      </c>
      <c r="Q229" t="s">
        <v>502</v>
      </c>
    </row>
    <row r="230" spans="1:17" x14ac:dyDescent="0.3">
      <c r="A230" t="s">
        <v>17</v>
      </c>
      <c r="B230" t="str">
        <f>"603113"</f>
        <v>603113</v>
      </c>
      <c r="C230" t="s">
        <v>503</v>
      </c>
      <c r="D230" t="s">
        <v>73</v>
      </c>
      <c r="E230">
        <v>584476307</v>
      </c>
      <c r="F230">
        <v>589594419</v>
      </c>
      <c r="G230">
        <v>-262385534</v>
      </c>
      <c r="H230">
        <v>-330213431</v>
      </c>
      <c r="I230">
        <v>177828077</v>
      </c>
      <c r="J230">
        <v>152465006</v>
      </c>
      <c r="K230">
        <v>39213054</v>
      </c>
      <c r="P230">
        <v>302</v>
      </c>
      <c r="Q230" t="s">
        <v>504</v>
      </c>
    </row>
    <row r="231" spans="1:17" x14ac:dyDescent="0.3">
      <c r="A231" t="s">
        <v>17</v>
      </c>
      <c r="B231" t="str">
        <f>"600007"</f>
        <v>600007</v>
      </c>
      <c r="C231" t="s">
        <v>505</v>
      </c>
      <c r="D231" t="s">
        <v>151</v>
      </c>
      <c r="E231">
        <v>584237792</v>
      </c>
      <c r="F231">
        <v>423981616</v>
      </c>
      <c r="G231">
        <v>274375336</v>
      </c>
      <c r="H231">
        <v>341781814</v>
      </c>
      <c r="I231">
        <v>275502821</v>
      </c>
      <c r="J231">
        <v>292391105</v>
      </c>
      <c r="K231">
        <v>24183389</v>
      </c>
      <c r="L231">
        <v>140402080</v>
      </c>
      <c r="M231">
        <v>168256734</v>
      </c>
      <c r="N231">
        <v>148921671</v>
      </c>
      <c r="O231">
        <v>155014397</v>
      </c>
      <c r="P231">
        <v>328</v>
      </c>
      <c r="Q231" t="s">
        <v>506</v>
      </c>
    </row>
    <row r="232" spans="1:17" x14ac:dyDescent="0.3">
      <c r="A232" t="s">
        <v>17</v>
      </c>
      <c r="B232" t="str">
        <f>"600497"</f>
        <v>600497</v>
      </c>
      <c r="C232" t="s">
        <v>507</v>
      </c>
      <c r="D232" t="s">
        <v>121</v>
      </c>
      <c r="E232">
        <v>583839691</v>
      </c>
      <c r="F232">
        <v>313316519</v>
      </c>
      <c r="G232">
        <v>277740915</v>
      </c>
      <c r="H232">
        <v>-42426290</v>
      </c>
      <c r="I232">
        <v>226407969</v>
      </c>
      <c r="J232">
        <v>475933778</v>
      </c>
      <c r="K232">
        <v>-113674229</v>
      </c>
      <c r="L232">
        <v>-102350741</v>
      </c>
      <c r="M232">
        <v>-509225072</v>
      </c>
      <c r="N232">
        <v>-157221302</v>
      </c>
      <c r="O232">
        <v>-694167929</v>
      </c>
      <c r="P232">
        <v>286</v>
      </c>
      <c r="Q232" t="s">
        <v>508</v>
      </c>
    </row>
    <row r="233" spans="1:17" x14ac:dyDescent="0.3">
      <c r="A233" t="s">
        <v>17</v>
      </c>
      <c r="B233" t="str">
        <f>"600773"</f>
        <v>600773</v>
      </c>
      <c r="C233" t="s">
        <v>509</v>
      </c>
      <c r="D233" t="s">
        <v>151</v>
      </c>
      <c r="E233">
        <v>581590548</v>
      </c>
      <c r="F233">
        <v>-345486381</v>
      </c>
      <c r="G233">
        <v>-476744865</v>
      </c>
      <c r="H233">
        <v>-476593987</v>
      </c>
      <c r="I233">
        <v>-384561428</v>
      </c>
      <c r="J233">
        <v>-129268166</v>
      </c>
      <c r="K233">
        <v>-158078572</v>
      </c>
      <c r="L233">
        <v>400695058</v>
      </c>
      <c r="M233">
        <v>507929112</v>
      </c>
      <c r="N233">
        <v>-1194843446</v>
      </c>
      <c r="O233">
        <v>-371877634</v>
      </c>
      <c r="P233">
        <v>143</v>
      </c>
      <c r="Q233" t="s">
        <v>510</v>
      </c>
    </row>
    <row r="234" spans="1:17" x14ac:dyDescent="0.3">
      <c r="A234" t="s">
        <v>32</v>
      </c>
      <c r="B234" t="str">
        <f>"300760"</f>
        <v>300760</v>
      </c>
      <c r="C234" t="s">
        <v>511</v>
      </c>
      <c r="D234" t="s">
        <v>98</v>
      </c>
      <c r="E234">
        <v>576972334</v>
      </c>
      <c r="F234">
        <v>832455784</v>
      </c>
      <c r="G234">
        <v>1241763712</v>
      </c>
      <c r="H234">
        <v>321025321</v>
      </c>
      <c r="I234">
        <v>251932964</v>
      </c>
      <c r="P234">
        <v>4595</v>
      </c>
      <c r="Q234" t="s">
        <v>512</v>
      </c>
    </row>
    <row r="235" spans="1:17" x14ac:dyDescent="0.3">
      <c r="A235" t="s">
        <v>32</v>
      </c>
      <c r="B235" t="str">
        <f>"201872"</f>
        <v>201872</v>
      </c>
      <c r="C235" t="s">
        <v>513</v>
      </c>
      <c r="E235">
        <v>564108638.75399995</v>
      </c>
      <c r="F235">
        <v>157150410.41999999</v>
      </c>
      <c r="G235">
        <v>376909347.5934</v>
      </c>
      <c r="H235">
        <v>611223757.70940006</v>
      </c>
      <c r="I235">
        <v>50005441.678999998</v>
      </c>
      <c r="J235">
        <v>251496599.8028</v>
      </c>
      <c r="K235">
        <v>69047312.307999998</v>
      </c>
      <c r="L235">
        <v>171942421.25</v>
      </c>
      <c r="M235">
        <v>149019712.8008</v>
      </c>
      <c r="N235">
        <v>64816498.950599998</v>
      </c>
      <c r="O235">
        <v>2233813.77</v>
      </c>
      <c r="P235">
        <v>90</v>
      </c>
      <c r="Q235" t="s">
        <v>514</v>
      </c>
    </row>
    <row r="236" spans="1:17" x14ac:dyDescent="0.3">
      <c r="A236" t="s">
        <v>32</v>
      </c>
      <c r="B236" t="str">
        <f>"300118"</f>
        <v>300118</v>
      </c>
      <c r="C236" t="s">
        <v>515</v>
      </c>
      <c r="D236" t="s">
        <v>464</v>
      </c>
      <c r="E236">
        <v>561945065</v>
      </c>
      <c r="F236">
        <v>-43743051</v>
      </c>
      <c r="G236">
        <v>-223399979</v>
      </c>
      <c r="H236">
        <v>286637262</v>
      </c>
      <c r="I236">
        <v>-587205316</v>
      </c>
      <c r="J236">
        <v>-352309266</v>
      </c>
      <c r="K236">
        <v>-205231584</v>
      </c>
      <c r="L236">
        <v>-319458158</v>
      </c>
      <c r="M236">
        <v>-272429824</v>
      </c>
      <c r="N236">
        <v>-411996605</v>
      </c>
      <c r="O236">
        <v>-220463111</v>
      </c>
      <c r="P236">
        <v>443</v>
      </c>
      <c r="Q236" t="s">
        <v>516</v>
      </c>
    </row>
    <row r="237" spans="1:17" x14ac:dyDescent="0.3">
      <c r="A237" t="s">
        <v>32</v>
      </c>
      <c r="B237" t="str">
        <f>"002555"</f>
        <v>002555</v>
      </c>
      <c r="C237" t="s">
        <v>517</v>
      </c>
      <c r="D237" t="s">
        <v>245</v>
      </c>
      <c r="E237">
        <v>560794038</v>
      </c>
      <c r="F237">
        <v>605990612</v>
      </c>
      <c r="G237">
        <v>863012771</v>
      </c>
      <c r="H237">
        <v>136775955</v>
      </c>
      <c r="I237">
        <v>484640123</v>
      </c>
      <c r="J237">
        <v>423678981</v>
      </c>
      <c r="K237">
        <v>4194077</v>
      </c>
      <c r="L237">
        <v>133958489</v>
      </c>
      <c r="M237">
        <v>2855757</v>
      </c>
      <c r="N237">
        <v>11180053</v>
      </c>
      <c r="O237">
        <v>-32973389</v>
      </c>
      <c r="P237">
        <v>2929</v>
      </c>
      <c r="Q237" t="s">
        <v>518</v>
      </c>
    </row>
    <row r="238" spans="1:17" x14ac:dyDescent="0.3">
      <c r="A238" t="s">
        <v>17</v>
      </c>
      <c r="B238" t="str">
        <f>"601918"</f>
        <v>601918</v>
      </c>
      <c r="C238" t="s">
        <v>519</v>
      </c>
      <c r="D238" t="s">
        <v>73</v>
      </c>
      <c r="E238">
        <v>558898899</v>
      </c>
      <c r="F238">
        <v>771550548</v>
      </c>
      <c r="G238">
        <v>-346914510</v>
      </c>
      <c r="H238">
        <v>699974884</v>
      </c>
      <c r="I238">
        <v>1113851279</v>
      </c>
      <c r="J238">
        <v>211083175</v>
      </c>
      <c r="K238">
        <v>-119615605</v>
      </c>
      <c r="L238">
        <v>-1253074371</v>
      </c>
      <c r="M238">
        <v>-413394843</v>
      </c>
      <c r="N238">
        <v>195492300</v>
      </c>
      <c r="O238">
        <v>-163129517</v>
      </c>
      <c r="P238">
        <v>237</v>
      </c>
      <c r="Q238" t="s">
        <v>520</v>
      </c>
    </row>
    <row r="239" spans="1:17" x14ac:dyDescent="0.3">
      <c r="A239" t="s">
        <v>32</v>
      </c>
      <c r="B239" t="str">
        <f>"300803"</f>
        <v>300803</v>
      </c>
      <c r="C239" t="s">
        <v>521</v>
      </c>
      <c r="D239" t="s">
        <v>342</v>
      </c>
      <c r="E239">
        <v>547826087</v>
      </c>
      <c r="F239">
        <v>226127191</v>
      </c>
      <c r="G239">
        <v>46654963</v>
      </c>
      <c r="H239">
        <v>-133528744</v>
      </c>
      <c r="P239">
        <v>195</v>
      </c>
      <c r="Q239" t="s">
        <v>522</v>
      </c>
    </row>
    <row r="240" spans="1:17" x14ac:dyDescent="0.3">
      <c r="A240" t="s">
        <v>17</v>
      </c>
      <c r="B240" t="str">
        <f>"600251"</f>
        <v>600251</v>
      </c>
      <c r="C240" t="s">
        <v>523</v>
      </c>
      <c r="D240" t="s">
        <v>175</v>
      </c>
      <c r="E240">
        <v>544770079</v>
      </c>
      <c r="F240">
        <v>1095243097</v>
      </c>
      <c r="G240">
        <v>-21247353</v>
      </c>
      <c r="H240">
        <v>514686992</v>
      </c>
      <c r="I240">
        <v>489492171</v>
      </c>
      <c r="J240">
        <v>135654539</v>
      </c>
      <c r="K240">
        <v>46482409</v>
      </c>
      <c r="L240">
        <v>-76664843</v>
      </c>
      <c r="M240">
        <v>170041070</v>
      </c>
      <c r="N240">
        <v>40414634</v>
      </c>
      <c r="O240">
        <v>64490605</v>
      </c>
      <c r="P240">
        <v>148</v>
      </c>
      <c r="Q240" t="s">
        <v>524</v>
      </c>
    </row>
    <row r="241" spans="1:17" x14ac:dyDescent="0.3">
      <c r="A241" t="s">
        <v>17</v>
      </c>
      <c r="B241" t="str">
        <f>"600827"</f>
        <v>600827</v>
      </c>
      <c r="C241" t="s">
        <v>525</v>
      </c>
      <c r="D241" t="s">
        <v>218</v>
      </c>
      <c r="E241">
        <v>543841823</v>
      </c>
      <c r="F241">
        <v>497296697</v>
      </c>
      <c r="G241">
        <v>123910278</v>
      </c>
      <c r="H241">
        <v>617259778</v>
      </c>
      <c r="I241">
        <v>423291063</v>
      </c>
      <c r="J241">
        <v>-98974865</v>
      </c>
      <c r="K241">
        <v>66883697</v>
      </c>
      <c r="L241">
        <v>336158503</v>
      </c>
      <c r="M241">
        <v>549618933</v>
      </c>
      <c r="N241">
        <v>561881399</v>
      </c>
      <c r="O241">
        <v>655266903</v>
      </c>
      <c r="P241">
        <v>274</v>
      </c>
      <c r="Q241" t="s">
        <v>526</v>
      </c>
    </row>
    <row r="242" spans="1:17" x14ac:dyDescent="0.3">
      <c r="A242" t="s">
        <v>17</v>
      </c>
      <c r="B242" t="str">
        <f>"603185"</f>
        <v>603185</v>
      </c>
      <c r="C242" t="s">
        <v>527</v>
      </c>
      <c r="D242" t="s">
        <v>464</v>
      </c>
      <c r="E242">
        <v>542901462</v>
      </c>
      <c r="F242">
        <v>-38468901</v>
      </c>
      <c r="G242">
        <v>-45138135</v>
      </c>
      <c r="H242">
        <v>-54878125</v>
      </c>
      <c r="I242">
        <v>-30182930</v>
      </c>
      <c r="P242">
        <v>516</v>
      </c>
      <c r="Q242" t="s">
        <v>528</v>
      </c>
    </row>
    <row r="243" spans="1:17" x14ac:dyDescent="0.3">
      <c r="A243" t="s">
        <v>32</v>
      </c>
      <c r="B243" t="str">
        <f>"002440"</f>
        <v>002440</v>
      </c>
      <c r="C243" t="s">
        <v>529</v>
      </c>
      <c r="D243" t="s">
        <v>144</v>
      </c>
      <c r="E243">
        <v>531612533</v>
      </c>
      <c r="F243">
        <v>-1570045</v>
      </c>
      <c r="G243">
        <v>440610749</v>
      </c>
      <c r="H243">
        <v>263632977</v>
      </c>
      <c r="I243">
        <v>82737855</v>
      </c>
      <c r="J243">
        <v>-16056826</v>
      </c>
      <c r="K243">
        <v>82658038</v>
      </c>
      <c r="L243">
        <v>-111299666</v>
      </c>
      <c r="M243">
        <v>-66256588</v>
      </c>
      <c r="N243">
        <v>-44918215</v>
      </c>
      <c r="O243">
        <v>-2282071</v>
      </c>
      <c r="P243">
        <v>537</v>
      </c>
      <c r="Q243" t="s">
        <v>530</v>
      </c>
    </row>
    <row r="244" spans="1:17" x14ac:dyDescent="0.3">
      <c r="A244" t="s">
        <v>17</v>
      </c>
      <c r="B244" t="str">
        <f>"600863"</f>
        <v>600863</v>
      </c>
      <c r="C244" t="s">
        <v>531</v>
      </c>
      <c r="D244" t="s">
        <v>158</v>
      </c>
      <c r="E244">
        <v>531346897</v>
      </c>
      <c r="F244">
        <v>330480766</v>
      </c>
      <c r="G244">
        <v>808237160</v>
      </c>
      <c r="H244">
        <v>255867914</v>
      </c>
      <c r="I244">
        <v>244832720</v>
      </c>
      <c r="J244">
        <v>-532930875</v>
      </c>
      <c r="K244">
        <v>-208655233</v>
      </c>
      <c r="L244">
        <v>103365902</v>
      </c>
      <c r="M244">
        <v>174485432</v>
      </c>
      <c r="N244">
        <v>463437895</v>
      </c>
      <c r="O244">
        <v>90122292</v>
      </c>
      <c r="P244">
        <v>310</v>
      </c>
      <c r="Q244" t="s">
        <v>532</v>
      </c>
    </row>
    <row r="245" spans="1:17" x14ac:dyDescent="0.3">
      <c r="A245" t="s">
        <v>17</v>
      </c>
      <c r="B245" t="str">
        <f>"603939"</f>
        <v>603939</v>
      </c>
      <c r="C245" t="s">
        <v>533</v>
      </c>
      <c r="D245" t="s">
        <v>98</v>
      </c>
      <c r="E245">
        <v>523516042</v>
      </c>
      <c r="F245">
        <v>446230300</v>
      </c>
      <c r="G245">
        <v>237155996</v>
      </c>
      <c r="H245">
        <v>141849326</v>
      </c>
      <c r="I245">
        <v>64401442</v>
      </c>
      <c r="J245">
        <v>50027834</v>
      </c>
      <c r="K245">
        <v>-80470616</v>
      </c>
      <c r="L245">
        <v>61648560</v>
      </c>
      <c r="M245">
        <v>42232632</v>
      </c>
      <c r="P245">
        <v>1483</v>
      </c>
      <c r="Q245" t="s">
        <v>534</v>
      </c>
    </row>
    <row r="246" spans="1:17" x14ac:dyDescent="0.3">
      <c r="A246" t="s">
        <v>17</v>
      </c>
      <c r="B246" t="str">
        <f>"603565"</f>
        <v>603565</v>
      </c>
      <c r="C246" t="s">
        <v>535</v>
      </c>
      <c r="D246" t="s">
        <v>46</v>
      </c>
      <c r="E246">
        <v>519536398</v>
      </c>
      <c r="F246">
        <v>-391929388</v>
      </c>
      <c r="G246">
        <v>129849665</v>
      </c>
      <c r="P246">
        <v>226</v>
      </c>
      <c r="Q246" t="s">
        <v>536</v>
      </c>
    </row>
    <row r="247" spans="1:17" x14ac:dyDescent="0.3">
      <c r="A247" t="s">
        <v>17</v>
      </c>
      <c r="B247" t="str">
        <f>"600600"</f>
        <v>600600</v>
      </c>
      <c r="C247" t="s">
        <v>537</v>
      </c>
      <c r="D247" t="s">
        <v>172</v>
      </c>
      <c r="E247">
        <v>518388804</v>
      </c>
      <c r="F247">
        <v>2163373354</v>
      </c>
      <c r="G247">
        <v>402568970</v>
      </c>
      <c r="H247">
        <v>1526016857</v>
      </c>
      <c r="I247">
        <v>2149673138</v>
      </c>
      <c r="J247">
        <v>1393028647</v>
      </c>
      <c r="K247">
        <v>1574014842</v>
      </c>
      <c r="L247">
        <v>1683367590</v>
      </c>
      <c r="M247">
        <v>1483597133</v>
      </c>
      <c r="N247">
        <v>1151971107</v>
      </c>
      <c r="O247">
        <v>691539146</v>
      </c>
      <c r="P247">
        <v>2022</v>
      </c>
      <c r="Q247" t="s">
        <v>538</v>
      </c>
    </row>
    <row r="248" spans="1:17" x14ac:dyDescent="0.3">
      <c r="A248" t="s">
        <v>32</v>
      </c>
      <c r="B248" t="str">
        <f>"200625"</f>
        <v>200625</v>
      </c>
      <c r="C248" t="s">
        <v>539</v>
      </c>
      <c r="E248">
        <v>517397983.69199997</v>
      </c>
      <c r="F248">
        <v>8024938009.2209997</v>
      </c>
      <c r="G248">
        <v>3922374305.3112001</v>
      </c>
      <c r="H248">
        <v>2358426382.8165002</v>
      </c>
      <c r="I248">
        <v>1191146086.6775</v>
      </c>
      <c r="J248">
        <v>4087139639.4439998</v>
      </c>
      <c r="K248">
        <v>683617726.83759999</v>
      </c>
      <c r="L248">
        <v>2803190287.5</v>
      </c>
      <c r="M248">
        <v>-29258121.606400002</v>
      </c>
      <c r="N248">
        <v>1173581273.1977999</v>
      </c>
      <c r="O248">
        <v>-2087050074.687</v>
      </c>
      <c r="P248">
        <v>710</v>
      </c>
      <c r="Q248" t="s">
        <v>540</v>
      </c>
    </row>
    <row r="249" spans="1:17" x14ac:dyDescent="0.3">
      <c r="A249" t="s">
        <v>32</v>
      </c>
      <c r="B249" t="str">
        <f>"000958"</f>
        <v>000958</v>
      </c>
      <c r="C249" t="s">
        <v>541</v>
      </c>
      <c r="D249" t="s">
        <v>158</v>
      </c>
      <c r="E249">
        <v>517285345</v>
      </c>
      <c r="F249">
        <v>-4482241600</v>
      </c>
      <c r="G249">
        <v>-4828331329</v>
      </c>
      <c r="H249">
        <v>-589121360</v>
      </c>
      <c r="I249">
        <v>203226637</v>
      </c>
      <c r="J249">
        <v>-264906893</v>
      </c>
      <c r="K249">
        <v>10293817</v>
      </c>
      <c r="L249">
        <v>26677664</v>
      </c>
      <c r="M249">
        <v>-127768607</v>
      </c>
      <c r="N249">
        <v>33101825</v>
      </c>
      <c r="O249">
        <v>15386918</v>
      </c>
      <c r="P249">
        <v>162</v>
      </c>
      <c r="Q249" t="s">
        <v>542</v>
      </c>
    </row>
    <row r="250" spans="1:17" x14ac:dyDescent="0.3">
      <c r="A250" t="s">
        <v>17</v>
      </c>
      <c r="B250" t="str">
        <f>"600315"</f>
        <v>600315</v>
      </c>
      <c r="C250" t="s">
        <v>543</v>
      </c>
      <c r="D250" t="s">
        <v>544</v>
      </c>
      <c r="E250">
        <v>516593059</v>
      </c>
      <c r="F250">
        <v>471518791</v>
      </c>
      <c r="G250">
        <v>311181337</v>
      </c>
      <c r="H250">
        <v>232183987</v>
      </c>
      <c r="I250">
        <v>101414112</v>
      </c>
      <c r="J250">
        <v>24130322</v>
      </c>
      <c r="K250">
        <v>15357906</v>
      </c>
      <c r="L250">
        <v>77364889</v>
      </c>
      <c r="M250">
        <v>341880919</v>
      </c>
      <c r="N250">
        <v>225314468</v>
      </c>
      <c r="O250">
        <v>181267210</v>
      </c>
      <c r="P250">
        <v>1244</v>
      </c>
      <c r="Q250" t="s">
        <v>545</v>
      </c>
    </row>
    <row r="251" spans="1:17" x14ac:dyDescent="0.3">
      <c r="A251" t="s">
        <v>17</v>
      </c>
      <c r="B251" t="str">
        <f>"600873"</f>
        <v>600873</v>
      </c>
      <c r="C251" t="s">
        <v>546</v>
      </c>
      <c r="D251" t="s">
        <v>172</v>
      </c>
      <c r="E251">
        <v>509971172</v>
      </c>
      <c r="F251">
        <v>-617348332</v>
      </c>
      <c r="G251">
        <v>-30642670</v>
      </c>
      <c r="H251">
        <v>-68249455</v>
      </c>
      <c r="I251">
        <v>-217181746</v>
      </c>
      <c r="J251">
        <v>241972901</v>
      </c>
      <c r="K251">
        <v>232646439</v>
      </c>
      <c r="L251">
        <v>766235443</v>
      </c>
      <c r="M251">
        <v>-473576616</v>
      </c>
      <c r="N251">
        <v>-1028279870</v>
      </c>
      <c r="O251">
        <v>-345360524</v>
      </c>
      <c r="P251">
        <v>992</v>
      </c>
      <c r="Q251" t="s">
        <v>547</v>
      </c>
    </row>
    <row r="252" spans="1:17" x14ac:dyDescent="0.3">
      <c r="A252" t="s">
        <v>32</v>
      </c>
      <c r="B252" t="str">
        <f>"000513"</f>
        <v>000513</v>
      </c>
      <c r="C252" t="s">
        <v>548</v>
      </c>
      <c r="D252" t="s">
        <v>98</v>
      </c>
      <c r="E252">
        <v>509264128</v>
      </c>
      <c r="F252">
        <v>269402753</v>
      </c>
      <c r="G252">
        <v>275841524</v>
      </c>
      <c r="H252">
        <v>408697253</v>
      </c>
      <c r="I252">
        <v>71318049</v>
      </c>
      <c r="J252">
        <v>185125395</v>
      </c>
      <c r="K252">
        <v>118423000</v>
      </c>
      <c r="L252">
        <v>-38684776</v>
      </c>
      <c r="M252">
        <v>-18352660</v>
      </c>
      <c r="N252">
        <v>-200469486</v>
      </c>
      <c r="O252">
        <v>-79792906</v>
      </c>
      <c r="P252">
        <v>1623</v>
      </c>
      <c r="Q252" t="s">
        <v>549</v>
      </c>
    </row>
    <row r="253" spans="1:17" x14ac:dyDescent="0.3">
      <c r="A253" t="s">
        <v>17</v>
      </c>
      <c r="B253" t="str">
        <f>"600559"</f>
        <v>600559</v>
      </c>
      <c r="C253" t="s">
        <v>550</v>
      </c>
      <c r="D253" t="s">
        <v>172</v>
      </c>
      <c r="E253">
        <v>497318220</v>
      </c>
      <c r="F253">
        <v>179645765</v>
      </c>
      <c r="G253">
        <v>-345644555</v>
      </c>
      <c r="H253">
        <v>-109003087</v>
      </c>
      <c r="I253">
        <v>73785879</v>
      </c>
      <c r="J253">
        <v>-100243885</v>
      </c>
      <c r="K253">
        <v>-243920912</v>
      </c>
      <c r="L253">
        <v>116248347</v>
      </c>
      <c r="M253">
        <v>169258089</v>
      </c>
      <c r="N253">
        <v>526751</v>
      </c>
      <c r="O253">
        <v>-77117475</v>
      </c>
      <c r="P253">
        <v>881</v>
      </c>
      <c r="Q253" t="s">
        <v>551</v>
      </c>
    </row>
    <row r="254" spans="1:17" x14ac:dyDescent="0.3">
      <c r="A254" t="s">
        <v>17</v>
      </c>
      <c r="B254" t="str">
        <f>"603299"</f>
        <v>603299</v>
      </c>
      <c r="C254" t="s">
        <v>552</v>
      </c>
      <c r="D254" t="s">
        <v>144</v>
      </c>
      <c r="E254">
        <v>496968771</v>
      </c>
      <c r="F254">
        <v>-118798943</v>
      </c>
      <c r="G254">
        <v>125959259</v>
      </c>
      <c r="H254">
        <v>56364656</v>
      </c>
      <c r="I254">
        <v>16050987</v>
      </c>
      <c r="J254">
        <v>5248150</v>
      </c>
      <c r="K254">
        <v>33186092</v>
      </c>
      <c r="L254">
        <v>-32937986</v>
      </c>
      <c r="P254">
        <v>139</v>
      </c>
      <c r="Q254" t="s">
        <v>553</v>
      </c>
    </row>
    <row r="255" spans="1:17" x14ac:dyDescent="0.3">
      <c r="A255" t="s">
        <v>17</v>
      </c>
      <c r="B255" t="str">
        <f>"688575"</f>
        <v>688575</v>
      </c>
      <c r="C255" t="s">
        <v>554</v>
      </c>
      <c r="D255" t="s">
        <v>98</v>
      </c>
      <c r="E255">
        <v>490368126</v>
      </c>
      <c r="F255">
        <v>-123698516</v>
      </c>
      <c r="G255">
        <v>-47421699</v>
      </c>
      <c r="P255">
        <v>48</v>
      </c>
      <c r="Q255" t="s">
        <v>555</v>
      </c>
    </row>
    <row r="256" spans="1:17" x14ac:dyDescent="0.3">
      <c r="A256" t="s">
        <v>17</v>
      </c>
      <c r="B256" t="str">
        <f>"600436"</f>
        <v>600436</v>
      </c>
      <c r="C256" t="s">
        <v>556</v>
      </c>
      <c r="D256" t="s">
        <v>98</v>
      </c>
      <c r="E256">
        <v>488644680</v>
      </c>
      <c r="F256">
        <v>665565717</v>
      </c>
      <c r="G256">
        <v>286501608</v>
      </c>
      <c r="H256">
        <v>494571227</v>
      </c>
      <c r="I256">
        <v>237860543</v>
      </c>
      <c r="J256">
        <v>269878846</v>
      </c>
      <c r="K256">
        <v>117448462</v>
      </c>
      <c r="L256">
        <v>28538513</v>
      </c>
      <c r="M256">
        <v>43378522</v>
      </c>
      <c r="N256">
        <v>10706075</v>
      </c>
      <c r="O256">
        <v>45636509</v>
      </c>
      <c r="P256">
        <v>64367</v>
      </c>
      <c r="Q256" t="s">
        <v>557</v>
      </c>
    </row>
    <row r="257" spans="1:17" x14ac:dyDescent="0.3">
      <c r="A257" t="s">
        <v>17</v>
      </c>
      <c r="B257" t="str">
        <f>"601008"</f>
        <v>601008</v>
      </c>
      <c r="C257" t="s">
        <v>558</v>
      </c>
      <c r="D257" t="s">
        <v>46</v>
      </c>
      <c r="E257">
        <v>488625744</v>
      </c>
      <c r="F257">
        <v>-297032262</v>
      </c>
      <c r="G257">
        <v>155553914</v>
      </c>
      <c r="H257">
        <v>-190760908</v>
      </c>
      <c r="I257">
        <v>-88949668</v>
      </c>
      <c r="J257">
        <v>-62277921</v>
      </c>
      <c r="K257">
        <v>-86661611</v>
      </c>
      <c r="L257">
        <v>-141626306</v>
      </c>
      <c r="M257">
        <v>-95459126</v>
      </c>
      <c r="N257">
        <v>-196214381</v>
      </c>
      <c r="O257">
        <v>1932673</v>
      </c>
      <c r="P257">
        <v>131</v>
      </c>
      <c r="Q257" t="s">
        <v>559</v>
      </c>
    </row>
    <row r="258" spans="1:17" x14ac:dyDescent="0.3">
      <c r="A258" t="s">
        <v>32</v>
      </c>
      <c r="B258" t="str">
        <f>"002603"</f>
        <v>002603</v>
      </c>
      <c r="C258" t="s">
        <v>560</v>
      </c>
      <c r="D258" t="s">
        <v>98</v>
      </c>
      <c r="E258">
        <v>480307343</v>
      </c>
      <c r="F258">
        <v>-240048258</v>
      </c>
      <c r="G258">
        <v>1206286730</v>
      </c>
      <c r="H258">
        <v>291388226</v>
      </c>
      <c r="I258">
        <v>-193120581</v>
      </c>
      <c r="J258">
        <v>-153480102</v>
      </c>
      <c r="K258">
        <v>-54053285</v>
      </c>
      <c r="L258">
        <v>-171540772</v>
      </c>
      <c r="M258">
        <v>-51688644</v>
      </c>
      <c r="N258">
        <v>57150472</v>
      </c>
      <c r="O258">
        <v>-97450536</v>
      </c>
      <c r="P258">
        <v>832</v>
      </c>
      <c r="Q258" t="s">
        <v>561</v>
      </c>
    </row>
    <row r="259" spans="1:17" x14ac:dyDescent="0.3">
      <c r="A259" t="s">
        <v>17</v>
      </c>
      <c r="B259" t="str">
        <f>"600012"</f>
        <v>600012</v>
      </c>
      <c r="C259" t="s">
        <v>562</v>
      </c>
      <c r="D259" t="s">
        <v>46</v>
      </c>
      <c r="E259">
        <v>479912762</v>
      </c>
      <c r="F259">
        <v>315245387</v>
      </c>
      <c r="G259">
        <v>-63661803</v>
      </c>
      <c r="H259">
        <v>164080503</v>
      </c>
      <c r="I259">
        <v>131375493</v>
      </c>
      <c r="J259">
        <v>293970071</v>
      </c>
      <c r="K259">
        <v>307979112</v>
      </c>
      <c r="L259">
        <v>96483587</v>
      </c>
      <c r="M259">
        <v>195193744</v>
      </c>
      <c r="N259">
        <v>20753218</v>
      </c>
      <c r="O259">
        <v>210067188</v>
      </c>
      <c r="P259">
        <v>805</v>
      </c>
      <c r="Q259" t="s">
        <v>563</v>
      </c>
    </row>
    <row r="260" spans="1:17" x14ac:dyDescent="0.3">
      <c r="A260" t="s">
        <v>32</v>
      </c>
      <c r="B260" t="str">
        <f>"002242"</f>
        <v>002242</v>
      </c>
      <c r="C260" t="s">
        <v>564</v>
      </c>
      <c r="D260" t="s">
        <v>127</v>
      </c>
      <c r="E260">
        <v>479596683</v>
      </c>
      <c r="F260">
        <v>-194730410</v>
      </c>
      <c r="G260">
        <v>141217433</v>
      </c>
      <c r="H260">
        <v>173485488</v>
      </c>
      <c r="I260">
        <v>155265226</v>
      </c>
      <c r="J260">
        <v>-108496830</v>
      </c>
      <c r="K260">
        <v>-605694</v>
      </c>
      <c r="L260">
        <v>31907336</v>
      </c>
      <c r="M260">
        <v>11286717</v>
      </c>
      <c r="N260">
        <v>80088344</v>
      </c>
      <c r="O260">
        <v>29375737</v>
      </c>
      <c r="P260">
        <v>54901</v>
      </c>
      <c r="Q260" t="s">
        <v>565</v>
      </c>
    </row>
    <row r="261" spans="1:17" x14ac:dyDescent="0.3">
      <c r="A261" t="s">
        <v>17</v>
      </c>
      <c r="B261" t="str">
        <f>"600295"</f>
        <v>600295</v>
      </c>
      <c r="C261" t="s">
        <v>566</v>
      </c>
      <c r="D261" t="s">
        <v>163</v>
      </c>
      <c r="E261">
        <v>476726920</v>
      </c>
      <c r="F261">
        <v>2182701953</v>
      </c>
      <c r="G261">
        <v>29969187</v>
      </c>
      <c r="H261">
        <v>218450435</v>
      </c>
      <c r="I261">
        <v>966523559</v>
      </c>
      <c r="J261">
        <v>1286837351</v>
      </c>
      <c r="K261">
        <v>1108198459</v>
      </c>
      <c r="L261">
        <v>-243842781</v>
      </c>
      <c r="M261">
        <v>-425663240</v>
      </c>
      <c r="N261">
        <v>-1054276449</v>
      </c>
      <c r="O261">
        <v>-960776682</v>
      </c>
      <c r="P261">
        <v>435</v>
      </c>
      <c r="Q261" t="s">
        <v>567</v>
      </c>
    </row>
    <row r="262" spans="1:17" x14ac:dyDescent="0.3">
      <c r="A262" t="s">
        <v>17</v>
      </c>
      <c r="B262" t="str">
        <f>"600011"</f>
        <v>600011</v>
      </c>
      <c r="C262" t="s">
        <v>568</v>
      </c>
      <c r="D262" t="s">
        <v>158</v>
      </c>
      <c r="E262">
        <v>476097600</v>
      </c>
      <c r="F262">
        <v>1945528694</v>
      </c>
      <c r="G262">
        <v>2184439645</v>
      </c>
      <c r="H262">
        <v>6683302635</v>
      </c>
      <c r="I262">
        <v>5758845882</v>
      </c>
      <c r="J262">
        <v>2744730251</v>
      </c>
      <c r="K262">
        <v>8476901312</v>
      </c>
      <c r="L262">
        <v>5535473731</v>
      </c>
      <c r="M262">
        <v>3704847531</v>
      </c>
      <c r="N262">
        <v>7110339991</v>
      </c>
      <c r="O262">
        <v>3732244539</v>
      </c>
      <c r="P262">
        <v>751</v>
      </c>
      <c r="Q262" t="s">
        <v>569</v>
      </c>
    </row>
    <row r="263" spans="1:17" x14ac:dyDescent="0.3">
      <c r="A263" t="s">
        <v>32</v>
      </c>
      <c r="B263" t="str">
        <f>"002539"</f>
        <v>002539</v>
      </c>
      <c r="C263" t="s">
        <v>570</v>
      </c>
      <c r="D263" t="s">
        <v>144</v>
      </c>
      <c r="E263">
        <v>475150925</v>
      </c>
      <c r="F263">
        <v>-327013546</v>
      </c>
      <c r="G263">
        <v>28090582</v>
      </c>
      <c r="H263">
        <v>398733166</v>
      </c>
      <c r="I263">
        <v>-97854754</v>
      </c>
      <c r="J263">
        <v>125798786</v>
      </c>
      <c r="K263">
        <v>-8214646</v>
      </c>
      <c r="L263">
        <v>-181594784</v>
      </c>
      <c r="M263">
        <v>-324392893</v>
      </c>
      <c r="N263">
        <v>-37823366</v>
      </c>
      <c r="O263">
        <v>-152595556</v>
      </c>
      <c r="P263">
        <v>240</v>
      </c>
      <c r="Q263" t="s">
        <v>571</v>
      </c>
    </row>
    <row r="264" spans="1:17" x14ac:dyDescent="0.3">
      <c r="A264" t="s">
        <v>17</v>
      </c>
      <c r="B264" t="str">
        <f>"601006"</f>
        <v>601006</v>
      </c>
      <c r="C264" t="s">
        <v>572</v>
      </c>
      <c r="D264" t="s">
        <v>46</v>
      </c>
      <c r="E264">
        <v>474339850</v>
      </c>
      <c r="F264">
        <v>3962194317</v>
      </c>
      <c r="G264">
        <v>-561706467</v>
      </c>
      <c r="H264">
        <v>1834610380</v>
      </c>
      <c r="I264">
        <v>1954711890</v>
      </c>
      <c r="J264">
        <v>1745944849</v>
      </c>
      <c r="K264">
        <v>-1210377768</v>
      </c>
      <c r="L264">
        <v>1101574332</v>
      </c>
      <c r="M264">
        <v>916183272</v>
      </c>
      <c r="N264">
        <v>846005357</v>
      </c>
      <c r="O264">
        <v>334334008</v>
      </c>
      <c r="P264">
        <v>4203</v>
      </c>
      <c r="Q264" t="s">
        <v>573</v>
      </c>
    </row>
    <row r="265" spans="1:17" x14ac:dyDescent="0.3">
      <c r="A265" t="s">
        <v>17</v>
      </c>
      <c r="B265" t="str">
        <f>"688180"</f>
        <v>688180</v>
      </c>
      <c r="C265" t="s">
        <v>574</v>
      </c>
      <c r="D265" t="s">
        <v>98</v>
      </c>
      <c r="E265">
        <v>473361115</v>
      </c>
      <c r="F265">
        <v>173681027</v>
      </c>
      <c r="G265">
        <v>-465328302</v>
      </c>
      <c r="H265">
        <v>-703466084</v>
      </c>
      <c r="P265">
        <v>206</v>
      </c>
      <c r="Q265" t="s">
        <v>575</v>
      </c>
    </row>
    <row r="266" spans="1:17" x14ac:dyDescent="0.3">
      <c r="A266" t="s">
        <v>17</v>
      </c>
      <c r="B266" t="str">
        <f>"600742"</f>
        <v>600742</v>
      </c>
      <c r="C266" t="s">
        <v>576</v>
      </c>
      <c r="D266" t="s">
        <v>199</v>
      </c>
      <c r="E266">
        <v>463286718</v>
      </c>
      <c r="F266">
        <v>1005445640</v>
      </c>
      <c r="G266">
        <v>975213523</v>
      </c>
      <c r="H266">
        <v>-49627091</v>
      </c>
      <c r="I266">
        <v>178529561</v>
      </c>
      <c r="J266">
        <v>-282507422</v>
      </c>
      <c r="K266">
        <v>50054622</v>
      </c>
      <c r="L266">
        <v>47110145</v>
      </c>
      <c r="M266">
        <v>-5867786</v>
      </c>
      <c r="N266">
        <v>-5433788</v>
      </c>
      <c r="O266">
        <v>-80494606</v>
      </c>
      <c r="P266">
        <v>417</v>
      </c>
      <c r="Q266" t="s">
        <v>577</v>
      </c>
    </row>
    <row r="267" spans="1:17" x14ac:dyDescent="0.3">
      <c r="A267" t="s">
        <v>17</v>
      </c>
      <c r="B267" t="str">
        <f>"900948"</f>
        <v>900948</v>
      </c>
      <c r="C267" t="s">
        <v>578</v>
      </c>
      <c r="E267">
        <v>462301312.66549999</v>
      </c>
      <c r="F267">
        <v>122405377.69320001</v>
      </c>
      <c r="G267">
        <v>109518675.3207</v>
      </c>
      <c r="H267">
        <v>-32728973.609000001</v>
      </c>
      <c r="I267">
        <v>-23345751.098000001</v>
      </c>
      <c r="J267">
        <v>277271779.89719999</v>
      </c>
      <c r="K267">
        <v>-48230878.8807</v>
      </c>
      <c r="L267">
        <v>-333771476.37739998</v>
      </c>
      <c r="M267">
        <v>77798957.088</v>
      </c>
      <c r="N267">
        <v>67640747.265000001</v>
      </c>
      <c r="O267">
        <v>166026323.5808</v>
      </c>
      <c r="P267">
        <v>225</v>
      </c>
      <c r="Q267" t="s">
        <v>579</v>
      </c>
    </row>
    <row r="268" spans="1:17" x14ac:dyDescent="0.3">
      <c r="A268" t="s">
        <v>32</v>
      </c>
      <c r="B268" t="str">
        <f>"000975"</f>
        <v>000975</v>
      </c>
      <c r="C268" t="s">
        <v>580</v>
      </c>
      <c r="D268" t="s">
        <v>121</v>
      </c>
      <c r="E268">
        <v>461577157</v>
      </c>
      <c r="F268">
        <v>510099536</v>
      </c>
      <c r="G268">
        <v>785767839</v>
      </c>
      <c r="H268">
        <v>102429904</v>
      </c>
      <c r="I268">
        <v>31444114</v>
      </c>
      <c r="J268">
        <v>-135701669</v>
      </c>
      <c r="K268">
        <v>221617097</v>
      </c>
      <c r="L268">
        <v>-12064050</v>
      </c>
      <c r="M268">
        <v>-107446650</v>
      </c>
      <c r="N268">
        <v>-151903863</v>
      </c>
      <c r="O268">
        <v>4893789</v>
      </c>
      <c r="P268">
        <v>392</v>
      </c>
      <c r="Q268" t="s">
        <v>581</v>
      </c>
    </row>
    <row r="269" spans="1:17" x14ac:dyDescent="0.3">
      <c r="A269" t="s">
        <v>32</v>
      </c>
      <c r="B269" t="str">
        <f>"001872"</f>
        <v>001872</v>
      </c>
      <c r="C269" t="s">
        <v>582</v>
      </c>
      <c r="D269" t="s">
        <v>46</v>
      </c>
      <c r="E269">
        <v>457138281</v>
      </c>
      <c r="F269">
        <v>132672360</v>
      </c>
      <c r="G269">
        <v>344870846</v>
      </c>
      <c r="H269">
        <v>522815634</v>
      </c>
      <c r="I269">
        <v>39988358</v>
      </c>
      <c r="J269">
        <v>222918454</v>
      </c>
      <c r="K269">
        <v>57477160</v>
      </c>
      <c r="L269">
        <v>137553937</v>
      </c>
      <c r="M269">
        <v>119368562</v>
      </c>
      <c r="N269">
        <v>51861497</v>
      </c>
      <c r="O269">
        <v>1811690</v>
      </c>
      <c r="P269">
        <v>254</v>
      </c>
      <c r="Q269" t="s">
        <v>583</v>
      </c>
    </row>
    <row r="270" spans="1:17" x14ac:dyDescent="0.3">
      <c r="A270" t="s">
        <v>17</v>
      </c>
      <c r="B270" t="str">
        <f>"603198"</f>
        <v>603198</v>
      </c>
      <c r="C270" t="s">
        <v>584</v>
      </c>
      <c r="D270" t="s">
        <v>172</v>
      </c>
      <c r="E270">
        <v>456406611</v>
      </c>
      <c r="F270">
        <v>95329223</v>
      </c>
      <c r="G270">
        <v>-448956956</v>
      </c>
      <c r="H270">
        <v>-228938554</v>
      </c>
      <c r="I270">
        <v>-82432718</v>
      </c>
      <c r="J270">
        <v>-40886106</v>
      </c>
      <c r="K270">
        <v>46641086</v>
      </c>
      <c r="L270">
        <v>33813200</v>
      </c>
      <c r="M270">
        <v>-43090900</v>
      </c>
      <c r="P270">
        <v>5975</v>
      </c>
      <c r="Q270" t="s">
        <v>585</v>
      </c>
    </row>
    <row r="271" spans="1:17" x14ac:dyDescent="0.3">
      <c r="A271" t="s">
        <v>32</v>
      </c>
      <c r="B271" t="str">
        <f>"002726"</f>
        <v>002726</v>
      </c>
      <c r="C271" t="s">
        <v>586</v>
      </c>
      <c r="D271" t="s">
        <v>172</v>
      </c>
      <c r="E271">
        <v>451572070</v>
      </c>
      <c r="F271">
        <v>240413994</v>
      </c>
      <c r="G271">
        <v>-346502287</v>
      </c>
      <c r="H271">
        <v>-450637309</v>
      </c>
      <c r="I271">
        <v>20683947</v>
      </c>
      <c r="J271">
        <v>113966844</v>
      </c>
      <c r="K271">
        <v>124769496</v>
      </c>
      <c r="L271">
        <v>6170887</v>
      </c>
      <c r="M271">
        <v>-13819234</v>
      </c>
      <c r="P271">
        <v>1021</v>
      </c>
      <c r="Q271" t="s">
        <v>587</v>
      </c>
    </row>
    <row r="272" spans="1:17" x14ac:dyDescent="0.3">
      <c r="A272" t="s">
        <v>32</v>
      </c>
      <c r="B272" t="str">
        <f>"002172"</f>
        <v>002172</v>
      </c>
      <c r="C272" t="s">
        <v>588</v>
      </c>
      <c r="D272" t="s">
        <v>144</v>
      </c>
      <c r="E272">
        <v>448635818</v>
      </c>
      <c r="F272">
        <v>183620431</v>
      </c>
      <c r="G272">
        <v>-283602705</v>
      </c>
      <c r="H272">
        <v>98598459</v>
      </c>
      <c r="I272">
        <v>-396106199</v>
      </c>
      <c r="J272">
        <v>-285241267</v>
      </c>
      <c r="K272">
        <v>-10637171</v>
      </c>
      <c r="L272">
        <v>32620852</v>
      </c>
      <c r="M272">
        <v>-76775741</v>
      </c>
      <c r="N272">
        <v>161706747</v>
      </c>
      <c r="O272">
        <v>399493256</v>
      </c>
      <c r="P272">
        <v>141</v>
      </c>
      <c r="Q272" t="s">
        <v>589</v>
      </c>
    </row>
    <row r="273" spans="1:17" x14ac:dyDescent="0.3">
      <c r="A273" t="s">
        <v>17</v>
      </c>
      <c r="B273" t="str">
        <f>"603233"</f>
        <v>603233</v>
      </c>
      <c r="C273" t="s">
        <v>590</v>
      </c>
      <c r="D273" t="s">
        <v>98</v>
      </c>
      <c r="E273">
        <v>448200622</v>
      </c>
      <c r="F273">
        <v>322979468</v>
      </c>
      <c r="G273">
        <v>196932093</v>
      </c>
      <c r="H273">
        <v>176623445</v>
      </c>
      <c r="I273">
        <v>-116186096</v>
      </c>
      <c r="J273">
        <v>70345820</v>
      </c>
      <c r="K273">
        <v>82718108</v>
      </c>
      <c r="P273">
        <v>1784</v>
      </c>
      <c r="Q273" t="s">
        <v>591</v>
      </c>
    </row>
    <row r="274" spans="1:17" x14ac:dyDescent="0.3">
      <c r="A274" t="s">
        <v>17</v>
      </c>
      <c r="B274" t="str">
        <f>"603013"</f>
        <v>603013</v>
      </c>
      <c r="C274" t="s">
        <v>592</v>
      </c>
      <c r="D274" t="s">
        <v>199</v>
      </c>
      <c r="E274">
        <v>443222853</v>
      </c>
      <c r="F274">
        <v>335276856</v>
      </c>
      <c r="G274">
        <v>467943386</v>
      </c>
      <c r="H274">
        <v>52977699</v>
      </c>
      <c r="I274">
        <v>-42996193</v>
      </c>
      <c r="P274">
        <v>237</v>
      </c>
      <c r="Q274" t="s">
        <v>593</v>
      </c>
    </row>
    <row r="275" spans="1:17" x14ac:dyDescent="0.3">
      <c r="A275" t="s">
        <v>32</v>
      </c>
      <c r="B275" t="str">
        <f>"000423"</f>
        <v>000423</v>
      </c>
      <c r="C275" t="s">
        <v>594</v>
      </c>
      <c r="D275" t="s">
        <v>98</v>
      </c>
      <c r="E275">
        <v>442174981</v>
      </c>
      <c r="F275">
        <v>1101144663</v>
      </c>
      <c r="G275">
        <v>177577608</v>
      </c>
      <c r="H275">
        <v>-691163792</v>
      </c>
      <c r="I275">
        <v>-438626141</v>
      </c>
      <c r="J275">
        <v>55571463</v>
      </c>
      <c r="K275">
        <v>-769682044</v>
      </c>
      <c r="L275">
        <v>-314686592</v>
      </c>
      <c r="M275">
        <v>-179732079</v>
      </c>
      <c r="N275">
        <v>-384431014</v>
      </c>
      <c r="O275">
        <v>-57074431</v>
      </c>
      <c r="P275">
        <v>24620</v>
      </c>
      <c r="Q275" t="s">
        <v>595</v>
      </c>
    </row>
    <row r="276" spans="1:17" x14ac:dyDescent="0.3">
      <c r="A276" t="s">
        <v>32</v>
      </c>
      <c r="B276" t="str">
        <f>"000629"</f>
        <v>000629</v>
      </c>
      <c r="C276" t="s">
        <v>596</v>
      </c>
      <c r="D276" t="s">
        <v>163</v>
      </c>
      <c r="E276">
        <v>437962905</v>
      </c>
      <c r="F276">
        <v>160169610</v>
      </c>
      <c r="G276">
        <v>-3192275</v>
      </c>
      <c r="H276">
        <v>556052119</v>
      </c>
      <c r="I276">
        <v>133406825</v>
      </c>
      <c r="J276">
        <v>-232989600</v>
      </c>
      <c r="K276">
        <v>903865261</v>
      </c>
      <c r="L276">
        <v>50524094</v>
      </c>
      <c r="M276">
        <v>-339028252</v>
      </c>
      <c r="N276">
        <v>-1396799956</v>
      </c>
      <c r="O276">
        <v>-837198586</v>
      </c>
      <c r="P276">
        <v>335</v>
      </c>
      <c r="Q276" t="s">
        <v>597</v>
      </c>
    </row>
    <row r="277" spans="1:17" x14ac:dyDescent="0.3">
      <c r="A277" t="s">
        <v>17</v>
      </c>
      <c r="B277" t="str">
        <f>"601101"</f>
        <v>601101</v>
      </c>
      <c r="C277" t="s">
        <v>598</v>
      </c>
      <c r="D277" t="s">
        <v>73</v>
      </c>
      <c r="E277">
        <v>435530970</v>
      </c>
      <c r="F277">
        <v>566973418</v>
      </c>
      <c r="G277">
        <v>341933373</v>
      </c>
      <c r="H277">
        <v>206156611</v>
      </c>
      <c r="I277">
        <v>604086185</v>
      </c>
      <c r="J277">
        <v>299011503</v>
      </c>
      <c r="K277">
        <v>-99635170</v>
      </c>
      <c r="L277">
        <v>-357502528</v>
      </c>
      <c r="M277">
        <v>-65778085</v>
      </c>
      <c r="N277">
        <v>-55231748</v>
      </c>
      <c r="O277">
        <v>-32963668</v>
      </c>
      <c r="P277">
        <v>281</v>
      </c>
      <c r="Q277" t="s">
        <v>599</v>
      </c>
    </row>
    <row r="278" spans="1:17" x14ac:dyDescent="0.3">
      <c r="A278" t="s">
        <v>17</v>
      </c>
      <c r="B278" t="str">
        <f>"600307"</f>
        <v>600307</v>
      </c>
      <c r="C278" t="s">
        <v>600</v>
      </c>
      <c r="D278" t="s">
        <v>163</v>
      </c>
      <c r="E278">
        <v>434348473</v>
      </c>
      <c r="F278">
        <v>121820321</v>
      </c>
      <c r="G278">
        <v>-472373062</v>
      </c>
      <c r="H278">
        <v>765589392</v>
      </c>
      <c r="I278">
        <v>226380941</v>
      </c>
      <c r="J278">
        <v>-656497424</v>
      </c>
      <c r="K278">
        <v>329159938</v>
      </c>
      <c r="L278">
        <v>-1036108338</v>
      </c>
      <c r="M278">
        <v>-1060829089</v>
      </c>
      <c r="N278">
        <v>-545766845</v>
      </c>
      <c r="O278">
        <v>-702361692</v>
      </c>
      <c r="P278">
        <v>211</v>
      </c>
      <c r="Q278" t="s">
        <v>601</v>
      </c>
    </row>
    <row r="279" spans="1:17" x14ac:dyDescent="0.3">
      <c r="A279" t="s">
        <v>17</v>
      </c>
      <c r="B279" t="str">
        <f>"600691"</f>
        <v>600691</v>
      </c>
      <c r="C279" t="s">
        <v>602</v>
      </c>
      <c r="D279" t="s">
        <v>144</v>
      </c>
      <c r="E279">
        <v>433881762</v>
      </c>
      <c r="F279">
        <v>455507690</v>
      </c>
      <c r="G279">
        <v>-144727498</v>
      </c>
      <c r="H279">
        <v>44307255</v>
      </c>
      <c r="I279">
        <v>-55181982</v>
      </c>
      <c r="J279">
        <v>-88759567</v>
      </c>
      <c r="K279">
        <v>37879631</v>
      </c>
      <c r="L279">
        <v>-427989832</v>
      </c>
      <c r="M279">
        <v>-519596035</v>
      </c>
      <c r="N279">
        <v>-380545645</v>
      </c>
      <c r="O279">
        <v>-2083864</v>
      </c>
      <c r="P279">
        <v>130</v>
      </c>
      <c r="Q279" t="s">
        <v>603</v>
      </c>
    </row>
    <row r="280" spans="1:17" x14ac:dyDescent="0.3">
      <c r="A280" t="s">
        <v>17</v>
      </c>
      <c r="B280" t="str">
        <f>"600744"</f>
        <v>600744</v>
      </c>
      <c r="C280" t="s">
        <v>604</v>
      </c>
      <c r="D280" t="s">
        <v>158</v>
      </c>
      <c r="E280">
        <v>427454518</v>
      </c>
      <c r="F280">
        <v>-116444339</v>
      </c>
      <c r="G280">
        <v>920890407</v>
      </c>
      <c r="H280">
        <v>435359019</v>
      </c>
      <c r="I280">
        <v>642323520</v>
      </c>
      <c r="J280">
        <v>125731372</v>
      </c>
      <c r="K280">
        <v>540431423</v>
      </c>
      <c r="L280">
        <v>749496451</v>
      </c>
      <c r="M280">
        <v>350146906</v>
      </c>
      <c r="N280">
        <v>-44449746</v>
      </c>
      <c r="O280">
        <v>275036033</v>
      </c>
      <c r="P280">
        <v>182</v>
      </c>
      <c r="Q280" t="s">
        <v>605</v>
      </c>
    </row>
    <row r="281" spans="1:17" x14ac:dyDescent="0.3">
      <c r="A281" t="s">
        <v>17</v>
      </c>
      <c r="B281" t="str">
        <f>"601138"</f>
        <v>601138</v>
      </c>
      <c r="C281" t="s">
        <v>606</v>
      </c>
      <c r="D281" t="s">
        <v>124</v>
      </c>
      <c r="E281">
        <v>425183000</v>
      </c>
      <c r="F281">
        <v>5453442000</v>
      </c>
      <c r="G281">
        <v>-820228000</v>
      </c>
      <c r="H281">
        <v>2797561000</v>
      </c>
      <c r="I281">
        <v>17105155000</v>
      </c>
      <c r="J281">
        <v>8200468000</v>
      </c>
      <c r="P281">
        <v>1319</v>
      </c>
      <c r="Q281" t="s">
        <v>607</v>
      </c>
    </row>
    <row r="282" spans="1:17" x14ac:dyDescent="0.3">
      <c r="A282" t="s">
        <v>32</v>
      </c>
      <c r="B282" t="str">
        <f>"000625"</f>
        <v>000625</v>
      </c>
      <c r="C282" t="s">
        <v>608</v>
      </c>
      <c r="D282" t="s">
        <v>199</v>
      </c>
      <c r="E282">
        <v>419285238</v>
      </c>
      <c r="F282">
        <v>6774958218</v>
      </c>
      <c r="G282">
        <v>3588959928</v>
      </c>
      <c r="H282">
        <v>2017300815</v>
      </c>
      <c r="I282">
        <v>952535855</v>
      </c>
      <c r="J282">
        <v>3622708420</v>
      </c>
      <c r="K282">
        <v>569064952</v>
      </c>
      <c r="L282">
        <v>2242552230</v>
      </c>
      <c r="M282">
        <v>-23436496</v>
      </c>
      <c r="N282">
        <v>939015261</v>
      </c>
      <c r="O282">
        <v>-1692660239</v>
      </c>
      <c r="P282">
        <v>3100</v>
      </c>
      <c r="Q282" t="s">
        <v>609</v>
      </c>
    </row>
    <row r="283" spans="1:17" x14ac:dyDescent="0.3">
      <c r="A283" t="s">
        <v>17</v>
      </c>
      <c r="B283" t="str">
        <f>"603056"</f>
        <v>603056</v>
      </c>
      <c r="C283" t="s">
        <v>610</v>
      </c>
      <c r="D283" t="s">
        <v>46</v>
      </c>
      <c r="E283">
        <v>416085097</v>
      </c>
      <c r="F283">
        <v>337701651</v>
      </c>
      <c r="G283">
        <v>-173560537</v>
      </c>
      <c r="H283">
        <v>-506201525</v>
      </c>
      <c r="I283">
        <v>14153734</v>
      </c>
      <c r="J283">
        <v>-569965298</v>
      </c>
      <c r="P283">
        <v>412</v>
      </c>
      <c r="Q283" t="s">
        <v>611</v>
      </c>
    </row>
    <row r="284" spans="1:17" x14ac:dyDescent="0.3">
      <c r="A284" t="s">
        <v>32</v>
      </c>
      <c r="B284" t="str">
        <f>"300735"</f>
        <v>300735</v>
      </c>
      <c r="C284" t="s">
        <v>612</v>
      </c>
      <c r="D284" t="s">
        <v>124</v>
      </c>
      <c r="E284">
        <v>415520381</v>
      </c>
      <c r="F284">
        <v>-216179664</v>
      </c>
      <c r="G284">
        <v>59021757</v>
      </c>
      <c r="H284">
        <v>66771981</v>
      </c>
      <c r="I284">
        <v>-65080956</v>
      </c>
      <c r="J284">
        <v>6190889</v>
      </c>
      <c r="P284">
        <v>453</v>
      </c>
      <c r="Q284" t="s">
        <v>613</v>
      </c>
    </row>
    <row r="285" spans="1:17" x14ac:dyDescent="0.3">
      <c r="A285" t="s">
        <v>17</v>
      </c>
      <c r="B285" t="str">
        <f>"601388"</f>
        <v>601388</v>
      </c>
      <c r="C285" t="s">
        <v>614</v>
      </c>
      <c r="D285" t="s">
        <v>121</v>
      </c>
      <c r="E285">
        <v>415383567</v>
      </c>
      <c r="F285">
        <v>-47134231</v>
      </c>
      <c r="G285">
        <v>119326658</v>
      </c>
      <c r="H285">
        <v>98729025</v>
      </c>
      <c r="I285">
        <v>-202697494</v>
      </c>
      <c r="J285">
        <v>39997376</v>
      </c>
      <c r="K285">
        <v>97953094</v>
      </c>
      <c r="L285">
        <v>150614778</v>
      </c>
      <c r="M285">
        <v>203540525</v>
      </c>
      <c r="N285">
        <v>-132714442</v>
      </c>
      <c r="O285">
        <v>102206367</v>
      </c>
      <c r="P285">
        <v>207</v>
      </c>
      <c r="Q285" t="s">
        <v>615</v>
      </c>
    </row>
    <row r="286" spans="1:17" x14ac:dyDescent="0.3">
      <c r="A286" t="s">
        <v>17</v>
      </c>
      <c r="B286" t="str">
        <f>"600369"</f>
        <v>600369</v>
      </c>
      <c r="C286" t="s">
        <v>616</v>
      </c>
      <c r="D286" t="s">
        <v>26</v>
      </c>
      <c r="E286">
        <v>413191071</v>
      </c>
      <c r="F286">
        <v>-844141902</v>
      </c>
      <c r="G286">
        <v>2863973510</v>
      </c>
      <c r="H286">
        <v>5090598391</v>
      </c>
      <c r="I286">
        <v>1579279801</v>
      </c>
      <c r="J286">
        <v>-423013175</v>
      </c>
      <c r="K286">
        <v>-1710408562</v>
      </c>
      <c r="L286">
        <v>2170127484</v>
      </c>
      <c r="M286">
        <v>-1654052589</v>
      </c>
      <c r="N286">
        <v>725029452</v>
      </c>
      <c r="O286">
        <v>1099948279</v>
      </c>
      <c r="P286">
        <v>930</v>
      </c>
      <c r="Q286" t="s">
        <v>617</v>
      </c>
    </row>
    <row r="287" spans="1:17" x14ac:dyDescent="0.3">
      <c r="A287" t="s">
        <v>32</v>
      </c>
      <c r="B287" t="str">
        <f>"002195"</f>
        <v>002195</v>
      </c>
      <c r="C287" t="s">
        <v>618</v>
      </c>
      <c r="D287" t="s">
        <v>342</v>
      </c>
      <c r="E287">
        <v>412081761</v>
      </c>
      <c r="F287">
        <v>40421250</v>
      </c>
      <c r="G287">
        <v>205202404</v>
      </c>
      <c r="H287">
        <v>1162681693</v>
      </c>
      <c r="I287">
        <v>-333548576</v>
      </c>
      <c r="J287">
        <v>-91284587</v>
      </c>
      <c r="K287">
        <v>-115609250</v>
      </c>
      <c r="L287">
        <v>49363168</v>
      </c>
      <c r="M287">
        <v>754188</v>
      </c>
      <c r="N287">
        <v>5221211</v>
      </c>
      <c r="O287">
        <v>12965943</v>
      </c>
      <c r="P287">
        <v>558</v>
      </c>
      <c r="Q287" t="s">
        <v>619</v>
      </c>
    </row>
    <row r="288" spans="1:17" x14ac:dyDescent="0.3">
      <c r="A288" t="s">
        <v>17</v>
      </c>
      <c r="B288" t="str">
        <f>"600596"</f>
        <v>600596</v>
      </c>
      <c r="C288" t="s">
        <v>620</v>
      </c>
      <c r="D288" t="s">
        <v>144</v>
      </c>
      <c r="E288">
        <v>411633028</v>
      </c>
      <c r="F288">
        <v>-83338390</v>
      </c>
      <c r="G288">
        <v>-104118597</v>
      </c>
      <c r="H288">
        <v>-173932960</v>
      </c>
      <c r="I288">
        <v>-284681046</v>
      </c>
      <c r="J288">
        <v>-153547223</v>
      </c>
      <c r="K288">
        <v>-115157918</v>
      </c>
      <c r="L288">
        <v>-103412709</v>
      </c>
      <c r="M288">
        <v>-328213282</v>
      </c>
      <c r="N288">
        <v>43007357</v>
      </c>
      <c r="O288">
        <v>-268527685</v>
      </c>
      <c r="P288">
        <v>481</v>
      </c>
      <c r="Q288" t="s">
        <v>621</v>
      </c>
    </row>
    <row r="289" spans="1:17" x14ac:dyDescent="0.3">
      <c r="A289" t="s">
        <v>32</v>
      </c>
      <c r="B289" t="str">
        <f>"000690"</f>
        <v>000690</v>
      </c>
      <c r="C289" t="s">
        <v>622</v>
      </c>
      <c r="D289" t="s">
        <v>158</v>
      </c>
      <c r="E289">
        <v>410502353</v>
      </c>
      <c r="F289">
        <v>353681099</v>
      </c>
      <c r="G289">
        <v>497794001</v>
      </c>
      <c r="H289">
        <v>-3229808</v>
      </c>
      <c r="I289">
        <v>-421297132</v>
      </c>
      <c r="J289">
        <v>-427938611</v>
      </c>
      <c r="K289">
        <v>68530833</v>
      </c>
      <c r="L289">
        <v>189844551</v>
      </c>
      <c r="M289">
        <v>129639561</v>
      </c>
      <c r="N289">
        <v>494482974</v>
      </c>
      <c r="O289">
        <v>-103923073</v>
      </c>
      <c r="P289">
        <v>643</v>
      </c>
      <c r="Q289" t="s">
        <v>623</v>
      </c>
    </row>
    <row r="290" spans="1:17" x14ac:dyDescent="0.3">
      <c r="A290" t="s">
        <v>17</v>
      </c>
      <c r="B290" t="str">
        <f>"688289"</f>
        <v>688289</v>
      </c>
      <c r="C290" t="s">
        <v>624</v>
      </c>
      <c r="D290" t="s">
        <v>98</v>
      </c>
      <c r="E290">
        <v>408663633</v>
      </c>
      <c r="F290">
        <v>288287841</v>
      </c>
      <c r="G290">
        <v>146613894</v>
      </c>
      <c r="H290">
        <v>-35953739</v>
      </c>
      <c r="P290">
        <v>209</v>
      </c>
      <c r="Q290" t="s">
        <v>625</v>
      </c>
    </row>
    <row r="291" spans="1:17" x14ac:dyDescent="0.3">
      <c r="A291" t="s">
        <v>17</v>
      </c>
      <c r="B291" t="str">
        <f>"600033"</f>
        <v>600033</v>
      </c>
      <c r="C291" t="s">
        <v>626</v>
      </c>
      <c r="D291" t="s">
        <v>46</v>
      </c>
      <c r="E291">
        <v>405248216</v>
      </c>
      <c r="F291">
        <v>440476494</v>
      </c>
      <c r="G291">
        <v>-142794527</v>
      </c>
      <c r="H291">
        <v>-199166233</v>
      </c>
      <c r="I291">
        <v>339273655</v>
      </c>
      <c r="J291">
        <v>348090205</v>
      </c>
      <c r="K291">
        <v>157924064</v>
      </c>
      <c r="L291">
        <v>594113228</v>
      </c>
      <c r="M291">
        <v>108958533</v>
      </c>
      <c r="N291">
        <v>75371816</v>
      </c>
      <c r="O291">
        <v>339713870</v>
      </c>
      <c r="P291">
        <v>397</v>
      </c>
      <c r="Q291" t="s">
        <v>627</v>
      </c>
    </row>
    <row r="292" spans="1:17" x14ac:dyDescent="0.3">
      <c r="A292" t="s">
        <v>17</v>
      </c>
      <c r="B292" t="str">
        <f>"601326"</f>
        <v>601326</v>
      </c>
      <c r="C292" t="s">
        <v>628</v>
      </c>
      <c r="D292" t="s">
        <v>46</v>
      </c>
      <c r="E292">
        <v>399550110</v>
      </c>
      <c r="F292">
        <v>488655320</v>
      </c>
      <c r="G292">
        <v>516087231</v>
      </c>
      <c r="H292">
        <v>435127130</v>
      </c>
      <c r="I292">
        <v>828329465</v>
      </c>
      <c r="J292">
        <v>569522688</v>
      </c>
      <c r="P292">
        <v>127</v>
      </c>
      <c r="Q292" t="s">
        <v>629</v>
      </c>
    </row>
    <row r="293" spans="1:17" x14ac:dyDescent="0.3">
      <c r="A293" t="s">
        <v>32</v>
      </c>
      <c r="B293" t="str">
        <f>"301177"</f>
        <v>301177</v>
      </c>
      <c r="C293" t="s">
        <v>630</v>
      </c>
      <c r="D293" t="s">
        <v>130</v>
      </c>
      <c r="E293">
        <v>395268785</v>
      </c>
      <c r="P293">
        <v>31</v>
      </c>
      <c r="Q293" t="s">
        <v>631</v>
      </c>
    </row>
    <row r="294" spans="1:17" x14ac:dyDescent="0.3">
      <c r="A294" t="s">
        <v>17</v>
      </c>
      <c r="B294" t="str">
        <f>"600720"</f>
        <v>600720</v>
      </c>
      <c r="C294" t="s">
        <v>632</v>
      </c>
      <c r="D294" t="s">
        <v>400</v>
      </c>
      <c r="E294">
        <v>393136093</v>
      </c>
      <c r="F294">
        <v>132546511</v>
      </c>
      <c r="G294">
        <v>81074397</v>
      </c>
      <c r="H294">
        <v>104000925</v>
      </c>
      <c r="I294">
        <v>41292627</v>
      </c>
      <c r="J294">
        <v>142639156</v>
      </c>
      <c r="K294">
        <v>64779418</v>
      </c>
      <c r="L294">
        <v>-27305610</v>
      </c>
      <c r="M294">
        <v>-75416758</v>
      </c>
      <c r="N294">
        <v>-138310225</v>
      </c>
      <c r="O294">
        <v>-73854806</v>
      </c>
      <c r="P294">
        <v>864</v>
      </c>
      <c r="Q294" t="s">
        <v>633</v>
      </c>
    </row>
    <row r="295" spans="1:17" x14ac:dyDescent="0.3">
      <c r="A295" t="s">
        <v>17</v>
      </c>
      <c r="B295" t="str">
        <f>"600183"</f>
        <v>600183</v>
      </c>
      <c r="C295" t="s">
        <v>634</v>
      </c>
      <c r="D295" t="s">
        <v>124</v>
      </c>
      <c r="E295">
        <v>390755431</v>
      </c>
      <c r="F295">
        <v>330624235</v>
      </c>
      <c r="G295">
        <v>182195306</v>
      </c>
      <c r="H295">
        <v>179494946</v>
      </c>
      <c r="I295">
        <v>-148339360</v>
      </c>
      <c r="J295">
        <v>-34353888</v>
      </c>
      <c r="K295">
        <v>-19727466</v>
      </c>
      <c r="L295">
        <v>-6015654</v>
      </c>
      <c r="M295">
        <v>-237327957</v>
      </c>
      <c r="N295">
        <v>-71030321</v>
      </c>
      <c r="O295">
        <v>39019986</v>
      </c>
      <c r="P295">
        <v>2339</v>
      </c>
      <c r="Q295" t="s">
        <v>635</v>
      </c>
    </row>
    <row r="296" spans="1:17" x14ac:dyDescent="0.3">
      <c r="A296" t="s">
        <v>32</v>
      </c>
      <c r="B296" t="str">
        <f>"002470"</f>
        <v>002470</v>
      </c>
      <c r="C296" t="s">
        <v>636</v>
      </c>
      <c r="D296" t="s">
        <v>144</v>
      </c>
      <c r="E296">
        <v>390344561</v>
      </c>
      <c r="F296">
        <v>243949823</v>
      </c>
      <c r="G296">
        <v>-892118757</v>
      </c>
      <c r="H296">
        <v>-1578492919</v>
      </c>
      <c r="I296">
        <v>-839251199</v>
      </c>
      <c r="J296">
        <v>132746178</v>
      </c>
      <c r="K296">
        <v>-177529796</v>
      </c>
      <c r="L296">
        <v>292498789</v>
      </c>
      <c r="M296">
        <v>-431810144</v>
      </c>
      <c r="N296">
        <v>132449457</v>
      </c>
      <c r="O296">
        <v>-81134055</v>
      </c>
      <c r="P296">
        <v>4918</v>
      </c>
      <c r="Q296" t="s">
        <v>637</v>
      </c>
    </row>
    <row r="297" spans="1:17" x14ac:dyDescent="0.3">
      <c r="A297" t="s">
        <v>17</v>
      </c>
      <c r="B297" t="str">
        <f>"600635"</f>
        <v>600635</v>
      </c>
      <c r="C297" t="s">
        <v>638</v>
      </c>
      <c r="D297" t="s">
        <v>158</v>
      </c>
      <c r="E297">
        <v>384745919</v>
      </c>
      <c r="F297">
        <v>-63227587</v>
      </c>
      <c r="G297">
        <v>-355669226</v>
      </c>
      <c r="H297">
        <v>341242046</v>
      </c>
      <c r="I297">
        <v>-38492701</v>
      </c>
      <c r="J297">
        <v>121522925</v>
      </c>
      <c r="K297">
        <v>17077453</v>
      </c>
      <c r="L297">
        <v>-148995843</v>
      </c>
      <c r="M297">
        <v>129399438</v>
      </c>
      <c r="N297">
        <v>-49201969</v>
      </c>
      <c r="O297">
        <v>-169707018</v>
      </c>
      <c r="P297">
        <v>180</v>
      </c>
      <c r="Q297" t="s">
        <v>639</v>
      </c>
    </row>
    <row r="298" spans="1:17" x14ac:dyDescent="0.3">
      <c r="A298" t="s">
        <v>32</v>
      </c>
      <c r="B298" t="str">
        <f>"000062"</f>
        <v>000062</v>
      </c>
      <c r="C298" t="s">
        <v>640</v>
      </c>
      <c r="D298" t="s">
        <v>124</v>
      </c>
      <c r="E298">
        <v>383059982</v>
      </c>
      <c r="F298">
        <v>-218782110</v>
      </c>
      <c r="G298">
        <v>315633742</v>
      </c>
      <c r="H298">
        <v>565049241</v>
      </c>
      <c r="I298">
        <v>321867592</v>
      </c>
      <c r="J298">
        <v>366563782</v>
      </c>
      <c r="K298">
        <v>-23954166</v>
      </c>
      <c r="L298">
        <v>-93871265</v>
      </c>
      <c r="M298">
        <v>57993522</v>
      </c>
      <c r="N298">
        <v>89453075</v>
      </c>
      <c r="O298">
        <v>172026127</v>
      </c>
      <c r="P298">
        <v>300</v>
      </c>
      <c r="Q298" t="s">
        <v>641</v>
      </c>
    </row>
    <row r="299" spans="1:17" x14ac:dyDescent="0.3">
      <c r="A299" t="s">
        <v>17</v>
      </c>
      <c r="B299" t="str">
        <f>"600435"</f>
        <v>600435</v>
      </c>
      <c r="C299" t="s">
        <v>642</v>
      </c>
      <c r="D299" t="s">
        <v>188</v>
      </c>
      <c r="E299">
        <v>381048523</v>
      </c>
      <c r="F299">
        <v>618823736</v>
      </c>
      <c r="G299">
        <v>-224009742</v>
      </c>
      <c r="H299">
        <v>-87674174</v>
      </c>
      <c r="I299">
        <v>-19662283</v>
      </c>
      <c r="J299">
        <v>-128341340</v>
      </c>
      <c r="K299">
        <v>-365651222</v>
      </c>
      <c r="L299">
        <v>-341375833</v>
      </c>
      <c r="M299">
        <v>-132030390</v>
      </c>
      <c r="N299">
        <v>-19029671</v>
      </c>
      <c r="O299">
        <v>-21440413</v>
      </c>
      <c r="P299">
        <v>232</v>
      </c>
      <c r="Q299" t="s">
        <v>643</v>
      </c>
    </row>
    <row r="300" spans="1:17" x14ac:dyDescent="0.3">
      <c r="A300" t="s">
        <v>17</v>
      </c>
      <c r="B300" t="str">
        <f>"600248"</f>
        <v>600248</v>
      </c>
      <c r="C300" t="s">
        <v>644</v>
      </c>
      <c r="D300" t="s">
        <v>645</v>
      </c>
      <c r="E300">
        <v>380564910</v>
      </c>
      <c r="F300">
        <v>-853073761</v>
      </c>
      <c r="G300">
        <v>-273807008</v>
      </c>
      <c r="H300">
        <v>-108000812</v>
      </c>
      <c r="I300">
        <v>-145383325</v>
      </c>
      <c r="J300">
        <v>-81223269</v>
      </c>
      <c r="K300">
        <v>212322040</v>
      </c>
      <c r="L300">
        <v>-272164863</v>
      </c>
      <c r="M300">
        <v>43662406</v>
      </c>
      <c r="N300">
        <v>-6946365</v>
      </c>
      <c r="O300">
        <v>-20785843</v>
      </c>
      <c r="P300">
        <v>143</v>
      </c>
      <c r="Q300" t="s">
        <v>646</v>
      </c>
    </row>
    <row r="301" spans="1:17" x14ac:dyDescent="0.3">
      <c r="A301" t="s">
        <v>17</v>
      </c>
      <c r="B301" t="str">
        <f>"600578"</f>
        <v>600578</v>
      </c>
      <c r="C301" t="s">
        <v>647</v>
      </c>
      <c r="D301" t="s">
        <v>158</v>
      </c>
      <c r="E301">
        <v>373460625</v>
      </c>
      <c r="F301">
        <v>570710713</v>
      </c>
      <c r="G301">
        <v>385393966</v>
      </c>
      <c r="H301">
        <v>-606035363</v>
      </c>
      <c r="I301">
        <v>-417538019</v>
      </c>
      <c r="J301">
        <v>-716892641</v>
      </c>
      <c r="K301">
        <v>179183858</v>
      </c>
      <c r="L301">
        <v>846292114</v>
      </c>
      <c r="M301">
        <v>610888044</v>
      </c>
      <c r="N301">
        <v>838419424</v>
      </c>
      <c r="O301">
        <v>314331608</v>
      </c>
      <c r="P301">
        <v>355</v>
      </c>
      <c r="Q301" t="s">
        <v>648</v>
      </c>
    </row>
    <row r="302" spans="1:17" x14ac:dyDescent="0.3">
      <c r="A302" t="s">
        <v>32</v>
      </c>
      <c r="B302" t="str">
        <f>"002769"</f>
        <v>002769</v>
      </c>
      <c r="C302" t="s">
        <v>649</v>
      </c>
      <c r="D302" t="s">
        <v>46</v>
      </c>
      <c r="E302">
        <v>373002925</v>
      </c>
      <c r="F302">
        <v>-388133662</v>
      </c>
      <c r="G302">
        <v>-635653935</v>
      </c>
      <c r="H302">
        <v>-420867894</v>
      </c>
      <c r="I302">
        <v>-773649854</v>
      </c>
      <c r="J302">
        <v>-344432028</v>
      </c>
      <c r="K302">
        <v>-848681</v>
      </c>
      <c r="L302">
        <v>16732000</v>
      </c>
      <c r="M302">
        <v>268884900</v>
      </c>
      <c r="P302">
        <v>96</v>
      </c>
      <c r="Q302" t="s">
        <v>650</v>
      </c>
    </row>
    <row r="303" spans="1:17" x14ac:dyDescent="0.3">
      <c r="A303" t="s">
        <v>32</v>
      </c>
      <c r="B303" t="str">
        <f>"000723"</f>
        <v>000723</v>
      </c>
      <c r="C303" t="s">
        <v>651</v>
      </c>
      <c r="D303" t="s">
        <v>73</v>
      </c>
      <c r="E303">
        <v>372687816</v>
      </c>
      <c r="F303">
        <v>-220283274</v>
      </c>
      <c r="G303">
        <v>-226619749</v>
      </c>
      <c r="H303">
        <v>73687297</v>
      </c>
      <c r="I303">
        <v>-314251058</v>
      </c>
      <c r="J303">
        <v>94278802</v>
      </c>
      <c r="K303">
        <v>-1076519103</v>
      </c>
      <c r="L303">
        <v>-37016542</v>
      </c>
      <c r="M303">
        <v>-10566137</v>
      </c>
      <c r="N303">
        <v>-4410371</v>
      </c>
      <c r="O303">
        <v>-21515001</v>
      </c>
      <c r="P303">
        <v>673</v>
      </c>
      <c r="Q303" t="s">
        <v>652</v>
      </c>
    </row>
    <row r="304" spans="1:17" x14ac:dyDescent="0.3">
      <c r="A304" t="s">
        <v>32</v>
      </c>
      <c r="B304" t="str">
        <f>"002832"</f>
        <v>002832</v>
      </c>
      <c r="C304" t="s">
        <v>653</v>
      </c>
      <c r="D304" t="s">
        <v>130</v>
      </c>
      <c r="E304">
        <v>372163523</v>
      </c>
      <c r="F304">
        <v>359687619</v>
      </c>
      <c r="G304">
        <v>74457016</v>
      </c>
      <c r="H304">
        <v>92449536</v>
      </c>
      <c r="I304">
        <v>7578012</v>
      </c>
      <c r="J304">
        <v>76712177</v>
      </c>
      <c r="K304">
        <v>103233753</v>
      </c>
      <c r="P304">
        <v>641</v>
      </c>
      <c r="Q304" t="s">
        <v>654</v>
      </c>
    </row>
    <row r="305" spans="1:17" x14ac:dyDescent="0.3">
      <c r="A305" t="s">
        <v>17</v>
      </c>
      <c r="B305" t="str">
        <f>"600075"</f>
        <v>600075</v>
      </c>
      <c r="C305" t="s">
        <v>655</v>
      </c>
      <c r="D305" t="s">
        <v>144</v>
      </c>
      <c r="E305">
        <v>369980070</v>
      </c>
      <c r="F305">
        <v>-64913886</v>
      </c>
      <c r="G305">
        <v>-104020856</v>
      </c>
      <c r="H305">
        <v>-128713043</v>
      </c>
      <c r="I305">
        <v>-57175885</v>
      </c>
      <c r="J305">
        <v>109966856</v>
      </c>
      <c r="K305">
        <v>37737724</v>
      </c>
      <c r="L305">
        <v>85750682</v>
      </c>
      <c r="M305">
        <v>18078055</v>
      </c>
      <c r="N305">
        <v>58159892</v>
      </c>
      <c r="O305">
        <v>80961483</v>
      </c>
      <c r="P305">
        <v>194</v>
      </c>
      <c r="Q305" t="s">
        <v>656</v>
      </c>
    </row>
    <row r="306" spans="1:17" x14ac:dyDescent="0.3">
      <c r="A306" t="s">
        <v>32</v>
      </c>
      <c r="B306" t="str">
        <f>"200869"</f>
        <v>200869</v>
      </c>
      <c r="C306" t="s">
        <v>657</v>
      </c>
      <c r="E306">
        <v>368662306.43000001</v>
      </c>
      <c r="F306">
        <v>324602767.95200002</v>
      </c>
      <c r="G306">
        <v>-181722203.23859999</v>
      </c>
      <c r="H306">
        <v>210927642.46200001</v>
      </c>
      <c r="I306">
        <v>496027652.97850001</v>
      </c>
      <c r="J306">
        <v>272572115.90200001</v>
      </c>
      <c r="K306">
        <v>520036240.93449998</v>
      </c>
      <c r="L306">
        <v>549823866.25</v>
      </c>
      <c r="M306">
        <v>623327573.13759995</v>
      </c>
      <c r="N306">
        <v>464907729.10979998</v>
      </c>
      <c r="O306">
        <v>430488042.99299997</v>
      </c>
      <c r="P306">
        <v>348</v>
      </c>
      <c r="Q306" t="s">
        <v>658</v>
      </c>
    </row>
    <row r="307" spans="1:17" x14ac:dyDescent="0.3">
      <c r="A307" t="s">
        <v>32</v>
      </c>
      <c r="B307" t="str">
        <f>"002737"</f>
        <v>002737</v>
      </c>
      <c r="C307" t="s">
        <v>659</v>
      </c>
      <c r="D307" t="s">
        <v>98</v>
      </c>
      <c r="E307">
        <v>365686739</v>
      </c>
      <c r="F307">
        <v>188276118</v>
      </c>
      <c r="G307">
        <v>214958652</v>
      </c>
      <c r="H307">
        <v>124316574</v>
      </c>
      <c r="I307">
        <v>164839114</v>
      </c>
      <c r="J307">
        <v>-34834339</v>
      </c>
      <c r="K307">
        <v>101272727</v>
      </c>
      <c r="L307">
        <v>126499102</v>
      </c>
      <c r="M307">
        <v>110484812</v>
      </c>
      <c r="P307">
        <v>1118</v>
      </c>
      <c r="Q307" t="s">
        <v>660</v>
      </c>
    </row>
    <row r="308" spans="1:17" x14ac:dyDescent="0.3">
      <c r="A308" t="s">
        <v>32</v>
      </c>
      <c r="B308" t="str">
        <f>"002223"</f>
        <v>002223</v>
      </c>
      <c r="C308" t="s">
        <v>661</v>
      </c>
      <c r="D308" t="s">
        <v>98</v>
      </c>
      <c r="E308">
        <v>365021341</v>
      </c>
      <c r="F308">
        <v>-15840768</v>
      </c>
      <c r="G308">
        <v>757316478</v>
      </c>
      <c r="H308">
        <v>-298905769</v>
      </c>
      <c r="I308">
        <v>-66351165</v>
      </c>
      <c r="J308">
        <v>-61723269</v>
      </c>
      <c r="K308">
        <v>89220730</v>
      </c>
      <c r="L308">
        <v>68034300</v>
      </c>
      <c r="M308">
        <v>9446896</v>
      </c>
      <c r="N308">
        <v>3105524</v>
      </c>
      <c r="O308">
        <v>-76160174</v>
      </c>
      <c r="P308">
        <v>17494</v>
      </c>
      <c r="Q308" t="s">
        <v>662</v>
      </c>
    </row>
    <row r="309" spans="1:17" x14ac:dyDescent="0.3">
      <c r="A309" t="s">
        <v>32</v>
      </c>
      <c r="B309" t="str">
        <f>"002386"</f>
        <v>002386</v>
      </c>
      <c r="C309" t="s">
        <v>663</v>
      </c>
      <c r="D309" t="s">
        <v>144</v>
      </c>
      <c r="E309">
        <v>362567554</v>
      </c>
      <c r="F309">
        <v>148938782</v>
      </c>
      <c r="G309">
        <v>-31373072</v>
      </c>
      <c r="H309">
        <v>-39753476</v>
      </c>
      <c r="I309">
        <v>75535798</v>
      </c>
      <c r="J309">
        <v>-7053612</v>
      </c>
      <c r="K309">
        <v>530710237</v>
      </c>
      <c r="L309">
        <v>17043030</v>
      </c>
      <c r="M309">
        <v>-12284125</v>
      </c>
      <c r="N309">
        <v>-54016356</v>
      </c>
      <c r="O309">
        <v>-365037114</v>
      </c>
      <c r="P309">
        <v>143</v>
      </c>
      <c r="Q309" t="s">
        <v>664</v>
      </c>
    </row>
    <row r="310" spans="1:17" x14ac:dyDescent="0.3">
      <c r="A310" t="s">
        <v>32</v>
      </c>
      <c r="B310" t="str">
        <f>"002277"</f>
        <v>002277</v>
      </c>
      <c r="C310" t="s">
        <v>665</v>
      </c>
      <c r="D310" t="s">
        <v>218</v>
      </c>
      <c r="E310">
        <v>356170277</v>
      </c>
      <c r="F310">
        <v>49250915</v>
      </c>
      <c r="G310">
        <v>-252355970</v>
      </c>
      <c r="H310">
        <v>-311565752</v>
      </c>
      <c r="I310">
        <v>-53913269</v>
      </c>
      <c r="J310">
        <v>-368966454</v>
      </c>
      <c r="K310">
        <v>-523595810</v>
      </c>
      <c r="L310">
        <v>-566817987</v>
      </c>
      <c r="M310">
        <v>-676144410</v>
      </c>
      <c r="N310">
        <v>154513013</v>
      </c>
      <c r="O310">
        <v>-91027362</v>
      </c>
      <c r="P310">
        <v>145</v>
      </c>
      <c r="Q310" t="s">
        <v>666</v>
      </c>
    </row>
    <row r="311" spans="1:17" x14ac:dyDescent="0.3">
      <c r="A311" t="s">
        <v>32</v>
      </c>
      <c r="B311" t="str">
        <f>"002039"</f>
        <v>002039</v>
      </c>
      <c r="C311" t="s">
        <v>667</v>
      </c>
      <c r="D311" t="s">
        <v>158</v>
      </c>
      <c r="E311">
        <v>355754281</v>
      </c>
      <c r="F311">
        <v>120478080</v>
      </c>
      <c r="G311">
        <v>292338687</v>
      </c>
      <c r="H311">
        <v>463744607</v>
      </c>
      <c r="I311">
        <v>542949894</v>
      </c>
      <c r="J311">
        <v>173434404</v>
      </c>
      <c r="K311">
        <v>466578289</v>
      </c>
      <c r="L311">
        <v>351435142</v>
      </c>
      <c r="M311">
        <v>-302488041</v>
      </c>
      <c r="N311">
        <v>-107289049</v>
      </c>
      <c r="O311">
        <v>-223118876</v>
      </c>
      <c r="P311">
        <v>431</v>
      </c>
      <c r="Q311" t="s">
        <v>668</v>
      </c>
    </row>
    <row r="312" spans="1:17" x14ac:dyDescent="0.3">
      <c r="A312" t="s">
        <v>32</v>
      </c>
      <c r="B312" t="str">
        <f>"300317"</f>
        <v>300317</v>
      </c>
      <c r="C312" t="s">
        <v>669</v>
      </c>
      <c r="D312" t="s">
        <v>158</v>
      </c>
      <c r="E312">
        <v>355480620</v>
      </c>
      <c r="F312">
        <v>54195735</v>
      </c>
      <c r="G312">
        <v>-44553246</v>
      </c>
      <c r="H312">
        <v>-30933576</v>
      </c>
      <c r="I312">
        <v>-203280295</v>
      </c>
      <c r="J312">
        <v>-162706138</v>
      </c>
      <c r="K312">
        <v>-189366399</v>
      </c>
      <c r="L312">
        <v>-11546829</v>
      </c>
      <c r="M312">
        <v>-42137611</v>
      </c>
      <c r="N312">
        <v>7960748</v>
      </c>
      <c r="O312">
        <v>-45250547</v>
      </c>
      <c r="P312">
        <v>142</v>
      </c>
      <c r="Q312" t="s">
        <v>670</v>
      </c>
    </row>
    <row r="313" spans="1:17" x14ac:dyDescent="0.3">
      <c r="A313" t="s">
        <v>17</v>
      </c>
      <c r="B313" t="str">
        <f>"603077"</f>
        <v>603077</v>
      </c>
      <c r="C313" t="s">
        <v>671</v>
      </c>
      <c r="D313" t="s">
        <v>144</v>
      </c>
      <c r="E313">
        <v>354879188</v>
      </c>
      <c r="F313">
        <v>322458702</v>
      </c>
      <c r="G313">
        <v>-230693935</v>
      </c>
      <c r="H313">
        <v>-62704483</v>
      </c>
      <c r="I313">
        <v>-18581001</v>
      </c>
      <c r="J313">
        <v>-300231871</v>
      </c>
      <c r="K313">
        <v>47461870</v>
      </c>
      <c r="L313">
        <v>-33684823</v>
      </c>
      <c r="M313">
        <v>102766408</v>
      </c>
      <c r="N313">
        <v>-79721358</v>
      </c>
      <c r="O313">
        <v>-107180664</v>
      </c>
      <c r="P313">
        <v>265</v>
      </c>
      <c r="Q313" t="s">
        <v>672</v>
      </c>
    </row>
    <row r="314" spans="1:17" x14ac:dyDescent="0.3">
      <c r="A314" t="s">
        <v>32</v>
      </c>
      <c r="B314" t="str">
        <f>"000631"</f>
        <v>000631</v>
      </c>
      <c r="C314" t="s">
        <v>673</v>
      </c>
      <c r="D314" t="s">
        <v>151</v>
      </c>
      <c r="E314">
        <v>352946721</v>
      </c>
      <c r="F314">
        <v>244337623</v>
      </c>
      <c r="G314">
        <v>10452569</v>
      </c>
      <c r="H314">
        <v>-16785940</v>
      </c>
      <c r="I314">
        <v>86186636</v>
      </c>
      <c r="J314">
        <v>217428981</v>
      </c>
      <c r="K314">
        <v>670009083</v>
      </c>
      <c r="L314">
        <v>15279812</v>
      </c>
      <c r="M314">
        <v>-1138257489</v>
      </c>
      <c r="N314">
        <v>158855608</v>
      </c>
      <c r="O314">
        <v>91369663</v>
      </c>
      <c r="P314">
        <v>359</v>
      </c>
      <c r="Q314" t="s">
        <v>674</v>
      </c>
    </row>
    <row r="315" spans="1:17" x14ac:dyDescent="0.3">
      <c r="A315" t="s">
        <v>32</v>
      </c>
      <c r="B315" t="str">
        <f>"300047"</f>
        <v>300047</v>
      </c>
      <c r="C315" t="s">
        <v>675</v>
      </c>
      <c r="D315" t="s">
        <v>342</v>
      </c>
      <c r="E315">
        <v>349247271</v>
      </c>
      <c r="F315">
        <v>336278370</v>
      </c>
      <c r="G315">
        <v>328019412</v>
      </c>
      <c r="H315">
        <v>84468225</v>
      </c>
      <c r="I315">
        <v>-40225850</v>
      </c>
      <c r="J315">
        <v>-31010055</v>
      </c>
      <c r="K315">
        <v>-100552954</v>
      </c>
      <c r="L315">
        <v>-36648383</v>
      </c>
      <c r="M315">
        <v>-64216886</v>
      </c>
      <c r="N315">
        <v>-94529979</v>
      </c>
      <c r="O315">
        <v>-23579861</v>
      </c>
      <c r="P315">
        <v>338</v>
      </c>
      <c r="Q315" t="s">
        <v>676</v>
      </c>
    </row>
    <row r="316" spans="1:17" x14ac:dyDescent="0.3">
      <c r="A316" t="s">
        <v>32</v>
      </c>
      <c r="B316" t="str">
        <f>"000708"</f>
        <v>000708</v>
      </c>
      <c r="C316" t="s">
        <v>677</v>
      </c>
      <c r="D316" t="s">
        <v>163</v>
      </c>
      <c r="E316">
        <v>344995450</v>
      </c>
      <c r="F316">
        <v>-229476839</v>
      </c>
      <c r="G316">
        <v>-896184970</v>
      </c>
      <c r="H316">
        <v>-72817240</v>
      </c>
      <c r="I316">
        <v>-132537065</v>
      </c>
      <c r="J316">
        <v>-473021624</v>
      </c>
      <c r="K316">
        <v>-117702870</v>
      </c>
      <c r="L316">
        <v>38456322</v>
      </c>
      <c r="M316">
        <v>18611414</v>
      </c>
      <c r="N316">
        <v>13430317</v>
      </c>
      <c r="O316">
        <v>-73610784</v>
      </c>
      <c r="P316">
        <v>681</v>
      </c>
      <c r="Q316" t="s">
        <v>678</v>
      </c>
    </row>
    <row r="317" spans="1:17" x14ac:dyDescent="0.3">
      <c r="A317" t="s">
        <v>32</v>
      </c>
      <c r="B317" t="str">
        <f>"002759"</f>
        <v>002759</v>
      </c>
      <c r="C317" t="s">
        <v>679</v>
      </c>
      <c r="D317" t="s">
        <v>464</v>
      </c>
      <c r="E317">
        <v>338938760</v>
      </c>
      <c r="F317">
        <v>48209092</v>
      </c>
      <c r="G317">
        <v>-46682069</v>
      </c>
      <c r="H317">
        <v>-46666350</v>
      </c>
      <c r="I317">
        <v>-44523810</v>
      </c>
      <c r="J317">
        <v>-94402188</v>
      </c>
      <c r="K317">
        <v>17802623</v>
      </c>
      <c r="L317">
        <v>-35613600</v>
      </c>
      <c r="P317">
        <v>251</v>
      </c>
      <c r="Q317" t="s">
        <v>680</v>
      </c>
    </row>
    <row r="318" spans="1:17" x14ac:dyDescent="0.3">
      <c r="A318" t="s">
        <v>17</v>
      </c>
      <c r="B318" t="str">
        <f>"603026"</f>
        <v>603026</v>
      </c>
      <c r="C318" t="s">
        <v>681</v>
      </c>
      <c r="D318" t="s">
        <v>464</v>
      </c>
      <c r="E318">
        <v>336630161</v>
      </c>
      <c r="F318">
        <v>109088863</v>
      </c>
      <c r="G318">
        <v>103951606</v>
      </c>
      <c r="H318">
        <v>6627089</v>
      </c>
      <c r="I318">
        <v>124233530</v>
      </c>
      <c r="J318">
        <v>-17691712</v>
      </c>
      <c r="K318">
        <v>91766727</v>
      </c>
      <c r="L318">
        <v>106477509</v>
      </c>
      <c r="P318">
        <v>420</v>
      </c>
      <c r="Q318" t="s">
        <v>682</v>
      </c>
    </row>
    <row r="319" spans="1:17" x14ac:dyDescent="0.3">
      <c r="A319" t="s">
        <v>32</v>
      </c>
      <c r="B319" t="str">
        <f>"002274"</f>
        <v>002274</v>
      </c>
      <c r="C319" t="s">
        <v>683</v>
      </c>
      <c r="D319" t="s">
        <v>144</v>
      </c>
      <c r="E319">
        <v>334207656</v>
      </c>
      <c r="F319">
        <v>418230575</v>
      </c>
      <c r="G319">
        <v>-90927045</v>
      </c>
      <c r="H319">
        <v>1467048</v>
      </c>
      <c r="I319">
        <v>-152110032</v>
      </c>
      <c r="J319">
        <v>-122095931</v>
      </c>
      <c r="K319">
        <v>-161919967</v>
      </c>
      <c r="L319">
        <v>-93422236</v>
      </c>
      <c r="M319">
        <v>-154007782</v>
      </c>
      <c r="N319">
        <v>-143331914</v>
      </c>
      <c r="O319">
        <v>-112865461</v>
      </c>
      <c r="P319">
        <v>217</v>
      </c>
      <c r="Q319" t="s">
        <v>684</v>
      </c>
    </row>
    <row r="320" spans="1:17" x14ac:dyDescent="0.3">
      <c r="A320" t="s">
        <v>32</v>
      </c>
      <c r="B320" t="str">
        <f>"002517"</f>
        <v>002517</v>
      </c>
      <c r="C320" t="s">
        <v>685</v>
      </c>
      <c r="D320" t="s">
        <v>245</v>
      </c>
      <c r="E320">
        <v>328708019</v>
      </c>
      <c r="F320">
        <v>49036827</v>
      </c>
      <c r="G320">
        <v>137320275</v>
      </c>
      <c r="H320">
        <v>-17737796</v>
      </c>
      <c r="I320">
        <v>12016481</v>
      </c>
      <c r="J320">
        <v>148504597</v>
      </c>
      <c r="K320">
        <v>65812881</v>
      </c>
      <c r="L320">
        <v>12956393</v>
      </c>
      <c r="M320">
        <v>-13738584</v>
      </c>
      <c r="N320">
        <v>-60239595</v>
      </c>
      <c r="O320">
        <v>-34662452</v>
      </c>
      <c r="P320">
        <v>289</v>
      </c>
      <c r="Q320" t="s">
        <v>686</v>
      </c>
    </row>
    <row r="321" spans="1:17" x14ac:dyDescent="0.3">
      <c r="A321" t="s">
        <v>17</v>
      </c>
      <c r="B321" t="str">
        <f>"600702"</f>
        <v>600702</v>
      </c>
      <c r="C321" t="s">
        <v>687</v>
      </c>
      <c r="D321" t="s">
        <v>172</v>
      </c>
      <c r="E321">
        <v>328379836</v>
      </c>
      <c r="F321">
        <v>345627577</v>
      </c>
      <c r="G321">
        <v>-110081074</v>
      </c>
      <c r="H321">
        <v>-64582032</v>
      </c>
      <c r="I321">
        <v>126675346</v>
      </c>
      <c r="J321">
        <v>82859731</v>
      </c>
      <c r="K321">
        <v>53457765</v>
      </c>
      <c r="L321">
        <v>83720954</v>
      </c>
      <c r="M321">
        <v>-77962684</v>
      </c>
      <c r="N321">
        <v>213285319</v>
      </c>
      <c r="O321">
        <v>133643882</v>
      </c>
      <c r="P321">
        <v>1463</v>
      </c>
      <c r="Q321" t="s">
        <v>688</v>
      </c>
    </row>
    <row r="322" spans="1:17" x14ac:dyDescent="0.3">
      <c r="A322" t="s">
        <v>32</v>
      </c>
      <c r="B322" t="str">
        <f>"300002"</f>
        <v>300002</v>
      </c>
      <c r="C322" t="s">
        <v>689</v>
      </c>
      <c r="D322" t="s">
        <v>245</v>
      </c>
      <c r="E322">
        <v>326245056</v>
      </c>
      <c r="F322">
        <v>47201334</v>
      </c>
      <c r="G322">
        <v>-65927010</v>
      </c>
      <c r="H322">
        <v>-76147917</v>
      </c>
      <c r="I322">
        <v>-62721687</v>
      </c>
      <c r="J322">
        <v>-102392736</v>
      </c>
      <c r="K322">
        <v>-185226531</v>
      </c>
      <c r="L322">
        <v>-170642075</v>
      </c>
      <c r="M322">
        <v>-240087840</v>
      </c>
      <c r="N322">
        <v>-16106697</v>
      </c>
      <c r="O322">
        <v>-131591570</v>
      </c>
      <c r="P322">
        <v>282</v>
      </c>
      <c r="Q322" t="s">
        <v>690</v>
      </c>
    </row>
    <row r="323" spans="1:17" x14ac:dyDescent="0.3">
      <c r="A323" t="s">
        <v>17</v>
      </c>
      <c r="B323" t="str">
        <f>"603444"</f>
        <v>603444</v>
      </c>
      <c r="C323" t="s">
        <v>691</v>
      </c>
      <c r="D323" t="s">
        <v>245</v>
      </c>
      <c r="E323">
        <v>325835841</v>
      </c>
      <c r="F323">
        <v>321348122</v>
      </c>
      <c r="G323">
        <v>340372339</v>
      </c>
      <c r="H323">
        <v>203201020</v>
      </c>
      <c r="I323">
        <v>104077562</v>
      </c>
      <c r="J323">
        <v>62689429</v>
      </c>
      <c r="K323">
        <v>43335811</v>
      </c>
      <c r="P323">
        <v>4239</v>
      </c>
      <c r="Q323" t="s">
        <v>692</v>
      </c>
    </row>
    <row r="324" spans="1:17" x14ac:dyDescent="0.3">
      <c r="A324" t="s">
        <v>32</v>
      </c>
      <c r="B324" t="str">
        <f>"002252"</f>
        <v>002252</v>
      </c>
      <c r="C324" t="s">
        <v>693</v>
      </c>
      <c r="D324" t="s">
        <v>98</v>
      </c>
      <c r="E324">
        <v>325257797</v>
      </c>
      <c r="F324">
        <v>242500061</v>
      </c>
      <c r="G324">
        <v>470735183</v>
      </c>
      <c r="H324">
        <v>101754070</v>
      </c>
      <c r="I324">
        <v>-92180880</v>
      </c>
      <c r="J324">
        <v>-167386288</v>
      </c>
      <c r="K324">
        <v>116999865</v>
      </c>
      <c r="L324">
        <v>54371768</v>
      </c>
      <c r="M324">
        <v>110542060</v>
      </c>
      <c r="N324">
        <v>-147668709</v>
      </c>
      <c r="O324">
        <v>-51085526</v>
      </c>
      <c r="P324">
        <v>602</v>
      </c>
      <c r="Q324" t="s">
        <v>694</v>
      </c>
    </row>
    <row r="325" spans="1:17" x14ac:dyDescent="0.3">
      <c r="A325" t="s">
        <v>32</v>
      </c>
      <c r="B325" t="str">
        <f>"300724"</f>
        <v>300724</v>
      </c>
      <c r="C325" t="s">
        <v>695</v>
      </c>
      <c r="D325" t="s">
        <v>464</v>
      </c>
      <c r="E325">
        <v>320765254</v>
      </c>
      <c r="F325">
        <v>242676735</v>
      </c>
      <c r="G325">
        <v>229927306</v>
      </c>
      <c r="H325">
        <v>-110562233</v>
      </c>
      <c r="I325">
        <v>21361669</v>
      </c>
      <c r="J325">
        <v>-33833333</v>
      </c>
      <c r="P325">
        <v>573</v>
      </c>
      <c r="Q325" t="s">
        <v>696</v>
      </c>
    </row>
    <row r="326" spans="1:17" x14ac:dyDescent="0.3">
      <c r="A326" t="s">
        <v>32</v>
      </c>
      <c r="B326" t="str">
        <f>"000637"</f>
        <v>000637</v>
      </c>
      <c r="C326" t="s">
        <v>697</v>
      </c>
      <c r="D326" t="s">
        <v>64</v>
      </c>
      <c r="E326">
        <v>318184253</v>
      </c>
      <c r="F326">
        <v>-26966956</v>
      </c>
      <c r="G326">
        <v>-193858813</v>
      </c>
      <c r="H326">
        <v>7380006</v>
      </c>
      <c r="I326">
        <v>24412544</v>
      </c>
      <c r="J326">
        <v>-118345094</v>
      </c>
      <c r="K326">
        <v>86570885</v>
      </c>
      <c r="L326">
        <v>11672502</v>
      </c>
      <c r="M326">
        <v>11145142</v>
      </c>
      <c r="N326">
        <v>-61552608</v>
      </c>
      <c r="O326">
        <v>-91458332</v>
      </c>
      <c r="P326">
        <v>93</v>
      </c>
      <c r="Q326" t="s">
        <v>698</v>
      </c>
    </row>
    <row r="327" spans="1:17" x14ac:dyDescent="0.3">
      <c r="A327" t="s">
        <v>17</v>
      </c>
      <c r="B327" t="str">
        <f>"603369"</f>
        <v>603369</v>
      </c>
      <c r="C327" t="s">
        <v>699</v>
      </c>
      <c r="D327" t="s">
        <v>172</v>
      </c>
      <c r="E327">
        <v>317945793</v>
      </c>
      <c r="F327">
        <v>395759940</v>
      </c>
      <c r="G327">
        <v>-287422536</v>
      </c>
      <c r="H327">
        <v>-85475517</v>
      </c>
      <c r="I327">
        <v>38899694</v>
      </c>
      <c r="J327">
        <v>113324570</v>
      </c>
      <c r="K327">
        <v>246184379</v>
      </c>
      <c r="L327">
        <v>205253779</v>
      </c>
      <c r="M327">
        <v>5171700</v>
      </c>
      <c r="N327">
        <v>41029300</v>
      </c>
      <c r="P327">
        <v>35443</v>
      </c>
      <c r="Q327" t="s">
        <v>700</v>
      </c>
    </row>
    <row r="328" spans="1:17" x14ac:dyDescent="0.3">
      <c r="A328" t="s">
        <v>17</v>
      </c>
      <c r="B328" t="str">
        <f>"688399"</f>
        <v>688399</v>
      </c>
      <c r="C328" t="s">
        <v>701</v>
      </c>
      <c r="D328" t="s">
        <v>98</v>
      </c>
      <c r="E328">
        <v>314272179</v>
      </c>
      <c r="F328">
        <v>-45735661</v>
      </c>
      <c r="G328">
        <v>40791351</v>
      </c>
      <c r="H328">
        <v>-8283868</v>
      </c>
      <c r="P328">
        <v>375</v>
      </c>
      <c r="Q328" t="s">
        <v>702</v>
      </c>
    </row>
    <row r="329" spans="1:17" x14ac:dyDescent="0.3">
      <c r="A329" t="s">
        <v>32</v>
      </c>
      <c r="B329" t="str">
        <f>"000999"</f>
        <v>000999</v>
      </c>
      <c r="C329" t="s">
        <v>703</v>
      </c>
      <c r="D329" t="s">
        <v>98</v>
      </c>
      <c r="E329">
        <v>314199763</v>
      </c>
      <c r="F329">
        <v>62080278</v>
      </c>
      <c r="G329">
        <v>552424382</v>
      </c>
      <c r="H329">
        <v>222651042</v>
      </c>
      <c r="I329">
        <v>148523061</v>
      </c>
      <c r="J329">
        <v>80813737</v>
      </c>
      <c r="K329">
        <v>104755927</v>
      </c>
      <c r="L329">
        <v>22446098</v>
      </c>
      <c r="M329">
        <v>-14050005</v>
      </c>
      <c r="N329">
        <v>133326725</v>
      </c>
      <c r="O329">
        <v>-38863636</v>
      </c>
      <c r="P329">
        <v>5775</v>
      </c>
      <c r="Q329" t="s">
        <v>704</v>
      </c>
    </row>
    <row r="330" spans="1:17" x14ac:dyDescent="0.3">
      <c r="A330" t="s">
        <v>32</v>
      </c>
      <c r="B330" t="str">
        <f>"300242"</f>
        <v>300242</v>
      </c>
      <c r="C330" t="s">
        <v>705</v>
      </c>
      <c r="D330" t="s">
        <v>245</v>
      </c>
      <c r="E330">
        <v>314049827</v>
      </c>
      <c r="F330">
        <v>-161756909</v>
      </c>
      <c r="G330">
        <v>-75399404</v>
      </c>
      <c r="H330">
        <v>119875217</v>
      </c>
      <c r="I330">
        <v>6848992</v>
      </c>
      <c r="J330">
        <v>-35880618</v>
      </c>
      <c r="K330">
        <v>-61310558</v>
      </c>
      <c r="L330">
        <v>-17298798</v>
      </c>
      <c r="M330">
        <v>-11133596</v>
      </c>
      <c r="N330">
        <v>-21762417</v>
      </c>
      <c r="O330">
        <v>-16344675</v>
      </c>
      <c r="P330">
        <v>95</v>
      </c>
      <c r="Q330" t="s">
        <v>706</v>
      </c>
    </row>
    <row r="331" spans="1:17" x14ac:dyDescent="0.3">
      <c r="A331" t="s">
        <v>32</v>
      </c>
      <c r="B331" t="str">
        <f>"300842"</f>
        <v>300842</v>
      </c>
      <c r="C331" t="s">
        <v>707</v>
      </c>
      <c r="D331" t="s">
        <v>464</v>
      </c>
      <c r="E331">
        <v>312326391</v>
      </c>
      <c r="F331">
        <v>-198389003</v>
      </c>
      <c r="G331">
        <v>-140146234</v>
      </c>
      <c r="H331">
        <v>24219881</v>
      </c>
      <c r="P331">
        <v>131</v>
      </c>
      <c r="Q331" t="s">
        <v>708</v>
      </c>
    </row>
    <row r="332" spans="1:17" x14ac:dyDescent="0.3">
      <c r="A332" t="s">
        <v>17</v>
      </c>
      <c r="B332" t="str">
        <f>"600433"</f>
        <v>600433</v>
      </c>
      <c r="C332" t="s">
        <v>709</v>
      </c>
      <c r="D332" t="s">
        <v>455</v>
      </c>
      <c r="E332">
        <v>312083665</v>
      </c>
      <c r="F332">
        <v>19095955</v>
      </c>
      <c r="G332">
        <v>50765438</v>
      </c>
      <c r="H332">
        <v>-12536757</v>
      </c>
      <c r="I332">
        <v>23085942</v>
      </c>
      <c r="J332">
        <v>28850514</v>
      </c>
      <c r="K332">
        <v>-207238268</v>
      </c>
      <c r="L332">
        <v>-149900500</v>
      </c>
      <c r="M332">
        <v>-159103620</v>
      </c>
      <c r="N332">
        <v>-200402579</v>
      </c>
      <c r="O332">
        <v>-119579168</v>
      </c>
      <c r="P332">
        <v>105</v>
      </c>
      <c r="Q332" t="s">
        <v>710</v>
      </c>
    </row>
    <row r="333" spans="1:17" x14ac:dyDescent="0.3">
      <c r="A333" t="s">
        <v>32</v>
      </c>
      <c r="B333" t="str">
        <f>"002176"</f>
        <v>002176</v>
      </c>
      <c r="C333" t="s">
        <v>711</v>
      </c>
      <c r="D333" t="s">
        <v>464</v>
      </c>
      <c r="E333">
        <v>309300746</v>
      </c>
      <c r="F333">
        <v>-100868658</v>
      </c>
      <c r="G333">
        <v>83945681</v>
      </c>
      <c r="H333">
        <v>-435733245</v>
      </c>
      <c r="I333">
        <v>-390659079</v>
      </c>
      <c r="J333">
        <v>-317392339</v>
      </c>
      <c r="K333">
        <v>-244518962</v>
      </c>
      <c r="L333">
        <v>-87211245</v>
      </c>
      <c r="M333">
        <v>-69087667</v>
      </c>
      <c r="N333">
        <v>-36771943</v>
      </c>
      <c r="O333">
        <v>-70674084</v>
      </c>
      <c r="P333">
        <v>317</v>
      </c>
      <c r="Q333" t="s">
        <v>712</v>
      </c>
    </row>
    <row r="334" spans="1:17" x14ac:dyDescent="0.3">
      <c r="A334" t="s">
        <v>32</v>
      </c>
      <c r="B334" t="str">
        <f>"000868"</f>
        <v>000868</v>
      </c>
      <c r="C334" t="s">
        <v>713</v>
      </c>
      <c r="D334" t="s">
        <v>199</v>
      </c>
      <c r="E334">
        <v>309061860</v>
      </c>
      <c r="F334">
        <v>-942490</v>
      </c>
      <c r="G334">
        <v>-216444180</v>
      </c>
      <c r="H334">
        <v>388372225</v>
      </c>
      <c r="I334">
        <v>-601301859</v>
      </c>
      <c r="J334">
        <v>-270696184</v>
      </c>
      <c r="K334">
        <v>-537033983</v>
      </c>
      <c r="L334">
        <v>-585810446</v>
      </c>
      <c r="M334">
        <v>-385376540</v>
      </c>
      <c r="N334">
        <v>-113973030</v>
      </c>
      <c r="O334">
        <v>-400204157</v>
      </c>
      <c r="P334">
        <v>171</v>
      </c>
      <c r="Q334" t="s">
        <v>714</v>
      </c>
    </row>
    <row r="335" spans="1:17" x14ac:dyDescent="0.3">
      <c r="A335" t="s">
        <v>17</v>
      </c>
      <c r="B335" t="str">
        <f>"601969"</f>
        <v>601969</v>
      </c>
      <c r="C335" t="s">
        <v>715</v>
      </c>
      <c r="D335" t="s">
        <v>163</v>
      </c>
      <c r="E335">
        <v>306846650</v>
      </c>
      <c r="F335">
        <v>-108633850</v>
      </c>
      <c r="G335">
        <v>165049540</v>
      </c>
      <c r="H335">
        <v>143482409</v>
      </c>
      <c r="I335">
        <v>106991312</v>
      </c>
      <c r="J335">
        <v>54050627</v>
      </c>
      <c r="K335">
        <v>-237654054</v>
      </c>
      <c r="L335">
        <v>-267864375</v>
      </c>
      <c r="M335">
        <v>129949056</v>
      </c>
      <c r="P335">
        <v>154</v>
      </c>
      <c r="Q335" t="s">
        <v>716</v>
      </c>
    </row>
    <row r="336" spans="1:17" x14ac:dyDescent="0.3">
      <c r="A336" t="s">
        <v>17</v>
      </c>
      <c r="B336" t="str">
        <f>"603605"</f>
        <v>603605</v>
      </c>
      <c r="C336" t="s">
        <v>717</v>
      </c>
      <c r="D336" t="s">
        <v>544</v>
      </c>
      <c r="E336">
        <v>306596538</v>
      </c>
      <c r="F336">
        <v>9243315</v>
      </c>
      <c r="G336">
        <v>-163839236</v>
      </c>
      <c r="H336">
        <v>-93272886</v>
      </c>
      <c r="I336">
        <v>114554920</v>
      </c>
      <c r="J336">
        <v>79631806</v>
      </c>
      <c r="P336">
        <v>1728</v>
      </c>
      <c r="Q336" t="s">
        <v>718</v>
      </c>
    </row>
    <row r="337" spans="1:17" x14ac:dyDescent="0.3">
      <c r="A337" t="s">
        <v>32</v>
      </c>
      <c r="B337" t="str">
        <f>"300418"</f>
        <v>300418</v>
      </c>
      <c r="C337" t="s">
        <v>719</v>
      </c>
      <c r="D337" t="s">
        <v>245</v>
      </c>
      <c r="E337">
        <v>306463674</v>
      </c>
      <c r="F337">
        <v>111839982</v>
      </c>
      <c r="G337">
        <v>378515149</v>
      </c>
      <c r="H337">
        <v>169676789</v>
      </c>
      <c r="I337">
        <v>-159953969</v>
      </c>
      <c r="J337">
        <v>46053826</v>
      </c>
      <c r="K337">
        <v>20056375</v>
      </c>
      <c r="L337">
        <v>-141935134</v>
      </c>
      <c r="M337">
        <v>95087188</v>
      </c>
      <c r="P337">
        <v>17523</v>
      </c>
      <c r="Q337" t="s">
        <v>720</v>
      </c>
    </row>
    <row r="338" spans="1:17" x14ac:dyDescent="0.3">
      <c r="A338" t="s">
        <v>17</v>
      </c>
      <c r="B338" t="str">
        <f>"600121"</f>
        <v>600121</v>
      </c>
      <c r="C338" t="s">
        <v>721</v>
      </c>
      <c r="D338" t="s">
        <v>73</v>
      </c>
      <c r="E338">
        <v>303588739</v>
      </c>
      <c r="F338">
        <v>-153162687</v>
      </c>
      <c r="G338">
        <v>-557379494</v>
      </c>
      <c r="H338">
        <v>25661862</v>
      </c>
      <c r="I338">
        <v>66578426</v>
      </c>
      <c r="J338">
        <v>16085231</v>
      </c>
      <c r="K338">
        <v>-198290669</v>
      </c>
      <c r="L338">
        <v>-441098115</v>
      </c>
      <c r="M338">
        <v>-98681712</v>
      </c>
      <c r="N338">
        <v>-271640797</v>
      </c>
      <c r="O338">
        <v>-300308379</v>
      </c>
      <c r="P338">
        <v>180</v>
      </c>
      <c r="Q338" t="s">
        <v>722</v>
      </c>
    </row>
    <row r="339" spans="1:17" x14ac:dyDescent="0.3">
      <c r="A339" t="s">
        <v>17</v>
      </c>
      <c r="B339" t="str">
        <f>"600269"</f>
        <v>600269</v>
      </c>
      <c r="C339" t="s">
        <v>723</v>
      </c>
      <c r="D339" t="s">
        <v>46</v>
      </c>
      <c r="E339">
        <v>300077745</v>
      </c>
      <c r="F339">
        <v>686751796</v>
      </c>
      <c r="G339">
        <v>-44150057</v>
      </c>
      <c r="H339">
        <v>-112428046</v>
      </c>
      <c r="I339">
        <v>-605408873</v>
      </c>
      <c r="J339">
        <v>270621793</v>
      </c>
      <c r="K339">
        <v>-845828</v>
      </c>
      <c r="L339">
        <v>-313702452</v>
      </c>
      <c r="M339">
        <v>-341120772</v>
      </c>
      <c r="N339">
        <v>-389256481</v>
      </c>
      <c r="O339">
        <v>-244392534</v>
      </c>
      <c r="P339">
        <v>405</v>
      </c>
      <c r="Q339" t="s">
        <v>724</v>
      </c>
    </row>
    <row r="340" spans="1:17" x14ac:dyDescent="0.3">
      <c r="A340" t="s">
        <v>17</v>
      </c>
      <c r="B340" t="str">
        <f>"600569"</f>
        <v>600569</v>
      </c>
      <c r="C340" t="s">
        <v>725</v>
      </c>
      <c r="D340" t="s">
        <v>163</v>
      </c>
      <c r="E340">
        <v>299822121</v>
      </c>
      <c r="F340">
        <v>476896196</v>
      </c>
      <c r="G340">
        <v>392870712</v>
      </c>
      <c r="H340">
        <v>649637907</v>
      </c>
      <c r="I340">
        <v>679616217</v>
      </c>
      <c r="J340">
        <v>1623050687</v>
      </c>
      <c r="K340">
        <v>702420020</v>
      </c>
      <c r="L340">
        <v>729581152</v>
      </c>
      <c r="M340">
        <v>1956079603</v>
      </c>
      <c r="N340">
        <v>786867899</v>
      </c>
      <c r="O340">
        <v>119157012</v>
      </c>
      <c r="P340">
        <v>328</v>
      </c>
      <c r="Q340" t="s">
        <v>726</v>
      </c>
    </row>
    <row r="341" spans="1:17" x14ac:dyDescent="0.3">
      <c r="A341" t="s">
        <v>32</v>
      </c>
      <c r="B341" t="str">
        <f>"002032"</f>
        <v>002032</v>
      </c>
      <c r="C341" t="s">
        <v>727</v>
      </c>
      <c r="D341" t="s">
        <v>127</v>
      </c>
      <c r="E341">
        <v>299591211</v>
      </c>
      <c r="F341">
        <v>492273496</v>
      </c>
      <c r="G341">
        <v>30244037</v>
      </c>
      <c r="H341">
        <v>-257332474</v>
      </c>
      <c r="I341">
        <v>403181481</v>
      </c>
      <c r="J341">
        <v>347936372</v>
      </c>
      <c r="K341">
        <v>96843507</v>
      </c>
      <c r="L341">
        <v>-7366002</v>
      </c>
      <c r="M341">
        <v>186515013</v>
      </c>
      <c r="N341">
        <v>253643069</v>
      </c>
      <c r="O341">
        <v>74401523</v>
      </c>
      <c r="P341">
        <v>52901</v>
      </c>
      <c r="Q341" t="s">
        <v>728</v>
      </c>
    </row>
    <row r="342" spans="1:17" x14ac:dyDescent="0.3">
      <c r="A342" t="s">
        <v>32</v>
      </c>
      <c r="B342" t="str">
        <f>"000869"</f>
        <v>000869</v>
      </c>
      <c r="C342" t="s">
        <v>729</v>
      </c>
      <c r="D342" t="s">
        <v>172</v>
      </c>
      <c r="E342">
        <v>298753895</v>
      </c>
      <c r="F342">
        <v>274042016</v>
      </c>
      <c r="G342">
        <v>-166275234</v>
      </c>
      <c r="H342">
        <v>180418820</v>
      </c>
      <c r="I342">
        <v>396663457</v>
      </c>
      <c r="J342">
        <v>241599110</v>
      </c>
      <c r="K342">
        <v>432894565</v>
      </c>
      <c r="L342">
        <v>439859093</v>
      </c>
      <c r="M342">
        <v>499301164</v>
      </c>
      <c r="N342">
        <v>371985701</v>
      </c>
      <c r="O342">
        <v>349138721</v>
      </c>
      <c r="P342">
        <v>833</v>
      </c>
      <c r="Q342" t="s">
        <v>730</v>
      </c>
    </row>
    <row r="343" spans="1:17" x14ac:dyDescent="0.3">
      <c r="A343" t="s">
        <v>32</v>
      </c>
      <c r="B343" t="str">
        <f>"000612"</f>
        <v>000612</v>
      </c>
      <c r="C343" t="s">
        <v>731</v>
      </c>
      <c r="D343" t="s">
        <v>121</v>
      </c>
      <c r="E343">
        <v>298657627</v>
      </c>
      <c r="F343">
        <v>573464902</v>
      </c>
      <c r="G343">
        <v>274194037</v>
      </c>
      <c r="H343">
        <v>9006679</v>
      </c>
      <c r="I343">
        <v>61588817</v>
      </c>
      <c r="J343">
        <v>-161343066</v>
      </c>
      <c r="K343">
        <v>24044596</v>
      </c>
      <c r="L343">
        <v>-354515292</v>
      </c>
      <c r="M343">
        <v>-104464784</v>
      </c>
      <c r="N343">
        <v>-253058092</v>
      </c>
      <c r="O343">
        <v>-145516181</v>
      </c>
      <c r="P343">
        <v>199</v>
      </c>
      <c r="Q343" t="s">
        <v>732</v>
      </c>
    </row>
    <row r="344" spans="1:17" x14ac:dyDescent="0.3">
      <c r="A344" t="s">
        <v>32</v>
      </c>
      <c r="B344" t="str">
        <f>"000755"</f>
        <v>000755</v>
      </c>
      <c r="C344" t="s">
        <v>733</v>
      </c>
      <c r="D344" t="s">
        <v>46</v>
      </c>
      <c r="E344">
        <v>296981586</v>
      </c>
      <c r="F344">
        <v>111933880</v>
      </c>
      <c r="G344">
        <v>20466695</v>
      </c>
      <c r="H344">
        <v>5837103</v>
      </c>
      <c r="I344">
        <v>-123639909</v>
      </c>
      <c r="J344">
        <v>-85150377</v>
      </c>
      <c r="K344">
        <v>4151502</v>
      </c>
      <c r="L344">
        <v>-80815677</v>
      </c>
      <c r="M344">
        <v>-14888436</v>
      </c>
      <c r="N344">
        <v>-18708118</v>
      </c>
      <c r="O344">
        <v>62591011</v>
      </c>
      <c r="P344">
        <v>96</v>
      </c>
      <c r="Q344" t="s">
        <v>734</v>
      </c>
    </row>
    <row r="345" spans="1:17" x14ac:dyDescent="0.3">
      <c r="A345" t="s">
        <v>17</v>
      </c>
      <c r="B345" t="str">
        <f>"600389"</f>
        <v>600389</v>
      </c>
      <c r="C345" t="s">
        <v>735</v>
      </c>
      <c r="D345" t="s">
        <v>144</v>
      </c>
      <c r="E345">
        <v>296836295</v>
      </c>
      <c r="F345">
        <v>-143547222</v>
      </c>
      <c r="G345">
        <v>-184947092</v>
      </c>
      <c r="H345">
        <v>-271392775</v>
      </c>
      <c r="I345">
        <v>-13941895</v>
      </c>
      <c r="J345">
        <v>-155726518</v>
      </c>
      <c r="K345">
        <v>43658069</v>
      </c>
      <c r="L345">
        <v>-59679191</v>
      </c>
      <c r="M345">
        <v>42504131</v>
      </c>
      <c r="N345">
        <v>207449794</v>
      </c>
      <c r="O345">
        <v>-21651658</v>
      </c>
      <c r="P345">
        <v>428</v>
      </c>
      <c r="Q345" t="s">
        <v>736</v>
      </c>
    </row>
    <row r="346" spans="1:17" x14ac:dyDescent="0.3">
      <c r="A346" t="s">
        <v>32</v>
      </c>
      <c r="B346" t="str">
        <f>"000731"</f>
        <v>000731</v>
      </c>
      <c r="C346" t="s">
        <v>737</v>
      </c>
      <c r="D346" t="s">
        <v>144</v>
      </c>
      <c r="E346">
        <v>294420588</v>
      </c>
      <c r="F346">
        <v>6757529</v>
      </c>
      <c r="G346">
        <v>-104234722</v>
      </c>
      <c r="H346">
        <v>77062832</v>
      </c>
      <c r="I346">
        <v>-46995731</v>
      </c>
      <c r="J346">
        <v>-97728029</v>
      </c>
      <c r="K346">
        <v>-147828136</v>
      </c>
      <c r="L346">
        <v>-121892479</v>
      </c>
      <c r="M346">
        <v>-204638134</v>
      </c>
      <c r="N346">
        <v>-254826543</v>
      </c>
      <c r="O346">
        <v>-56546236</v>
      </c>
      <c r="P346">
        <v>126</v>
      </c>
      <c r="Q346" t="s">
        <v>738</v>
      </c>
    </row>
    <row r="347" spans="1:17" x14ac:dyDescent="0.3">
      <c r="A347" t="s">
        <v>17</v>
      </c>
      <c r="B347" t="str">
        <f>"601799"</f>
        <v>601799</v>
      </c>
      <c r="C347" t="s">
        <v>739</v>
      </c>
      <c r="D347" t="s">
        <v>199</v>
      </c>
      <c r="E347">
        <v>293882952</v>
      </c>
      <c r="F347">
        <v>-9704424</v>
      </c>
      <c r="G347">
        <v>421973300</v>
      </c>
      <c r="H347">
        <v>-39134373</v>
      </c>
      <c r="I347">
        <v>-84145230</v>
      </c>
      <c r="J347">
        <v>101814940</v>
      </c>
      <c r="K347">
        <v>23053491</v>
      </c>
      <c r="L347">
        <v>-91277856</v>
      </c>
      <c r="M347">
        <v>-24402565</v>
      </c>
      <c r="N347">
        <v>24777140</v>
      </c>
      <c r="O347">
        <v>-44081647</v>
      </c>
      <c r="P347">
        <v>1014</v>
      </c>
      <c r="Q347" t="s">
        <v>740</v>
      </c>
    </row>
    <row r="348" spans="1:17" x14ac:dyDescent="0.3">
      <c r="A348" t="s">
        <v>17</v>
      </c>
      <c r="B348" t="str">
        <f>"600017"</f>
        <v>600017</v>
      </c>
      <c r="C348" t="s">
        <v>741</v>
      </c>
      <c r="D348" t="s">
        <v>46</v>
      </c>
      <c r="E348">
        <v>293613695</v>
      </c>
      <c r="F348">
        <v>265924943</v>
      </c>
      <c r="G348">
        <v>-77184977</v>
      </c>
      <c r="H348">
        <v>33760341</v>
      </c>
      <c r="I348">
        <v>171582574</v>
      </c>
      <c r="J348">
        <v>122486141</v>
      </c>
      <c r="K348">
        <v>-236471207</v>
      </c>
      <c r="L348">
        <v>-206401787</v>
      </c>
      <c r="M348">
        <v>-435373804</v>
      </c>
      <c r="N348">
        <v>49719317</v>
      </c>
      <c r="O348">
        <v>105568198</v>
      </c>
      <c r="P348">
        <v>180</v>
      </c>
      <c r="Q348" t="s">
        <v>742</v>
      </c>
    </row>
    <row r="349" spans="1:17" x14ac:dyDescent="0.3">
      <c r="A349" t="s">
        <v>32</v>
      </c>
      <c r="B349" t="str">
        <f>"300770"</f>
        <v>300770</v>
      </c>
      <c r="C349" t="s">
        <v>743</v>
      </c>
      <c r="D349" t="s">
        <v>245</v>
      </c>
      <c r="E349">
        <v>293519729</v>
      </c>
      <c r="F349">
        <v>335456472</v>
      </c>
      <c r="G349">
        <v>257603498</v>
      </c>
      <c r="H349">
        <v>115217029</v>
      </c>
      <c r="I349">
        <v>57782459</v>
      </c>
      <c r="P349">
        <v>634</v>
      </c>
      <c r="Q349" t="s">
        <v>744</v>
      </c>
    </row>
    <row r="350" spans="1:17" x14ac:dyDescent="0.3">
      <c r="A350" t="s">
        <v>32</v>
      </c>
      <c r="B350" t="str">
        <f>"001203"</f>
        <v>001203</v>
      </c>
      <c r="C350" t="s">
        <v>745</v>
      </c>
      <c r="D350" t="s">
        <v>163</v>
      </c>
      <c r="E350">
        <v>291506517</v>
      </c>
      <c r="F350">
        <v>263425376</v>
      </c>
      <c r="G350">
        <v>48039112</v>
      </c>
      <c r="P350">
        <v>80</v>
      </c>
      <c r="Q350" t="s">
        <v>746</v>
      </c>
    </row>
    <row r="351" spans="1:17" x14ac:dyDescent="0.3">
      <c r="A351" t="s">
        <v>32</v>
      </c>
      <c r="B351" t="str">
        <f>"002978"</f>
        <v>002978</v>
      </c>
      <c r="C351" t="s">
        <v>747</v>
      </c>
      <c r="D351" t="s">
        <v>121</v>
      </c>
      <c r="E351">
        <v>290855280</v>
      </c>
      <c r="F351">
        <v>31123827</v>
      </c>
      <c r="G351">
        <v>202180195</v>
      </c>
      <c r="P351">
        <v>229</v>
      </c>
      <c r="Q351" t="s">
        <v>748</v>
      </c>
    </row>
    <row r="352" spans="1:17" x14ac:dyDescent="0.3">
      <c r="A352" t="s">
        <v>17</v>
      </c>
      <c r="B352" t="str">
        <f>"600888"</f>
        <v>600888</v>
      </c>
      <c r="C352" t="s">
        <v>749</v>
      </c>
      <c r="D352" t="s">
        <v>121</v>
      </c>
      <c r="E352">
        <v>289313320</v>
      </c>
      <c r="F352">
        <v>87159113</v>
      </c>
      <c r="G352">
        <v>3151007</v>
      </c>
      <c r="H352">
        <v>-117536763</v>
      </c>
      <c r="I352">
        <v>173222480</v>
      </c>
      <c r="J352">
        <v>-853865193</v>
      </c>
      <c r="K352">
        <v>-586774951</v>
      </c>
      <c r="L352">
        <v>-707026074</v>
      </c>
      <c r="M352">
        <v>-263002178</v>
      </c>
      <c r="N352">
        <v>-281475135</v>
      </c>
      <c r="O352">
        <v>-342182234</v>
      </c>
      <c r="P352">
        <v>183</v>
      </c>
      <c r="Q352" t="s">
        <v>750</v>
      </c>
    </row>
    <row r="353" spans="1:17" x14ac:dyDescent="0.3">
      <c r="A353" t="s">
        <v>32</v>
      </c>
      <c r="B353" t="str">
        <f>"000762"</f>
        <v>000762</v>
      </c>
      <c r="C353" t="s">
        <v>751</v>
      </c>
      <c r="D353" t="s">
        <v>121</v>
      </c>
      <c r="E353">
        <v>287988106</v>
      </c>
      <c r="F353">
        <v>90170008</v>
      </c>
      <c r="G353">
        <v>-1851193</v>
      </c>
      <c r="H353">
        <v>-15023001</v>
      </c>
      <c r="I353">
        <v>-6964146</v>
      </c>
      <c r="J353">
        <v>-114030110</v>
      </c>
      <c r="K353">
        <v>-10201233</v>
      </c>
      <c r="L353">
        <v>34419031</v>
      </c>
      <c r="M353">
        <v>-45660298</v>
      </c>
      <c r="N353">
        <v>-84793847</v>
      </c>
      <c r="O353">
        <v>-47994283</v>
      </c>
      <c r="P353">
        <v>257</v>
      </c>
      <c r="Q353" t="s">
        <v>752</v>
      </c>
    </row>
    <row r="354" spans="1:17" x14ac:dyDescent="0.3">
      <c r="A354" t="s">
        <v>17</v>
      </c>
      <c r="B354" t="str">
        <f>"600420"</f>
        <v>600420</v>
      </c>
      <c r="C354" t="s">
        <v>753</v>
      </c>
      <c r="D354" t="s">
        <v>98</v>
      </c>
      <c r="E354">
        <v>285772074</v>
      </c>
      <c r="F354">
        <v>-93242282</v>
      </c>
      <c r="G354">
        <v>-381345841</v>
      </c>
      <c r="H354">
        <v>-343193184</v>
      </c>
      <c r="I354">
        <v>192350354</v>
      </c>
      <c r="J354">
        <v>-71382234</v>
      </c>
      <c r="K354">
        <v>2645956</v>
      </c>
      <c r="L354">
        <v>-156081994</v>
      </c>
      <c r="M354">
        <v>-143784973</v>
      </c>
      <c r="N354">
        <v>-110385810</v>
      </c>
      <c r="O354">
        <v>-52350739</v>
      </c>
      <c r="P354">
        <v>381</v>
      </c>
      <c r="Q354" t="s">
        <v>754</v>
      </c>
    </row>
    <row r="355" spans="1:17" x14ac:dyDescent="0.3">
      <c r="A355" t="s">
        <v>17</v>
      </c>
      <c r="B355" t="str">
        <f>"600063"</f>
        <v>600063</v>
      </c>
      <c r="C355" t="s">
        <v>755</v>
      </c>
      <c r="D355" t="s">
        <v>144</v>
      </c>
      <c r="E355">
        <v>283700513</v>
      </c>
      <c r="F355">
        <v>-324736760</v>
      </c>
      <c r="G355">
        <v>155627956</v>
      </c>
      <c r="H355">
        <v>165008069</v>
      </c>
      <c r="I355">
        <v>62949563</v>
      </c>
      <c r="J355">
        <v>-310193660</v>
      </c>
      <c r="K355">
        <v>-203026287</v>
      </c>
      <c r="L355">
        <v>43082005</v>
      </c>
      <c r="M355">
        <v>-25014145</v>
      </c>
      <c r="N355">
        <v>-111679151</v>
      </c>
      <c r="O355">
        <v>-85723817</v>
      </c>
      <c r="P355">
        <v>224</v>
      </c>
      <c r="Q355" t="s">
        <v>756</v>
      </c>
    </row>
    <row r="356" spans="1:17" x14ac:dyDescent="0.3">
      <c r="A356" t="s">
        <v>17</v>
      </c>
      <c r="B356" t="str">
        <f>"603787"</f>
        <v>603787</v>
      </c>
      <c r="C356" t="s">
        <v>757</v>
      </c>
      <c r="D356" t="s">
        <v>199</v>
      </c>
      <c r="E356">
        <v>282607147</v>
      </c>
      <c r="F356">
        <v>127129957</v>
      </c>
      <c r="G356">
        <v>-81523948</v>
      </c>
      <c r="H356">
        <v>-168642944</v>
      </c>
      <c r="I356">
        <v>39558273</v>
      </c>
      <c r="J356">
        <v>114370931</v>
      </c>
      <c r="K356">
        <v>-1768462</v>
      </c>
      <c r="P356">
        <v>103</v>
      </c>
      <c r="Q356" t="s">
        <v>758</v>
      </c>
    </row>
    <row r="357" spans="1:17" x14ac:dyDescent="0.3">
      <c r="A357" t="s">
        <v>32</v>
      </c>
      <c r="B357" t="str">
        <f>"000157"</f>
        <v>000157</v>
      </c>
      <c r="C357" t="s">
        <v>759</v>
      </c>
      <c r="D357" t="s">
        <v>135</v>
      </c>
      <c r="E357">
        <v>281303093</v>
      </c>
      <c r="F357">
        <v>2340856264</v>
      </c>
      <c r="G357">
        <v>322130690</v>
      </c>
      <c r="H357">
        <v>1821437501</v>
      </c>
      <c r="I357">
        <v>298161673</v>
      </c>
      <c r="J357">
        <v>-41858133</v>
      </c>
      <c r="K357">
        <v>-1282301620</v>
      </c>
      <c r="L357">
        <v>-3721794327</v>
      </c>
      <c r="M357">
        <v>-5167943174</v>
      </c>
      <c r="N357">
        <v>-3214827001</v>
      </c>
      <c r="O357">
        <v>-1894565430</v>
      </c>
      <c r="P357">
        <v>1682</v>
      </c>
      <c r="Q357" t="s">
        <v>760</v>
      </c>
    </row>
    <row r="358" spans="1:17" x14ac:dyDescent="0.3">
      <c r="A358" t="s">
        <v>32</v>
      </c>
      <c r="B358" t="str">
        <f>"000759"</f>
        <v>000759</v>
      </c>
      <c r="C358" t="s">
        <v>761</v>
      </c>
      <c r="D358" t="s">
        <v>218</v>
      </c>
      <c r="E358">
        <v>280486535</v>
      </c>
      <c r="F358">
        <v>393721244</v>
      </c>
      <c r="G358">
        <v>1373450403</v>
      </c>
      <c r="H358">
        <v>282265513</v>
      </c>
      <c r="I358">
        <v>491377011</v>
      </c>
      <c r="J358">
        <v>275457703</v>
      </c>
      <c r="K358">
        <v>467503009</v>
      </c>
      <c r="L358">
        <v>-34303079</v>
      </c>
      <c r="M358">
        <v>52825600</v>
      </c>
      <c r="N358">
        <v>-8897497</v>
      </c>
      <c r="O358">
        <v>-115998936</v>
      </c>
      <c r="P358">
        <v>153</v>
      </c>
      <c r="Q358" t="s">
        <v>762</v>
      </c>
    </row>
    <row r="359" spans="1:17" x14ac:dyDescent="0.3">
      <c r="A359" t="s">
        <v>17</v>
      </c>
      <c r="B359" t="str">
        <f>"601568"</f>
        <v>601568</v>
      </c>
      <c r="C359" t="s">
        <v>763</v>
      </c>
      <c r="D359" t="s">
        <v>144</v>
      </c>
      <c r="E359">
        <v>276794307</v>
      </c>
      <c r="F359">
        <v>1004966267</v>
      </c>
      <c r="G359">
        <v>382819506</v>
      </c>
      <c r="P359">
        <v>121</v>
      </c>
      <c r="Q359" t="s">
        <v>764</v>
      </c>
    </row>
    <row r="360" spans="1:17" x14ac:dyDescent="0.3">
      <c r="A360" t="s">
        <v>17</v>
      </c>
      <c r="B360" t="str">
        <f>"601921"</f>
        <v>601921</v>
      </c>
      <c r="C360" t="s">
        <v>765</v>
      </c>
      <c r="D360" t="s">
        <v>245</v>
      </c>
      <c r="E360">
        <v>275699565</v>
      </c>
      <c r="F360">
        <v>481642887</v>
      </c>
      <c r="G360">
        <v>38516553</v>
      </c>
      <c r="P360">
        <v>28</v>
      </c>
      <c r="Q360" t="s">
        <v>766</v>
      </c>
    </row>
    <row r="361" spans="1:17" x14ac:dyDescent="0.3">
      <c r="A361" t="s">
        <v>32</v>
      </c>
      <c r="B361" t="str">
        <f>"000543"</f>
        <v>000543</v>
      </c>
      <c r="C361" t="s">
        <v>767</v>
      </c>
      <c r="D361" t="s">
        <v>158</v>
      </c>
      <c r="E361">
        <v>275262095</v>
      </c>
      <c r="F361">
        <v>347295423</v>
      </c>
      <c r="G361">
        <v>749049569</v>
      </c>
      <c r="H361">
        <v>417263988</v>
      </c>
      <c r="I361">
        <v>-146783370</v>
      </c>
      <c r="J361">
        <v>-252598536</v>
      </c>
      <c r="K361">
        <v>651563255</v>
      </c>
      <c r="L361">
        <v>696299772</v>
      </c>
      <c r="M361">
        <v>818906669</v>
      </c>
      <c r="N361">
        <v>398974750</v>
      </c>
      <c r="O361">
        <v>-379659129</v>
      </c>
      <c r="P361">
        <v>322</v>
      </c>
      <c r="Q361" t="s">
        <v>768</v>
      </c>
    </row>
    <row r="362" spans="1:17" x14ac:dyDescent="0.3">
      <c r="A362" t="s">
        <v>32</v>
      </c>
      <c r="B362" t="str">
        <f>"002109"</f>
        <v>002109</v>
      </c>
      <c r="C362" t="s">
        <v>769</v>
      </c>
      <c r="D362" t="s">
        <v>144</v>
      </c>
      <c r="E362">
        <v>272842424</v>
      </c>
      <c r="F362">
        <v>187830134</v>
      </c>
      <c r="G362">
        <v>38943477</v>
      </c>
      <c r="H362">
        <v>127805912</v>
      </c>
      <c r="I362">
        <v>66678229</v>
      </c>
      <c r="J362">
        <v>45749086</v>
      </c>
      <c r="K362">
        <v>18526359</v>
      </c>
      <c r="L362">
        <v>9897310</v>
      </c>
      <c r="M362">
        <v>-70861666</v>
      </c>
      <c r="N362">
        <v>8805609</v>
      </c>
      <c r="O362">
        <v>-7571272</v>
      </c>
      <c r="P362">
        <v>138</v>
      </c>
      <c r="Q362" t="s">
        <v>770</v>
      </c>
    </row>
    <row r="363" spans="1:17" x14ac:dyDescent="0.3">
      <c r="A363" t="s">
        <v>17</v>
      </c>
      <c r="B363" t="str">
        <f>"600758"</f>
        <v>600758</v>
      </c>
      <c r="C363" t="s">
        <v>771</v>
      </c>
      <c r="D363" t="s">
        <v>73</v>
      </c>
      <c r="E363">
        <v>272373993</v>
      </c>
      <c r="F363">
        <v>56703158</v>
      </c>
      <c r="G363">
        <v>-139866074</v>
      </c>
      <c r="H363">
        <v>-203471143</v>
      </c>
      <c r="I363">
        <v>-1947018</v>
      </c>
      <c r="J363">
        <v>-231089025</v>
      </c>
      <c r="K363">
        <v>-539865582</v>
      </c>
      <c r="L363">
        <v>-19810286</v>
      </c>
      <c r="M363">
        <v>-16594691</v>
      </c>
      <c r="N363">
        <v>-54297918</v>
      </c>
      <c r="O363">
        <v>-18403957</v>
      </c>
      <c r="P363">
        <v>126</v>
      </c>
      <c r="Q363" t="s">
        <v>772</v>
      </c>
    </row>
    <row r="364" spans="1:17" x14ac:dyDescent="0.3">
      <c r="A364" t="s">
        <v>17</v>
      </c>
      <c r="B364" t="str">
        <f>"603345"</f>
        <v>603345</v>
      </c>
      <c r="C364" t="s">
        <v>773</v>
      </c>
      <c r="D364" t="s">
        <v>172</v>
      </c>
      <c r="E364">
        <v>271590154</v>
      </c>
      <c r="F364">
        <v>-95227556</v>
      </c>
      <c r="G364">
        <v>-91428445</v>
      </c>
      <c r="H364">
        <v>-13070244</v>
      </c>
      <c r="I364">
        <v>48857799</v>
      </c>
      <c r="J364">
        <v>-64860602</v>
      </c>
      <c r="K364">
        <v>84397708</v>
      </c>
      <c r="P364">
        <v>1174</v>
      </c>
      <c r="Q364" t="s">
        <v>774</v>
      </c>
    </row>
    <row r="365" spans="1:17" x14ac:dyDescent="0.3">
      <c r="A365" t="s">
        <v>17</v>
      </c>
      <c r="B365" t="str">
        <f>"600565"</f>
        <v>600565</v>
      </c>
      <c r="C365" t="s">
        <v>775</v>
      </c>
      <c r="D365" t="s">
        <v>151</v>
      </c>
      <c r="E365">
        <v>269551453</v>
      </c>
      <c r="F365">
        <v>-2121139984</v>
      </c>
      <c r="G365">
        <v>-2596638517</v>
      </c>
      <c r="H365">
        <v>-1686796246</v>
      </c>
      <c r="I365">
        <v>719268145</v>
      </c>
      <c r="J365">
        <v>267868872</v>
      </c>
      <c r="K365">
        <v>425322283</v>
      </c>
      <c r="L365">
        <v>-1367996199</v>
      </c>
      <c r="M365">
        <v>-105611023</v>
      </c>
      <c r="N365">
        <v>28876144</v>
      </c>
      <c r="O365">
        <v>104649704</v>
      </c>
      <c r="P365">
        <v>468</v>
      </c>
      <c r="Q365" t="s">
        <v>776</v>
      </c>
    </row>
    <row r="366" spans="1:17" x14ac:dyDescent="0.3">
      <c r="A366" t="s">
        <v>32</v>
      </c>
      <c r="B366" t="str">
        <f>"000965"</f>
        <v>000965</v>
      </c>
      <c r="C366" t="s">
        <v>777</v>
      </c>
      <c r="D366" t="s">
        <v>151</v>
      </c>
      <c r="E366">
        <v>268996138</v>
      </c>
      <c r="F366">
        <v>-609787045</v>
      </c>
      <c r="G366">
        <v>-162054454</v>
      </c>
      <c r="H366">
        <v>-105961644</v>
      </c>
      <c r="I366">
        <v>-126242688</v>
      </c>
      <c r="J366">
        <v>-1770582642</v>
      </c>
      <c r="K366">
        <v>-93708852</v>
      </c>
      <c r="L366">
        <v>-33744889</v>
      </c>
      <c r="M366">
        <v>-111843932</v>
      </c>
      <c r="N366">
        <v>-231270152</v>
      </c>
      <c r="O366">
        <v>-81678215</v>
      </c>
      <c r="P366">
        <v>116</v>
      </c>
      <c r="Q366" t="s">
        <v>778</v>
      </c>
    </row>
    <row r="367" spans="1:17" x14ac:dyDescent="0.3">
      <c r="A367" t="s">
        <v>32</v>
      </c>
      <c r="B367" t="str">
        <f>"300861"</f>
        <v>300861</v>
      </c>
      <c r="C367" t="s">
        <v>779</v>
      </c>
      <c r="D367" t="s">
        <v>135</v>
      </c>
      <c r="E367">
        <v>265938988</v>
      </c>
      <c r="F367">
        <v>106206517</v>
      </c>
      <c r="G367">
        <v>39613618</v>
      </c>
      <c r="P367">
        <v>147</v>
      </c>
      <c r="Q367" t="s">
        <v>780</v>
      </c>
    </row>
    <row r="368" spans="1:17" x14ac:dyDescent="0.3">
      <c r="A368" t="s">
        <v>32</v>
      </c>
      <c r="B368" t="str">
        <f>"000915"</f>
        <v>000915</v>
      </c>
      <c r="C368" t="s">
        <v>781</v>
      </c>
      <c r="D368" t="s">
        <v>98</v>
      </c>
      <c r="E368">
        <v>265518212</v>
      </c>
      <c r="F368">
        <v>116500755</v>
      </c>
      <c r="G368">
        <v>57771769</v>
      </c>
      <c r="H368">
        <v>-127759753</v>
      </c>
      <c r="I368">
        <v>64936257</v>
      </c>
      <c r="J368">
        <v>-12802249</v>
      </c>
      <c r="K368">
        <v>42736550</v>
      </c>
      <c r="L368">
        <v>-19265999</v>
      </c>
      <c r="M368">
        <v>15915166</v>
      </c>
      <c r="N368">
        <v>27579816</v>
      </c>
      <c r="O368">
        <v>26192944</v>
      </c>
      <c r="P368">
        <v>650</v>
      </c>
      <c r="Q368" t="s">
        <v>782</v>
      </c>
    </row>
    <row r="369" spans="1:17" x14ac:dyDescent="0.3">
      <c r="A369" t="s">
        <v>17</v>
      </c>
      <c r="B369" t="str">
        <f>"600746"</f>
        <v>600746</v>
      </c>
      <c r="C369" t="s">
        <v>783</v>
      </c>
      <c r="D369" t="s">
        <v>144</v>
      </c>
      <c r="E369">
        <v>265266200</v>
      </c>
      <c r="F369">
        <v>377170859</v>
      </c>
      <c r="G369">
        <v>13825720</v>
      </c>
      <c r="H369">
        <v>12347595</v>
      </c>
      <c r="I369">
        <v>23592701</v>
      </c>
      <c r="J369">
        <v>118859196</v>
      </c>
      <c r="K369">
        <v>33022010</v>
      </c>
      <c r="L369">
        <v>10635448</v>
      </c>
      <c r="M369">
        <v>4749466</v>
      </c>
      <c r="N369">
        <v>15137235</v>
      </c>
      <c r="O369">
        <v>-6491620</v>
      </c>
      <c r="P369">
        <v>230</v>
      </c>
      <c r="Q369" t="s">
        <v>784</v>
      </c>
    </row>
    <row r="370" spans="1:17" x14ac:dyDescent="0.3">
      <c r="A370" t="s">
        <v>17</v>
      </c>
      <c r="B370" t="str">
        <f>"603517"</f>
        <v>603517</v>
      </c>
      <c r="C370" t="s">
        <v>785</v>
      </c>
      <c r="D370" t="s">
        <v>172</v>
      </c>
      <c r="E370">
        <v>262031325</v>
      </c>
      <c r="F370">
        <v>220546975</v>
      </c>
      <c r="G370">
        <v>179612362</v>
      </c>
      <c r="H370">
        <v>112091444</v>
      </c>
      <c r="I370">
        <v>-54514993</v>
      </c>
      <c r="J370">
        <v>189247955</v>
      </c>
      <c r="K370">
        <v>117360223</v>
      </c>
      <c r="P370">
        <v>2366</v>
      </c>
      <c r="Q370" t="s">
        <v>786</v>
      </c>
    </row>
    <row r="371" spans="1:17" x14ac:dyDescent="0.3">
      <c r="A371" t="s">
        <v>32</v>
      </c>
      <c r="B371" t="str">
        <f>"000063"</f>
        <v>000063</v>
      </c>
      <c r="C371" t="s">
        <v>787</v>
      </c>
      <c r="D371" t="s">
        <v>57</v>
      </c>
      <c r="E371">
        <v>260261000</v>
      </c>
      <c r="F371">
        <v>767029000</v>
      </c>
      <c r="G371">
        <v>-838663000</v>
      </c>
      <c r="H371">
        <v>101659000</v>
      </c>
      <c r="I371">
        <v>-1167984000</v>
      </c>
      <c r="J371">
        <v>-1509921000</v>
      </c>
      <c r="K371">
        <v>3360675000</v>
      </c>
      <c r="L371">
        <v>-4115002000</v>
      </c>
      <c r="M371">
        <v>-2355324000</v>
      </c>
      <c r="N371">
        <v>-3865142000</v>
      </c>
      <c r="O371">
        <v>-6958819000</v>
      </c>
      <c r="P371">
        <v>3201</v>
      </c>
      <c r="Q371" t="s">
        <v>788</v>
      </c>
    </row>
    <row r="372" spans="1:17" x14ac:dyDescent="0.3">
      <c r="A372" t="s">
        <v>32</v>
      </c>
      <c r="B372" t="str">
        <f>"300088"</f>
        <v>300088</v>
      </c>
      <c r="C372" t="s">
        <v>789</v>
      </c>
      <c r="D372" t="s">
        <v>124</v>
      </c>
      <c r="E372">
        <v>260190907</v>
      </c>
      <c r="F372">
        <v>-195942997</v>
      </c>
      <c r="G372">
        <v>66419354</v>
      </c>
      <c r="H372">
        <v>204564578</v>
      </c>
      <c r="I372">
        <v>8844844</v>
      </c>
      <c r="J372">
        <v>2332154</v>
      </c>
      <c r="K372">
        <v>-28597037</v>
      </c>
      <c r="L372">
        <v>-30785187</v>
      </c>
      <c r="M372">
        <v>-49954802</v>
      </c>
      <c r="N372">
        <v>-41248809</v>
      </c>
      <c r="O372">
        <v>-36353674</v>
      </c>
      <c r="P372">
        <v>950</v>
      </c>
      <c r="Q372" t="s">
        <v>790</v>
      </c>
    </row>
    <row r="373" spans="1:17" x14ac:dyDescent="0.3">
      <c r="A373" t="s">
        <v>32</v>
      </c>
      <c r="B373" t="str">
        <f>"300783"</f>
        <v>300783</v>
      </c>
      <c r="C373" t="s">
        <v>791</v>
      </c>
      <c r="D373" t="s">
        <v>172</v>
      </c>
      <c r="E373">
        <v>259308560</v>
      </c>
      <c r="F373">
        <v>358810871</v>
      </c>
      <c r="G373">
        <v>1011511137</v>
      </c>
      <c r="H373">
        <v>240274056</v>
      </c>
      <c r="I373">
        <v>295284358</v>
      </c>
      <c r="P373">
        <v>731</v>
      </c>
      <c r="Q373" t="s">
        <v>792</v>
      </c>
    </row>
    <row r="374" spans="1:17" x14ac:dyDescent="0.3">
      <c r="A374" t="s">
        <v>32</v>
      </c>
      <c r="B374" t="str">
        <f>"002950"</f>
        <v>002950</v>
      </c>
      <c r="C374" t="s">
        <v>793</v>
      </c>
      <c r="D374" t="s">
        <v>98</v>
      </c>
      <c r="E374">
        <v>259296354</v>
      </c>
      <c r="F374">
        <v>-175197351</v>
      </c>
      <c r="G374">
        <v>319590153</v>
      </c>
      <c r="H374">
        <v>-152632424</v>
      </c>
      <c r="I374">
        <v>-94093010</v>
      </c>
      <c r="P374">
        <v>1080</v>
      </c>
      <c r="Q374" t="s">
        <v>794</v>
      </c>
    </row>
    <row r="375" spans="1:17" x14ac:dyDescent="0.3">
      <c r="A375" t="s">
        <v>32</v>
      </c>
      <c r="B375" t="str">
        <f>"000912"</f>
        <v>000912</v>
      </c>
      <c r="C375" t="s">
        <v>795</v>
      </c>
      <c r="D375" t="s">
        <v>144</v>
      </c>
      <c r="E375">
        <v>258898264</v>
      </c>
      <c r="F375">
        <v>67429793</v>
      </c>
      <c r="G375">
        <v>108808772</v>
      </c>
      <c r="H375">
        <v>-117652550</v>
      </c>
      <c r="I375">
        <v>1908003</v>
      </c>
      <c r="J375">
        <v>-55959086</v>
      </c>
      <c r="K375">
        <v>48861589</v>
      </c>
      <c r="L375">
        <v>147644087</v>
      </c>
      <c r="M375">
        <v>-286131667</v>
      </c>
      <c r="N375">
        <v>-400269596</v>
      </c>
      <c r="O375">
        <v>-408635986</v>
      </c>
      <c r="P375">
        <v>110</v>
      </c>
      <c r="Q375" t="s">
        <v>796</v>
      </c>
    </row>
    <row r="376" spans="1:17" x14ac:dyDescent="0.3">
      <c r="A376" t="s">
        <v>17</v>
      </c>
      <c r="B376" t="str">
        <f>"600368"</f>
        <v>600368</v>
      </c>
      <c r="C376" t="s">
        <v>797</v>
      </c>
      <c r="D376" t="s">
        <v>46</v>
      </c>
      <c r="E376">
        <v>257772945</v>
      </c>
      <c r="F376">
        <v>281721061</v>
      </c>
      <c r="G376">
        <v>44474711</v>
      </c>
      <c r="H376">
        <v>169993217</v>
      </c>
      <c r="I376">
        <v>275079470</v>
      </c>
      <c r="J376">
        <v>389600875</v>
      </c>
      <c r="K376">
        <v>184420644</v>
      </c>
      <c r="L376">
        <v>341294474</v>
      </c>
      <c r="M376">
        <v>238432035</v>
      </c>
      <c r="N376">
        <v>-276083469</v>
      </c>
      <c r="O376">
        <v>-266206821</v>
      </c>
      <c r="P376">
        <v>302</v>
      </c>
      <c r="Q376" t="s">
        <v>798</v>
      </c>
    </row>
    <row r="377" spans="1:17" x14ac:dyDescent="0.3">
      <c r="A377" t="s">
        <v>17</v>
      </c>
      <c r="B377" t="str">
        <f>"603031"</f>
        <v>603031</v>
      </c>
      <c r="C377" t="s">
        <v>799</v>
      </c>
      <c r="D377" t="s">
        <v>218</v>
      </c>
      <c r="E377">
        <v>257730840</v>
      </c>
      <c r="F377">
        <v>-3268146</v>
      </c>
      <c r="G377">
        <v>-13388870</v>
      </c>
      <c r="H377">
        <v>-34779183</v>
      </c>
      <c r="I377">
        <v>-23116049</v>
      </c>
      <c r="J377">
        <v>17436353</v>
      </c>
      <c r="K377">
        <v>37332055</v>
      </c>
      <c r="P377">
        <v>70</v>
      </c>
      <c r="Q377" t="s">
        <v>800</v>
      </c>
    </row>
    <row r="378" spans="1:17" x14ac:dyDescent="0.3">
      <c r="A378" t="s">
        <v>32</v>
      </c>
      <c r="B378" t="str">
        <f>"002600"</f>
        <v>002600</v>
      </c>
      <c r="C378" t="s">
        <v>801</v>
      </c>
      <c r="D378" t="s">
        <v>124</v>
      </c>
      <c r="E378">
        <v>254600353</v>
      </c>
      <c r="F378">
        <v>-537367914</v>
      </c>
      <c r="G378">
        <v>514261974</v>
      </c>
      <c r="H378">
        <v>1108821855</v>
      </c>
      <c r="I378">
        <v>955520564</v>
      </c>
      <c r="J378">
        <v>-722801611</v>
      </c>
      <c r="K378">
        <v>-228862987</v>
      </c>
      <c r="L378">
        <v>23053916</v>
      </c>
      <c r="M378">
        <v>-23054127</v>
      </c>
      <c r="N378">
        <v>-38710750</v>
      </c>
      <c r="O378">
        <v>-84475966</v>
      </c>
      <c r="P378">
        <v>877</v>
      </c>
      <c r="Q378" t="s">
        <v>802</v>
      </c>
    </row>
    <row r="379" spans="1:17" x14ac:dyDescent="0.3">
      <c r="A379" t="s">
        <v>17</v>
      </c>
      <c r="B379" t="str">
        <f>"603919"</f>
        <v>603919</v>
      </c>
      <c r="C379" t="s">
        <v>803</v>
      </c>
      <c r="D379" t="s">
        <v>172</v>
      </c>
      <c r="E379">
        <v>254407131</v>
      </c>
      <c r="F379">
        <v>-54043578</v>
      </c>
      <c r="G379">
        <v>-109296797</v>
      </c>
      <c r="H379">
        <v>121769661</v>
      </c>
      <c r="I379">
        <v>36896250</v>
      </c>
      <c r="J379">
        <v>-69911428</v>
      </c>
      <c r="K379">
        <v>18484534</v>
      </c>
      <c r="L379">
        <v>-15201697</v>
      </c>
      <c r="P379">
        <v>447</v>
      </c>
      <c r="Q379" t="s">
        <v>804</v>
      </c>
    </row>
    <row r="380" spans="1:17" x14ac:dyDescent="0.3">
      <c r="A380" t="s">
        <v>32</v>
      </c>
      <c r="B380" t="str">
        <f>"000552"</f>
        <v>000552</v>
      </c>
      <c r="C380" t="s">
        <v>805</v>
      </c>
      <c r="D380" t="s">
        <v>73</v>
      </c>
      <c r="E380">
        <v>254399742</v>
      </c>
      <c r="F380">
        <v>-125032475</v>
      </c>
      <c r="G380">
        <v>189088150</v>
      </c>
      <c r="H380">
        <v>-49742378</v>
      </c>
      <c r="I380">
        <v>143976768</v>
      </c>
      <c r="J380">
        <v>75180761</v>
      </c>
      <c r="K380">
        <v>-197911753</v>
      </c>
      <c r="L380">
        <v>-503053505</v>
      </c>
      <c r="M380">
        <v>-284409475</v>
      </c>
      <c r="N380">
        <v>34770585</v>
      </c>
      <c r="O380">
        <v>125146011</v>
      </c>
      <c r="P380">
        <v>265</v>
      </c>
      <c r="Q380" t="s">
        <v>806</v>
      </c>
    </row>
    <row r="381" spans="1:17" x14ac:dyDescent="0.3">
      <c r="A381" t="s">
        <v>32</v>
      </c>
      <c r="B381" t="str">
        <f>"002491"</f>
        <v>002491</v>
      </c>
      <c r="C381" t="s">
        <v>807</v>
      </c>
      <c r="D381" t="s">
        <v>57</v>
      </c>
      <c r="E381">
        <v>252247833</v>
      </c>
      <c r="F381">
        <v>-108332255</v>
      </c>
      <c r="G381">
        <v>-168100003</v>
      </c>
      <c r="H381">
        <v>-209784149</v>
      </c>
      <c r="I381">
        <v>-623706138</v>
      </c>
      <c r="J381">
        <v>-371032248</v>
      </c>
      <c r="K381">
        <v>-78172471</v>
      </c>
      <c r="L381">
        <v>-272648542</v>
      </c>
      <c r="M381">
        <v>-236408668</v>
      </c>
      <c r="N381">
        <v>-348611817</v>
      </c>
      <c r="O381">
        <v>-401593026</v>
      </c>
      <c r="P381">
        <v>214</v>
      </c>
      <c r="Q381" t="s">
        <v>808</v>
      </c>
    </row>
    <row r="382" spans="1:17" x14ac:dyDescent="0.3">
      <c r="A382" t="s">
        <v>17</v>
      </c>
      <c r="B382" t="str">
        <f>"600595"</f>
        <v>600595</v>
      </c>
      <c r="C382" t="s">
        <v>809</v>
      </c>
      <c r="D382" t="s">
        <v>121</v>
      </c>
      <c r="E382">
        <v>252073008</v>
      </c>
      <c r="F382">
        <v>80366942</v>
      </c>
      <c r="G382">
        <v>-209454273</v>
      </c>
      <c r="H382">
        <v>27490315</v>
      </c>
      <c r="I382">
        <v>5969813</v>
      </c>
      <c r="J382">
        <v>152894619</v>
      </c>
      <c r="K382">
        <v>947777588</v>
      </c>
      <c r="L382">
        <v>95019473</v>
      </c>
      <c r="M382">
        <v>224118782</v>
      </c>
      <c r="N382">
        <v>620324952</v>
      </c>
      <c r="O382">
        <v>2780836</v>
      </c>
      <c r="P382">
        <v>68</v>
      </c>
      <c r="Q382" t="s">
        <v>810</v>
      </c>
    </row>
    <row r="383" spans="1:17" x14ac:dyDescent="0.3">
      <c r="A383" t="s">
        <v>32</v>
      </c>
      <c r="B383" t="str">
        <f>"000960"</f>
        <v>000960</v>
      </c>
      <c r="C383" t="s">
        <v>811</v>
      </c>
      <c r="D383" t="s">
        <v>121</v>
      </c>
      <c r="E383">
        <v>251674428</v>
      </c>
      <c r="F383">
        <v>-703694320</v>
      </c>
      <c r="G383">
        <v>-575018735</v>
      </c>
      <c r="H383">
        <v>-172361079</v>
      </c>
      <c r="I383">
        <v>-834656205</v>
      </c>
      <c r="J383">
        <v>-356030786</v>
      </c>
      <c r="K383">
        <v>141869586</v>
      </c>
      <c r="L383">
        <v>10607401</v>
      </c>
      <c r="M383">
        <v>245346497</v>
      </c>
      <c r="N383">
        <v>-1129003431</v>
      </c>
      <c r="O383">
        <v>-82554851</v>
      </c>
      <c r="P383">
        <v>356</v>
      </c>
      <c r="Q383" t="s">
        <v>812</v>
      </c>
    </row>
    <row r="384" spans="1:17" x14ac:dyDescent="0.3">
      <c r="A384" t="s">
        <v>32</v>
      </c>
      <c r="B384" t="str">
        <f>"000707"</f>
        <v>000707</v>
      </c>
      <c r="C384" t="s">
        <v>813</v>
      </c>
      <c r="D384" t="s">
        <v>144</v>
      </c>
      <c r="E384">
        <v>251390138</v>
      </c>
      <c r="F384">
        <v>25953696</v>
      </c>
      <c r="G384">
        <v>-124296424</v>
      </c>
      <c r="H384">
        <v>-32182146</v>
      </c>
      <c r="I384">
        <v>-124140945</v>
      </c>
      <c r="J384">
        <v>39062826</v>
      </c>
      <c r="K384">
        <v>-46164897</v>
      </c>
      <c r="L384">
        <v>29325805</v>
      </c>
      <c r="M384">
        <v>-79893544</v>
      </c>
      <c r="N384">
        <v>-428194395</v>
      </c>
      <c r="O384">
        <v>172146879</v>
      </c>
      <c r="P384">
        <v>83</v>
      </c>
      <c r="Q384" t="s">
        <v>814</v>
      </c>
    </row>
    <row r="385" spans="1:17" x14ac:dyDescent="0.3">
      <c r="A385" t="s">
        <v>17</v>
      </c>
      <c r="B385" t="str">
        <f>"600808"</f>
        <v>600808</v>
      </c>
      <c r="C385" t="s">
        <v>815</v>
      </c>
      <c r="D385" t="s">
        <v>163</v>
      </c>
      <c r="E385">
        <v>249534366</v>
      </c>
      <c r="F385">
        <v>768391214</v>
      </c>
      <c r="G385">
        <v>-4238607338</v>
      </c>
      <c r="H385">
        <v>-2940099115</v>
      </c>
      <c r="I385">
        <v>432060746</v>
      </c>
      <c r="J385">
        <v>1318020161</v>
      </c>
      <c r="K385">
        <v>1881628357</v>
      </c>
      <c r="L385">
        <v>1722682001</v>
      </c>
      <c r="M385">
        <v>-1299881559</v>
      </c>
      <c r="N385">
        <v>-514359045</v>
      </c>
      <c r="O385">
        <v>-397421100</v>
      </c>
      <c r="P385">
        <v>636</v>
      </c>
      <c r="Q385" t="s">
        <v>816</v>
      </c>
    </row>
    <row r="386" spans="1:17" x14ac:dyDescent="0.3">
      <c r="A386" t="s">
        <v>17</v>
      </c>
      <c r="B386" t="str">
        <f>"600858"</f>
        <v>600858</v>
      </c>
      <c r="C386" t="s">
        <v>817</v>
      </c>
      <c r="D386" t="s">
        <v>218</v>
      </c>
      <c r="E386">
        <v>249009548</v>
      </c>
      <c r="F386">
        <v>829116752</v>
      </c>
      <c r="G386">
        <v>191519793</v>
      </c>
      <c r="H386">
        <v>854869179</v>
      </c>
      <c r="I386">
        <v>279729763</v>
      </c>
      <c r="J386">
        <v>91171514</v>
      </c>
      <c r="K386">
        <v>-19007509</v>
      </c>
      <c r="L386">
        <v>-595580634</v>
      </c>
      <c r="M386">
        <v>301809399</v>
      </c>
      <c r="N386">
        <v>-127412365</v>
      </c>
      <c r="O386">
        <v>-272912410</v>
      </c>
      <c r="P386">
        <v>91</v>
      </c>
      <c r="Q386" t="s">
        <v>818</v>
      </c>
    </row>
    <row r="387" spans="1:17" x14ac:dyDescent="0.3">
      <c r="A387" t="s">
        <v>32</v>
      </c>
      <c r="B387" t="str">
        <f>"002320"</f>
        <v>002320</v>
      </c>
      <c r="C387" t="s">
        <v>819</v>
      </c>
      <c r="D387" t="s">
        <v>46</v>
      </c>
      <c r="E387">
        <v>247344440</v>
      </c>
      <c r="F387">
        <v>44010739</v>
      </c>
      <c r="G387">
        <v>76541933</v>
      </c>
      <c r="H387">
        <v>178798446</v>
      </c>
      <c r="I387">
        <v>44504140</v>
      </c>
      <c r="J387">
        <v>168147941</v>
      </c>
      <c r="K387">
        <v>59168638</v>
      </c>
      <c r="L387">
        <v>-20733600</v>
      </c>
      <c r="M387">
        <v>-134618539</v>
      </c>
      <c r="N387">
        <v>-241659298</v>
      </c>
      <c r="O387">
        <v>6347044</v>
      </c>
      <c r="P387">
        <v>174</v>
      </c>
      <c r="Q387" t="s">
        <v>820</v>
      </c>
    </row>
    <row r="388" spans="1:17" x14ac:dyDescent="0.3">
      <c r="A388" t="s">
        <v>32</v>
      </c>
      <c r="B388" t="str">
        <f>"002682"</f>
        <v>002682</v>
      </c>
      <c r="C388" t="s">
        <v>821</v>
      </c>
      <c r="D388" t="s">
        <v>46</v>
      </c>
      <c r="E388">
        <v>246483235</v>
      </c>
      <c r="F388">
        <v>-10139313</v>
      </c>
      <c r="G388">
        <v>-253931610</v>
      </c>
      <c r="H388">
        <v>-335455485</v>
      </c>
      <c r="I388">
        <v>-52514765</v>
      </c>
      <c r="J388">
        <v>-16880220</v>
      </c>
      <c r="K388">
        <v>-123026037</v>
      </c>
      <c r="L388">
        <v>-30727423</v>
      </c>
      <c r="M388">
        <v>115737993</v>
      </c>
      <c r="N388">
        <v>-131048409</v>
      </c>
      <c r="O388">
        <v>5841321</v>
      </c>
      <c r="P388">
        <v>80</v>
      </c>
      <c r="Q388" t="s">
        <v>822</v>
      </c>
    </row>
    <row r="389" spans="1:17" x14ac:dyDescent="0.3">
      <c r="A389" t="s">
        <v>32</v>
      </c>
      <c r="B389" t="str">
        <f>"002756"</f>
        <v>002756</v>
      </c>
      <c r="C389" t="s">
        <v>823</v>
      </c>
      <c r="D389" t="s">
        <v>163</v>
      </c>
      <c r="E389">
        <v>245698606</v>
      </c>
      <c r="F389">
        <v>-233506074</v>
      </c>
      <c r="G389">
        <v>-6013273</v>
      </c>
      <c r="H389">
        <v>-30253796</v>
      </c>
      <c r="I389">
        <v>-151292187</v>
      </c>
      <c r="J389">
        <v>-42126516</v>
      </c>
      <c r="K389">
        <v>70998546</v>
      </c>
      <c r="L389">
        <v>96674312</v>
      </c>
      <c r="M389">
        <v>-285675294</v>
      </c>
      <c r="P389">
        <v>307</v>
      </c>
      <c r="Q389" t="s">
        <v>824</v>
      </c>
    </row>
    <row r="390" spans="1:17" x14ac:dyDescent="0.3">
      <c r="A390" t="s">
        <v>17</v>
      </c>
      <c r="B390" t="str">
        <f>"600035"</f>
        <v>600035</v>
      </c>
      <c r="C390" t="s">
        <v>825</v>
      </c>
      <c r="D390" t="s">
        <v>46</v>
      </c>
      <c r="E390">
        <v>243344409</v>
      </c>
      <c r="F390">
        <v>266458936</v>
      </c>
      <c r="G390">
        <v>75548528</v>
      </c>
      <c r="H390">
        <v>182612433</v>
      </c>
      <c r="I390">
        <v>80114375</v>
      </c>
      <c r="J390">
        <v>111028928</v>
      </c>
      <c r="K390">
        <v>150322853</v>
      </c>
      <c r="L390">
        <v>21126308</v>
      </c>
      <c r="M390">
        <v>-259645832</v>
      </c>
      <c r="N390">
        <v>-283520991</v>
      </c>
      <c r="O390">
        <v>-236018588</v>
      </c>
      <c r="P390">
        <v>290</v>
      </c>
      <c r="Q390" t="s">
        <v>826</v>
      </c>
    </row>
    <row r="391" spans="1:17" x14ac:dyDescent="0.3">
      <c r="A391" t="s">
        <v>32</v>
      </c>
      <c r="B391" t="str">
        <f>"000061"</f>
        <v>000061</v>
      </c>
      <c r="C391" t="s">
        <v>827</v>
      </c>
      <c r="D391" t="s">
        <v>218</v>
      </c>
      <c r="E391">
        <v>241792027</v>
      </c>
      <c r="F391">
        <v>-153241854</v>
      </c>
      <c r="G391">
        <v>-339047035</v>
      </c>
      <c r="H391">
        <v>22901297</v>
      </c>
      <c r="I391">
        <v>-72472614</v>
      </c>
      <c r="J391">
        <v>-57297156</v>
      </c>
      <c r="K391">
        <v>-279685219</v>
      </c>
      <c r="L391">
        <v>-310433848</v>
      </c>
      <c r="M391">
        <v>-91802825</v>
      </c>
      <c r="N391">
        <v>-282663253</v>
      </c>
      <c r="O391">
        <v>-273338841</v>
      </c>
      <c r="P391">
        <v>209</v>
      </c>
      <c r="Q391" t="s">
        <v>828</v>
      </c>
    </row>
    <row r="392" spans="1:17" x14ac:dyDescent="0.3">
      <c r="A392" t="s">
        <v>32</v>
      </c>
      <c r="B392" t="str">
        <f>"200488"</f>
        <v>200488</v>
      </c>
      <c r="C392" t="s">
        <v>829</v>
      </c>
      <c r="E392">
        <v>241772960.41600001</v>
      </c>
      <c r="F392">
        <v>3916439337.8759999</v>
      </c>
      <c r="G392">
        <v>734021843.38440001</v>
      </c>
      <c r="H392">
        <v>1459045579.941</v>
      </c>
      <c r="I392">
        <v>844997332.53750002</v>
      </c>
      <c r="J392">
        <v>-2464618014.0630002</v>
      </c>
      <c r="K392">
        <v>-5419262094.0450001</v>
      </c>
      <c r="L392">
        <v>-1734510910</v>
      </c>
      <c r="M392">
        <v>177206941.9064</v>
      </c>
      <c r="N392">
        <v>56067440.273999996</v>
      </c>
      <c r="O392">
        <v>-745679651.74199998</v>
      </c>
      <c r="P392">
        <v>268</v>
      </c>
      <c r="Q392" t="s">
        <v>830</v>
      </c>
    </row>
    <row r="393" spans="1:17" x14ac:dyDescent="0.3">
      <c r="A393" t="s">
        <v>32</v>
      </c>
      <c r="B393" t="str">
        <f>"300347"</f>
        <v>300347</v>
      </c>
      <c r="C393" t="s">
        <v>831</v>
      </c>
      <c r="D393" t="s">
        <v>98</v>
      </c>
      <c r="E393">
        <v>240565708</v>
      </c>
      <c r="F393">
        <v>106601241</v>
      </c>
      <c r="G393">
        <v>53307321</v>
      </c>
      <c r="H393">
        <v>30224769</v>
      </c>
      <c r="I393">
        <v>71217119</v>
      </c>
      <c r="J393">
        <v>82980142</v>
      </c>
      <c r="K393">
        <v>-27573654</v>
      </c>
      <c r="L393">
        <v>10014917</v>
      </c>
      <c r="M393">
        <v>-24208060</v>
      </c>
      <c r="N393">
        <v>-16707562</v>
      </c>
      <c r="O393">
        <v>-10465964</v>
      </c>
      <c r="P393">
        <v>3110</v>
      </c>
      <c r="Q393" t="s">
        <v>832</v>
      </c>
    </row>
    <row r="394" spans="1:17" x14ac:dyDescent="0.3">
      <c r="A394" t="s">
        <v>17</v>
      </c>
      <c r="B394" t="str">
        <f>"603456"</f>
        <v>603456</v>
      </c>
      <c r="C394" t="s">
        <v>833</v>
      </c>
      <c r="D394" t="s">
        <v>98</v>
      </c>
      <c r="E394">
        <v>239126272</v>
      </c>
      <c r="F394">
        <v>-110769130</v>
      </c>
      <c r="G394">
        <v>32374414</v>
      </c>
      <c r="H394">
        <v>60669211</v>
      </c>
      <c r="I394">
        <v>-19446584</v>
      </c>
      <c r="J394">
        <v>-6245426</v>
      </c>
      <c r="K394">
        <v>63119353</v>
      </c>
      <c r="L394">
        <v>124951911</v>
      </c>
      <c r="M394">
        <v>-61190246</v>
      </c>
      <c r="P394">
        <v>454</v>
      </c>
      <c r="Q394" t="s">
        <v>834</v>
      </c>
    </row>
    <row r="395" spans="1:17" x14ac:dyDescent="0.3">
      <c r="A395" t="s">
        <v>17</v>
      </c>
      <c r="B395" t="str">
        <f>"603698"</f>
        <v>603698</v>
      </c>
      <c r="C395" t="s">
        <v>835</v>
      </c>
      <c r="D395" t="s">
        <v>135</v>
      </c>
      <c r="E395">
        <v>238801995</v>
      </c>
      <c r="F395">
        <v>225823045</v>
      </c>
      <c r="G395">
        <v>219248844</v>
      </c>
      <c r="H395">
        <v>61779093</v>
      </c>
      <c r="I395">
        <v>-104036083</v>
      </c>
      <c r="J395">
        <v>31774566</v>
      </c>
      <c r="K395">
        <v>-156374098</v>
      </c>
      <c r="L395">
        <v>-74471570</v>
      </c>
      <c r="M395">
        <v>-52122523</v>
      </c>
      <c r="P395">
        <v>108</v>
      </c>
      <c r="Q395" t="s">
        <v>836</v>
      </c>
    </row>
    <row r="396" spans="1:17" x14ac:dyDescent="0.3">
      <c r="A396" t="s">
        <v>17</v>
      </c>
      <c r="B396" t="str">
        <f>"600682"</f>
        <v>600682</v>
      </c>
      <c r="C396" t="s">
        <v>837</v>
      </c>
      <c r="D396" t="s">
        <v>98</v>
      </c>
      <c r="E396">
        <v>238653124</v>
      </c>
      <c r="F396">
        <v>249512918</v>
      </c>
      <c r="G396">
        <v>90038347</v>
      </c>
      <c r="H396">
        <v>-748996170</v>
      </c>
      <c r="I396">
        <v>-1236414321</v>
      </c>
      <c r="J396">
        <v>-1242343366</v>
      </c>
      <c r="K396">
        <v>-1407574629</v>
      </c>
      <c r="L396">
        <v>-1018851416</v>
      </c>
      <c r="M396">
        <v>-39463276</v>
      </c>
      <c r="N396">
        <v>-16365675</v>
      </c>
      <c r="O396">
        <v>-71036532</v>
      </c>
      <c r="P396">
        <v>237</v>
      </c>
      <c r="Q396" t="s">
        <v>838</v>
      </c>
    </row>
    <row r="397" spans="1:17" x14ac:dyDescent="0.3">
      <c r="A397" t="s">
        <v>17</v>
      </c>
      <c r="B397" t="str">
        <f>"600361"</f>
        <v>600361</v>
      </c>
      <c r="C397" t="s">
        <v>839</v>
      </c>
      <c r="D397" t="s">
        <v>218</v>
      </c>
      <c r="E397">
        <v>237637227</v>
      </c>
      <c r="F397">
        <v>-295387077</v>
      </c>
      <c r="G397">
        <v>581955377</v>
      </c>
      <c r="H397">
        <v>307970554</v>
      </c>
      <c r="I397">
        <v>-46830084</v>
      </c>
      <c r="J397">
        <v>196474895</v>
      </c>
      <c r="K397">
        <v>-85707014</v>
      </c>
      <c r="L397">
        <v>761323577</v>
      </c>
      <c r="M397">
        <v>75979415</v>
      </c>
      <c r="N397">
        <v>100440127</v>
      </c>
      <c r="O397">
        <v>19879211</v>
      </c>
      <c r="P397">
        <v>134</v>
      </c>
      <c r="Q397" t="s">
        <v>840</v>
      </c>
    </row>
    <row r="398" spans="1:17" x14ac:dyDescent="0.3">
      <c r="A398" t="s">
        <v>17</v>
      </c>
      <c r="B398" t="str">
        <f>"600531"</f>
        <v>600531</v>
      </c>
      <c r="C398" t="s">
        <v>841</v>
      </c>
      <c r="D398" t="s">
        <v>121</v>
      </c>
      <c r="E398">
        <v>237460797</v>
      </c>
      <c r="F398">
        <v>-911052058</v>
      </c>
      <c r="G398">
        <v>-148587925</v>
      </c>
      <c r="H398">
        <v>-35564264</v>
      </c>
      <c r="I398">
        <v>-32909627</v>
      </c>
      <c r="J398">
        <v>-599890987</v>
      </c>
      <c r="K398">
        <v>335018040</v>
      </c>
      <c r="L398">
        <v>477157535</v>
      </c>
      <c r="M398">
        <v>-636041172</v>
      </c>
      <c r="N398">
        <v>36124610</v>
      </c>
      <c r="O398">
        <v>603725537</v>
      </c>
      <c r="P398">
        <v>148</v>
      </c>
      <c r="Q398" t="s">
        <v>842</v>
      </c>
    </row>
    <row r="399" spans="1:17" x14ac:dyDescent="0.3">
      <c r="A399" t="s">
        <v>32</v>
      </c>
      <c r="B399" t="str">
        <f>"000732"</f>
        <v>000732</v>
      </c>
      <c r="C399" t="s">
        <v>843</v>
      </c>
      <c r="D399" t="s">
        <v>151</v>
      </c>
      <c r="E399">
        <v>237111988</v>
      </c>
      <c r="F399">
        <v>-622894734</v>
      </c>
      <c r="G399">
        <v>-2947534968</v>
      </c>
      <c r="H399">
        <v>11912031004</v>
      </c>
      <c r="I399">
        <v>-4679533037</v>
      </c>
      <c r="J399">
        <v>-5938357716</v>
      </c>
      <c r="K399">
        <v>-1513239543</v>
      </c>
      <c r="L399">
        <v>1454791322</v>
      </c>
      <c r="M399">
        <v>-9287632007</v>
      </c>
      <c r="N399">
        <v>-1415536116</v>
      </c>
      <c r="O399">
        <v>-166141894</v>
      </c>
      <c r="P399">
        <v>438</v>
      </c>
      <c r="Q399" t="s">
        <v>844</v>
      </c>
    </row>
    <row r="400" spans="1:17" x14ac:dyDescent="0.3">
      <c r="A400" t="s">
        <v>17</v>
      </c>
      <c r="B400" t="str">
        <f>"600869"</f>
        <v>600869</v>
      </c>
      <c r="C400" t="s">
        <v>845</v>
      </c>
      <c r="D400" t="s">
        <v>464</v>
      </c>
      <c r="E400">
        <v>235795166</v>
      </c>
      <c r="F400">
        <v>163760116</v>
      </c>
      <c r="G400">
        <v>22672505</v>
      </c>
      <c r="H400">
        <v>682249521</v>
      </c>
      <c r="I400">
        <v>-875772161</v>
      </c>
      <c r="J400">
        <v>-608363588</v>
      </c>
      <c r="K400">
        <v>-140278000</v>
      </c>
      <c r="L400">
        <v>118463017</v>
      </c>
      <c r="M400">
        <v>371684014</v>
      </c>
      <c r="N400">
        <v>-98348146</v>
      </c>
      <c r="O400">
        <v>-26171593</v>
      </c>
      <c r="P400">
        <v>207</v>
      </c>
      <c r="Q400" t="s">
        <v>846</v>
      </c>
    </row>
    <row r="401" spans="1:17" x14ac:dyDescent="0.3">
      <c r="A401" t="s">
        <v>32</v>
      </c>
      <c r="B401" t="str">
        <f>"300661"</f>
        <v>300661</v>
      </c>
      <c r="C401" t="s">
        <v>847</v>
      </c>
      <c r="D401" t="s">
        <v>124</v>
      </c>
      <c r="E401">
        <v>235354341</v>
      </c>
      <c r="F401">
        <v>34131816</v>
      </c>
      <c r="G401">
        <v>-35857170</v>
      </c>
      <c r="H401">
        <v>5184061</v>
      </c>
      <c r="I401">
        <v>-15315982</v>
      </c>
      <c r="J401">
        <v>3147865</v>
      </c>
      <c r="P401">
        <v>1056</v>
      </c>
      <c r="Q401" t="s">
        <v>848</v>
      </c>
    </row>
    <row r="402" spans="1:17" x14ac:dyDescent="0.3">
      <c r="A402" t="s">
        <v>32</v>
      </c>
      <c r="B402" t="str">
        <f>"300896"</f>
        <v>300896</v>
      </c>
      <c r="C402" t="s">
        <v>849</v>
      </c>
      <c r="D402" t="s">
        <v>544</v>
      </c>
      <c r="E402">
        <v>231979357</v>
      </c>
      <c r="F402">
        <v>152834902</v>
      </c>
      <c r="G402">
        <v>-8157700</v>
      </c>
      <c r="H402">
        <v>39041300</v>
      </c>
      <c r="P402">
        <v>1332</v>
      </c>
      <c r="Q402" t="s">
        <v>850</v>
      </c>
    </row>
    <row r="403" spans="1:17" x14ac:dyDescent="0.3">
      <c r="A403" t="s">
        <v>17</v>
      </c>
      <c r="B403" t="str">
        <f>"600962"</f>
        <v>600962</v>
      </c>
      <c r="C403" t="s">
        <v>851</v>
      </c>
      <c r="D403" t="s">
        <v>175</v>
      </c>
      <c r="E403">
        <v>231074051</v>
      </c>
      <c r="F403">
        <v>208156000</v>
      </c>
      <c r="G403">
        <v>281134912</v>
      </c>
      <c r="H403">
        <v>141174879</v>
      </c>
      <c r="I403">
        <v>209845778</v>
      </c>
      <c r="J403">
        <v>193688695</v>
      </c>
      <c r="K403">
        <v>203502748</v>
      </c>
      <c r="L403">
        <v>143657508</v>
      </c>
      <c r="M403">
        <v>103162495</v>
      </c>
      <c r="N403">
        <v>187092300</v>
      </c>
      <c r="O403">
        <v>157378284</v>
      </c>
      <c r="P403">
        <v>94</v>
      </c>
      <c r="Q403" t="s">
        <v>852</v>
      </c>
    </row>
    <row r="404" spans="1:17" x14ac:dyDescent="0.3">
      <c r="A404" t="s">
        <v>32</v>
      </c>
      <c r="B404" t="str">
        <f>"300225"</f>
        <v>300225</v>
      </c>
      <c r="C404" t="s">
        <v>853</v>
      </c>
      <c r="D404" t="s">
        <v>144</v>
      </c>
      <c r="E404">
        <v>230181095</v>
      </c>
      <c r="F404">
        <v>-155183046</v>
      </c>
      <c r="G404">
        <v>47002245</v>
      </c>
      <c r="H404">
        <v>-29614942</v>
      </c>
      <c r="I404">
        <v>-54369075</v>
      </c>
      <c r="J404">
        <v>25526621</v>
      </c>
      <c r="K404">
        <v>8345824</v>
      </c>
      <c r="L404">
        <v>-15054777</v>
      </c>
      <c r="M404">
        <v>23976391</v>
      </c>
      <c r="N404">
        <v>-4245249</v>
      </c>
      <c r="O404">
        <v>16693668</v>
      </c>
      <c r="P404">
        <v>94</v>
      </c>
      <c r="Q404" t="s">
        <v>854</v>
      </c>
    </row>
    <row r="405" spans="1:17" x14ac:dyDescent="0.3">
      <c r="A405" t="s">
        <v>17</v>
      </c>
      <c r="B405" t="str">
        <f>"600971"</f>
        <v>600971</v>
      </c>
      <c r="C405" t="s">
        <v>855</v>
      </c>
      <c r="D405" t="s">
        <v>73</v>
      </c>
      <c r="E405">
        <v>225308398</v>
      </c>
      <c r="F405">
        <v>257407410</v>
      </c>
      <c r="G405">
        <v>254132236</v>
      </c>
      <c r="H405">
        <v>-210574944</v>
      </c>
      <c r="I405">
        <v>360323967</v>
      </c>
      <c r="J405">
        <v>139007015</v>
      </c>
      <c r="K405">
        <v>379426651</v>
      </c>
      <c r="L405">
        <v>-22255608</v>
      </c>
      <c r="M405">
        <v>-11508729</v>
      </c>
      <c r="N405">
        <v>-294409871</v>
      </c>
      <c r="O405">
        <v>-24705823</v>
      </c>
      <c r="P405">
        <v>1522</v>
      </c>
      <c r="Q405" t="s">
        <v>856</v>
      </c>
    </row>
    <row r="406" spans="1:17" x14ac:dyDescent="0.3">
      <c r="A406" t="s">
        <v>32</v>
      </c>
      <c r="B406" t="str">
        <f>"002932"</f>
        <v>002932</v>
      </c>
      <c r="C406" t="s">
        <v>857</v>
      </c>
      <c r="D406" t="s">
        <v>98</v>
      </c>
      <c r="E406">
        <v>224000064</v>
      </c>
      <c r="F406">
        <v>232839327</v>
      </c>
      <c r="G406">
        <v>6355473</v>
      </c>
      <c r="H406">
        <v>-1049778</v>
      </c>
      <c r="I406">
        <v>-7891248</v>
      </c>
      <c r="P406">
        <v>424</v>
      </c>
      <c r="Q406" t="s">
        <v>858</v>
      </c>
    </row>
    <row r="407" spans="1:17" x14ac:dyDescent="0.3">
      <c r="A407" t="s">
        <v>32</v>
      </c>
      <c r="B407" t="str">
        <f>"300037"</f>
        <v>300037</v>
      </c>
      <c r="C407" t="s">
        <v>859</v>
      </c>
      <c r="D407" t="s">
        <v>464</v>
      </c>
      <c r="E407">
        <v>223561885</v>
      </c>
      <c r="F407">
        <v>-183950829</v>
      </c>
      <c r="G407">
        <v>-15984975</v>
      </c>
      <c r="H407">
        <v>45326667</v>
      </c>
      <c r="I407">
        <v>-48383215</v>
      </c>
      <c r="J407">
        <v>-60530952</v>
      </c>
      <c r="K407">
        <v>-18724951</v>
      </c>
      <c r="L407">
        <v>-3515385</v>
      </c>
      <c r="M407">
        <v>34947304</v>
      </c>
      <c r="N407">
        <v>-17270958</v>
      </c>
      <c r="O407">
        <v>17171117</v>
      </c>
      <c r="P407">
        <v>830</v>
      </c>
      <c r="Q407" t="s">
        <v>860</v>
      </c>
    </row>
    <row r="408" spans="1:17" x14ac:dyDescent="0.3">
      <c r="A408" t="s">
        <v>17</v>
      </c>
      <c r="B408" t="str">
        <f>"603128"</f>
        <v>603128</v>
      </c>
      <c r="C408" t="s">
        <v>861</v>
      </c>
      <c r="D408" t="s">
        <v>46</v>
      </c>
      <c r="E408">
        <v>223337990</v>
      </c>
      <c r="F408">
        <v>-53533995</v>
      </c>
      <c r="G408">
        <v>99713568</v>
      </c>
      <c r="H408">
        <v>109457358</v>
      </c>
      <c r="I408">
        <v>53206807</v>
      </c>
      <c r="J408">
        <v>-22782851</v>
      </c>
      <c r="K408">
        <v>53581292</v>
      </c>
      <c r="L408">
        <v>-35020993</v>
      </c>
      <c r="M408">
        <v>93442461</v>
      </c>
      <c r="N408">
        <v>14992343</v>
      </c>
      <c r="O408">
        <v>-207448439</v>
      </c>
      <c r="P408">
        <v>273</v>
      </c>
      <c r="Q408" t="s">
        <v>862</v>
      </c>
    </row>
    <row r="409" spans="1:17" x14ac:dyDescent="0.3">
      <c r="A409" t="s">
        <v>17</v>
      </c>
      <c r="B409" t="str">
        <f>"603858"</f>
        <v>603858</v>
      </c>
      <c r="C409" t="s">
        <v>863</v>
      </c>
      <c r="D409" t="s">
        <v>98</v>
      </c>
      <c r="E409">
        <v>222857145</v>
      </c>
      <c r="F409">
        <v>207878085</v>
      </c>
      <c r="G409">
        <v>96046006</v>
      </c>
      <c r="H409">
        <v>545888652</v>
      </c>
      <c r="I409">
        <v>-56188011</v>
      </c>
      <c r="J409">
        <v>307150106</v>
      </c>
      <c r="K409">
        <v>-184909721</v>
      </c>
      <c r="P409">
        <v>828</v>
      </c>
      <c r="Q409" t="s">
        <v>864</v>
      </c>
    </row>
    <row r="410" spans="1:17" x14ac:dyDescent="0.3">
      <c r="A410" t="s">
        <v>32</v>
      </c>
      <c r="B410" t="str">
        <f>"002262"</f>
        <v>002262</v>
      </c>
      <c r="C410" t="s">
        <v>865</v>
      </c>
      <c r="D410" t="s">
        <v>98</v>
      </c>
      <c r="E410">
        <v>222229350</v>
      </c>
      <c r="F410">
        <v>212535088</v>
      </c>
      <c r="G410">
        <v>210932541</v>
      </c>
      <c r="H410">
        <v>119109376</v>
      </c>
      <c r="I410">
        <v>12304801</v>
      </c>
      <c r="J410">
        <v>77258087</v>
      </c>
      <c r="K410">
        <v>-11283701</v>
      </c>
      <c r="L410">
        <v>-30791659</v>
      </c>
      <c r="M410">
        <v>-33701162</v>
      </c>
      <c r="N410">
        <v>-12026964</v>
      </c>
      <c r="O410">
        <v>8846913</v>
      </c>
      <c r="P410">
        <v>51369</v>
      </c>
      <c r="Q410" t="s">
        <v>866</v>
      </c>
    </row>
    <row r="411" spans="1:17" x14ac:dyDescent="0.3">
      <c r="A411" t="s">
        <v>17</v>
      </c>
      <c r="B411" t="str">
        <f>"600814"</f>
        <v>600814</v>
      </c>
      <c r="C411" t="s">
        <v>867</v>
      </c>
      <c r="D411" t="s">
        <v>218</v>
      </c>
      <c r="E411">
        <v>222065973</v>
      </c>
      <c r="F411">
        <v>-38270597</v>
      </c>
      <c r="G411">
        <v>-295374797</v>
      </c>
      <c r="H411">
        <v>-41396765</v>
      </c>
      <c r="I411">
        <v>-111990722</v>
      </c>
      <c r="J411">
        <v>-112250299</v>
      </c>
      <c r="K411">
        <v>-31330732</v>
      </c>
      <c r="L411">
        <v>-120914404</v>
      </c>
      <c r="M411">
        <v>-77575926</v>
      </c>
      <c r="N411">
        <v>-102917577</v>
      </c>
      <c r="O411">
        <v>-67201822</v>
      </c>
      <c r="P411">
        <v>150</v>
      </c>
      <c r="Q411" t="s">
        <v>868</v>
      </c>
    </row>
    <row r="412" spans="1:17" x14ac:dyDescent="0.3">
      <c r="A412" t="s">
        <v>32</v>
      </c>
      <c r="B412" t="str">
        <f>"300003"</f>
        <v>300003</v>
      </c>
      <c r="C412" t="s">
        <v>869</v>
      </c>
      <c r="D412" t="s">
        <v>98</v>
      </c>
      <c r="E412">
        <v>221743609</v>
      </c>
      <c r="F412">
        <v>1088432564</v>
      </c>
      <c r="G412">
        <v>8924914</v>
      </c>
      <c r="H412">
        <v>141769932</v>
      </c>
      <c r="I412">
        <v>-307112131</v>
      </c>
      <c r="J412">
        <v>-298535227</v>
      </c>
      <c r="K412">
        <v>51726669</v>
      </c>
      <c r="L412">
        <v>-32855277</v>
      </c>
      <c r="M412">
        <v>14130851</v>
      </c>
      <c r="N412">
        <v>17587858</v>
      </c>
      <c r="O412">
        <v>30976985</v>
      </c>
      <c r="P412">
        <v>3270</v>
      </c>
      <c r="Q412" t="s">
        <v>870</v>
      </c>
    </row>
    <row r="413" spans="1:17" x14ac:dyDescent="0.3">
      <c r="A413" t="s">
        <v>17</v>
      </c>
      <c r="B413" t="str">
        <f>"601339"</f>
        <v>601339</v>
      </c>
      <c r="C413" t="s">
        <v>871</v>
      </c>
      <c r="D413" t="s">
        <v>130</v>
      </c>
      <c r="E413">
        <v>221340597</v>
      </c>
      <c r="F413">
        <v>129144529</v>
      </c>
      <c r="G413">
        <v>145365142</v>
      </c>
      <c r="H413">
        <v>-852049708</v>
      </c>
      <c r="I413">
        <v>-489054653</v>
      </c>
      <c r="J413">
        <v>-419669553</v>
      </c>
      <c r="K413">
        <v>-115483907</v>
      </c>
      <c r="L413">
        <v>-400858531</v>
      </c>
      <c r="M413">
        <v>-310179185</v>
      </c>
      <c r="N413">
        <v>-469581711</v>
      </c>
      <c r="O413">
        <v>-32134891</v>
      </c>
      <c r="P413">
        <v>207</v>
      </c>
      <c r="Q413" t="s">
        <v>872</v>
      </c>
    </row>
    <row r="414" spans="1:17" x14ac:dyDescent="0.3">
      <c r="A414" t="s">
        <v>17</v>
      </c>
      <c r="B414" t="str">
        <f>"601900"</f>
        <v>601900</v>
      </c>
      <c r="C414" t="s">
        <v>873</v>
      </c>
      <c r="D414" t="s">
        <v>245</v>
      </c>
      <c r="E414">
        <v>219592000</v>
      </c>
      <c r="F414">
        <v>-358122797</v>
      </c>
      <c r="G414">
        <v>-517859752</v>
      </c>
      <c r="H414">
        <v>134695065</v>
      </c>
      <c r="I414">
        <v>-367524136</v>
      </c>
      <c r="J414">
        <v>-231003</v>
      </c>
      <c r="K414">
        <v>-550048152</v>
      </c>
      <c r="L414">
        <v>-401314445</v>
      </c>
      <c r="P414">
        <v>244</v>
      </c>
      <c r="Q414" t="s">
        <v>874</v>
      </c>
    </row>
    <row r="415" spans="1:17" x14ac:dyDescent="0.3">
      <c r="A415" t="s">
        <v>32</v>
      </c>
      <c r="B415" t="str">
        <f>"002928"</f>
        <v>002928</v>
      </c>
      <c r="C415" t="s">
        <v>875</v>
      </c>
      <c r="D415" t="s">
        <v>46</v>
      </c>
      <c r="E415">
        <v>219164071</v>
      </c>
      <c r="F415">
        <v>-654372777</v>
      </c>
      <c r="G415">
        <v>-82011139</v>
      </c>
      <c r="H415">
        <v>-299004642</v>
      </c>
      <c r="I415">
        <v>-519915915</v>
      </c>
      <c r="J415">
        <v>-170534334</v>
      </c>
      <c r="P415">
        <v>333</v>
      </c>
      <c r="Q415" t="s">
        <v>876</v>
      </c>
    </row>
    <row r="416" spans="1:17" x14ac:dyDescent="0.3">
      <c r="A416" t="s">
        <v>17</v>
      </c>
      <c r="B416" t="str">
        <f>"603619"</f>
        <v>603619</v>
      </c>
      <c r="C416" t="s">
        <v>877</v>
      </c>
      <c r="D416" t="s">
        <v>64</v>
      </c>
      <c r="E416">
        <v>219013457</v>
      </c>
      <c r="F416">
        <v>10096800</v>
      </c>
      <c r="G416">
        <v>-69738665</v>
      </c>
      <c r="H416">
        <v>-159387503</v>
      </c>
      <c r="I416">
        <v>-274621639</v>
      </c>
      <c r="J416">
        <v>127224300</v>
      </c>
      <c r="K416">
        <v>32261700</v>
      </c>
      <c r="P416">
        <v>74</v>
      </c>
      <c r="Q416" t="s">
        <v>878</v>
      </c>
    </row>
    <row r="417" spans="1:17" x14ac:dyDescent="0.3">
      <c r="A417" t="s">
        <v>17</v>
      </c>
      <c r="B417" t="str">
        <f>"600785"</f>
        <v>600785</v>
      </c>
      <c r="C417" t="s">
        <v>879</v>
      </c>
      <c r="D417" t="s">
        <v>218</v>
      </c>
      <c r="E417">
        <v>218883367</v>
      </c>
      <c r="F417">
        <v>355300236</v>
      </c>
      <c r="G417">
        <v>267376852</v>
      </c>
      <c r="H417">
        <v>196390585</v>
      </c>
      <c r="I417">
        <v>26508003</v>
      </c>
      <c r="J417">
        <v>187714578</v>
      </c>
      <c r="K417">
        <v>-19395320</v>
      </c>
      <c r="L417">
        <v>61162426</v>
      </c>
      <c r="M417">
        <v>-31747442</v>
      </c>
      <c r="N417">
        <v>-3332797</v>
      </c>
      <c r="O417">
        <v>-547373528</v>
      </c>
      <c r="P417">
        <v>99</v>
      </c>
      <c r="Q417" t="s">
        <v>880</v>
      </c>
    </row>
    <row r="418" spans="1:17" x14ac:dyDescent="0.3">
      <c r="A418" t="s">
        <v>32</v>
      </c>
      <c r="B418" t="str">
        <f>"002574"</f>
        <v>002574</v>
      </c>
      <c r="C418" t="s">
        <v>881</v>
      </c>
      <c r="D418" t="s">
        <v>130</v>
      </c>
      <c r="E418">
        <v>214935915</v>
      </c>
      <c r="F418">
        <v>-97281049</v>
      </c>
      <c r="G418">
        <v>196647229</v>
      </c>
      <c r="H418">
        <v>19741423</v>
      </c>
      <c r="I418">
        <v>-261099258</v>
      </c>
      <c r="J418">
        <v>51039835</v>
      </c>
      <c r="K418">
        <v>206584435</v>
      </c>
      <c r="L418">
        <v>-234927262</v>
      </c>
      <c r="M418">
        <v>245122078</v>
      </c>
      <c r="N418">
        <v>-34167824</v>
      </c>
      <c r="O418">
        <v>351488608</v>
      </c>
      <c r="P418">
        <v>105</v>
      </c>
      <c r="Q418" t="s">
        <v>882</v>
      </c>
    </row>
    <row r="419" spans="1:17" x14ac:dyDescent="0.3">
      <c r="A419" t="s">
        <v>17</v>
      </c>
      <c r="B419" t="str">
        <f>"600548"</f>
        <v>600548</v>
      </c>
      <c r="C419" t="s">
        <v>883</v>
      </c>
      <c r="D419" t="s">
        <v>46</v>
      </c>
      <c r="E419">
        <v>214502214</v>
      </c>
      <c r="F419">
        <v>-1473556990</v>
      </c>
      <c r="G419">
        <v>-657491717</v>
      </c>
      <c r="H419">
        <v>294617970</v>
      </c>
      <c r="I419">
        <v>860224316</v>
      </c>
      <c r="J419">
        <v>543233494</v>
      </c>
      <c r="K419">
        <v>389813757</v>
      </c>
      <c r="L419">
        <v>-65259361</v>
      </c>
      <c r="M419">
        <v>295452888</v>
      </c>
      <c r="N419">
        <v>165780913</v>
      </c>
      <c r="O419">
        <v>277197767</v>
      </c>
      <c r="P419">
        <v>793</v>
      </c>
      <c r="Q419" t="s">
        <v>884</v>
      </c>
    </row>
    <row r="420" spans="1:17" x14ac:dyDescent="0.3">
      <c r="A420" t="s">
        <v>17</v>
      </c>
      <c r="B420" t="str">
        <f>"603666"</f>
        <v>603666</v>
      </c>
      <c r="C420" t="s">
        <v>885</v>
      </c>
      <c r="D420" t="s">
        <v>135</v>
      </c>
      <c r="E420">
        <v>214044205</v>
      </c>
      <c r="F420">
        <v>98976778</v>
      </c>
      <c r="G420">
        <v>-19063883</v>
      </c>
      <c r="H420">
        <v>-48776703</v>
      </c>
      <c r="I420">
        <v>12052730</v>
      </c>
      <c r="J420">
        <v>-78016428</v>
      </c>
      <c r="P420">
        <v>451</v>
      </c>
      <c r="Q420" t="s">
        <v>886</v>
      </c>
    </row>
    <row r="421" spans="1:17" x14ac:dyDescent="0.3">
      <c r="A421" t="s">
        <v>17</v>
      </c>
      <c r="B421" t="str">
        <f>"601116"</f>
        <v>601116</v>
      </c>
      <c r="C421" t="s">
        <v>887</v>
      </c>
      <c r="D421" t="s">
        <v>218</v>
      </c>
      <c r="E421">
        <v>212732402</v>
      </c>
      <c r="F421">
        <v>128188259</v>
      </c>
      <c r="G421">
        <v>143180575</v>
      </c>
      <c r="H421">
        <v>132018967</v>
      </c>
      <c r="I421">
        <v>130510586</v>
      </c>
      <c r="J421">
        <v>137292739</v>
      </c>
      <c r="K421">
        <v>57811188</v>
      </c>
      <c r="L421">
        <v>131742787</v>
      </c>
      <c r="M421">
        <v>19593942</v>
      </c>
      <c r="N421">
        <v>206601942</v>
      </c>
      <c r="O421">
        <v>114411929</v>
      </c>
      <c r="P421">
        <v>124</v>
      </c>
      <c r="Q421" t="s">
        <v>888</v>
      </c>
    </row>
    <row r="422" spans="1:17" x14ac:dyDescent="0.3">
      <c r="A422" t="s">
        <v>17</v>
      </c>
      <c r="B422" t="str">
        <f>"600188"</f>
        <v>600188</v>
      </c>
      <c r="C422" t="s">
        <v>889</v>
      </c>
      <c r="D422" t="s">
        <v>73</v>
      </c>
      <c r="E422">
        <v>212589000</v>
      </c>
      <c r="F422">
        <v>880360000</v>
      </c>
      <c r="G422">
        <v>-915487000</v>
      </c>
      <c r="H422">
        <v>1058309000</v>
      </c>
      <c r="I422">
        <v>1004067000</v>
      </c>
      <c r="J422">
        <v>-71957000</v>
      </c>
      <c r="K422">
        <v>-1305949000</v>
      </c>
      <c r="L422">
        <v>-4210238000</v>
      </c>
      <c r="M422">
        <v>-1533533000</v>
      </c>
      <c r="N422">
        <v>-2929443798</v>
      </c>
      <c r="O422">
        <v>3520531288</v>
      </c>
      <c r="P422">
        <v>1941</v>
      </c>
      <c r="Q422" t="s">
        <v>890</v>
      </c>
    </row>
    <row r="423" spans="1:17" x14ac:dyDescent="0.3">
      <c r="A423" t="s">
        <v>32</v>
      </c>
      <c r="B423" t="str">
        <f>"000830"</f>
        <v>000830</v>
      </c>
      <c r="C423" t="s">
        <v>891</v>
      </c>
      <c r="D423" t="s">
        <v>144</v>
      </c>
      <c r="E423">
        <v>211797404</v>
      </c>
      <c r="F423">
        <v>968793984</v>
      </c>
      <c r="G423">
        <v>-69358724</v>
      </c>
      <c r="H423">
        <v>185929276</v>
      </c>
      <c r="I423">
        <v>-417187026</v>
      </c>
      <c r="J423">
        <v>-356815126</v>
      </c>
      <c r="K423">
        <v>-677696317</v>
      </c>
      <c r="L423">
        <v>-202014221</v>
      </c>
      <c r="M423">
        <v>-200061049</v>
      </c>
      <c r="N423">
        <v>-414990860</v>
      </c>
      <c r="O423">
        <v>-228321124</v>
      </c>
      <c r="P423">
        <v>893</v>
      </c>
      <c r="Q423" t="s">
        <v>892</v>
      </c>
    </row>
    <row r="424" spans="1:17" x14ac:dyDescent="0.3">
      <c r="A424" t="s">
        <v>32</v>
      </c>
      <c r="B424" t="str">
        <f>"000661"</f>
        <v>000661</v>
      </c>
      <c r="C424" t="s">
        <v>893</v>
      </c>
      <c r="D424" t="s">
        <v>98</v>
      </c>
      <c r="E424">
        <v>209099413</v>
      </c>
      <c r="F424">
        <v>212840896</v>
      </c>
      <c r="G424">
        <v>117746313</v>
      </c>
      <c r="H424">
        <v>466705569</v>
      </c>
      <c r="I424">
        <v>-281467248</v>
      </c>
      <c r="J424">
        <v>-47384514</v>
      </c>
      <c r="K424">
        <v>-137652583</v>
      </c>
      <c r="L424">
        <v>22848116</v>
      </c>
      <c r="M424">
        <v>48592285</v>
      </c>
      <c r="N424">
        <v>-43647330</v>
      </c>
      <c r="O424">
        <v>20535374</v>
      </c>
      <c r="P424">
        <v>59938</v>
      </c>
      <c r="Q424" t="s">
        <v>894</v>
      </c>
    </row>
    <row r="425" spans="1:17" x14ac:dyDescent="0.3">
      <c r="A425" t="s">
        <v>17</v>
      </c>
      <c r="B425" t="str">
        <f>"600338"</f>
        <v>600338</v>
      </c>
      <c r="C425" t="s">
        <v>895</v>
      </c>
      <c r="D425" t="s">
        <v>121</v>
      </c>
      <c r="E425">
        <v>207704695</v>
      </c>
      <c r="F425">
        <v>122670428</v>
      </c>
      <c r="G425">
        <v>34153856</v>
      </c>
      <c r="H425">
        <v>-17627220</v>
      </c>
      <c r="I425">
        <v>168756961</v>
      </c>
      <c r="J425">
        <v>229194955</v>
      </c>
      <c r="K425">
        <v>-61819502</v>
      </c>
      <c r="L425">
        <v>-162706104</v>
      </c>
      <c r="M425">
        <v>2484485</v>
      </c>
      <c r="N425">
        <v>23851367</v>
      </c>
      <c r="O425">
        <v>-20895360</v>
      </c>
      <c r="P425">
        <v>4533</v>
      </c>
      <c r="Q425" t="s">
        <v>896</v>
      </c>
    </row>
    <row r="426" spans="1:17" x14ac:dyDescent="0.3">
      <c r="A426" t="s">
        <v>32</v>
      </c>
      <c r="B426" t="str">
        <f>"002627"</f>
        <v>002627</v>
      </c>
      <c r="C426" t="s">
        <v>897</v>
      </c>
      <c r="D426" t="s">
        <v>46</v>
      </c>
      <c r="E426">
        <v>206822138</v>
      </c>
      <c r="F426">
        <v>355295329</v>
      </c>
      <c r="G426">
        <v>-173728114</v>
      </c>
      <c r="H426">
        <v>-137071494</v>
      </c>
      <c r="I426">
        <v>-205915567</v>
      </c>
      <c r="J426">
        <v>-52301677</v>
      </c>
      <c r="K426">
        <v>9065725</v>
      </c>
      <c r="L426">
        <v>-33262846</v>
      </c>
      <c r="M426">
        <v>-2193062</v>
      </c>
      <c r="N426">
        <v>-44383303</v>
      </c>
      <c r="O426">
        <v>-7622465</v>
      </c>
      <c r="P426">
        <v>99</v>
      </c>
      <c r="Q426" t="s">
        <v>898</v>
      </c>
    </row>
    <row r="427" spans="1:17" x14ac:dyDescent="0.3">
      <c r="A427" t="s">
        <v>32</v>
      </c>
      <c r="B427" t="str">
        <f>"002889"</f>
        <v>002889</v>
      </c>
      <c r="C427" t="s">
        <v>899</v>
      </c>
      <c r="D427" t="s">
        <v>46</v>
      </c>
      <c r="E427">
        <v>205973960</v>
      </c>
      <c r="F427">
        <v>-241584344</v>
      </c>
      <c r="G427">
        <v>-216195857</v>
      </c>
      <c r="H427">
        <v>56511540</v>
      </c>
      <c r="I427">
        <v>371602871</v>
      </c>
      <c r="J427">
        <v>3940742</v>
      </c>
      <c r="K427">
        <v>-43076600</v>
      </c>
      <c r="P427">
        <v>123</v>
      </c>
      <c r="Q427" t="s">
        <v>900</v>
      </c>
    </row>
    <row r="428" spans="1:17" x14ac:dyDescent="0.3">
      <c r="A428" t="s">
        <v>17</v>
      </c>
      <c r="B428" t="str">
        <f>"600867"</f>
        <v>600867</v>
      </c>
      <c r="C428" t="s">
        <v>901</v>
      </c>
      <c r="D428" t="s">
        <v>98</v>
      </c>
      <c r="E428">
        <v>205700744</v>
      </c>
      <c r="F428">
        <v>308806409</v>
      </c>
      <c r="G428">
        <v>167311724</v>
      </c>
      <c r="H428">
        <v>170414844</v>
      </c>
      <c r="I428">
        <v>135149643</v>
      </c>
      <c r="J428">
        <v>200419635</v>
      </c>
      <c r="K428">
        <v>-35699453</v>
      </c>
      <c r="L428">
        <v>43152909</v>
      </c>
      <c r="M428">
        <v>91325923</v>
      </c>
      <c r="N428">
        <v>-40009445</v>
      </c>
      <c r="O428">
        <v>-33633570</v>
      </c>
      <c r="P428">
        <v>2957</v>
      </c>
      <c r="Q428" t="s">
        <v>902</v>
      </c>
    </row>
    <row r="429" spans="1:17" x14ac:dyDescent="0.3">
      <c r="A429" t="s">
        <v>32</v>
      </c>
      <c r="B429" t="str">
        <f>"200054"</f>
        <v>200054</v>
      </c>
      <c r="C429" t="s">
        <v>903</v>
      </c>
      <c r="E429">
        <v>204885864.68399999</v>
      </c>
      <c r="F429">
        <v>19817966.629000001</v>
      </c>
      <c r="G429">
        <v>22420835.8497</v>
      </c>
      <c r="H429">
        <v>31200580.7172</v>
      </c>
      <c r="I429">
        <v>22220544.664000001</v>
      </c>
      <c r="J429">
        <v>43818769.027999997</v>
      </c>
      <c r="K429">
        <v>17105459.661200002</v>
      </c>
      <c r="L429">
        <v>-5077551.25</v>
      </c>
      <c r="M429">
        <v>69899611.327199996</v>
      </c>
      <c r="N429">
        <v>42606530.614200003</v>
      </c>
      <c r="O429">
        <v>-37550957.049000002</v>
      </c>
      <c r="P429">
        <v>7</v>
      </c>
      <c r="Q429" t="s">
        <v>904</v>
      </c>
    </row>
    <row r="430" spans="1:17" x14ac:dyDescent="0.3">
      <c r="A430" t="s">
        <v>17</v>
      </c>
      <c r="B430" t="str">
        <f>"688008"</f>
        <v>688008</v>
      </c>
      <c r="C430" t="s">
        <v>905</v>
      </c>
      <c r="D430" t="s">
        <v>124</v>
      </c>
      <c r="E430">
        <v>204635651</v>
      </c>
      <c r="F430">
        <v>125792630</v>
      </c>
      <c r="G430">
        <v>263542520</v>
      </c>
      <c r="H430">
        <v>87466100</v>
      </c>
      <c r="I430">
        <v>141141000</v>
      </c>
      <c r="P430">
        <v>523</v>
      </c>
      <c r="Q430" t="s">
        <v>906</v>
      </c>
    </row>
    <row r="431" spans="1:17" x14ac:dyDescent="0.3">
      <c r="A431" t="s">
        <v>32</v>
      </c>
      <c r="B431" t="str">
        <f>"300679"</f>
        <v>300679</v>
      </c>
      <c r="C431" t="s">
        <v>907</v>
      </c>
      <c r="D431" t="s">
        <v>124</v>
      </c>
      <c r="E431">
        <v>204112002</v>
      </c>
      <c r="F431">
        <v>33585536</v>
      </c>
      <c r="G431">
        <v>53697308</v>
      </c>
      <c r="H431">
        <v>-42420353</v>
      </c>
      <c r="I431">
        <v>48244892</v>
      </c>
      <c r="J431">
        <v>243874446</v>
      </c>
      <c r="P431">
        <v>335</v>
      </c>
      <c r="Q431" t="s">
        <v>908</v>
      </c>
    </row>
    <row r="432" spans="1:17" x14ac:dyDescent="0.3">
      <c r="A432" t="s">
        <v>17</v>
      </c>
      <c r="B432" t="str">
        <f>"600163"</f>
        <v>600163</v>
      </c>
      <c r="C432" t="s">
        <v>909</v>
      </c>
      <c r="D432" t="s">
        <v>158</v>
      </c>
      <c r="E432">
        <v>200779638</v>
      </c>
      <c r="F432">
        <v>148847095</v>
      </c>
      <c r="G432">
        <v>-9338533</v>
      </c>
      <c r="H432">
        <v>-59306237</v>
      </c>
      <c r="I432">
        <v>-91134301</v>
      </c>
      <c r="J432">
        <v>-10568891</v>
      </c>
      <c r="K432">
        <v>-34077612</v>
      </c>
      <c r="L432">
        <v>-46126866</v>
      </c>
      <c r="M432">
        <v>-100605666</v>
      </c>
      <c r="N432">
        <v>-114668539</v>
      </c>
      <c r="O432">
        <v>-8714405</v>
      </c>
      <c r="P432">
        <v>219</v>
      </c>
      <c r="Q432" t="s">
        <v>910</v>
      </c>
    </row>
    <row r="433" spans="1:17" x14ac:dyDescent="0.3">
      <c r="A433" t="s">
        <v>32</v>
      </c>
      <c r="B433" t="str">
        <f>"200761"</f>
        <v>200761</v>
      </c>
      <c r="C433" t="s">
        <v>911</v>
      </c>
      <c r="E433">
        <v>199948290.09999999</v>
      </c>
      <c r="F433">
        <v>-1643443937.0369999</v>
      </c>
      <c r="G433">
        <v>503296328.74409997</v>
      </c>
      <c r="H433">
        <v>2968474473.6911998</v>
      </c>
      <c r="I433">
        <v>-11553813294.947001</v>
      </c>
      <c r="J433">
        <v>-4410695090.7819996</v>
      </c>
      <c r="K433">
        <v>2525991242.3892999</v>
      </c>
      <c r="L433">
        <v>-2828793.75</v>
      </c>
      <c r="M433">
        <v>-2200280553.8312001</v>
      </c>
      <c r="N433">
        <v>-1289775842.8415999</v>
      </c>
      <c r="O433">
        <v>27427913.613000002</v>
      </c>
      <c r="P433">
        <v>41</v>
      </c>
      <c r="Q433" t="s">
        <v>912</v>
      </c>
    </row>
    <row r="434" spans="1:17" x14ac:dyDescent="0.3">
      <c r="A434" t="s">
        <v>32</v>
      </c>
      <c r="B434" t="str">
        <f>"002483"</f>
        <v>002483</v>
      </c>
      <c r="C434" t="s">
        <v>913</v>
      </c>
      <c r="D434" t="s">
        <v>135</v>
      </c>
      <c r="E434">
        <v>198123451</v>
      </c>
      <c r="F434">
        <v>-112667074</v>
      </c>
      <c r="G434">
        <v>-45730548</v>
      </c>
      <c r="H434">
        <v>228944941</v>
      </c>
      <c r="I434">
        <v>-88289832</v>
      </c>
      <c r="J434">
        <v>-77806943</v>
      </c>
      <c r="K434">
        <v>-105702934</v>
      </c>
      <c r="L434">
        <v>-78071202</v>
      </c>
      <c r="M434">
        <v>-153316107</v>
      </c>
      <c r="N434">
        <v>-105588197</v>
      </c>
      <c r="O434">
        <v>-146186485</v>
      </c>
      <c r="P434">
        <v>94</v>
      </c>
      <c r="Q434" t="s">
        <v>914</v>
      </c>
    </row>
    <row r="435" spans="1:17" x14ac:dyDescent="0.3">
      <c r="A435" t="s">
        <v>17</v>
      </c>
      <c r="B435" t="str">
        <f>"600694"</f>
        <v>600694</v>
      </c>
      <c r="C435" t="s">
        <v>915</v>
      </c>
      <c r="D435" t="s">
        <v>218</v>
      </c>
      <c r="E435">
        <v>197907234</v>
      </c>
      <c r="F435">
        <v>566774011</v>
      </c>
      <c r="G435">
        <v>655540240</v>
      </c>
      <c r="H435">
        <v>491781828</v>
      </c>
      <c r="I435">
        <v>618113557</v>
      </c>
      <c r="J435">
        <v>-142903313</v>
      </c>
      <c r="K435">
        <v>272615945</v>
      </c>
      <c r="L435">
        <v>89969491</v>
      </c>
      <c r="M435">
        <v>145992583</v>
      </c>
      <c r="N435">
        <v>753412166</v>
      </c>
      <c r="O435">
        <v>107854091</v>
      </c>
      <c r="P435">
        <v>543</v>
      </c>
      <c r="Q435" t="s">
        <v>916</v>
      </c>
    </row>
    <row r="436" spans="1:17" x14ac:dyDescent="0.3">
      <c r="A436" t="s">
        <v>32</v>
      </c>
      <c r="B436" t="str">
        <f>"000488"</f>
        <v>000488</v>
      </c>
      <c r="C436" t="s">
        <v>917</v>
      </c>
      <c r="D436" t="s">
        <v>455</v>
      </c>
      <c r="E436">
        <v>195926224</v>
      </c>
      <c r="F436">
        <v>3306407208</v>
      </c>
      <c r="G436">
        <v>671627636</v>
      </c>
      <c r="H436">
        <v>1248007510</v>
      </c>
      <c r="I436">
        <v>675727575</v>
      </c>
      <c r="J436">
        <v>-2184557715</v>
      </c>
      <c r="K436">
        <v>-4511164650</v>
      </c>
      <c r="L436">
        <v>-1387608728</v>
      </c>
      <c r="M436">
        <v>141947246</v>
      </c>
      <c r="N436">
        <v>44861130</v>
      </c>
      <c r="O436">
        <v>-604768574</v>
      </c>
      <c r="P436">
        <v>1270</v>
      </c>
      <c r="Q436" t="s">
        <v>918</v>
      </c>
    </row>
    <row r="437" spans="1:17" x14ac:dyDescent="0.3">
      <c r="A437" t="s">
        <v>32</v>
      </c>
      <c r="B437" t="str">
        <f>"000831"</f>
        <v>000831</v>
      </c>
      <c r="C437" t="s">
        <v>919</v>
      </c>
      <c r="D437" t="s">
        <v>121</v>
      </c>
      <c r="E437">
        <v>195858543</v>
      </c>
      <c r="F437">
        <v>-227510077</v>
      </c>
      <c r="G437">
        <v>45667929</v>
      </c>
      <c r="H437">
        <v>89412030</v>
      </c>
      <c r="I437">
        <v>125730144</v>
      </c>
      <c r="J437">
        <v>152676074</v>
      </c>
      <c r="K437">
        <v>167747636</v>
      </c>
      <c r="L437">
        <v>51243475</v>
      </c>
      <c r="M437">
        <v>740171993</v>
      </c>
      <c r="N437">
        <v>-15449511</v>
      </c>
      <c r="O437">
        <v>12298812</v>
      </c>
      <c r="P437">
        <v>458</v>
      </c>
      <c r="Q437" t="s">
        <v>920</v>
      </c>
    </row>
    <row r="438" spans="1:17" x14ac:dyDescent="0.3">
      <c r="A438" t="s">
        <v>17</v>
      </c>
      <c r="B438" t="str">
        <f>"600125"</f>
        <v>600125</v>
      </c>
      <c r="C438" t="s">
        <v>921</v>
      </c>
      <c r="D438" t="s">
        <v>46</v>
      </c>
      <c r="E438">
        <v>195690423</v>
      </c>
      <c r="F438">
        <v>95455990</v>
      </c>
      <c r="G438">
        <v>48966409</v>
      </c>
      <c r="H438">
        <v>-138210315</v>
      </c>
      <c r="I438">
        <v>-262779277</v>
      </c>
      <c r="J438">
        <v>-267884639</v>
      </c>
      <c r="K438">
        <v>-54259932</v>
      </c>
      <c r="L438">
        <v>101091337</v>
      </c>
      <c r="M438">
        <v>-91908239</v>
      </c>
      <c r="N438">
        <v>-42225749</v>
      </c>
      <c r="O438">
        <v>-26697798</v>
      </c>
      <c r="P438">
        <v>203</v>
      </c>
      <c r="Q438" t="s">
        <v>922</v>
      </c>
    </row>
    <row r="439" spans="1:17" x14ac:dyDescent="0.3">
      <c r="A439" t="s">
        <v>32</v>
      </c>
      <c r="B439" t="str">
        <f>"200019"</f>
        <v>200019</v>
      </c>
      <c r="C439" t="s">
        <v>923</v>
      </c>
      <c r="E439">
        <v>194737728.80199999</v>
      </c>
      <c r="F439">
        <v>-345488956.954</v>
      </c>
      <c r="G439">
        <v>215616877.06079999</v>
      </c>
      <c r="H439">
        <v>-356062820.42250001</v>
      </c>
      <c r="I439">
        <v>-4505581.5120000001</v>
      </c>
      <c r="J439">
        <v>-15865860.805199999</v>
      </c>
      <c r="K439">
        <v>-16549006.6895</v>
      </c>
      <c r="L439">
        <v>25008021.25</v>
      </c>
      <c r="M439">
        <v>-15194876.8804</v>
      </c>
      <c r="N439">
        <v>-46764791.435999997</v>
      </c>
      <c r="O439">
        <v>-21079403.756999999</v>
      </c>
      <c r="P439">
        <v>23</v>
      </c>
      <c r="Q439" t="s">
        <v>924</v>
      </c>
    </row>
    <row r="440" spans="1:17" x14ac:dyDescent="0.3">
      <c r="A440" t="s">
        <v>32</v>
      </c>
      <c r="B440" t="str">
        <f>"301082"</f>
        <v>301082</v>
      </c>
      <c r="C440" t="s">
        <v>925</v>
      </c>
      <c r="D440" t="s">
        <v>464</v>
      </c>
      <c r="E440">
        <v>193849398</v>
      </c>
      <c r="P440">
        <v>17</v>
      </c>
      <c r="Q440" t="s">
        <v>926</v>
      </c>
    </row>
    <row r="441" spans="1:17" x14ac:dyDescent="0.3">
      <c r="A441" t="s">
        <v>17</v>
      </c>
      <c r="B441" t="str">
        <f>"601369"</f>
        <v>601369</v>
      </c>
      <c r="C441" t="s">
        <v>927</v>
      </c>
      <c r="D441" t="s">
        <v>135</v>
      </c>
      <c r="E441">
        <v>192908295</v>
      </c>
      <c r="F441">
        <v>451587783</v>
      </c>
      <c r="G441">
        <v>272183156</v>
      </c>
      <c r="H441">
        <v>406939368</v>
      </c>
      <c r="I441">
        <v>-137089642</v>
      </c>
      <c r="J441">
        <v>-253905717</v>
      </c>
      <c r="K441">
        <v>-190019343</v>
      </c>
      <c r="L441">
        <v>-428398375</v>
      </c>
      <c r="M441">
        <v>-169525070</v>
      </c>
      <c r="N441">
        <v>-405429099</v>
      </c>
      <c r="O441">
        <v>-57713833</v>
      </c>
      <c r="P441">
        <v>219</v>
      </c>
      <c r="Q441" t="s">
        <v>928</v>
      </c>
    </row>
    <row r="442" spans="1:17" x14ac:dyDescent="0.3">
      <c r="A442" t="s">
        <v>32</v>
      </c>
      <c r="B442" t="str">
        <f>"002239"</f>
        <v>002239</v>
      </c>
      <c r="C442" t="s">
        <v>929</v>
      </c>
      <c r="D442" t="s">
        <v>199</v>
      </c>
      <c r="E442">
        <v>192701290</v>
      </c>
      <c r="F442">
        <v>-21577686</v>
      </c>
      <c r="G442">
        <v>-6619029</v>
      </c>
      <c r="H442">
        <v>34893564</v>
      </c>
      <c r="I442">
        <v>-3988758</v>
      </c>
      <c r="J442">
        <v>-45233235</v>
      </c>
      <c r="K442">
        <v>-29246391</v>
      </c>
      <c r="L442">
        <v>6973636</v>
      </c>
      <c r="M442">
        <v>4230300</v>
      </c>
      <c r="N442">
        <v>19925717</v>
      </c>
      <c r="O442">
        <v>885957</v>
      </c>
      <c r="P442">
        <v>242</v>
      </c>
      <c r="Q442" t="s">
        <v>930</v>
      </c>
    </row>
    <row r="443" spans="1:17" x14ac:dyDescent="0.3">
      <c r="A443" t="s">
        <v>17</v>
      </c>
      <c r="B443" t="str">
        <f>"605598"</f>
        <v>605598</v>
      </c>
      <c r="C443" t="s">
        <v>931</v>
      </c>
      <c r="D443" t="s">
        <v>645</v>
      </c>
      <c r="E443">
        <v>192671038</v>
      </c>
      <c r="P443">
        <v>18</v>
      </c>
      <c r="Q443" t="s">
        <v>932</v>
      </c>
    </row>
    <row r="444" spans="1:17" x14ac:dyDescent="0.3">
      <c r="A444" t="s">
        <v>32</v>
      </c>
      <c r="B444" t="str">
        <f>"002471"</f>
        <v>002471</v>
      </c>
      <c r="C444" t="s">
        <v>933</v>
      </c>
      <c r="D444" t="s">
        <v>464</v>
      </c>
      <c r="E444">
        <v>192440590</v>
      </c>
      <c r="F444">
        <v>-171051952</v>
      </c>
      <c r="G444">
        <v>-167902619</v>
      </c>
      <c r="H444">
        <v>170214172</v>
      </c>
      <c r="I444">
        <v>106494777</v>
      </c>
      <c r="J444">
        <v>-118055124</v>
      </c>
      <c r="K444">
        <v>91374750</v>
      </c>
      <c r="L444">
        <v>14004969</v>
      </c>
      <c r="M444">
        <v>-6017504</v>
      </c>
      <c r="N444">
        <v>-21088650</v>
      </c>
      <c r="O444">
        <v>-282368648</v>
      </c>
      <c r="P444">
        <v>92</v>
      </c>
      <c r="Q444" t="s">
        <v>934</v>
      </c>
    </row>
    <row r="445" spans="1:17" x14ac:dyDescent="0.3">
      <c r="A445" t="s">
        <v>32</v>
      </c>
      <c r="B445" t="str">
        <f>"002602"</f>
        <v>002602</v>
      </c>
      <c r="C445" t="s">
        <v>935</v>
      </c>
      <c r="D445" t="s">
        <v>245</v>
      </c>
      <c r="E445">
        <v>191698617</v>
      </c>
      <c r="F445">
        <v>-482656817</v>
      </c>
      <c r="G445">
        <v>102016686</v>
      </c>
      <c r="H445">
        <v>68968328</v>
      </c>
      <c r="I445">
        <v>-245400656</v>
      </c>
      <c r="J445">
        <v>-50408673</v>
      </c>
      <c r="K445">
        <v>70703911</v>
      </c>
      <c r="L445">
        <v>-36466753</v>
      </c>
      <c r="M445">
        <v>-38688645</v>
      </c>
      <c r="N445">
        <v>-39481825</v>
      </c>
      <c r="O445">
        <v>-61915672</v>
      </c>
      <c r="P445">
        <v>718</v>
      </c>
      <c r="Q445" t="s">
        <v>936</v>
      </c>
    </row>
    <row r="446" spans="1:17" x14ac:dyDescent="0.3">
      <c r="A446" t="s">
        <v>17</v>
      </c>
      <c r="B446" t="str">
        <f>"600211"</f>
        <v>600211</v>
      </c>
      <c r="C446" t="s">
        <v>937</v>
      </c>
      <c r="D446" t="s">
        <v>98</v>
      </c>
      <c r="E446">
        <v>191616711</v>
      </c>
      <c r="F446">
        <v>46661673</v>
      </c>
      <c r="G446">
        <v>136178211</v>
      </c>
      <c r="H446">
        <v>127831881</v>
      </c>
      <c r="I446">
        <v>56208081</v>
      </c>
      <c r="J446">
        <v>-8542162</v>
      </c>
      <c r="K446">
        <v>22131931</v>
      </c>
      <c r="L446">
        <v>-32677116</v>
      </c>
      <c r="M446">
        <v>-132442119</v>
      </c>
      <c r="N446">
        <v>-35762879</v>
      </c>
      <c r="O446">
        <v>-6637247</v>
      </c>
      <c r="P446">
        <v>530</v>
      </c>
      <c r="Q446" t="s">
        <v>938</v>
      </c>
    </row>
    <row r="447" spans="1:17" x14ac:dyDescent="0.3">
      <c r="A447" t="s">
        <v>32</v>
      </c>
      <c r="B447" t="str">
        <f>"000672"</f>
        <v>000672</v>
      </c>
      <c r="C447" t="s">
        <v>939</v>
      </c>
      <c r="D447" t="s">
        <v>400</v>
      </c>
      <c r="E447">
        <v>189004775</v>
      </c>
      <c r="F447">
        <v>-48463270</v>
      </c>
      <c r="G447">
        <v>161959653</v>
      </c>
      <c r="H447">
        <v>651917494</v>
      </c>
      <c r="I447">
        <v>161156356</v>
      </c>
      <c r="J447">
        <v>246510602</v>
      </c>
      <c r="K447">
        <v>21524238</v>
      </c>
      <c r="L447">
        <v>58137010</v>
      </c>
      <c r="M447">
        <v>109809004</v>
      </c>
      <c r="N447">
        <v>-2562870</v>
      </c>
      <c r="O447">
        <v>-42538</v>
      </c>
      <c r="P447">
        <v>1263</v>
      </c>
      <c r="Q447" t="s">
        <v>940</v>
      </c>
    </row>
    <row r="448" spans="1:17" x14ac:dyDescent="0.3">
      <c r="A448" t="s">
        <v>32</v>
      </c>
      <c r="B448" t="str">
        <f>"000597"</f>
        <v>000597</v>
      </c>
      <c r="C448" t="s">
        <v>941</v>
      </c>
      <c r="D448" t="s">
        <v>98</v>
      </c>
      <c r="E448">
        <v>187413914</v>
      </c>
      <c r="F448">
        <v>-45415725</v>
      </c>
      <c r="G448">
        <v>-274165004</v>
      </c>
      <c r="H448">
        <v>-192446437</v>
      </c>
      <c r="I448">
        <v>-141453070</v>
      </c>
      <c r="J448">
        <v>68792634</v>
      </c>
      <c r="K448">
        <v>-95921745</v>
      </c>
      <c r="L448">
        <v>-214945505</v>
      </c>
      <c r="M448">
        <v>-111737945</v>
      </c>
      <c r="N448">
        <v>-117061950</v>
      </c>
      <c r="O448">
        <v>-59220447</v>
      </c>
      <c r="P448">
        <v>131</v>
      </c>
      <c r="Q448" t="s">
        <v>942</v>
      </c>
    </row>
    <row r="449" spans="1:17" x14ac:dyDescent="0.3">
      <c r="A449" t="s">
        <v>32</v>
      </c>
      <c r="B449" t="str">
        <f>"300628"</f>
        <v>300628</v>
      </c>
      <c r="C449" t="s">
        <v>943</v>
      </c>
      <c r="D449" t="s">
        <v>57</v>
      </c>
      <c r="E449">
        <v>184839217</v>
      </c>
      <c r="F449">
        <v>140685980</v>
      </c>
      <c r="G449">
        <v>231883974</v>
      </c>
      <c r="H449">
        <v>165412033</v>
      </c>
      <c r="I449">
        <v>130071034</v>
      </c>
      <c r="J449">
        <v>91684207</v>
      </c>
      <c r="K449">
        <v>69078754</v>
      </c>
      <c r="P449">
        <v>2273</v>
      </c>
      <c r="Q449" t="s">
        <v>944</v>
      </c>
    </row>
    <row r="450" spans="1:17" x14ac:dyDescent="0.3">
      <c r="A450" t="s">
        <v>17</v>
      </c>
      <c r="B450" t="str">
        <f>"600837"</f>
        <v>600837</v>
      </c>
      <c r="C450" t="s">
        <v>945</v>
      </c>
      <c r="D450" t="s">
        <v>26</v>
      </c>
      <c r="E450">
        <v>184610537</v>
      </c>
      <c r="F450">
        <v>27745054903</v>
      </c>
      <c r="G450">
        <v>866869062</v>
      </c>
      <c r="H450">
        <v>18861662725</v>
      </c>
      <c r="I450">
        <v>-4914001674</v>
      </c>
      <c r="J450">
        <v>-22710107208</v>
      </c>
      <c r="K450">
        <v>-3620972357</v>
      </c>
      <c r="L450">
        <v>-7830251764</v>
      </c>
      <c r="M450">
        <v>-1268129498</v>
      </c>
      <c r="N450">
        <v>2212221708</v>
      </c>
      <c r="O450">
        <v>9580746740</v>
      </c>
      <c r="P450">
        <v>4976</v>
      </c>
      <c r="Q450" t="s">
        <v>946</v>
      </c>
    </row>
    <row r="451" spans="1:17" x14ac:dyDescent="0.3">
      <c r="A451" t="s">
        <v>17</v>
      </c>
      <c r="B451" t="str">
        <f>"603883"</f>
        <v>603883</v>
      </c>
      <c r="C451" t="s">
        <v>947</v>
      </c>
      <c r="D451" t="s">
        <v>98</v>
      </c>
      <c r="E451">
        <v>184000943</v>
      </c>
      <c r="F451">
        <v>417907690</v>
      </c>
      <c r="G451">
        <v>109523048</v>
      </c>
      <c r="H451">
        <v>81372527</v>
      </c>
      <c r="I451">
        <v>120405727</v>
      </c>
      <c r="J451">
        <v>78382590</v>
      </c>
      <c r="K451">
        <v>40474065</v>
      </c>
      <c r="L451">
        <v>71017496</v>
      </c>
      <c r="M451">
        <v>58799072</v>
      </c>
      <c r="P451">
        <v>868</v>
      </c>
      <c r="Q451" t="s">
        <v>948</v>
      </c>
    </row>
    <row r="452" spans="1:17" x14ac:dyDescent="0.3">
      <c r="A452" t="s">
        <v>17</v>
      </c>
      <c r="B452" t="str">
        <f>"600185"</f>
        <v>600185</v>
      </c>
      <c r="C452" t="s">
        <v>949</v>
      </c>
      <c r="D452" t="s">
        <v>151</v>
      </c>
      <c r="E452">
        <v>183826286</v>
      </c>
      <c r="F452">
        <v>1213497752</v>
      </c>
      <c r="G452">
        <v>-469568826</v>
      </c>
      <c r="H452">
        <v>-102914393</v>
      </c>
      <c r="I452">
        <v>-530612410</v>
      </c>
      <c r="J452">
        <v>-318211878</v>
      </c>
      <c r="K452">
        <v>297080723</v>
      </c>
      <c r="L452">
        <v>-2810290724</v>
      </c>
      <c r="M452">
        <v>-316243148</v>
      </c>
      <c r="N452">
        <v>17176134</v>
      </c>
      <c r="O452">
        <v>-192083320</v>
      </c>
      <c r="P452">
        <v>321</v>
      </c>
      <c r="Q452" t="s">
        <v>950</v>
      </c>
    </row>
    <row r="453" spans="1:17" x14ac:dyDescent="0.3">
      <c r="A453" t="s">
        <v>17</v>
      </c>
      <c r="B453" t="str">
        <f>"605577"</f>
        <v>605577</v>
      </c>
      <c r="C453" t="s">
        <v>951</v>
      </c>
      <c r="D453" t="s">
        <v>245</v>
      </c>
      <c r="E453">
        <v>183057745</v>
      </c>
      <c r="F453">
        <v>-107052006</v>
      </c>
      <c r="G453">
        <v>-138496048</v>
      </c>
      <c r="P453">
        <v>19</v>
      </c>
      <c r="Q453" t="s">
        <v>952</v>
      </c>
    </row>
    <row r="454" spans="1:17" x14ac:dyDescent="0.3">
      <c r="A454" t="s">
        <v>17</v>
      </c>
      <c r="B454" t="str">
        <f>"603298"</f>
        <v>603298</v>
      </c>
      <c r="C454" t="s">
        <v>953</v>
      </c>
      <c r="D454" t="s">
        <v>135</v>
      </c>
      <c r="E454">
        <v>182620564</v>
      </c>
      <c r="F454">
        <v>384755928</v>
      </c>
      <c r="G454">
        <v>-47525173</v>
      </c>
      <c r="H454">
        <v>77195798</v>
      </c>
      <c r="I454">
        <v>-144135934</v>
      </c>
      <c r="J454">
        <v>75206380</v>
      </c>
      <c r="K454">
        <v>201030220</v>
      </c>
      <c r="P454">
        <v>451</v>
      </c>
      <c r="Q454" t="s">
        <v>954</v>
      </c>
    </row>
    <row r="455" spans="1:17" x14ac:dyDescent="0.3">
      <c r="A455" t="s">
        <v>32</v>
      </c>
      <c r="B455" t="str">
        <f>"002062"</f>
        <v>002062</v>
      </c>
      <c r="C455" t="s">
        <v>955</v>
      </c>
      <c r="D455" t="s">
        <v>645</v>
      </c>
      <c r="E455">
        <v>180818236</v>
      </c>
      <c r="F455">
        <v>-86797818</v>
      </c>
      <c r="G455">
        <v>-326895123</v>
      </c>
      <c r="H455">
        <v>-374122691</v>
      </c>
      <c r="I455">
        <v>62187329</v>
      </c>
      <c r="J455">
        <v>105273840</v>
      </c>
      <c r="K455">
        <v>-2906775</v>
      </c>
      <c r="L455">
        <v>254269100</v>
      </c>
      <c r="M455">
        <v>-538076044</v>
      </c>
      <c r="N455">
        <v>136053183</v>
      </c>
      <c r="O455">
        <v>-522523797</v>
      </c>
      <c r="P455">
        <v>145</v>
      </c>
      <c r="Q455" t="s">
        <v>956</v>
      </c>
    </row>
    <row r="456" spans="1:17" x14ac:dyDescent="0.3">
      <c r="A456" t="s">
        <v>32</v>
      </c>
      <c r="B456" t="str">
        <f>"001965"</f>
        <v>001965</v>
      </c>
      <c r="C456" t="s">
        <v>957</v>
      </c>
      <c r="D456" t="s">
        <v>46</v>
      </c>
      <c r="E456">
        <v>180725616</v>
      </c>
      <c r="F456">
        <v>471117078</v>
      </c>
      <c r="G456">
        <v>-35890880</v>
      </c>
      <c r="H456">
        <v>583914908</v>
      </c>
      <c r="I456">
        <v>-62295835</v>
      </c>
      <c r="J456">
        <v>470431818</v>
      </c>
      <c r="P456">
        <v>361</v>
      </c>
      <c r="Q456" t="s">
        <v>958</v>
      </c>
    </row>
    <row r="457" spans="1:17" x14ac:dyDescent="0.3">
      <c r="A457" t="s">
        <v>32</v>
      </c>
      <c r="B457" t="str">
        <f>"002345"</f>
        <v>002345</v>
      </c>
      <c r="C457" t="s">
        <v>959</v>
      </c>
      <c r="D457" t="s">
        <v>130</v>
      </c>
      <c r="E457">
        <v>180612680</v>
      </c>
      <c r="F457">
        <v>-54273895</v>
      </c>
      <c r="G457">
        <v>37596050</v>
      </c>
      <c r="H457">
        <v>79028975</v>
      </c>
      <c r="I457">
        <v>2454069</v>
      </c>
      <c r="J457">
        <v>159038929</v>
      </c>
      <c r="K457">
        <v>138699885</v>
      </c>
      <c r="L457">
        <v>63293919</v>
      </c>
      <c r="M457">
        <v>75475634</v>
      </c>
      <c r="N457">
        <v>166231381</v>
      </c>
      <c r="O457">
        <v>24321886</v>
      </c>
      <c r="P457">
        <v>137</v>
      </c>
      <c r="Q457" t="s">
        <v>960</v>
      </c>
    </row>
    <row r="458" spans="1:17" x14ac:dyDescent="0.3">
      <c r="A458" t="s">
        <v>17</v>
      </c>
      <c r="B458" t="str">
        <f>"600759"</f>
        <v>600759</v>
      </c>
      <c r="C458" t="s">
        <v>961</v>
      </c>
      <c r="D458" t="s">
        <v>64</v>
      </c>
      <c r="E458">
        <v>179637453</v>
      </c>
      <c r="F458">
        <v>73773680</v>
      </c>
      <c r="G458">
        <v>187855622</v>
      </c>
      <c r="H458">
        <v>116808518</v>
      </c>
      <c r="I458">
        <v>244624227</v>
      </c>
      <c r="J458">
        <v>79652069</v>
      </c>
      <c r="K458">
        <v>43748750</v>
      </c>
      <c r="L458">
        <v>-51270729</v>
      </c>
      <c r="M458">
        <v>113854173</v>
      </c>
      <c r="N458">
        <v>6544975</v>
      </c>
      <c r="O458">
        <v>12860169</v>
      </c>
      <c r="P458">
        <v>125</v>
      </c>
      <c r="Q458" t="s">
        <v>962</v>
      </c>
    </row>
    <row r="459" spans="1:17" x14ac:dyDescent="0.3">
      <c r="A459" t="s">
        <v>17</v>
      </c>
      <c r="B459" t="str">
        <f>"600982"</f>
        <v>600982</v>
      </c>
      <c r="C459" t="s">
        <v>963</v>
      </c>
      <c r="D459" t="s">
        <v>158</v>
      </c>
      <c r="E459">
        <v>178936103</v>
      </c>
      <c r="F459">
        <v>-53819894</v>
      </c>
      <c r="G459">
        <v>174086959</v>
      </c>
      <c r="H459">
        <v>-43527424</v>
      </c>
      <c r="I459">
        <v>-46433014</v>
      </c>
      <c r="J459">
        <v>-45963631</v>
      </c>
      <c r="K459">
        <v>-247363616</v>
      </c>
      <c r="L459">
        <v>-82709578</v>
      </c>
      <c r="M459">
        <v>-499441</v>
      </c>
      <c r="N459">
        <v>75338569</v>
      </c>
      <c r="O459">
        <v>-10942166</v>
      </c>
      <c r="P459">
        <v>135</v>
      </c>
      <c r="Q459" t="s">
        <v>964</v>
      </c>
    </row>
    <row r="460" spans="1:17" x14ac:dyDescent="0.3">
      <c r="A460" t="s">
        <v>32</v>
      </c>
      <c r="B460" t="str">
        <f>"300094"</f>
        <v>300094</v>
      </c>
      <c r="C460" t="s">
        <v>965</v>
      </c>
      <c r="D460" t="s">
        <v>175</v>
      </c>
      <c r="E460">
        <v>178316369</v>
      </c>
      <c r="F460">
        <v>150074700</v>
      </c>
      <c r="G460">
        <v>-480647682</v>
      </c>
      <c r="H460">
        <v>-321024533</v>
      </c>
      <c r="I460">
        <v>-118656954</v>
      </c>
      <c r="J460">
        <v>31950258</v>
      </c>
      <c r="K460">
        <v>108201082</v>
      </c>
      <c r="L460">
        <v>12765269</v>
      </c>
      <c r="M460">
        <v>68339827</v>
      </c>
      <c r="N460">
        <v>6613349</v>
      </c>
      <c r="O460">
        <v>-1206244</v>
      </c>
      <c r="P460">
        <v>123</v>
      </c>
      <c r="Q460" t="s">
        <v>966</v>
      </c>
    </row>
    <row r="461" spans="1:17" x14ac:dyDescent="0.3">
      <c r="A461" t="s">
        <v>32</v>
      </c>
      <c r="B461" t="str">
        <f>"002434"</f>
        <v>002434</v>
      </c>
      <c r="C461" t="s">
        <v>967</v>
      </c>
      <c r="D461" t="s">
        <v>199</v>
      </c>
      <c r="E461">
        <v>178122128</v>
      </c>
      <c r="F461">
        <v>220668426</v>
      </c>
      <c r="G461">
        <v>331608906</v>
      </c>
      <c r="H461">
        <v>343444647</v>
      </c>
      <c r="I461">
        <v>-46517764</v>
      </c>
      <c r="J461">
        <v>297191721</v>
      </c>
      <c r="K461">
        <v>-103517881</v>
      </c>
      <c r="L461">
        <v>-34851177</v>
      </c>
      <c r="M461">
        <v>-50444880</v>
      </c>
      <c r="N461">
        <v>47667690</v>
      </c>
      <c r="O461">
        <v>-26239248</v>
      </c>
      <c r="P461">
        <v>238</v>
      </c>
      <c r="Q461" t="s">
        <v>968</v>
      </c>
    </row>
    <row r="462" spans="1:17" x14ac:dyDescent="0.3">
      <c r="A462" t="s">
        <v>32</v>
      </c>
      <c r="B462" t="str">
        <f>"002395"</f>
        <v>002395</v>
      </c>
      <c r="C462" t="s">
        <v>969</v>
      </c>
      <c r="D462" t="s">
        <v>144</v>
      </c>
      <c r="E462">
        <v>178100886</v>
      </c>
      <c r="F462">
        <v>-118623241</v>
      </c>
      <c r="G462">
        <v>-11276927</v>
      </c>
      <c r="H462">
        <v>-61998023</v>
      </c>
      <c r="I462">
        <v>-36472792</v>
      </c>
      <c r="J462">
        <v>-74239543</v>
      </c>
      <c r="K462">
        <v>-12104069</v>
      </c>
      <c r="L462">
        <v>16679695</v>
      </c>
      <c r="M462">
        <v>-113712504</v>
      </c>
      <c r="N462">
        <v>-49713804</v>
      </c>
      <c r="O462">
        <v>-25665294</v>
      </c>
      <c r="P462">
        <v>59</v>
      </c>
      <c r="Q462" t="s">
        <v>970</v>
      </c>
    </row>
    <row r="463" spans="1:17" x14ac:dyDescent="0.3">
      <c r="A463" t="s">
        <v>32</v>
      </c>
      <c r="B463" t="str">
        <f>"300058"</f>
        <v>300058</v>
      </c>
      <c r="C463" t="s">
        <v>971</v>
      </c>
      <c r="D463" t="s">
        <v>245</v>
      </c>
      <c r="E463">
        <v>176232123</v>
      </c>
      <c r="F463">
        <v>167383582</v>
      </c>
      <c r="G463">
        <v>95194334</v>
      </c>
      <c r="H463">
        <v>94364542</v>
      </c>
      <c r="I463">
        <v>-97871859</v>
      </c>
      <c r="J463">
        <v>28195242</v>
      </c>
      <c r="K463">
        <v>-147495718</v>
      </c>
      <c r="L463">
        <v>69532641</v>
      </c>
      <c r="M463">
        <v>261638777</v>
      </c>
      <c r="N463">
        <v>44372343</v>
      </c>
      <c r="O463">
        <v>10023023</v>
      </c>
      <c r="P463">
        <v>457</v>
      </c>
      <c r="Q463" t="s">
        <v>972</v>
      </c>
    </row>
    <row r="464" spans="1:17" x14ac:dyDescent="0.3">
      <c r="A464" t="s">
        <v>32</v>
      </c>
      <c r="B464" t="str">
        <f>"002773"</f>
        <v>002773</v>
      </c>
      <c r="C464" t="s">
        <v>973</v>
      </c>
      <c r="D464" t="s">
        <v>98</v>
      </c>
      <c r="E464">
        <v>175019745</v>
      </c>
      <c r="F464">
        <v>8426847</v>
      </c>
      <c r="G464">
        <v>-194996556</v>
      </c>
      <c r="H464">
        <v>-76290718</v>
      </c>
      <c r="I464">
        <v>-77047945</v>
      </c>
      <c r="J464">
        <v>36864085</v>
      </c>
      <c r="K464">
        <v>-89298846</v>
      </c>
      <c r="L464">
        <v>-152473700</v>
      </c>
      <c r="M464">
        <v>-159654600</v>
      </c>
      <c r="P464">
        <v>5281</v>
      </c>
      <c r="Q464" t="s">
        <v>974</v>
      </c>
    </row>
    <row r="465" spans="1:17" x14ac:dyDescent="0.3">
      <c r="A465" t="s">
        <v>17</v>
      </c>
      <c r="B465" t="str">
        <f>"601100"</f>
        <v>601100</v>
      </c>
      <c r="C465" t="s">
        <v>975</v>
      </c>
      <c r="D465" t="s">
        <v>135</v>
      </c>
      <c r="E465">
        <v>174941996</v>
      </c>
      <c r="F465">
        <v>222046956</v>
      </c>
      <c r="G465">
        <v>141545180</v>
      </c>
      <c r="H465">
        <v>67100520</v>
      </c>
      <c r="I465">
        <v>-58618336</v>
      </c>
      <c r="J465">
        <v>-125364847</v>
      </c>
      <c r="K465">
        <v>-80903572</v>
      </c>
      <c r="L465">
        <v>-63247308</v>
      </c>
      <c r="M465">
        <v>-75839878</v>
      </c>
      <c r="N465">
        <v>-149402602</v>
      </c>
      <c r="O465">
        <v>-13842238</v>
      </c>
      <c r="P465">
        <v>1784</v>
      </c>
      <c r="Q465" t="s">
        <v>976</v>
      </c>
    </row>
    <row r="466" spans="1:17" x14ac:dyDescent="0.3">
      <c r="A466" t="s">
        <v>32</v>
      </c>
      <c r="B466" t="str">
        <f>"300228"</f>
        <v>300228</v>
      </c>
      <c r="C466" t="s">
        <v>977</v>
      </c>
      <c r="D466" t="s">
        <v>135</v>
      </c>
      <c r="E466">
        <v>173520966</v>
      </c>
      <c r="F466">
        <v>16198612</v>
      </c>
      <c r="G466">
        <v>-73420381</v>
      </c>
      <c r="H466">
        <v>13504916</v>
      </c>
      <c r="I466">
        <v>32827641</v>
      </c>
      <c r="J466">
        <v>44821658</v>
      </c>
      <c r="K466">
        <v>-250566869</v>
      </c>
      <c r="L466">
        <v>-74337715</v>
      </c>
      <c r="M466">
        <v>-128143166</v>
      </c>
      <c r="N466">
        <v>-242762292</v>
      </c>
      <c r="O466">
        <v>-85331631</v>
      </c>
      <c r="P466">
        <v>128</v>
      </c>
      <c r="Q466" t="s">
        <v>978</v>
      </c>
    </row>
    <row r="467" spans="1:17" x14ac:dyDescent="0.3">
      <c r="A467" t="s">
        <v>32</v>
      </c>
      <c r="B467" t="str">
        <f>"000655"</f>
        <v>000655</v>
      </c>
      <c r="C467" t="s">
        <v>979</v>
      </c>
      <c r="D467" t="s">
        <v>163</v>
      </c>
      <c r="E467">
        <v>173442228</v>
      </c>
      <c r="F467">
        <v>223407598</v>
      </c>
      <c r="G467">
        <v>75927639</v>
      </c>
      <c r="H467">
        <v>58919793</v>
      </c>
      <c r="I467">
        <v>261712062</v>
      </c>
      <c r="J467">
        <v>37815779</v>
      </c>
      <c r="K467">
        <v>-56783570</v>
      </c>
      <c r="L467">
        <v>-210655</v>
      </c>
      <c r="M467">
        <v>21770470</v>
      </c>
      <c r="N467">
        <v>169675912</v>
      </c>
      <c r="O467">
        <v>268774968</v>
      </c>
      <c r="P467">
        <v>145</v>
      </c>
      <c r="Q467" t="s">
        <v>980</v>
      </c>
    </row>
    <row r="468" spans="1:17" x14ac:dyDescent="0.3">
      <c r="A468" t="s">
        <v>17</v>
      </c>
      <c r="B468" t="str">
        <f>"603717"</f>
        <v>603717</v>
      </c>
      <c r="C468" t="s">
        <v>981</v>
      </c>
      <c r="D468" t="s">
        <v>645</v>
      </c>
      <c r="E468">
        <v>172005774</v>
      </c>
      <c r="F468">
        <v>-25602512</v>
      </c>
      <c r="G468">
        <v>-67056556</v>
      </c>
      <c r="H468">
        <v>-65192932</v>
      </c>
      <c r="I468">
        <v>-117882831</v>
      </c>
      <c r="J468">
        <v>-151603112</v>
      </c>
      <c r="K468">
        <v>-20305474</v>
      </c>
      <c r="P468">
        <v>55</v>
      </c>
      <c r="Q468" t="s">
        <v>982</v>
      </c>
    </row>
    <row r="469" spans="1:17" x14ac:dyDescent="0.3">
      <c r="A469" t="s">
        <v>32</v>
      </c>
      <c r="B469" t="str">
        <f>"002270"</f>
        <v>002270</v>
      </c>
      <c r="C469" t="s">
        <v>983</v>
      </c>
      <c r="D469" t="s">
        <v>464</v>
      </c>
      <c r="E469">
        <v>171630580</v>
      </c>
      <c r="F469">
        <v>30352730</v>
      </c>
      <c r="G469">
        <v>108785637</v>
      </c>
      <c r="H469">
        <v>-102447897</v>
      </c>
      <c r="I469">
        <v>-3306548</v>
      </c>
      <c r="J469">
        <v>-110656949</v>
      </c>
      <c r="K469">
        <v>2552261</v>
      </c>
      <c r="L469">
        <v>8247798</v>
      </c>
      <c r="M469">
        <v>-10376812</v>
      </c>
      <c r="N469">
        <v>6270359</v>
      </c>
      <c r="O469">
        <v>-15538819</v>
      </c>
      <c r="P469">
        <v>160</v>
      </c>
      <c r="Q469" t="s">
        <v>984</v>
      </c>
    </row>
    <row r="470" spans="1:17" x14ac:dyDescent="0.3">
      <c r="A470" t="s">
        <v>32</v>
      </c>
      <c r="B470" t="str">
        <f>"002497"</f>
        <v>002497</v>
      </c>
      <c r="C470" t="s">
        <v>985</v>
      </c>
      <c r="D470" t="s">
        <v>144</v>
      </c>
      <c r="E470">
        <v>170224228</v>
      </c>
      <c r="F470">
        <v>-92816069</v>
      </c>
      <c r="G470">
        <v>385514</v>
      </c>
      <c r="H470">
        <v>-122584320</v>
      </c>
      <c r="I470">
        <v>-70276753</v>
      </c>
      <c r="J470">
        <v>-30006556</v>
      </c>
      <c r="K470">
        <v>-129993470</v>
      </c>
      <c r="L470">
        <v>-44206387</v>
      </c>
      <c r="M470">
        <v>1685623</v>
      </c>
      <c r="N470">
        <v>-2246441</v>
      </c>
      <c r="O470">
        <v>-9989105</v>
      </c>
      <c r="P470">
        <v>481</v>
      </c>
      <c r="Q470" t="s">
        <v>986</v>
      </c>
    </row>
    <row r="471" spans="1:17" x14ac:dyDescent="0.3">
      <c r="A471" t="s">
        <v>32</v>
      </c>
      <c r="B471" t="str">
        <f>"000571"</f>
        <v>000571</v>
      </c>
      <c r="C471" t="s">
        <v>987</v>
      </c>
      <c r="D471" t="s">
        <v>73</v>
      </c>
      <c r="E471">
        <v>169525344</v>
      </c>
      <c r="F471">
        <v>-19676912</v>
      </c>
      <c r="G471">
        <v>48805484</v>
      </c>
      <c r="H471">
        <v>-19474587</v>
      </c>
      <c r="I471">
        <v>-26256155</v>
      </c>
      <c r="J471">
        <v>85789931</v>
      </c>
      <c r="K471">
        <v>224937634</v>
      </c>
      <c r="L471">
        <v>-104103621</v>
      </c>
      <c r="M471">
        <v>-79239294</v>
      </c>
      <c r="N471">
        <v>-69008746</v>
      </c>
      <c r="O471">
        <v>-51624317</v>
      </c>
      <c r="P471">
        <v>72</v>
      </c>
      <c r="Q471" t="s">
        <v>988</v>
      </c>
    </row>
    <row r="472" spans="1:17" x14ac:dyDescent="0.3">
      <c r="A472" t="s">
        <v>17</v>
      </c>
      <c r="B472" t="str">
        <f>"688317"</f>
        <v>688317</v>
      </c>
      <c r="C472" t="s">
        <v>989</v>
      </c>
      <c r="D472" t="s">
        <v>98</v>
      </c>
      <c r="E472">
        <v>169264141</v>
      </c>
      <c r="F472">
        <v>-65691374</v>
      </c>
      <c r="G472">
        <v>130960826</v>
      </c>
      <c r="P472">
        <v>120</v>
      </c>
      <c r="Q472" t="s">
        <v>990</v>
      </c>
    </row>
    <row r="473" spans="1:17" x14ac:dyDescent="0.3">
      <c r="A473" t="s">
        <v>32</v>
      </c>
      <c r="B473" t="str">
        <f>"000151"</f>
        <v>000151</v>
      </c>
      <c r="C473" t="s">
        <v>991</v>
      </c>
      <c r="D473" t="s">
        <v>218</v>
      </c>
      <c r="E473">
        <v>169191789</v>
      </c>
      <c r="F473">
        <v>-36163758</v>
      </c>
      <c r="G473">
        <v>-126738626</v>
      </c>
      <c r="H473">
        <v>-53050034</v>
      </c>
      <c r="I473">
        <v>110385572</v>
      </c>
      <c r="J473">
        <v>326211431</v>
      </c>
      <c r="K473">
        <v>-133912702</v>
      </c>
      <c r="L473">
        <v>-61110362</v>
      </c>
      <c r="M473">
        <v>237031738</v>
      </c>
      <c r="N473">
        <v>-51424205</v>
      </c>
      <c r="O473">
        <v>-114000035</v>
      </c>
      <c r="P473">
        <v>95</v>
      </c>
      <c r="Q473" t="s">
        <v>992</v>
      </c>
    </row>
    <row r="474" spans="1:17" x14ac:dyDescent="0.3">
      <c r="A474" t="s">
        <v>32</v>
      </c>
      <c r="B474" t="str">
        <f>"002511"</f>
        <v>002511</v>
      </c>
      <c r="C474" t="s">
        <v>993</v>
      </c>
      <c r="D474" t="s">
        <v>544</v>
      </c>
      <c r="E474">
        <v>168714494</v>
      </c>
      <c r="F474">
        <v>166709191</v>
      </c>
      <c r="G474">
        <v>223336937</v>
      </c>
      <c r="H474">
        <v>367386421</v>
      </c>
      <c r="I474">
        <v>-358328104</v>
      </c>
      <c r="J474">
        <v>-195349017</v>
      </c>
      <c r="K474">
        <v>-63725510</v>
      </c>
      <c r="L474">
        <v>114924992</v>
      </c>
      <c r="M474">
        <v>-56681729</v>
      </c>
      <c r="N474">
        <v>-383095021</v>
      </c>
      <c r="O474">
        <v>-122087996</v>
      </c>
      <c r="P474">
        <v>2513</v>
      </c>
      <c r="Q474" t="s">
        <v>994</v>
      </c>
    </row>
    <row r="475" spans="1:17" x14ac:dyDescent="0.3">
      <c r="A475" t="s">
        <v>17</v>
      </c>
      <c r="B475" t="str">
        <f>"603518"</f>
        <v>603518</v>
      </c>
      <c r="C475" t="s">
        <v>995</v>
      </c>
      <c r="D475" t="s">
        <v>130</v>
      </c>
      <c r="E475">
        <v>167763462</v>
      </c>
      <c r="F475">
        <v>149809916</v>
      </c>
      <c r="G475">
        <v>258767383</v>
      </c>
      <c r="H475">
        <v>151323894</v>
      </c>
      <c r="I475">
        <v>51221465</v>
      </c>
      <c r="J475">
        <v>-40807862</v>
      </c>
      <c r="K475">
        <v>29641324</v>
      </c>
      <c r="L475">
        <v>48754631</v>
      </c>
      <c r="M475">
        <v>32230905</v>
      </c>
      <c r="P475">
        <v>205</v>
      </c>
      <c r="Q475" t="s">
        <v>996</v>
      </c>
    </row>
    <row r="476" spans="1:17" x14ac:dyDescent="0.3">
      <c r="A476" t="s">
        <v>32</v>
      </c>
      <c r="B476" t="str">
        <f>"300409"</f>
        <v>300409</v>
      </c>
      <c r="C476" t="s">
        <v>997</v>
      </c>
      <c r="D476" t="s">
        <v>464</v>
      </c>
      <c r="E476">
        <v>167272890</v>
      </c>
      <c r="F476">
        <v>-170043036</v>
      </c>
      <c r="G476">
        <v>2981093</v>
      </c>
      <c r="H476">
        <v>46444268</v>
      </c>
      <c r="I476">
        <v>-298347034</v>
      </c>
      <c r="J476">
        <v>24664529</v>
      </c>
      <c r="K476">
        <v>-48872802</v>
      </c>
      <c r="L476">
        <v>-65645531</v>
      </c>
      <c r="M476">
        <v>-39730860</v>
      </c>
      <c r="P476">
        <v>241</v>
      </c>
      <c r="Q476" t="s">
        <v>998</v>
      </c>
    </row>
    <row r="477" spans="1:17" x14ac:dyDescent="0.3">
      <c r="A477" t="s">
        <v>17</v>
      </c>
      <c r="B477" t="str">
        <f>"600664"</f>
        <v>600664</v>
      </c>
      <c r="C477" t="s">
        <v>999</v>
      </c>
      <c r="D477" t="s">
        <v>98</v>
      </c>
      <c r="E477">
        <v>166870908</v>
      </c>
      <c r="F477">
        <v>-187515446</v>
      </c>
      <c r="G477">
        <v>-20277405</v>
      </c>
      <c r="H477">
        <v>-182440614</v>
      </c>
      <c r="I477">
        <v>134011110</v>
      </c>
      <c r="J477">
        <v>79262615</v>
      </c>
      <c r="K477">
        <v>1006537055</v>
      </c>
      <c r="L477">
        <v>-314001273</v>
      </c>
      <c r="M477">
        <v>-137510087</v>
      </c>
      <c r="N477">
        <v>48762460</v>
      </c>
      <c r="O477">
        <v>530999304</v>
      </c>
      <c r="P477">
        <v>499</v>
      </c>
      <c r="Q477" t="s">
        <v>1000</v>
      </c>
    </row>
    <row r="478" spans="1:17" x14ac:dyDescent="0.3">
      <c r="A478" t="s">
        <v>32</v>
      </c>
      <c r="B478" t="str">
        <f>"000717"</f>
        <v>000717</v>
      </c>
      <c r="C478" t="s">
        <v>1001</v>
      </c>
      <c r="D478" t="s">
        <v>163</v>
      </c>
      <c r="E478">
        <v>164751183</v>
      </c>
      <c r="F478">
        <v>1341786488</v>
      </c>
      <c r="G478">
        <v>-362503606</v>
      </c>
      <c r="H478">
        <v>293061879</v>
      </c>
      <c r="I478">
        <v>-332028384</v>
      </c>
      <c r="J478">
        <v>-709328622</v>
      </c>
      <c r="K478">
        <v>-574434956</v>
      </c>
      <c r="L478">
        <v>-936236159</v>
      </c>
      <c r="M478">
        <v>-1040085090</v>
      </c>
      <c r="N478">
        <v>386374819</v>
      </c>
      <c r="O478">
        <v>-580807724</v>
      </c>
      <c r="P478">
        <v>681</v>
      </c>
      <c r="Q478" t="s">
        <v>1002</v>
      </c>
    </row>
    <row r="479" spans="1:17" x14ac:dyDescent="0.3">
      <c r="A479" t="s">
        <v>32</v>
      </c>
      <c r="B479" t="str">
        <f>"000751"</f>
        <v>000751</v>
      </c>
      <c r="C479" t="s">
        <v>1003</v>
      </c>
      <c r="D479" t="s">
        <v>121</v>
      </c>
      <c r="E479">
        <v>164117480</v>
      </c>
      <c r="F479">
        <v>-15464038</v>
      </c>
      <c r="G479">
        <v>-311052180</v>
      </c>
      <c r="H479">
        <v>34847708</v>
      </c>
      <c r="I479">
        <v>-410970261</v>
      </c>
      <c r="J479">
        <v>-310765928</v>
      </c>
      <c r="K479">
        <v>170243493</v>
      </c>
      <c r="L479">
        <v>-69710248</v>
      </c>
      <c r="M479">
        <v>-188928169</v>
      </c>
      <c r="N479">
        <v>-2901765</v>
      </c>
      <c r="O479">
        <v>467095917</v>
      </c>
      <c r="P479">
        <v>128</v>
      </c>
      <c r="Q479" t="s">
        <v>1004</v>
      </c>
    </row>
    <row r="480" spans="1:17" x14ac:dyDescent="0.3">
      <c r="A480" t="s">
        <v>32</v>
      </c>
      <c r="B480" t="str">
        <f>"002275"</f>
        <v>002275</v>
      </c>
      <c r="C480" t="s">
        <v>1005</v>
      </c>
      <c r="D480" t="s">
        <v>98</v>
      </c>
      <c r="E480">
        <v>163892648</v>
      </c>
      <c r="F480">
        <v>193099340</v>
      </c>
      <c r="G480">
        <v>125139633</v>
      </c>
      <c r="H480">
        <v>145007583</v>
      </c>
      <c r="I480">
        <v>73989434</v>
      </c>
      <c r="J480">
        <v>-8048480</v>
      </c>
      <c r="K480">
        <v>36650604</v>
      </c>
      <c r="L480">
        <v>19067111</v>
      </c>
      <c r="M480">
        <v>73691024</v>
      </c>
      <c r="N480">
        <v>-24848000</v>
      </c>
      <c r="O480">
        <v>-43639683</v>
      </c>
      <c r="P480">
        <v>11978</v>
      </c>
      <c r="Q480" t="s">
        <v>1006</v>
      </c>
    </row>
    <row r="481" spans="1:17" x14ac:dyDescent="0.3">
      <c r="A481" t="s">
        <v>32</v>
      </c>
      <c r="B481" t="str">
        <f>"300459"</f>
        <v>300459</v>
      </c>
      <c r="C481" t="s">
        <v>1007</v>
      </c>
      <c r="D481" t="s">
        <v>245</v>
      </c>
      <c r="E481">
        <v>162783255</v>
      </c>
      <c r="F481">
        <v>263267881</v>
      </c>
      <c r="G481">
        <v>438360040</v>
      </c>
      <c r="H481">
        <v>217982987</v>
      </c>
      <c r="I481">
        <v>-230059052</v>
      </c>
      <c r="J481">
        <v>-7490924</v>
      </c>
      <c r="K481">
        <v>5015395</v>
      </c>
      <c r="L481">
        <v>20577500</v>
      </c>
      <c r="M481">
        <v>13585100</v>
      </c>
      <c r="P481">
        <v>288</v>
      </c>
      <c r="Q481" t="s">
        <v>1008</v>
      </c>
    </row>
    <row r="482" spans="1:17" x14ac:dyDescent="0.3">
      <c r="A482" t="s">
        <v>32</v>
      </c>
      <c r="B482" t="str">
        <f>"000761"</f>
        <v>000761</v>
      </c>
      <c r="C482" t="s">
        <v>1009</v>
      </c>
      <c r="D482" t="s">
        <v>163</v>
      </c>
      <c r="E482">
        <v>162032650</v>
      </c>
      <c r="F482">
        <v>-1387457946</v>
      </c>
      <c r="G482">
        <v>460514529</v>
      </c>
      <c r="H482">
        <v>2539110832</v>
      </c>
      <c r="I482">
        <v>-9239354894</v>
      </c>
      <c r="J482">
        <v>-3909497510</v>
      </c>
      <c r="K482">
        <v>2102714761</v>
      </c>
      <c r="L482">
        <v>-2263035</v>
      </c>
      <c r="M482">
        <v>-1762480418</v>
      </c>
      <c r="N482">
        <v>-1031985792</v>
      </c>
      <c r="O482">
        <v>22244861</v>
      </c>
      <c r="P482">
        <v>237</v>
      </c>
      <c r="Q482" t="s">
        <v>1010</v>
      </c>
    </row>
    <row r="483" spans="1:17" x14ac:dyDescent="0.3">
      <c r="A483" t="s">
        <v>17</v>
      </c>
      <c r="B483" t="str">
        <f>"600995"</f>
        <v>600995</v>
      </c>
      <c r="C483" t="s">
        <v>1011</v>
      </c>
      <c r="D483" t="s">
        <v>158</v>
      </c>
      <c r="E483">
        <v>161927628</v>
      </c>
      <c r="F483">
        <v>104963937</v>
      </c>
      <c r="G483">
        <v>112783856</v>
      </c>
      <c r="H483">
        <v>199501175</v>
      </c>
      <c r="I483">
        <v>200119220</v>
      </c>
      <c r="J483">
        <v>140993459</v>
      </c>
      <c r="K483">
        <v>127443851</v>
      </c>
      <c r="L483">
        <v>109006999</v>
      </c>
      <c r="M483">
        <v>9408608</v>
      </c>
      <c r="N483">
        <v>-108823059</v>
      </c>
      <c r="O483">
        <v>-32696099</v>
      </c>
      <c r="P483">
        <v>267</v>
      </c>
      <c r="Q483" t="s">
        <v>1012</v>
      </c>
    </row>
    <row r="484" spans="1:17" x14ac:dyDescent="0.3">
      <c r="A484" t="s">
        <v>17</v>
      </c>
      <c r="B484" t="str">
        <f>"601801"</f>
        <v>601801</v>
      </c>
      <c r="C484" t="s">
        <v>1013</v>
      </c>
      <c r="D484" t="s">
        <v>245</v>
      </c>
      <c r="E484">
        <v>161812837</v>
      </c>
      <c r="F484">
        <v>8462861</v>
      </c>
      <c r="G484">
        <v>-266520047</v>
      </c>
      <c r="H484">
        <v>-70843627</v>
      </c>
      <c r="I484">
        <v>437581095</v>
      </c>
      <c r="J484">
        <v>174051039</v>
      </c>
      <c r="K484">
        <v>-34126372</v>
      </c>
      <c r="L484">
        <v>-28134083</v>
      </c>
      <c r="M484">
        <v>103459489</v>
      </c>
      <c r="N484">
        <v>-32497669</v>
      </c>
      <c r="O484">
        <v>203826595</v>
      </c>
      <c r="P484">
        <v>267</v>
      </c>
      <c r="Q484" t="s">
        <v>1014</v>
      </c>
    </row>
    <row r="485" spans="1:17" x14ac:dyDescent="0.3">
      <c r="A485" t="s">
        <v>32</v>
      </c>
      <c r="B485" t="str">
        <f>"000923"</f>
        <v>000923</v>
      </c>
      <c r="C485" t="s">
        <v>1015</v>
      </c>
      <c r="D485" t="s">
        <v>163</v>
      </c>
      <c r="E485">
        <v>161809560</v>
      </c>
      <c r="F485">
        <v>588677896</v>
      </c>
      <c r="G485">
        <v>-339175015</v>
      </c>
      <c r="H485">
        <v>-198886481</v>
      </c>
      <c r="I485">
        <v>-181500058</v>
      </c>
      <c r="J485">
        <v>-94452279</v>
      </c>
      <c r="K485">
        <v>-6277459</v>
      </c>
      <c r="L485">
        <v>-20394527</v>
      </c>
      <c r="M485">
        <v>50193804</v>
      </c>
      <c r="N485">
        <v>-111099404</v>
      </c>
      <c r="O485">
        <v>-71695899</v>
      </c>
      <c r="P485">
        <v>224</v>
      </c>
      <c r="Q485" t="s">
        <v>1016</v>
      </c>
    </row>
    <row r="486" spans="1:17" x14ac:dyDescent="0.3">
      <c r="A486" t="s">
        <v>17</v>
      </c>
      <c r="B486" t="str">
        <f>"600780"</f>
        <v>600780</v>
      </c>
      <c r="C486" t="s">
        <v>1017</v>
      </c>
      <c r="D486" t="s">
        <v>158</v>
      </c>
      <c r="E486">
        <v>160636995</v>
      </c>
      <c r="F486">
        <v>135568816</v>
      </c>
      <c r="G486">
        <v>223408672</v>
      </c>
      <c r="H486">
        <v>85912634</v>
      </c>
      <c r="I486">
        <v>66901197</v>
      </c>
      <c r="J486">
        <v>8645354</v>
      </c>
      <c r="K486">
        <v>110738750</v>
      </c>
      <c r="L486">
        <v>-186616956</v>
      </c>
      <c r="M486">
        <v>-92318525</v>
      </c>
      <c r="N486">
        <v>148765424</v>
      </c>
      <c r="O486">
        <v>-33819188</v>
      </c>
      <c r="P486">
        <v>108</v>
      </c>
      <c r="Q486" t="s">
        <v>1018</v>
      </c>
    </row>
    <row r="487" spans="1:17" x14ac:dyDescent="0.3">
      <c r="A487" t="s">
        <v>32</v>
      </c>
      <c r="B487" t="str">
        <f>"002218"</f>
        <v>002218</v>
      </c>
      <c r="C487" t="s">
        <v>1019</v>
      </c>
      <c r="D487" t="s">
        <v>464</v>
      </c>
      <c r="E487">
        <v>160191210</v>
      </c>
      <c r="F487">
        <v>-20996454</v>
      </c>
      <c r="G487">
        <v>-69478925</v>
      </c>
      <c r="H487">
        <v>204744455</v>
      </c>
      <c r="I487">
        <v>-71197604</v>
      </c>
      <c r="J487">
        <v>-100012401</v>
      </c>
      <c r="K487">
        <v>-139513349</v>
      </c>
      <c r="L487">
        <v>-148998366</v>
      </c>
      <c r="M487">
        <v>-103928200</v>
      </c>
      <c r="N487">
        <v>-29353554</v>
      </c>
      <c r="O487">
        <v>-6124389</v>
      </c>
      <c r="P487">
        <v>218</v>
      </c>
      <c r="Q487" t="s">
        <v>1020</v>
      </c>
    </row>
    <row r="488" spans="1:17" x14ac:dyDescent="0.3">
      <c r="A488" t="s">
        <v>17</v>
      </c>
      <c r="B488" t="str">
        <f>"605399"</f>
        <v>605399</v>
      </c>
      <c r="C488" t="s">
        <v>1021</v>
      </c>
      <c r="D488" t="s">
        <v>144</v>
      </c>
      <c r="E488">
        <v>159950988</v>
      </c>
      <c r="F488">
        <v>23869329</v>
      </c>
      <c r="G488">
        <v>-17297204</v>
      </c>
      <c r="H488">
        <v>-4845804</v>
      </c>
      <c r="P488">
        <v>126</v>
      </c>
      <c r="Q488" t="s">
        <v>1022</v>
      </c>
    </row>
    <row r="489" spans="1:17" x14ac:dyDescent="0.3">
      <c r="A489" t="s">
        <v>32</v>
      </c>
      <c r="B489" t="str">
        <f>"000718"</f>
        <v>000718</v>
      </c>
      <c r="C489" t="s">
        <v>1023</v>
      </c>
      <c r="D489" t="s">
        <v>151</v>
      </c>
      <c r="E489">
        <v>158522551</v>
      </c>
      <c r="F489">
        <v>-1325804</v>
      </c>
      <c r="G489">
        <v>-282670328</v>
      </c>
      <c r="H489">
        <v>-371715185</v>
      </c>
      <c r="I489">
        <v>-226076528</v>
      </c>
      <c r="J489">
        <v>398427373</v>
      </c>
      <c r="K489">
        <v>786890204</v>
      </c>
      <c r="L489">
        <v>185331422</v>
      </c>
      <c r="M489">
        <v>-650647812</v>
      </c>
      <c r="N489">
        <v>352212358</v>
      </c>
      <c r="O489">
        <v>397389468</v>
      </c>
      <c r="P489">
        <v>659</v>
      </c>
      <c r="Q489" t="s">
        <v>1024</v>
      </c>
    </row>
    <row r="490" spans="1:17" x14ac:dyDescent="0.3">
      <c r="A490" t="s">
        <v>32</v>
      </c>
      <c r="B490" t="str">
        <f>"000019"</f>
        <v>000019</v>
      </c>
      <c r="C490" t="s">
        <v>1025</v>
      </c>
      <c r="D490" t="s">
        <v>175</v>
      </c>
      <c r="E490">
        <v>157810153</v>
      </c>
      <c r="F490">
        <v>-291674932</v>
      </c>
      <c r="G490">
        <v>197288752</v>
      </c>
      <c r="H490">
        <v>-304561475</v>
      </c>
      <c r="I490">
        <v>-3603024</v>
      </c>
      <c r="J490">
        <v>-14062986</v>
      </c>
      <c r="K490">
        <v>-13775915</v>
      </c>
      <c r="L490">
        <v>20006417</v>
      </c>
      <c r="M490">
        <v>-12171481</v>
      </c>
      <c r="N490">
        <v>-37417820</v>
      </c>
      <c r="O490">
        <v>-17096029</v>
      </c>
      <c r="P490">
        <v>176</v>
      </c>
      <c r="Q490" t="s">
        <v>1026</v>
      </c>
    </row>
    <row r="491" spans="1:17" x14ac:dyDescent="0.3">
      <c r="A491" t="s">
        <v>17</v>
      </c>
      <c r="B491" t="str">
        <f>"600621"</f>
        <v>600621</v>
      </c>
      <c r="C491" t="s">
        <v>1027</v>
      </c>
      <c r="D491" t="s">
        <v>26</v>
      </c>
      <c r="E491">
        <v>157439024</v>
      </c>
      <c r="F491">
        <v>-391563015</v>
      </c>
      <c r="G491">
        <v>2253969914</v>
      </c>
      <c r="H491">
        <v>3324322412</v>
      </c>
      <c r="I491">
        <v>-666293211</v>
      </c>
      <c r="J491">
        <v>230610704</v>
      </c>
      <c r="K491">
        <v>-143737104</v>
      </c>
      <c r="L491">
        <v>-11472640</v>
      </c>
      <c r="M491">
        <v>73419397</v>
      </c>
      <c r="N491">
        <v>-128503647</v>
      </c>
      <c r="O491">
        <v>-246290134</v>
      </c>
      <c r="P491">
        <v>594</v>
      </c>
      <c r="Q491" t="s">
        <v>1028</v>
      </c>
    </row>
    <row r="492" spans="1:17" x14ac:dyDescent="0.3">
      <c r="A492" t="s">
        <v>17</v>
      </c>
      <c r="B492" t="str">
        <f>"600192"</f>
        <v>600192</v>
      </c>
      <c r="C492" t="s">
        <v>1029</v>
      </c>
      <c r="D492" t="s">
        <v>464</v>
      </c>
      <c r="E492">
        <v>157189329</v>
      </c>
      <c r="F492">
        <v>-9505165</v>
      </c>
      <c r="G492">
        <v>-125482875</v>
      </c>
      <c r="H492">
        <v>1553423</v>
      </c>
      <c r="I492">
        <v>-78732570</v>
      </c>
      <c r="J492">
        <v>-80087721</v>
      </c>
      <c r="K492">
        <v>-101781373</v>
      </c>
      <c r="L492">
        <v>-78140392</v>
      </c>
      <c r="M492">
        <v>25052575</v>
      </c>
      <c r="N492">
        <v>-25963179</v>
      </c>
      <c r="O492">
        <v>-5912025</v>
      </c>
      <c r="P492">
        <v>76</v>
      </c>
      <c r="Q492" t="s">
        <v>1030</v>
      </c>
    </row>
    <row r="493" spans="1:17" x14ac:dyDescent="0.3">
      <c r="A493" t="s">
        <v>17</v>
      </c>
      <c r="B493" t="str">
        <f>"900926"</f>
        <v>900926</v>
      </c>
      <c r="C493" t="s">
        <v>1031</v>
      </c>
      <c r="E493">
        <v>157043151.46599999</v>
      </c>
      <c r="F493">
        <v>46122799.6008</v>
      </c>
      <c r="G493">
        <v>7403445.8273</v>
      </c>
      <c r="H493">
        <v>3184407.8849999998</v>
      </c>
      <c r="I493">
        <v>1848958.0684</v>
      </c>
      <c r="J493">
        <v>24601646.044799998</v>
      </c>
      <c r="K493">
        <v>7212281.5511999996</v>
      </c>
      <c r="L493">
        <v>-8589954.0759999994</v>
      </c>
      <c r="M493">
        <v>-35578756.5792</v>
      </c>
      <c r="N493">
        <v>-23311391.089000002</v>
      </c>
      <c r="O493">
        <v>-18657940.9628</v>
      </c>
      <c r="P493">
        <v>63</v>
      </c>
      <c r="Q493" t="s">
        <v>1032</v>
      </c>
    </row>
    <row r="494" spans="1:17" x14ac:dyDescent="0.3">
      <c r="A494" t="s">
        <v>32</v>
      </c>
      <c r="B494" t="str">
        <f>"002237"</f>
        <v>002237</v>
      </c>
      <c r="C494" t="s">
        <v>1033</v>
      </c>
      <c r="D494" t="s">
        <v>121</v>
      </c>
      <c r="E494">
        <v>156703637</v>
      </c>
      <c r="F494">
        <v>422466980</v>
      </c>
      <c r="G494">
        <v>188380741</v>
      </c>
      <c r="H494">
        <v>223077980</v>
      </c>
      <c r="I494">
        <v>177022815</v>
      </c>
      <c r="J494">
        <v>196003779</v>
      </c>
      <c r="K494">
        <v>222758104</v>
      </c>
      <c r="L494">
        <v>187888612</v>
      </c>
      <c r="M494">
        <v>-249442403</v>
      </c>
      <c r="N494">
        <v>-18730345</v>
      </c>
      <c r="O494">
        <v>-149981304</v>
      </c>
      <c r="P494">
        <v>193</v>
      </c>
      <c r="Q494" t="s">
        <v>1034</v>
      </c>
    </row>
    <row r="495" spans="1:17" x14ac:dyDescent="0.3">
      <c r="A495" t="s">
        <v>32</v>
      </c>
      <c r="B495" t="str">
        <f>"000089"</f>
        <v>000089</v>
      </c>
      <c r="C495" t="s">
        <v>1035</v>
      </c>
      <c r="D495" t="s">
        <v>46</v>
      </c>
      <c r="E495">
        <v>155594870</v>
      </c>
      <c r="F495">
        <v>124708395</v>
      </c>
      <c r="G495">
        <v>-210192613</v>
      </c>
      <c r="H495">
        <v>-37774729</v>
      </c>
      <c r="I495">
        <v>86114175</v>
      </c>
      <c r="J495">
        <v>143948928</v>
      </c>
      <c r="K495">
        <v>181780252</v>
      </c>
      <c r="L495">
        <v>166392119</v>
      </c>
      <c r="M495">
        <v>28435439</v>
      </c>
      <c r="N495">
        <v>-134459890</v>
      </c>
      <c r="O495">
        <v>-421447980</v>
      </c>
      <c r="P495">
        <v>666</v>
      </c>
      <c r="Q495" t="s">
        <v>1036</v>
      </c>
    </row>
    <row r="496" spans="1:17" x14ac:dyDescent="0.3">
      <c r="A496" t="s">
        <v>32</v>
      </c>
      <c r="B496" t="str">
        <f>"002045"</f>
        <v>002045</v>
      </c>
      <c r="C496" t="s">
        <v>1037</v>
      </c>
      <c r="D496" t="s">
        <v>124</v>
      </c>
      <c r="E496">
        <v>154941673</v>
      </c>
      <c r="F496">
        <v>115690593</v>
      </c>
      <c r="G496">
        <v>132274451</v>
      </c>
      <c r="H496">
        <v>129284168</v>
      </c>
      <c r="I496">
        <v>-439692066</v>
      </c>
      <c r="J496">
        <v>83886761</v>
      </c>
      <c r="K496">
        <v>111549360</v>
      </c>
      <c r="L496">
        <v>76898044</v>
      </c>
      <c r="M496">
        <v>-15099665</v>
      </c>
      <c r="N496">
        <v>47455182</v>
      </c>
      <c r="O496">
        <v>-17979301</v>
      </c>
      <c r="P496">
        <v>216</v>
      </c>
      <c r="Q496" t="s">
        <v>1038</v>
      </c>
    </row>
    <row r="497" spans="1:17" x14ac:dyDescent="0.3">
      <c r="A497" t="s">
        <v>17</v>
      </c>
      <c r="B497" t="str">
        <f>"600603"</f>
        <v>600603</v>
      </c>
      <c r="C497" t="s">
        <v>1039</v>
      </c>
      <c r="D497" t="s">
        <v>151</v>
      </c>
      <c r="E497">
        <v>154293834</v>
      </c>
      <c r="F497">
        <v>-403424164</v>
      </c>
      <c r="G497">
        <v>-329749006</v>
      </c>
      <c r="H497">
        <v>600036054</v>
      </c>
      <c r="I497">
        <v>-31302344</v>
      </c>
      <c r="J497">
        <v>-21671993</v>
      </c>
      <c r="K497">
        <v>-28471883</v>
      </c>
      <c r="L497">
        <v>-5783814</v>
      </c>
      <c r="M497">
        <v>9408123</v>
      </c>
      <c r="N497">
        <v>-786316</v>
      </c>
      <c r="O497">
        <v>-2005500</v>
      </c>
      <c r="P497">
        <v>510</v>
      </c>
      <c r="Q497" t="s">
        <v>1040</v>
      </c>
    </row>
    <row r="498" spans="1:17" x14ac:dyDescent="0.3">
      <c r="A498" t="s">
        <v>32</v>
      </c>
      <c r="B498" t="str">
        <f>"000997"</f>
        <v>000997</v>
      </c>
      <c r="C498" t="s">
        <v>1041</v>
      </c>
      <c r="D498" t="s">
        <v>342</v>
      </c>
      <c r="E498">
        <v>154007212</v>
      </c>
      <c r="F498">
        <v>63573088</v>
      </c>
      <c r="G498">
        <v>116662087</v>
      </c>
      <c r="H498">
        <v>-3561506</v>
      </c>
      <c r="I498">
        <v>-132193000</v>
      </c>
      <c r="J498">
        <v>-423123796</v>
      </c>
      <c r="K498">
        <v>14809416</v>
      </c>
      <c r="L498">
        <v>-26940744</v>
      </c>
      <c r="M498">
        <v>-100466136</v>
      </c>
      <c r="N498">
        <v>34871652</v>
      </c>
      <c r="O498">
        <v>-160368812</v>
      </c>
      <c r="P498">
        <v>581</v>
      </c>
      <c r="Q498" t="s">
        <v>1042</v>
      </c>
    </row>
    <row r="499" spans="1:17" x14ac:dyDescent="0.3">
      <c r="A499" t="s">
        <v>32</v>
      </c>
      <c r="B499" t="str">
        <f>"002131"</f>
        <v>002131</v>
      </c>
      <c r="C499" t="s">
        <v>1043</v>
      </c>
      <c r="D499" t="s">
        <v>245</v>
      </c>
      <c r="E499">
        <v>153276441</v>
      </c>
      <c r="F499">
        <v>-415238116</v>
      </c>
      <c r="G499">
        <v>-257364336</v>
      </c>
      <c r="H499">
        <v>750465586</v>
      </c>
      <c r="I499">
        <v>-386644706</v>
      </c>
      <c r="J499">
        <v>-448027998</v>
      </c>
      <c r="K499">
        <v>-191058068</v>
      </c>
      <c r="L499">
        <v>65729559</v>
      </c>
      <c r="M499">
        <v>-40917497</v>
      </c>
      <c r="N499">
        <v>-34414277</v>
      </c>
      <c r="O499">
        <v>-52384510</v>
      </c>
      <c r="P499">
        <v>417</v>
      </c>
      <c r="Q499" t="s">
        <v>1044</v>
      </c>
    </row>
    <row r="500" spans="1:17" x14ac:dyDescent="0.3">
      <c r="A500" t="s">
        <v>17</v>
      </c>
      <c r="B500" t="str">
        <f>"605555"</f>
        <v>605555</v>
      </c>
      <c r="C500" t="s">
        <v>1045</v>
      </c>
      <c r="D500" t="s">
        <v>127</v>
      </c>
      <c r="E500">
        <v>152843565</v>
      </c>
      <c r="P500">
        <v>35</v>
      </c>
      <c r="Q500" t="s">
        <v>1046</v>
      </c>
    </row>
    <row r="501" spans="1:17" x14ac:dyDescent="0.3">
      <c r="A501" t="s">
        <v>32</v>
      </c>
      <c r="B501" t="str">
        <f>"300384"</f>
        <v>300384</v>
      </c>
      <c r="C501" t="s">
        <v>1047</v>
      </c>
      <c r="D501" t="s">
        <v>645</v>
      </c>
      <c r="E501">
        <v>152552358</v>
      </c>
      <c r="F501">
        <v>138369796</v>
      </c>
      <c r="G501">
        <v>15786368</v>
      </c>
      <c r="H501">
        <v>32177750</v>
      </c>
      <c r="I501">
        <v>26116197</v>
      </c>
      <c r="J501">
        <v>-33648034</v>
      </c>
      <c r="K501">
        <v>-60611986</v>
      </c>
      <c r="L501">
        <v>-19009189</v>
      </c>
      <c r="M501">
        <v>-43817745</v>
      </c>
      <c r="N501">
        <v>-40965423</v>
      </c>
      <c r="P501">
        <v>165</v>
      </c>
      <c r="Q501" t="s">
        <v>1048</v>
      </c>
    </row>
    <row r="502" spans="1:17" x14ac:dyDescent="0.3">
      <c r="A502" t="s">
        <v>32</v>
      </c>
      <c r="B502" t="str">
        <f>"300773"</f>
        <v>300773</v>
      </c>
      <c r="C502" t="s">
        <v>1049</v>
      </c>
      <c r="D502" t="s">
        <v>26</v>
      </c>
      <c r="E502">
        <v>152078422</v>
      </c>
      <c r="F502">
        <v>-23235616</v>
      </c>
      <c r="G502">
        <v>-41580638</v>
      </c>
      <c r="H502">
        <v>-168804361</v>
      </c>
      <c r="I502">
        <v>-79789102</v>
      </c>
      <c r="P502">
        <v>473</v>
      </c>
      <c r="Q502" t="s">
        <v>1050</v>
      </c>
    </row>
    <row r="503" spans="1:17" x14ac:dyDescent="0.3">
      <c r="A503" t="s">
        <v>17</v>
      </c>
      <c r="B503" t="str">
        <f>"603486"</f>
        <v>603486</v>
      </c>
      <c r="C503" t="s">
        <v>1051</v>
      </c>
      <c r="D503" t="s">
        <v>127</v>
      </c>
      <c r="E503">
        <v>151570171</v>
      </c>
      <c r="F503">
        <v>99571944</v>
      </c>
      <c r="G503">
        <v>-85074907</v>
      </c>
      <c r="H503">
        <v>-134296072</v>
      </c>
      <c r="I503">
        <v>-129776348</v>
      </c>
      <c r="J503">
        <v>1055500</v>
      </c>
      <c r="P503">
        <v>833</v>
      </c>
      <c r="Q503" t="s">
        <v>1052</v>
      </c>
    </row>
    <row r="504" spans="1:17" x14ac:dyDescent="0.3">
      <c r="A504" t="s">
        <v>17</v>
      </c>
      <c r="B504" t="str">
        <f>"600935"</f>
        <v>600935</v>
      </c>
      <c r="C504" t="s">
        <v>1053</v>
      </c>
      <c r="D504" t="s">
        <v>144</v>
      </c>
      <c r="E504">
        <v>151218698</v>
      </c>
      <c r="P504">
        <v>16</v>
      </c>
      <c r="Q504" t="s">
        <v>1054</v>
      </c>
    </row>
    <row r="505" spans="1:17" x14ac:dyDescent="0.3">
      <c r="A505" t="s">
        <v>17</v>
      </c>
      <c r="B505" t="str">
        <f>"900914"</f>
        <v>900914</v>
      </c>
      <c r="C505" t="s">
        <v>1055</v>
      </c>
      <c r="E505">
        <v>150901764.4738</v>
      </c>
      <c r="F505">
        <v>-13697288.1756</v>
      </c>
      <c r="G505">
        <v>-3651675.5151999998</v>
      </c>
      <c r="H505">
        <v>2779159.324</v>
      </c>
      <c r="I505">
        <v>-8467790.5788000003</v>
      </c>
      <c r="J505">
        <v>-150582.12839999999</v>
      </c>
      <c r="K505">
        <v>-13461893.3706</v>
      </c>
      <c r="L505">
        <v>-616125.02980000002</v>
      </c>
      <c r="M505">
        <v>-8512634.4551999997</v>
      </c>
      <c r="N505">
        <v>-395702.09700000001</v>
      </c>
      <c r="O505">
        <v>-3423750.2319999998</v>
      </c>
      <c r="P505">
        <v>20</v>
      </c>
      <c r="Q505" t="s">
        <v>1056</v>
      </c>
    </row>
    <row r="506" spans="1:17" x14ac:dyDescent="0.3">
      <c r="A506" t="s">
        <v>32</v>
      </c>
      <c r="B506" t="str">
        <f>"300221"</f>
        <v>300221</v>
      </c>
      <c r="C506" t="s">
        <v>1057</v>
      </c>
      <c r="D506" t="s">
        <v>144</v>
      </c>
      <c r="E506">
        <v>148611028</v>
      </c>
      <c r="F506">
        <v>-45011496</v>
      </c>
      <c r="G506">
        <v>-12975000</v>
      </c>
      <c r="H506">
        <v>26846887</v>
      </c>
      <c r="I506">
        <v>-123901105</v>
      </c>
      <c r="J506">
        <v>-53700897</v>
      </c>
      <c r="K506">
        <v>-22630257</v>
      </c>
      <c r="L506">
        <v>12216732</v>
      </c>
      <c r="M506">
        <v>-35415158</v>
      </c>
      <c r="N506">
        <v>-37773971</v>
      </c>
      <c r="O506">
        <v>-52372553</v>
      </c>
      <c r="P506">
        <v>173</v>
      </c>
      <c r="Q506" t="s">
        <v>1058</v>
      </c>
    </row>
    <row r="507" spans="1:17" x14ac:dyDescent="0.3">
      <c r="A507" t="s">
        <v>32</v>
      </c>
      <c r="B507" t="str">
        <f>"000900"</f>
        <v>000900</v>
      </c>
      <c r="C507" t="s">
        <v>1059</v>
      </c>
      <c r="D507" t="s">
        <v>46</v>
      </c>
      <c r="E507">
        <v>148013908</v>
      </c>
      <c r="F507">
        <v>238279590</v>
      </c>
      <c r="G507">
        <v>-631556068</v>
      </c>
      <c r="H507">
        <v>-805370490</v>
      </c>
      <c r="I507">
        <v>263527</v>
      </c>
      <c r="J507">
        <v>268895762</v>
      </c>
      <c r="K507">
        <v>22391135</v>
      </c>
      <c r="L507">
        <v>-363461826</v>
      </c>
      <c r="M507">
        <v>-301067770</v>
      </c>
      <c r="N507">
        <v>-258307603</v>
      </c>
      <c r="O507">
        <v>-198208790</v>
      </c>
      <c r="P507">
        <v>570</v>
      </c>
      <c r="Q507" t="s">
        <v>1060</v>
      </c>
    </row>
    <row r="508" spans="1:17" x14ac:dyDescent="0.3">
      <c r="A508" t="s">
        <v>17</v>
      </c>
      <c r="B508" t="str">
        <f>"601866"</f>
        <v>601866</v>
      </c>
      <c r="C508" t="s">
        <v>1061</v>
      </c>
      <c r="D508" t="s">
        <v>46</v>
      </c>
      <c r="E508">
        <v>147871509</v>
      </c>
      <c r="F508">
        <v>-8201197005</v>
      </c>
      <c r="G508">
        <v>-5200803811</v>
      </c>
      <c r="H508">
        <v>-3835006899</v>
      </c>
      <c r="I508">
        <v>-5869865251</v>
      </c>
      <c r="J508">
        <v>-1824984963</v>
      </c>
      <c r="K508">
        <v>-2386627683</v>
      </c>
      <c r="L508">
        <v>-188834776</v>
      </c>
      <c r="M508">
        <v>-274406458</v>
      </c>
      <c r="N508">
        <v>-1152076079</v>
      </c>
      <c r="O508">
        <v>-2847557281</v>
      </c>
      <c r="P508">
        <v>336</v>
      </c>
      <c r="Q508" t="s">
        <v>1062</v>
      </c>
    </row>
    <row r="509" spans="1:17" x14ac:dyDescent="0.3">
      <c r="A509" t="s">
        <v>17</v>
      </c>
      <c r="B509" t="str">
        <f>"603379"</f>
        <v>603379</v>
      </c>
      <c r="C509" t="s">
        <v>1063</v>
      </c>
      <c r="D509" t="s">
        <v>144</v>
      </c>
      <c r="E509">
        <v>147319244</v>
      </c>
      <c r="F509">
        <v>-25850508</v>
      </c>
      <c r="G509">
        <v>233704685</v>
      </c>
      <c r="H509">
        <v>149365610</v>
      </c>
      <c r="I509">
        <v>211283882</v>
      </c>
      <c r="P509">
        <v>141</v>
      </c>
      <c r="Q509" t="s">
        <v>1064</v>
      </c>
    </row>
    <row r="510" spans="1:17" x14ac:dyDescent="0.3">
      <c r="A510" t="s">
        <v>32</v>
      </c>
      <c r="B510" t="str">
        <f>"301048"</f>
        <v>301048</v>
      </c>
      <c r="C510" t="s">
        <v>1065</v>
      </c>
      <c r="D510" t="s">
        <v>135</v>
      </c>
      <c r="E510">
        <v>146726208</v>
      </c>
      <c r="F510">
        <v>-89670139</v>
      </c>
      <c r="G510">
        <v>87782826</v>
      </c>
      <c r="P510">
        <v>16</v>
      </c>
      <c r="Q510" t="s">
        <v>1066</v>
      </c>
    </row>
    <row r="511" spans="1:17" x14ac:dyDescent="0.3">
      <c r="A511" t="s">
        <v>17</v>
      </c>
      <c r="B511" t="str">
        <f>"603839"</f>
        <v>603839</v>
      </c>
      <c r="C511" t="s">
        <v>1067</v>
      </c>
      <c r="D511" t="s">
        <v>130</v>
      </c>
      <c r="E511">
        <v>146343359</v>
      </c>
      <c r="F511">
        <v>23661119</v>
      </c>
      <c r="G511">
        <v>-370200121</v>
      </c>
      <c r="H511">
        <v>54025082</v>
      </c>
      <c r="I511">
        <v>-20207415</v>
      </c>
      <c r="J511">
        <v>49275090</v>
      </c>
      <c r="K511">
        <v>8576695</v>
      </c>
      <c r="P511">
        <v>136</v>
      </c>
      <c r="Q511" t="s">
        <v>1068</v>
      </c>
    </row>
    <row r="512" spans="1:17" x14ac:dyDescent="0.3">
      <c r="A512" t="s">
        <v>17</v>
      </c>
      <c r="B512" t="str">
        <f>"600158"</f>
        <v>600158</v>
      </c>
      <c r="C512" t="s">
        <v>1069</v>
      </c>
      <c r="D512" t="s">
        <v>497</v>
      </c>
      <c r="E512">
        <v>145657331</v>
      </c>
      <c r="F512">
        <v>-306783057</v>
      </c>
      <c r="G512">
        <v>-122135239</v>
      </c>
      <c r="H512">
        <v>-36414175</v>
      </c>
      <c r="I512">
        <v>8543033</v>
      </c>
      <c r="J512">
        <v>-5692387</v>
      </c>
      <c r="K512">
        <v>-44740197</v>
      </c>
      <c r="L512">
        <v>7869858</v>
      </c>
      <c r="M512">
        <v>-30956362</v>
      </c>
      <c r="N512">
        <v>5588627</v>
      </c>
      <c r="O512">
        <v>-49159934</v>
      </c>
      <c r="P512">
        <v>166</v>
      </c>
      <c r="Q512" t="s">
        <v>1070</v>
      </c>
    </row>
    <row r="513" spans="1:17" x14ac:dyDescent="0.3">
      <c r="A513" t="s">
        <v>32</v>
      </c>
      <c r="B513" t="str">
        <f>"002818"</f>
        <v>002818</v>
      </c>
      <c r="C513" t="s">
        <v>1071</v>
      </c>
      <c r="D513" t="s">
        <v>218</v>
      </c>
      <c r="E513">
        <v>145171083</v>
      </c>
      <c r="F513">
        <v>187498734</v>
      </c>
      <c r="G513">
        <v>73381264</v>
      </c>
      <c r="H513">
        <v>156417355</v>
      </c>
      <c r="I513">
        <v>-415255137</v>
      </c>
      <c r="J513">
        <v>105655313</v>
      </c>
      <c r="K513">
        <v>-16732121</v>
      </c>
      <c r="P513">
        <v>868</v>
      </c>
      <c r="Q513" t="s">
        <v>1072</v>
      </c>
    </row>
    <row r="514" spans="1:17" x14ac:dyDescent="0.3">
      <c r="A514" t="s">
        <v>32</v>
      </c>
      <c r="B514" t="str">
        <f>"002538"</f>
        <v>002538</v>
      </c>
      <c r="C514" t="s">
        <v>1073</v>
      </c>
      <c r="D514" t="s">
        <v>144</v>
      </c>
      <c r="E514">
        <v>144740097</v>
      </c>
      <c r="F514">
        <v>-271816743</v>
      </c>
      <c r="G514">
        <v>532472860</v>
      </c>
      <c r="H514">
        <v>-112589415</v>
      </c>
      <c r="I514">
        <v>-181722550</v>
      </c>
      <c r="J514">
        <v>-301846270</v>
      </c>
      <c r="K514">
        <v>-363791148</v>
      </c>
      <c r="L514">
        <v>-35722890</v>
      </c>
      <c r="M514">
        <v>-250437074</v>
      </c>
      <c r="N514">
        <v>-95546052</v>
      </c>
      <c r="O514">
        <v>-150227372</v>
      </c>
      <c r="P514">
        <v>174</v>
      </c>
      <c r="Q514" t="s">
        <v>1074</v>
      </c>
    </row>
    <row r="515" spans="1:17" x14ac:dyDescent="0.3">
      <c r="A515" t="s">
        <v>17</v>
      </c>
      <c r="B515" t="str">
        <f>"603682"</f>
        <v>603682</v>
      </c>
      <c r="C515" t="s">
        <v>1075</v>
      </c>
      <c r="D515" t="s">
        <v>218</v>
      </c>
      <c r="E515">
        <v>144176998</v>
      </c>
      <c r="F515">
        <v>67297542</v>
      </c>
      <c r="G515">
        <v>224834</v>
      </c>
      <c r="H515">
        <v>-12191799</v>
      </c>
      <c r="P515">
        <v>156</v>
      </c>
      <c r="Q515" t="s">
        <v>1076</v>
      </c>
    </row>
    <row r="516" spans="1:17" x14ac:dyDescent="0.3">
      <c r="A516" t="s">
        <v>17</v>
      </c>
      <c r="B516" t="str">
        <f>"601777"</f>
        <v>601777</v>
      </c>
      <c r="C516" t="s">
        <v>1077</v>
      </c>
      <c r="D516" t="s">
        <v>199</v>
      </c>
      <c r="E516">
        <v>144165094</v>
      </c>
      <c r="F516">
        <v>658732482</v>
      </c>
      <c r="G516">
        <v>-125023043</v>
      </c>
      <c r="H516">
        <v>357020063</v>
      </c>
      <c r="I516">
        <v>-230283156</v>
      </c>
      <c r="J516">
        <v>34806402</v>
      </c>
      <c r="K516">
        <v>-311501820</v>
      </c>
      <c r="L516">
        <v>-126396508</v>
      </c>
      <c r="M516">
        <v>-117945898</v>
      </c>
      <c r="N516">
        <v>-40886190</v>
      </c>
      <c r="O516">
        <v>-702298550</v>
      </c>
      <c r="P516">
        <v>154</v>
      </c>
      <c r="Q516" t="s">
        <v>1078</v>
      </c>
    </row>
    <row r="517" spans="1:17" x14ac:dyDescent="0.3">
      <c r="A517" t="s">
        <v>17</v>
      </c>
      <c r="B517" t="str">
        <f>"603063"</f>
        <v>603063</v>
      </c>
      <c r="C517" t="s">
        <v>1079</v>
      </c>
      <c r="D517" t="s">
        <v>464</v>
      </c>
      <c r="E517">
        <v>143894291</v>
      </c>
      <c r="F517">
        <v>-186733281</v>
      </c>
      <c r="G517">
        <v>59143478</v>
      </c>
      <c r="H517">
        <v>-59551156</v>
      </c>
      <c r="I517">
        <v>-31982558</v>
      </c>
      <c r="J517">
        <v>9486252</v>
      </c>
      <c r="P517">
        <v>213</v>
      </c>
      <c r="Q517" t="s">
        <v>1080</v>
      </c>
    </row>
    <row r="518" spans="1:17" x14ac:dyDescent="0.3">
      <c r="A518" t="s">
        <v>32</v>
      </c>
      <c r="B518" t="str">
        <f>"002048"</f>
        <v>002048</v>
      </c>
      <c r="C518" t="s">
        <v>1081</v>
      </c>
      <c r="D518" t="s">
        <v>199</v>
      </c>
      <c r="E518">
        <v>143585956</v>
      </c>
      <c r="F518">
        <v>206333538</v>
      </c>
      <c r="G518">
        <v>677473267</v>
      </c>
      <c r="H518">
        <v>-52679000</v>
      </c>
      <c r="I518">
        <v>-143427178</v>
      </c>
      <c r="J518">
        <v>-189273182</v>
      </c>
      <c r="K518">
        <v>-14129787</v>
      </c>
      <c r="L518">
        <v>-41830560</v>
      </c>
      <c r="M518">
        <v>-349949829</v>
      </c>
      <c r="N518">
        <v>-238818234</v>
      </c>
      <c r="O518">
        <v>-313331788</v>
      </c>
      <c r="P518">
        <v>645</v>
      </c>
      <c r="Q518" t="s">
        <v>1082</v>
      </c>
    </row>
    <row r="519" spans="1:17" x14ac:dyDescent="0.3">
      <c r="A519" t="s">
        <v>32</v>
      </c>
      <c r="B519" t="str">
        <f>"000078"</f>
        <v>000078</v>
      </c>
      <c r="C519" t="s">
        <v>1083</v>
      </c>
      <c r="D519" t="s">
        <v>98</v>
      </c>
      <c r="E519">
        <v>143478898</v>
      </c>
      <c r="F519">
        <v>363722975</v>
      </c>
      <c r="G519">
        <v>-4032392</v>
      </c>
      <c r="H519">
        <v>33630436</v>
      </c>
      <c r="I519">
        <v>-1104924199</v>
      </c>
      <c r="J519">
        <v>-942847981</v>
      </c>
      <c r="K519">
        <v>-254168977</v>
      </c>
      <c r="L519">
        <v>-463756745</v>
      </c>
      <c r="M519">
        <v>-331718971</v>
      </c>
      <c r="N519">
        <v>-161054276</v>
      </c>
      <c r="O519">
        <v>-124674840</v>
      </c>
      <c r="P519">
        <v>291</v>
      </c>
      <c r="Q519" t="s">
        <v>1084</v>
      </c>
    </row>
    <row r="520" spans="1:17" x14ac:dyDescent="0.3">
      <c r="A520" t="s">
        <v>32</v>
      </c>
      <c r="B520" t="str">
        <f>"002295"</f>
        <v>002295</v>
      </c>
      <c r="C520" t="s">
        <v>1085</v>
      </c>
      <c r="D520" t="s">
        <v>121</v>
      </c>
      <c r="E520">
        <v>143456520</v>
      </c>
      <c r="F520">
        <v>-45859754</v>
      </c>
      <c r="G520">
        <v>105765351</v>
      </c>
      <c r="H520">
        <v>97281213</v>
      </c>
      <c r="I520">
        <v>-168423983</v>
      </c>
      <c r="J520">
        <v>-300964948</v>
      </c>
      <c r="K520">
        <v>-32265419</v>
      </c>
      <c r="L520">
        <v>-13296891</v>
      </c>
      <c r="M520">
        <v>-20141101</v>
      </c>
      <c r="N520">
        <v>-139462652</v>
      </c>
      <c r="O520">
        <v>275814778</v>
      </c>
      <c r="P520">
        <v>56</v>
      </c>
      <c r="Q520" t="s">
        <v>1086</v>
      </c>
    </row>
    <row r="521" spans="1:17" x14ac:dyDescent="0.3">
      <c r="A521" t="s">
        <v>32</v>
      </c>
      <c r="B521" t="str">
        <f>"000635"</f>
        <v>000635</v>
      </c>
      <c r="C521" t="s">
        <v>1087</v>
      </c>
      <c r="D521" t="s">
        <v>144</v>
      </c>
      <c r="E521">
        <v>142764693</v>
      </c>
      <c r="F521">
        <v>155359872</v>
      </c>
      <c r="G521">
        <v>-22924758</v>
      </c>
      <c r="H521">
        <v>-73961211</v>
      </c>
      <c r="I521">
        <v>72925162</v>
      </c>
      <c r="J521">
        <v>111731562</v>
      </c>
      <c r="K521">
        <v>-6453815</v>
      </c>
      <c r="L521">
        <v>-45873552</v>
      </c>
      <c r="M521">
        <v>29722706</v>
      </c>
      <c r="N521">
        <v>29846162</v>
      </c>
      <c r="O521">
        <v>30787908</v>
      </c>
      <c r="P521">
        <v>135</v>
      </c>
      <c r="Q521" t="s">
        <v>1088</v>
      </c>
    </row>
    <row r="522" spans="1:17" x14ac:dyDescent="0.3">
      <c r="A522" t="s">
        <v>17</v>
      </c>
      <c r="B522" t="str">
        <f>"688111"</f>
        <v>688111</v>
      </c>
      <c r="C522" t="s">
        <v>1089</v>
      </c>
      <c r="D522" t="s">
        <v>342</v>
      </c>
      <c r="E522">
        <v>140926206</v>
      </c>
      <c r="F522">
        <v>199706712</v>
      </c>
      <c r="G522">
        <v>126678980</v>
      </c>
      <c r="H522">
        <v>-15768883</v>
      </c>
      <c r="P522">
        <v>964</v>
      </c>
      <c r="Q522" t="s">
        <v>1090</v>
      </c>
    </row>
    <row r="523" spans="1:17" x14ac:dyDescent="0.3">
      <c r="A523" t="s">
        <v>32</v>
      </c>
      <c r="B523" t="str">
        <f>"002959"</f>
        <v>002959</v>
      </c>
      <c r="C523" t="s">
        <v>1091</v>
      </c>
      <c r="D523" t="s">
        <v>127</v>
      </c>
      <c r="E523">
        <v>139983161</v>
      </c>
      <c r="F523">
        <v>-71557027</v>
      </c>
      <c r="G523">
        <v>148899984</v>
      </c>
      <c r="H523">
        <v>-19017398</v>
      </c>
      <c r="I523">
        <v>34626668</v>
      </c>
      <c r="P523">
        <v>1480</v>
      </c>
      <c r="Q523" t="s">
        <v>1092</v>
      </c>
    </row>
    <row r="524" spans="1:17" x14ac:dyDescent="0.3">
      <c r="A524" t="s">
        <v>17</v>
      </c>
      <c r="B524" t="str">
        <f>"603392"</f>
        <v>603392</v>
      </c>
      <c r="C524" t="s">
        <v>1093</v>
      </c>
      <c r="D524" t="s">
        <v>98</v>
      </c>
      <c r="E524">
        <v>139668279</v>
      </c>
      <c r="F524">
        <v>-113688259</v>
      </c>
      <c r="G524">
        <v>-101471837</v>
      </c>
      <c r="H524">
        <v>-24812932</v>
      </c>
      <c r="P524">
        <v>552</v>
      </c>
      <c r="Q524" t="s">
        <v>1094</v>
      </c>
    </row>
    <row r="525" spans="1:17" x14ac:dyDescent="0.3">
      <c r="A525" t="s">
        <v>17</v>
      </c>
      <c r="B525" t="str">
        <f>"600580"</f>
        <v>600580</v>
      </c>
      <c r="C525" t="s">
        <v>1095</v>
      </c>
      <c r="D525" t="s">
        <v>464</v>
      </c>
      <c r="E525">
        <v>138852476</v>
      </c>
      <c r="F525">
        <v>337794875</v>
      </c>
      <c r="G525">
        <v>-71666976</v>
      </c>
      <c r="H525">
        <v>-251028294</v>
      </c>
      <c r="I525">
        <v>-240071696</v>
      </c>
      <c r="J525">
        <v>-172410681</v>
      </c>
      <c r="K525">
        <v>-446485693</v>
      </c>
      <c r="L525">
        <v>-140054164</v>
      </c>
      <c r="M525">
        <v>-134673730</v>
      </c>
      <c r="N525">
        <v>-15759087</v>
      </c>
      <c r="O525">
        <v>-9067146</v>
      </c>
      <c r="P525">
        <v>400</v>
      </c>
      <c r="Q525" t="s">
        <v>1096</v>
      </c>
    </row>
    <row r="526" spans="1:17" x14ac:dyDescent="0.3">
      <c r="A526" t="s">
        <v>32</v>
      </c>
      <c r="B526" t="str">
        <f>"000993"</f>
        <v>000993</v>
      </c>
      <c r="C526" t="s">
        <v>1097</v>
      </c>
      <c r="D526" t="s">
        <v>158</v>
      </c>
      <c r="E526">
        <v>137913153</v>
      </c>
      <c r="F526">
        <v>33301221</v>
      </c>
      <c r="G526">
        <v>-42273611</v>
      </c>
      <c r="H526">
        <v>-8754011</v>
      </c>
      <c r="I526">
        <v>-101721706</v>
      </c>
      <c r="J526">
        <v>-97432127</v>
      </c>
      <c r="K526">
        <v>18955895</v>
      </c>
      <c r="L526">
        <v>-173569195</v>
      </c>
      <c r="M526">
        <v>-59395305</v>
      </c>
      <c r="N526">
        <v>-118042560</v>
      </c>
      <c r="O526">
        <v>-25376962</v>
      </c>
      <c r="P526">
        <v>163</v>
      </c>
      <c r="Q526" t="s">
        <v>1098</v>
      </c>
    </row>
    <row r="527" spans="1:17" x14ac:dyDescent="0.3">
      <c r="A527" t="s">
        <v>17</v>
      </c>
      <c r="B527" t="str">
        <f>"600340"</f>
        <v>600340</v>
      </c>
      <c r="C527" t="s">
        <v>1099</v>
      </c>
      <c r="D527" t="s">
        <v>151</v>
      </c>
      <c r="E527">
        <v>137351024</v>
      </c>
      <c r="F527">
        <v>-2698941607</v>
      </c>
      <c r="G527">
        <v>-12533696360</v>
      </c>
      <c r="H527">
        <v>-15527993194</v>
      </c>
      <c r="I527">
        <v>-10451932002</v>
      </c>
      <c r="J527">
        <v>-3468272920</v>
      </c>
      <c r="K527">
        <v>-4350189761</v>
      </c>
      <c r="L527">
        <v>-1694011299</v>
      </c>
      <c r="M527">
        <v>-1925963552</v>
      </c>
      <c r="N527">
        <v>-518023623</v>
      </c>
      <c r="O527">
        <v>98061061</v>
      </c>
      <c r="P527">
        <v>22449</v>
      </c>
      <c r="Q527" t="s">
        <v>1100</v>
      </c>
    </row>
    <row r="528" spans="1:17" x14ac:dyDescent="0.3">
      <c r="A528" t="s">
        <v>32</v>
      </c>
      <c r="B528" t="str">
        <f>"000559"</f>
        <v>000559</v>
      </c>
      <c r="C528" t="s">
        <v>1101</v>
      </c>
      <c r="D528" t="s">
        <v>199</v>
      </c>
      <c r="E528">
        <v>134471664</v>
      </c>
      <c r="F528">
        <v>-178803687</v>
      </c>
      <c r="G528">
        <v>51285617</v>
      </c>
      <c r="H528">
        <v>-10821735</v>
      </c>
      <c r="I528">
        <v>-169309393</v>
      </c>
      <c r="J528">
        <v>246567663</v>
      </c>
      <c r="K528">
        <v>205867623</v>
      </c>
      <c r="L528">
        <v>149503675</v>
      </c>
      <c r="M528">
        <v>7690174</v>
      </c>
      <c r="N528">
        <v>-48931008</v>
      </c>
      <c r="O528">
        <v>-221673355</v>
      </c>
      <c r="P528">
        <v>414</v>
      </c>
      <c r="Q528" t="s">
        <v>1102</v>
      </c>
    </row>
    <row r="529" spans="1:17" x14ac:dyDescent="0.3">
      <c r="A529" t="s">
        <v>17</v>
      </c>
      <c r="B529" t="str">
        <f>"600064"</f>
        <v>600064</v>
      </c>
      <c r="C529" t="s">
        <v>1103</v>
      </c>
      <c r="D529" t="s">
        <v>151</v>
      </c>
      <c r="E529">
        <v>134103427</v>
      </c>
      <c r="F529">
        <v>-510233261</v>
      </c>
      <c r="G529">
        <v>31700330</v>
      </c>
      <c r="H529">
        <v>430231570</v>
      </c>
      <c r="I529">
        <v>-165750687</v>
      </c>
      <c r="J529">
        <v>-649854075</v>
      </c>
      <c r="K529">
        <v>-40894036</v>
      </c>
      <c r="L529">
        <v>380227766</v>
      </c>
      <c r="M529">
        <v>234424498</v>
      </c>
      <c r="N529">
        <v>433233799</v>
      </c>
      <c r="O529">
        <v>-124221986</v>
      </c>
      <c r="P529">
        <v>432</v>
      </c>
      <c r="Q529" t="s">
        <v>1104</v>
      </c>
    </row>
    <row r="530" spans="1:17" x14ac:dyDescent="0.3">
      <c r="A530" t="s">
        <v>32</v>
      </c>
      <c r="B530" t="str">
        <f>"002174"</f>
        <v>002174</v>
      </c>
      <c r="C530" t="s">
        <v>1105</v>
      </c>
      <c r="D530" t="s">
        <v>245</v>
      </c>
      <c r="E530">
        <v>133980352</v>
      </c>
      <c r="F530">
        <v>321809636</v>
      </c>
      <c r="G530">
        <v>464186576</v>
      </c>
      <c r="H530">
        <v>33247565</v>
      </c>
      <c r="I530">
        <v>-40842169</v>
      </c>
      <c r="J530">
        <v>18134079</v>
      </c>
      <c r="K530">
        <v>62555240</v>
      </c>
      <c r="L530">
        <v>-14502253</v>
      </c>
      <c r="M530">
        <v>-65245504</v>
      </c>
      <c r="N530">
        <v>-99564877</v>
      </c>
      <c r="O530">
        <v>-10130980</v>
      </c>
      <c r="P530">
        <v>736</v>
      </c>
      <c r="Q530" t="s">
        <v>1106</v>
      </c>
    </row>
    <row r="531" spans="1:17" x14ac:dyDescent="0.3">
      <c r="A531" t="s">
        <v>32</v>
      </c>
      <c r="B531" t="str">
        <f>"000918"</f>
        <v>000918</v>
      </c>
      <c r="C531" t="s">
        <v>1107</v>
      </c>
      <c r="D531" t="s">
        <v>151</v>
      </c>
      <c r="E531">
        <v>133965351</v>
      </c>
      <c r="F531">
        <v>138527265</v>
      </c>
      <c r="G531">
        <v>-195967164</v>
      </c>
      <c r="H531">
        <v>94602469</v>
      </c>
      <c r="I531">
        <v>-520537307</v>
      </c>
      <c r="J531">
        <v>2422580180</v>
      </c>
      <c r="K531">
        <v>-483860233</v>
      </c>
      <c r="L531">
        <v>-890561740</v>
      </c>
      <c r="M531">
        <v>-600516748</v>
      </c>
      <c r="N531">
        <v>58901079</v>
      </c>
      <c r="O531">
        <v>-170524455</v>
      </c>
      <c r="P531">
        <v>123</v>
      </c>
      <c r="Q531" t="s">
        <v>1108</v>
      </c>
    </row>
    <row r="532" spans="1:17" x14ac:dyDescent="0.3">
      <c r="A532" t="s">
        <v>32</v>
      </c>
      <c r="B532" t="str">
        <f>"300595"</f>
        <v>300595</v>
      </c>
      <c r="C532" t="s">
        <v>1109</v>
      </c>
      <c r="D532" t="s">
        <v>98</v>
      </c>
      <c r="E532">
        <v>133929923</v>
      </c>
      <c r="F532">
        <v>130357795</v>
      </c>
      <c r="G532">
        <v>-10934626</v>
      </c>
      <c r="H532">
        <v>33163217</v>
      </c>
      <c r="I532">
        <v>28699151</v>
      </c>
      <c r="J532">
        <v>15430614</v>
      </c>
      <c r="K532">
        <v>18637292</v>
      </c>
      <c r="P532">
        <v>4341</v>
      </c>
      <c r="Q532" t="s">
        <v>1110</v>
      </c>
    </row>
    <row r="533" spans="1:17" x14ac:dyDescent="0.3">
      <c r="A533" t="s">
        <v>17</v>
      </c>
      <c r="B533" t="str">
        <f>"600438"</f>
        <v>600438</v>
      </c>
      <c r="C533" t="s">
        <v>1111</v>
      </c>
      <c r="D533" t="s">
        <v>464</v>
      </c>
      <c r="E533">
        <v>133773969</v>
      </c>
      <c r="F533">
        <v>320285286</v>
      </c>
      <c r="G533">
        <v>-1127528327</v>
      </c>
      <c r="H533">
        <v>-819659553</v>
      </c>
      <c r="I533">
        <v>-559690446</v>
      </c>
      <c r="J533">
        <v>-473300794</v>
      </c>
      <c r="K533">
        <v>275797123</v>
      </c>
      <c r="L533">
        <v>113008844</v>
      </c>
      <c r="M533">
        <v>-209501957</v>
      </c>
      <c r="N533">
        <v>274350788</v>
      </c>
      <c r="O533">
        <v>247243336</v>
      </c>
      <c r="P533">
        <v>2551</v>
      </c>
      <c r="Q533" t="s">
        <v>1112</v>
      </c>
    </row>
    <row r="534" spans="1:17" x14ac:dyDescent="0.3">
      <c r="A534" t="s">
        <v>17</v>
      </c>
      <c r="B534" t="str">
        <f>"688016"</f>
        <v>688016</v>
      </c>
      <c r="C534" t="s">
        <v>1113</v>
      </c>
      <c r="D534" t="s">
        <v>98</v>
      </c>
      <c r="E534">
        <v>133057157</v>
      </c>
      <c r="F534">
        <v>101264567</v>
      </c>
      <c r="G534">
        <v>53647493</v>
      </c>
      <c r="H534">
        <v>42637613</v>
      </c>
      <c r="I534">
        <v>34704600</v>
      </c>
      <c r="P534">
        <v>553</v>
      </c>
      <c r="Q534" t="s">
        <v>1114</v>
      </c>
    </row>
    <row r="535" spans="1:17" x14ac:dyDescent="0.3">
      <c r="A535" t="s">
        <v>32</v>
      </c>
      <c r="B535" t="str">
        <f>"002123"</f>
        <v>002123</v>
      </c>
      <c r="C535" t="s">
        <v>1115</v>
      </c>
      <c r="D535" t="s">
        <v>57</v>
      </c>
      <c r="E535">
        <v>132934905</v>
      </c>
      <c r="F535">
        <v>-196119351</v>
      </c>
      <c r="G535">
        <v>-164168200</v>
      </c>
      <c r="H535">
        <v>155023668</v>
      </c>
      <c r="I535">
        <v>-2133638</v>
      </c>
      <c r="J535">
        <v>-47796240</v>
      </c>
      <c r="K535">
        <v>-244206068</v>
      </c>
      <c r="L535">
        <v>-75478696</v>
      </c>
      <c r="M535">
        <v>-181841239</v>
      </c>
      <c r="N535">
        <v>-238513347</v>
      </c>
      <c r="O535">
        <v>-160221419</v>
      </c>
      <c r="P535">
        <v>364</v>
      </c>
      <c r="Q535" t="s">
        <v>1116</v>
      </c>
    </row>
    <row r="536" spans="1:17" x14ac:dyDescent="0.3">
      <c r="A536" t="s">
        <v>17</v>
      </c>
      <c r="B536" t="str">
        <f>"603969"</f>
        <v>603969</v>
      </c>
      <c r="C536" t="s">
        <v>1117</v>
      </c>
      <c r="D536" t="s">
        <v>135</v>
      </c>
      <c r="E536">
        <v>132818133</v>
      </c>
      <c r="F536">
        <v>-2302287</v>
      </c>
      <c r="G536">
        <v>11257173</v>
      </c>
      <c r="H536">
        <v>-12787358</v>
      </c>
      <c r="I536">
        <v>-46346197</v>
      </c>
      <c r="J536">
        <v>-72454826</v>
      </c>
      <c r="K536">
        <v>-11872826</v>
      </c>
      <c r="L536">
        <v>-2597969</v>
      </c>
      <c r="M536">
        <v>-34586306</v>
      </c>
      <c r="P536">
        <v>94</v>
      </c>
      <c r="Q536" t="s">
        <v>1118</v>
      </c>
    </row>
    <row r="537" spans="1:17" x14ac:dyDescent="0.3">
      <c r="A537" t="s">
        <v>32</v>
      </c>
      <c r="B537" t="str">
        <f>"002426"</f>
        <v>002426</v>
      </c>
      <c r="C537" t="s">
        <v>1119</v>
      </c>
      <c r="D537" t="s">
        <v>135</v>
      </c>
      <c r="E537">
        <v>131448539</v>
      </c>
      <c r="F537">
        <v>-7399481</v>
      </c>
      <c r="G537">
        <v>165659357</v>
      </c>
      <c r="H537">
        <v>115415107</v>
      </c>
      <c r="I537">
        <v>-1073798596</v>
      </c>
      <c r="J537">
        <v>-879487162</v>
      </c>
      <c r="K537">
        <v>-518201495</v>
      </c>
      <c r="L537">
        <v>-485980478</v>
      </c>
      <c r="M537">
        <v>-168384850</v>
      </c>
      <c r="N537">
        <v>-64200062</v>
      </c>
      <c r="O537">
        <v>28973621</v>
      </c>
      <c r="P537">
        <v>207</v>
      </c>
      <c r="Q537" t="s">
        <v>1120</v>
      </c>
    </row>
    <row r="538" spans="1:17" x14ac:dyDescent="0.3">
      <c r="A538" t="s">
        <v>17</v>
      </c>
      <c r="B538" t="str">
        <f>"605100"</f>
        <v>605100</v>
      </c>
      <c r="C538" t="s">
        <v>1121</v>
      </c>
      <c r="D538" t="s">
        <v>135</v>
      </c>
      <c r="E538">
        <v>130417388</v>
      </c>
      <c r="F538">
        <v>54221098</v>
      </c>
      <c r="G538">
        <v>83418446</v>
      </c>
      <c r="H538">
        <v>4830735</v>
      </c>
      <c r="P538">
        <v>60</v>
      </c>
      <c r="Q538" t="s">
        <v>1122</v>
      </c>
    </row>
    <row r="539" spans="1:17" x14ac:dyDescent="0.3">
      <c r="A539" t="s">
        <v>17</v>
      </c>
      <c r="B539" t="str">
        <f>"605287"</f>
        <v>605287</v>
      </c>
      <c r="C539" t="s">
        <v>1123</v>
      </c>
      <c r="D539" t="s">
        <v>645</v>
      </c>
      <c r="E539">
        <v>129542737</v>
      </c>
      <c r="F539">
        <v>91013464</v>
      </c>
      <c r="P539">
        <v>21</v>
      </c>
      <c r="Q539" t="s">
        <v>1124</v>
      </c>
    </row>
    <row r="540" spans="1:17" x14ac:dyDescent="0.3">
      <c r="A540" t="s">
        <v>17</v>
      </c>
      <c r="B540" t="str">
        <f>"600359"</f>
        <v>600359</v>
      </c>
      <c r="C540" t="s">
        <v>1125</v>
      </c>
      <c r="D540" t="s">
        <v>175</v>
      </c>
      <c r="E540">
        <v>129458400</v>
      </c>
      <c r="F540">
        <v>62869374</v>
      </c>
      <c r="G540">
        <v>24534276</v>
      </c>
      <c r="H540">
        <v>56374519</v>
      </c>
      <c r="I540">
        <v>-56966141</v>
      </c>
      <c r="J540">
        <v>-91134365</v>
      </c>
      <c r="K540">
        <v>-90559931</v>
      </c>
      <c r="L540">
        <v>20238055</v>
      </c>
      <c r="M540">
        <v>-122070939</v>
      </c>
      <c r="N540">
        <v>-130908741</v>
      </c>
      <c r="O540">
        <v>-276976119</v>
      </c>
      <c r="P540">
        <v>111</v>
      </c>
      <c r="Q540" t="s">
        <v>1126</v>
      </c>
    </row>
    <row r="541" spans="1:17" x14ac:dyDescent="0.3">
      <c r="A541" t="s">
        <v>17</v>
      </c>
      <c r="B541" t="str">
        <f>"603195"</f>
        <v>603195</v>
      </c>
      <c r="C541" t="s">
        <v>1127</v>
      </c>
      <c r="D541" t="s">
        <v>455</v>
      </c>
      <c r="E541">
        <v>128011570</v>
      </c>
      <c r="F541">
        <v>291889277</v>
      </c>
      <c r="G541">
        <v>-340242739</v>
      </c>
      <c r="H541">
        <v>888123262</v>
      </c>
      <c r="P541">
        <v>1475</v>
      </c>
      <c r="Q541" t="s">
        <v>1128</v>
      </c>
    </row>
    <row r="542" spans="1:17" x14ac:dyDescent="0.3">
      <c r="A542" t="s">
        <v>32</v>
      </c>
      <c r="B542" t="str">
        <f>"002435"</f>
        <v>002435</v>
      </c>
      <c r="C542" t="s">
        <v>1129</v>
      </c>
      <c r="D542" t="s">
        <v>98</v>
      </c>
      <c r="E542">
        <v>127778592</v>
      </c>
      <c r="F542">
        <v>-316439850</v>
      </c>
      <c r="G542">
        <v>-119306731</v>
      </c>
      <c r="H542">
        <v>-137153318</v>
      </c>
      <c r="I542">
        <v>145462749</v>
      </c>
      <c r="J542">
        <v>41053195</v>
      </c>
      <c r="K542">
        <v>42232879</v>
      </c>
      <c r="L542">
        <v>-76497780</v>
      </c>
      <c r="M542">
        <v>-65069319</v>
      </c>
      <c r="N542">
        <v>-103442071</v>
      </c>
      <c r="O542">
        <v>-165142971</v>
      </c>
      <c r="P542">
        <v>139</v>
      </c>
      <c r="Q542" t="s">
        <v>1130</v>
      </c>
    </row>
    <row r="543" spans="1:17" x14ac:dyDescent="0.3">
      <c r="A543" t="s">
        <v>32</v>
      </c>
      <c r="B543" t="str">
        <f>"000893"</f>
        <v>000893</v>
      </c>
      <c r="C543" t="s">
        <v>1131</v>
      </c>
      <c r="D543" t="s">
        <v>144</v>
      </c>
      <c r="E543">
        <v>127360020</v>
      </c>
      <c r="F543">
        <v>-113091066</v>
      </c>
      <c r="G543">
        <v>13694286</v>
      </c>
      <c r="H543">
        <v>-51742114</v>
      </c>
      <c r="I543">
        <v>-6321100</v>
      </c>
      <c r="J543">
        <v>-65208636</v>
      </c>
      <c r="K543">
        <v>-150854714</v>
      </c>
      <c r="L543">
        <v>-84484383</v>
      </c>
      <c r="M543">
        <v>1094410956</v>
      </c>
      <c r="N543">
        <v>378056244</v>
      </c>
      <c r="O543">
        <v>162286859</v>
      </c>
      <c r="P543">
        <v>159</v>
      </c>
      <c r="Q543" t="s">
        <v>1132</v>
      </c>
    </row>
    <row r="544" spans="1:17" x14ac:dyDescent="0.3">
      <c r="A544" t="s">
        <v>17</v>
      </c>
      <c r="B544" t="str">
        <f>"600478"</f>
        <v>600478</v>
      </c>
      <c r="C544" t="s">
        <v>1133</v>
      </c>
      <c r="D544" t="s">
        <v>464</v>
      </c>
      <c r="E544">
        <v>126654011</v>
      </c>
      <c r="F544">
        <v>-60665942</v>
      </c>
      <c r="G544">
        <v>99562380</v>
      </c>
      <c r="H544">
        <v>-141996507</v>
      </c>
      <c r="I544">
        <v>-174516008</v>
      </c>
      <c r="J544">
        <v>-210865057</v>
      </c>
      <c r="K544">
        <v>-25406838</v>
      </c>
      <c r="L544">
        <v>-92799169</v>
      </c>
      <c r="M544">
        <v>-34455711</v>
      </c>
      <c r="N544">
        <v>7721916</v>
      </c>
      <c r="O544">
        <v>-60940017</v>
      </c>
      <c r="P544">
        <v>160</v>
      </c>
      <c r="Q544" t="s">
        <v>1134</v>
      </c>
    </row>
    <row r="545" spans="1:17" x14ac:dyDescent="0.3">
      <c r="A545" t="s">
        <v>32</v>
      </c>
      <c r="B545" t="str">
        <f>"002140"</f>
        <v>002140</v>
      </c>
      <c r="C545" t="s">
        <v>1135</v>
      </c>
      <c r="D545" t="s">
        <v>645</v>
      </c>
      <c r="E545">
        <v>126540815</v>
      </c>
      <c r="F545">
        <v>65685265</v>
      </c>
      <c r="G545">
        <v>-385144859</v>
      </c>
      <c r="H545">
        <v>-224504486</v>
      </c>
      <c r="I545">
        <v>-473721481</v>
      </c>
      <c r="J545">
        <v>-67594235</v>
      </c>
      <c r="K545">
        <v>-155986201</v>
      </c>
      <c r="L545">
        <v>-375459806</v>
      </c>
      <c r="M545">
        <v>330696192</v>
      </c>
      <c r="N545">
        <v>-6220068</v>
      </c>
      <c r="O545">
        <v>-35609505</v>
      </c>
      <c r="P545">
        <v>131</v>
      </c>
      <c r="Q545" t="s">
        <v>1136</v>
      </c>
    </row>
    <row r="546" spans="1:17" x14ac:dyDescent="0.3">
      <c r="A546" t="s">
        <v>32</v>
      </c>
      <c r="B546" t="str">
        <f>"002763"</f>
        <v>002763</v>
      </c>
      <c r="C546" t="s">
        <v>1137</v>
      </c>
      <c r="D546" t="s">
        <v>130</v>
      </c>
      <c r="E546">
        <v>125953609</v>
      </c>
      <c r="F546">
        <v>119733788</v>
      </c>
      <c r="G546">
        <v>54612987</v>
      </c>
      <c r="H546">
        <v>-27680886</v>
      </c>
      <c r="I546">
        <v>52715885</v>
      </c>
      <c r="J546">
        <v>135652569</v>
      </c>
      <c r="K546">
        <v>2366514</v>
      </c>
      <c r="L546">
        <v>41536842</v>
      </c>
      <c r="M546">
        <v>39638823</v>
      </c>
      <c r="P546">
        <v>293</v>
      </c>
      <c r="Q546" t="s">
        <v>1138</v>
      </c>
    </row>
    <row r="547" spans="1:17" x14ac:dyDescent="0.3">
      <c r="A547" t="s">
        <v>32</v>
      </c>
      <c r="B547" t="str">
        <f>"301108"</f>
        <v>301108</v>
      </c>
      <c r="C547" t="s">
        <v>1139</v>
      </c>
      <c r="D547" t="s">
        <v>544</v>
      </c>
      <c r="E547">
        <v>125499353</v>
      </c>
      <c r="P547">
        <v>24</v>
      </c>
      <c r="Q547" t="s">
        <v>1140</v>
      </c>
    </row>
    <row r="548" spans="1:17" x14ac:dyDescent="0.3">
      <c r="A548" t="s">
        <v>17</v>
      </c>
      <c r="B548" t="str">
        <f>"688536"</f>
        <v>688536</v>
      </c>
      <c r="C548" t="s">
        <v>1141</v>
      </c>
      <c r="D548" t="s">
        <v>124</v>
      </c>
      <c r="E548">
        <v>125342318</v>
      </c>
      <c r="F548">
        <v>-95256903</v>
      </c>
      <c r="G548">
        <v>39055549</v>
      </c>
      <c r="P548">
        <v>200</v>
      </c>
      <c r="Q548" t="s">
        <v>1142</v>
      </c>
    </row>
    <row r="549" spans="1:17" x14ac:dyDescent="0.3">
      <c r="A549" t="s">
        <v>17</v>
      </c>
      <c r="B549" t="str">
        <f>"603328"</f>
        <v>603328</v>
      </c>
      <c r="C549" t="s">
        <v>1143</v>
      </c>
      <c r="D549" t="s">
        <v>124</v>
      </c>
      <c r="E549">
        <v>125234112</v>
      </c>
      <c r="F549">
        <v>66586063</v>
      </c>
      <c r="G549">
        <v>168320909</v>
      </c>
      <c r="H549">
        <v>138751984</v>
      </c>
      <c r="I549">
        <v>146169637</v>
      </c>
      <c r="J549">
        <v>165153569</v>
      </c>
      <c r="K549">
        <v>62367981</v>
      </c>
      <c r="L549">
        <v>95916415</v>
      </c>
      <c r="M549">
        <v>72535100</v>
      </c>
      <c r="N549">
        <v>91838000</v>
      </c>
      <c r="P549">
        <v>590</v>
      </c>
      <c r="Q549" t="s">
        <v>1144</v>
      </c>
    </row>
    <row r="550" spans="1:17" x14ac:dyDescent="0.3">
      <c r="A550" t="s">
        <v>32</v>
      </c>
      <c r="B550" t="str">
        <f>"002654"</f>
        <v>002654</v>
      </c>
      <c r="C550" t="s">
        <v>1145</v>
      </c>
      <c r="D550" t="s">
        <v>124</v>
      </c>
      <c r="E550">
        <v>125173555</v>
      </c>
      <c r="F550">
        <v>-36531763</v>
      </c>
      <c r="G550">
        <v>-175489102</v>
      </c>
      <c r="H550">
        <v>-13867483</v>
      </c>
      <c r="I550">
        <v>-208078054</v>
      </c>
      <c r="J550">
        <v>-57011818</v>
      </c>
      <c r="K550">
        <v>-22982179</v>
      </c>
      <c r="L550">
        <v>-24432427</v>
      </c>
      <c r="M550">
        <v>-29289830</v>
      </c>
      <c r="N550">
        <v>-5605946</v>
      </c>
      <c r="O550">
        <v>-56493585</v>
      </c>
      <c r="P550">
        <v>124</v>
      </c>
      <c r="Q550" t="s">
        <v>1146</v>
      </c>
    </row>
    <row r="551" spans="1:17" x14ac:dyDescent="0.3">
      <c r="A551" t="s">
        <v>17</v>
      </c>
      <c r="B551" t="str">
        <f>"600319"</f>
        <v>600319</v>
      </c>
      <c r="C551" t="s">
        <v>1147</v>
      </c>
      <c r="D551" t="s">
        <v>144</v>
      </c>
      <c r="E551">
        <v>123882674</v>
      </c>
      <c r="F551">
        <v>-45800464</v>
      </c>
      <c r="G551">
        <v>346386132</v>
      </c>
      <c r="H551">
        <v>89062337</v>
      </c>
      <c r="I551">
        <v>-50690824</v>
      </c>
      <c r="J551">
        <v>-66597735</v>
      </c>
      <c r="K551">
        <v>-55987520</v>
      </c>
      <c r="L551">
        <v>-26942295</v>
      </c>
      <c r="M551">
        <v>-35040159</v>
      </c>
      <c r="N551">
        <v>103351672</v>
      </c>
      <c r="O551">
        <v>-40853516</v>
      </c>
      <c r="P551">
        <v>57</v>
      </c>
      <c r="Q551" t="s">
        <v>1148</v>
      </c>
    </row>
    <row r="552" spans="1:17" x14ac:dyDescent="0.3">
      <c r="A552" t="s">
        <v>32</v>
      </c>
      <c r="B552" t="str">
        <f>"003023"</f>
        <v>003023</v>
      </c>
      <c r="C552" t="s">
        <v>1149</v>
      </c>
      <c r="D552" t="s">
        <v>127</v>
      </c>
      <c r="E552">
        <v>123321120</v>
      </c>
      <c r="F552">
        <v>162516370</v>
      </c>
      <c r="G552">
        <v>104510681</v>
      </c>
      <c r="P552">
        <v>49</v>
      </c>
      <c r="Q552" t="s">
        <v>1150</v>
      </c>
    </row>
    <row r="553" spans="1:17" x14ac:dyDescent="0.3">
      <c r="A553" t="s">
        <v>17</v>
      </c>
      <c r="B553" t="str">
        <f>"603777"</f>
        <v>603777</v>
      </c>
      <c r="C553" t="s">
        <v>1151</v>
      </c>
      <c r="D553" t="s">
        <v>172</v>
      </c>
      <c r="E553">
        <v>123034800</v>
      </c>
      <c r="F553">
        <v>138654241</v>
      </c>
      <c r="G553">
        <v>69353579</v>
      </c>
      <c r="H553">
        <v>18410370</v>
      </c>
      <c r="I553">
        <v>38000484</v>
      </c>
      <c r="J553">
        <v>62326850</v>
      </c>
      <c r="K553">
        <v>56032613</v>
      </c>
      <c r="P553">
        <v>259</v>
      </c>
      <c r="Q553" t="s">
        <v>1152</v>
      </c>
    </row>
    <row r="554" spans="1:17" x14ac:dyDescent="0.3">
      <c r="A554" t="s">
        <v>32</v>
      </c>
      <c r="B554" t="str">
        <f>"001696"</f>
        <v>001696</v>
      </c>
      <c r="C554" t="s">
        <v>1153</v>
      </c>
      <c r="D554" t="s">
        <v>135</v>
      </c>
      <c r="E554">
        <v>122908597</v>
      </c>
      <c r="F554">
        <v>73362595</v>
      </c>
      <c r="G554">
        <v>-86016240</v>
      </c>
      <c r="H554">
        <v>162195008</v>
      </c>
      <c r="I554">
        <v>-198676189</v>
      </c>
      <c r="J554">
        <v>22550627</v>
      </c>
      <c r="K554">
        <v>125713221</v>
      </c>
      <c r="L554">
        <v>-164079956</v>
      </c>
      <c r="M554">
        <v>67422506</v>
      </c>
      <c r="N554">
        <v>-39294309</v>
      </c>
      <c r="O554">
        <v>184792707</v>
      </c>
      <c r="P554">
        <v>274</v>
      </c>
      <c r="Q554" t="s">
        <v>1154</v>
      </c>
    </row>
    <row r="555" spans="1:17" x14ac:dyDescent="0.3">
      <c r="A555" t="s">
        <v>32</v>
      </c>
      <c r="B555" t="str">
        <f>"002264"</f>
        <v>002264</v>
      </c>
      <c r="C555" t="s">
        <v>1155</v>
      </c>
      <c r="D555" t="s">
        <v>218</v>
      </c>
      <c r="E555">
        <v>122784721</v>
      </c>
      <c r="F555">
        <v>275152747</v>
      </c>
      <c r="G555">
        <v>298814708</v>
      </c>
      <c r="H555">
        <v>271934118</v>
      </c>
      <c r="I555">
        <v>-2268326</v>
      </c>
      <c r="J555">
        <v>71726142</v>
      </c>
      <c r="K555">
        <v>-92174125</v>
      </c>
      <c r="L555">
        <v>-48291526</v>
      </c>
      <c r="M555">
        <v>-98627968</v>
      </c>
      <c r="N555">
        <v>-54029449</v>
      </c>
      <c r="O555">
        <v>-72121838</v>
      </c>
      <c r="P555">
        <v>96</v>
      </c>
      <c r="Q555" t="s">
        <v>1156</v>
      </c>
    </row>
    <row r="556" spans="1:17" x14ac:dyDescent="0.3">
      <c r="A556" t="s">
        <v>17</v>
      </c>
      <c r="B556" t="str">
        <f>"600106"</f>
        <v>600106</v>
      </c>
      <c r="C556" t="s">
        <v>1157</v>
      </c>
      <c r="D556" t="s">
        <v>46</v>
      </c>
      <c r="E556">
        <v>122418108</v>
      </c>
      <c r="F556">
        <v>53431041</v>
      </c>
      <c r="G556">
        <v>505846253</v>
      </c>
      <c r="H556">
        <v>131155047</v>
      </c>
      <c r="I556">
        <v>-2032429</v>
      </c>
      <c r="J556">
        <v>118143076</v>
      </c>
      <c r="K556">
        <v>60446448</v>
      </c>
      <c r="L556">
        <v>98995272</v>
      </c>
      <c r="M556">
        <v>27163027</v>
      </c>
      <c r="N556">
        <v>42917917</v>
      </c>
      <c r="O556">
        <v>-8188673</v>
      </c>
      <c r="P556">
        <v>145</v>
      </c>
      <c r="Q556" t="s">
        <v>1158</v>
      </c>
    </row>
    <row r="557" spans="1:17" x14ac:dyDescent="0.3">
      <c r="A557" t="s">
        <v>32</v>
      </c>
      <c r="B557" t="str">
        <f>"002697"</f>
        <v>002697</v>
      </c>
      <c r="C557" t="s">
        <v>1159</v>
      </c>
      <c r="D557" t="s">
        <v>218</v>
      </c>
      <c r="E557">
        <v>121792064</v>
      </c>
      <c r="F557">
        <v>-43581673</v>
      </c>
      <c r="G557">
        <v>-431586128</v>
      </c>
      <c r="H557">
        <v>-230422795</v>
      </c>
      <c r="I557">
        <v>-55005476</v>
      </c>
      <c r="J557">
        <v>72569437</v>
      </c>
      <c r="K557">
        <v>-115464500</v>
      </c>
      <c r="L557">
        <v>14340224</v>
      </c>
      <c r="M557">
        <v>54373084</v>
      </c>
      <c r="N557">
        <v>8750155</v>
      </c>
      <c r="O557">
        <v>-29859127</v>
      </c>
      <c r="P557">
        <v>503</v>
      </c>
      <c r="Q557" t="s">
        <v>1160</v>
      </c>
    </row>
    <row r="558" spans="1:17" x14ac:dyDescent="0.3">
      <c r="A558" t="s">
        <v>17</v>
      </c>
      <c r="B558" t="str">
        <f>"600610"</f>
        <v>600610</v>
      </c>
      <c r="C558" t="s">
        <v>1161</v>
      </c>
      <c r="D558" t="s">
        <v>144</v>
      </c>
      <c r="E558">
        <v>120928800</v>
      </c>
      <c r="F558">
        <v>1344417</v>
      </c>
      <c r="G558">
        <v>45947743</v>
      </c>
      <c r="H558">
        <v>990</v>
      </c>
      <c r="I558">
        <v>-2183788</v>
      </c>
      <c r="J558">
        <v>-86439725</v>
      </c>
      <c r="K558">
        <v>-5908928</v>
      </c>
      <c r="L558">
        <v>-15958217</v>
      </c>
      <c r="M558">
        <v>-11491834</v>
      </c>
      <c r="N558">
        <v>-12676175</v>
      </c>
      <c r="O558">
        <v>-26385916</v>
      </c>
      <c r="P558">
        <v>91</v>
      </c>
      <c r="Q558" t="s">
        <v>1162</v>
      </c>
    </row>
    <row r="559" spans="1:17" x14ac:dyDescent="0.3">
      <c r="A559" t="s">
        <v>32</v>
      </c>
      <c r="B559" t="str">
        <f>"002765"</f>
        <v>002765</v>
      </c>
      <c r="C559" t="s">
        <v>1163</v>
      </c>
      <c r="D559" t="s">
        <v>124</v>
      </c>
      <c r="E559">
        <v>120619789</v>
      </c>
      <c r="F559">
        <v>5494146</v>
      </c>
      <c r="G559">
        <v>59305476</v>
      </c>
      <c r="H559">
        <v>-98783835</v>
      </c>
      <c r="I559">
        <v>-38461412</v>
      </c>
      <c r="J559">
        <v>-35490270</v>
      </c>
      <c r="K559">
        <v>-114805582</v>
      </c>
      <c r="L559">
        <v>51899700</v>
      </c>
      <c r="M559">
        <v>-13713800</v>
      </c>
      <c r="P559">
        <v>119</v>
      </c>
      <c r="Q559" t="s">
        <v>1164</v>
      </c>
    </row>
    <row r="560" spans="1:17" x14ac:dyDescent="0.3">
      <c r="A560" t="s">
        <v>32</v>
      </c>
      <c r="B560" t="str">
        <f>"000937"</f>
        <v>000937</v>
      </c>
      <c r="C560" t="s">
        <v>1165</v>
      </c>
      <c r="D560" t="s">
        <v>73</v>
      </c>
      <c r="E560">
        <v>120528532</v>
      </c>
      <c r="F560">
        <v>544268326</v>
      </c>
      <c r="G560">
        <v>45080107</v>
      </c>
      <c r="H560">
        <v>100840774</v>
      </c>
      <c r="I560">
        <v>24491478</v>
      </c>
      <c r="J560">
        <v>-452700781</v>
      </c>
      <c r="K560">
        <v>-451639285</v>
      </c>
      <c r="L560">
        <v>-629961393</v>
      </c>
      <c r="M560">
        <v>-672739701</v>
      </c>
      <c r="N560">
        <v>115280158</v>
      </c>
      <c r="O560">
        <v>-111071223</v>
      </c>
      <c r="P560">
        <v>350</v>
      </c>
      <c r="Q560" t="s">
        <v>1166</v>
      </c>
    </row>
    <row r="561" spans="1:17" x14ac:dyDescent="0.3">
      <c r="A561" t="s">
        <v>32</v>
      </c>
      <c r="B561" t="str">
        <f>"300402"</f>
        <v>300402</v>
      </c>
      <c r="C561" t="s">
        <v>1167</v>
      </c>
      <c r="D561" t="s">
        <v>135</v>
      </c>
      <c r="E561">
        <v>119791335</v>
      </c>
      <c r="F561">
        <v>95549155</v>
      </c>
      <c r="G561">
        <v>7826541</v>
      </c>
      <c r="H561">
        <v>71064278</v>
      </c>
      <c r="I561">
        <v>27607199</v>
      </c>
      <c r="J561">
        <v>-24795761</v>
      </c>
      <c r="K561">
        <v>-38774529</v>
      </c>
      <c r="L561">
        <v>-57470730</v>
      </c>
      <c r="M561">
        <v>-12503762</v>
      </c>
      <c r="P561">
        <v>101</v>
      </c>
      <c r="Q561" t="s">
        <v>1168</v>
      </c>
    </row>
    <row r="562" spans="1:17" x14ac:dyDescent="0.3">
      <c r="A562" t="s">
        <v>17</v>
      </c>
      <c r="B562" t="str">
        <f>"603557"</f>
        <v>603557</v>
      </c>
      <c r="C562" t="s">
        <v>1169</v>
      </c>
      <c r="D562" t="s">
        <v>130</v>
      </c>
      <c r="E562">
        <v>119786304</v>
      </c>
      <c r="F562">
        <v>-177995198</v>
      </c>
      <c r="G562">
        <v>-289022428</v>
      </c>
      <c r="H562">
        <v>-45182045</v>
      </c>
      <c r="I562">
        <v>-66265230</v>
      </c>
      <c r="J562">
        <v>-140386017</v>
      </c>
      <c r="P562">
        <v>118</v>
      </c>
      <c r="Q562" t="s">
        <v>1170</v>
      </c>
    </row>
    <row r="563" spans="1:17" x14ac:dyDescent="0.3">
      <c r="A563" t="s">
        <v>32</v>
      </c>
      <c r="B563" t="str">
        <f>"002903"</f>
        <v>002903</v>
      </c>
      <c r="C563" t="s">
        <v>1171</v>
      </c>
      <c r="D563" t="s">
        <v>135</v>
      </c>
      <c r="E563">
        <v>117566182</v>
      </c>
      <c r="F563">
        <v>-12639262</v>
      </c>
      <c r="G563">
        <v>-21322413</v>
      </c>
      <c r="H563">
        <v>-2826378</v>
      </c>
      <c r="I563">
        <v>-30726239</v>
      </c>
      <c r="J563">
        <v>22382082</v>
      </c>
      <c r="P563">
        <v>143</v>
      </c>
      <c r="Q563" t="s">
        <v>1172</v>
      </c>
    </row>
    <row r="564" spans="1:17" x14ac:dyDescent="0.3">
      <c r="A564" t="s">
        <v>17</v>
      </c>
      <c r="B564" t="str">
        <f>"603214"</f>
        <v>603214</v>
      </c>
      <c r="C564" t="s">
        <v>1173</v>
      </c>
      <c r="D564" t="s">
        <v>218</v>
      </c>
      <c r="E564">
        <v>116705506</v>
      </c>
      <c r="F564">
        <v>234650</v>
      </c>
      <c r="G564">
        <v>-24597149</v>
      </c>
      <c r="H564">
        <v>-38127578</v>
      </c>
      <c r="I564">
        <v>44429266</v>
      </c>
      <c r="J564">
        <v>19236502</v>
      </c>
      <c r="P564">
        <v>290</v>
      </c>
      <c r="Q564" t="s">
        <v>1174</v>
      </c>
    </row>
    <row r="565" spans="1:17" x14ac:dyDescent="0.3">
      <c r="A565" t="s">
        <v>17</v>
      </c>
      <c r="B565" t="str">
        <f>"603730"</f>
        <v>603730</v>
      </c>
      <c r="C565" t="s">
        <v>1175</v>
      </c>
      <c r="D565" t="s">
        <v>199</v>
      </c>
      <c r="E565">
        <v>116579599</v>
      </c>
      <c r="F565">
        <v>5896098</v>
      </c>
      <c r="G565">
        <v>197929301</v>
      </c>
      <c r="H565">
        <v>37264776</v>
      </c>
      <c r="I565">
        <v>83566492</v>
      </c>
      <c r="J565">
        <v>186842309</v>
      </c>
      <c r="P565">
        <v>522</v>
      </c>
      <c r="Q565" t="s">
        <v>1176</v>
      </c>
    </row>
    <row r="566" spans="1:17" x14ac:dyDescent="0.3">
      <c r="A566" t="s">
        <v>32</v>
      </c>
      <c r="B566" t="str">
        <f>"300120"</f>
        <v>300120</v>
      </c>
      <c r="C566" t="s">
        <v>1177</v>
      </c>
      <c r="D566" t="s">
        <v>124</v>
      </c>
      <c r="E566">
        <v>116330430</v>
      </c>
      <c r="F566">
        <v>-50991213</v>
      </c>
      <c r="G566">
        <v>-178737223</v>
      </c>
      <c r="H566">
        <v>51448659</v>
      </c>
      <c r="I566">
        <v>-31012952</v>
      </c>
      <c r="J566">
        <v>-26322557</v>
      </c>
      <c r="K566">
        <v>-30480535</v>
      </c>
      <c r="L566">
        <v>-29605059</v>
      </c>
      <c r="M566">
        <v>-16796760</v>
      </c>
      <c r="N566">
        <v>-26571361</v>
      </c>
      <c r="O566">
        <v>-33905935</v>
      </c>
      <c r="P566">
        <v>105</v>
      </c>
      <c r="Q566" t="s">
        <v>1178</v>
      </c>
    </row>
    <row r="567" spans="1:17" x14ac:dyDescent="0.3">
      <c r="A567" t="s">
        <v>32</v>
      </c>
      <c r="B567" t="str">
        <f>"002463"</f>
        <v>002463</v>
      </c>
      <c r="C567" t="s">
        <v>1179</v>
      </c>
      <c r="D567" t="s">
        <v>124</v>
      </c>
      <c r="E567">
        <v>116320124</v>
      </c>
      <c r="F567">
        <v>242716454</v>
      </c>
      <c r="G567">
        <v>397618287</v>
      </c>
      <c r="H567">
        <v>101184741</v>
      </c>
      <c r="I567">
        <v>53393346</v>
      </c>
      <c r="J567">
        <v>-116858027</v>
      </c>
      <c r="K567">
        <v>-149304281</v>
      </c>
      <c r="L567">
        <v>-239385268</v>
      </c>
      <c r="M567">
        <v>-286394976</v>
      </c>
      <c r="N567">
        <v>-519500534</v>
      </c>
      <c r="O567">
        <v>20817303</v>
      </c>
      <c r="P567">
        <v>3004</v>
      </c>
      <c r="Q567" t="s">
        <v>1180</v>
      </c>
    </row>
    <row r="568" spans="1:17" x14ac:dyDescent="0.3">
      <c r="A568" t="s">
        <v>17</v>
      </c>
      <c r="B568" t="str">
        <f>"603035"</f>
        <v>603035</v>
      </c>
      <c r="C568" t="s">
        <v>1181</v>
      </c>
      <c r="D568" t="s">
        <v>199</v>
      </c>
      <c r="E568">
        <v>116271734</v>
      </c>
      <c r="F568">
        <v>11316934</v>
      </c>
      <c r="G568">
        <v>-61388759</v>
      </c>
      <c r="H568">
        <v>934924</v>
      </c>
      <c r="I568">
        <v>-167417176</v>
      </c>
      <c r="J568">
        <v>-40738032</v>
      </c>
      <c r="K568">
        <v>31096223</v>
      </c>
      <c r="P568">
        <v>244</v>
      </c>
      <c r="Q568" t="s">
        <v>1182</v>
      </c>
    </row>
    <row r="569" spans="1:17" x14ac:dyDescent="0.3">
      <c r="A569" t="s">
        <v>17</v>
      </c>
      <c r="B569" t="str">
        <f>"605198"</f>
        <v>605198</v>
      </c>
      <c r="C569" t="s">
        <v>1183</v>
      </c>
      <c r="D569" t="s">
        <v>175</v>
      </c>
      <c r="E569">
        <v>116156433</v>
      </c>
      <c r="F569">
        <v>134348425</v>
      </c>
      <c r="G569">
        <v>271056665</v>
      </c>
      <c r="P569">
        <v>47</v>
      </c>
      <c r="Q569" t="s">
        <v>1184</v>
      </c>
    </row>
    <row r="570" spans="1:17" x14ac:dyDescent="0.3">
      <c r="A570" t="s">
        <v>17</v>
      </c>
      <c r="B570" t="str">
        <f>"600961"</f>
        <v>600961</v>
      </c>
      <c r="C570" t="s">
        <v>1185</v>
      </c>
      <c r="D570" t="s">
        <v>121</v>
      </c>
      <c r="E570">
        <v>115220277</v>
      </c>
      <c r="F570">
        <v>22157983</v>
      </c>
      <c r="G570">
        <v>74580358</v>
      </c>
      <c r="H570">
        <v>-292793378</v>
      </c>
      <c r="I570">
        <v>-449495403</v>
      </c>
      <c r="J570">
        <v>-45153366</v>
      </c>
      <c r="K570">
        <v>-140856688</v>
      </c>
      <c r="L570">
        <v>-150996835</v>
      </c>
      <c r="M570">
        <v>-199901468</v>
      </c>
      <c r="N570">
        <v>-154164597</v>
      </c>
      <c r="O570">
        <v>62522557</v>
      </c>
      <c r="P570">
        <v>127</v>
      </c>
      <c r="Q570" t="s">
        <v>1186</v>
      </c>
    </row>
    <row r="571" spans="1:17" x14ac:dyDescent="0.3">
      <c r="A571" t="s">
        <v>32</v>
      </c>
      <c r="B571" t="str">
        <f>"000525"</f>
        <v>000525</v>
      </c>
      <c r="C571" t="s">
        <v>1187</v>
      </c>
      <c r="D571" t="s">
        <v>144</v>
      </c>
      <c r="E571">
        <v>114957722</v>
      </c>
      <c r="F571">
        <v>38269200</v>
      </c>
      <c r="G571">
        <v>-50087367</v>
      </c>
      <c r="H571">
        <v>-19645151</v>
      </c>
      <c r="I571">
        <v>513770</v>
      </c>
      <c r="J571">
        <v>66845350</v>
      </c>
      <c r="K571">
        <v>21184552</v>
      </c>
      <c r="L571">
        <v>228119360</v>
      </c>
      <c r="M571">
        <v>-117302262</v>
      </c>
      <c r="N571">
        <v>-27475383</v>
      </c>
      <c r="O571">
        <v>-257650608</v>
      </c>
      <c r="P571">
        <v>150</v>
      </c>
      <c r="Q571" t="s">
        <v>1188</v>
      </c>
    </row>
    <row r="572" spans="1:17" x14ac:dyDescent="0.3">
      <c r="A572" t="s">
        <v>32</v>
      </c>
      <c r="B572" t="str">
        <f>"002641"</f>
        <v>002641</v>
      </c>
      <c r="C572" t="s">
        <v>1189</v>
      </c>
      <c r="D572" t="s">
        <v>400</v>
      </c>
      <c r="E572">
        <v>114889285</v>
      </c>
      <c r="F572">
        <v>194031026</v>
      </c>
      <c r="G572">
        <v>1812532</v>
      </c>
      <c r="H572">
        <v>98638727</v>
      </c>
      <c r="I572">
        <v>-6240332</v>
      </c>
      <c r="J572">
        <v>-107922039</v>
      </c>
      <c r="K572">
        <v>-10438330</v>
      </c>
      <c r="L572">
        <v>-38130346</v>
      </c>
      <c r="M572">
        <v>-110101269</v>
      </c>
      <c r="N572">
        <v>-121840649</v>
      </c>
      <c r="O572">
        <v>-110805832</v>
      </c>
      <c r="P572">
        <v>360</v>
      </c>
      <c r="Q572" t="s">
        <v>1190</v>
      </c>
    </row>
    <row r="573" spans="1:17" x14ac:dyDescent="0.3">
      <c r="A573" t="s">
        <v>32</v>
      </c>
      <c r="B573" t="str">
        <f>"000813"</f>
        <v>000813</v>
      </c>
      <c r="C573" t="s">
        <v>1191</v>
      </c>
      <c r="D573" t="s">
        <v>98</v>
      </c>
      <c r="E573">
        <v>114583289</v>
      </c>
      <c r="F573">
        <v>131562773</v>
      </c>
      <c r="G573">
        <v>446624369</v>
      </c>
      <c r="H573">
        <v>366879948</v>
      </c>
      <c r="I573">
        <v>-36742679</v>
      </c>
      <c r="J573">
        <v>-877625</v>
      </c>
      <c r="K573">
        <v>-629858</v>
      </c>
      <c r="L573">
        <v>14793028</v>
      </c>
      <c r="M573">
        <v>2574626</v>
      </c>
      <c r="N573">
        <v>-19870009</v>
      </c>
      <c r="O573">
        <v>3121882</v>
      </c>
      <c r="P573">
        <v>281</v>
      </c>
      <c r="Q573" t="s">
        <v>1192</v>
      </c>
    </row>
    <row r="574" spans="1:17" x14ac:dyDescent="0.3">
      <c r="A574" t="s">
        <v>17</v>
      </c>
      <c r="B574" t="str">
        <f>"603876"</f>
        <v>603876</v>
      </c>
      <c r="C574" t="s">
        <v>1193</v>
      </c>
      <c r="D574" t="s">
        <v>121</v>
      </c>
      <c r="E574">
        <v>114296878</v>
      </c>
      <c r="F574">
        <v>-252957022</v>
      </c>
      <c r="G574">
        <v>-84515465</v>
      </c>
      <c r="H574">
        <v>-169087423</v>
      </c>
      <c r="I574">
        <v>-156028909</v>
      </c>
      <c r="J574">
        <v>-143307107</v>
      </c>
      <c r="P574">
        <v>143</v>
      </c>
      <c r="Q574" t="s">
        <v>1194</v>
      </c>
    </row>
    <row r="575" spans="1:17" x14ac:dyDescent="0.3">
      <c r="A575" t="s">
        <v>17</v>
      </c>
      <c r="B575" t="str">
        <f>"603758"</f>
        <v>603758</v>
      </c>
      <c r="C575" t="s">
        <v>1195</v>
      </c>
      <c r="D575" t="s">
        <v>199</v>
      </c>
      <c r="E575">
        <v>114130003</v>
      </c>
      <c r="F575">
        <v>61279122</v>
      </c>
      <c r="G575">
        <v>-123154192</v>
      </c>
      <c r="H575">
        <v>-57211410</v>
      </c>
      <c r="I575">
        <v>88731727</v>
      </c>
      <c r="J575">
        <v>65912022</v>
      </c>
      <c r="K575">
        <v>17982941</v>
      </c>
      <c r="P575">
        <v>133</v>
      </c>
      <c r="Q575" t="s">
        <v>1196</v>
      </c>
    </row>
    <row r="576" spans="1:17" x14ac:dyDescent="0.3">
      <c r="A576" t="s">
        <v>32</v>
      </c>
      <c r="B576" t="str">
        <f>"000526"</f>
        <v>000526</v>
      </c>
      <c r="C576" t="s">
        <v>1197</v>
      </c>
      <c r="D576" t="s">
        <v>497</v>
      </c>
      <c r="E576">
        <v>114084257</v>
      </c>
      <c r="F576">
        <v>288872589</v>
      </c>
      <c r="G576">
        <v>64830361</v>
      </c>
      <c r="H576">
        <v>222611444</v>
      </c>
      <c r="I576">
        <v>196780344</v>
      </c>
      <c r="J576">
        <v>285293668</v>
      </c>
      <c r="K576">
        <v>359247</v>
      </c>
      <c r="L576">
        <v>599135</v>
      </c>
      <c r="M576">
        <v>-27143243</v>
      </c>
      <c r="N576">
        <v>38073176</v>
      </c>
      <c r="O576">
        <v>-4278652</v>
      </c>
      <c r="P576">
        <v>201</v>
      </c>
      <c r="Q576" t="s">
        <v>1198</v>
      </c>
    </row>
    <row r="577" spans="1:17" x14ac:dyDescent="0.3">
      <c r="A577" t="s">
        <v>32</v>
      </c>
      <c r="B577" t="str">
        <f>"002267"</f>
        <v>002267</v>
      </c>
      <c r="C577" t="s">
        <v>1199</v>
      </c>
      <c r="D577" t="s">
        <v>158</v>
      </c>
      <c r="E577">
        <v>112916343</v>
      </c>
      <c r="F577">
        <v>274428604</v>
      </c>
      <c r="G577">
        <v>450808721</v>
      </c>
      <c r="H577">
        <v>1050942604</v>
      </c>
      <c r="I577">
        <v>281397424</v>
      </c>
      <c r="J577">
        <v>28488247</v>
      </c>
      <c r="K577">
        <v>336344806</v>
      </c>
      <c r="L577">
        <v>217809718</v>
      </c>
      <c r="M577">
        <v>210895985</v>
      </c>
      <c r="N577">
        <v>-224702863</v>
      </c>
      <c r="O577">
        <v>11802663</v>
      </c>
      <c r="P577">
        <v>202</v>
      </c>
      <c r="Q577" t="s">
        <v>1200</v>
      </c>
    </row>
    <row r="578" spans="1:17" x14ac:dyDescent="0.3">
      <c r="A578" t="s">
        <v>32</v>
      </c>
      <c r="B578" t="str">
        <f>"002343"</f>
        <v>002343</v>
      </c>
      <c r="C578" t="s">
        <v>1201</v>
      </c>
      <c r="D578" t="s">
        <v>245</v>
      </c>
      <c r="E578">
        <v>112681368</v>
      </c>
      <c r="F578">
        <v>-52605060</v>
      </c>
      <c r="G578">
        <v>-45087832</v>
      </c>
      <c r="H578">
        <v>2898176</v>
      </c>
      <c r="I578">
        <v>-51127152</v>
      </c>
      <c r="J578">
        <v>-38976630</v>
      </c>
      <c r="K578">
        <v>-19919800</v>
      </c>
      <c r="L578">
        <v>-44070901</v>
      </c>
      <c r="M578">
        <v>-31437954</v>
      </c>
      <c r="N578">
        <v>-23548762</v>
      </c>
      <c r="O578">
        <v>-14674520</v>
      </c>
      <c r="P578">
        <v>183</v>
      </c>
      <c r="Q578" t="s">
        <v>1202</v>
      </c>
    </row>
    <row r="579" spans="1:17" x14ac:dyDescent="0.3">
      <c r="A579" t="s">
        <v>32</v>
      </c>
      <c r="B579" t="str">
        <f>"002738"</f>
        <v>002738</v>
      </c>
      <c r="C579" t="s">
        <v>1203</v>
      </c>
      <c r="D579" t="s">
        <v>121</v>
      </c>
      <c r="E579">
        <v>111386266</v>
      </c>
      <c r="F579">
        <v>-30070140</v>
      </c>
      <c r="G579">
        <v>17709665</v>
      </c>
      <c r="H579">
        <v>-39744719</v>
      </c>
      <c r="I579">
        <v>-16200744</v>
      </c>
      <c r="J579">
        <v>-22759297</v>
      </c>
      <c r="K579">
        <v>-11421524</v>
      </c>
      <c r="L579">
        <v>-26202637</v>
      </c>
      <c r="M579">
        <v>-13151683</v>
      </c>
      <c r="P579">
        <v>192</v>
      </c>
      <c r="Q579" t="s">
        <v>1204</v>
      </c>
    </row>
    <row r="580" spans="1:17" x14ac:dyDescent="0.3">
      <c r="A580" t="s">
        <v>17</v>
      </c>
      <c r="B580" t="str">
        <f>"603053"</f>
        <v>603053</v>
      </c>
      <c r="C580" t="s">
        <v>1205</v>
      </c>
      <c r="D580" t="s">
        <v>158</v>
      </c>
      <c r="E580">
        <v>111156572</v>
      </c>
      <c r="F580">
        <v>33421509</v>
      </c>
      <c r="G580">
        <v>-204363766</v>
      </c>
      <c r="H580">
        <v>-69892693</v>
      </c>
      <c r="P580">
        <v>118</v>
      </c>
      <c r="Q580" t="s">
        <v>1206</v>
      </c>
    </row>
    <row r="581" spans="1:17" x14ac:dyDescent="0.3">
      <c r="A581" t="s">
        <v>17</v>
      </c>
      <c r="B581" t="str">
        <f>"601218"</f>
        <v>601218</v>
      </c>
      <c r="C581" t="s">
        <v>1207</v>
      </c>
      <c r="D581" t="s">
        <v>464</v>
      </c>
      <c r="E581">
        <v>110793763</v>
      </c>
      <c r="F581">
        <v>-87257556</v>
      </c>
      <c r="G581">
        <v>-58169040</v>
      </c>
      <c r="H581">
        <v>-77385712</v>
      </c>
      <c r="I581">
        <v>-181289763</v>
      </c>
      <c r="J581">
        <v>16033609</v>
      </c>
      <c r="K581">
        <v>-150798125</v>
      </c>
      <c r="L581">
        <v>-164154130</v>
      </c>
      <c r="M581">
        <v>-74481157</v>
      </c>
      <c r="N581">
        <v>-202439567</v>
      </c>
      <c r="O581">
        <v>-20107228</v>
      </c>
      <c r="P581">
        <v>146</v>
      </c>
      <c r="Q581" t="s">
        <v>1208</v>
      </c>
    </row>
    <row r="582" spans="1:17" x14ac:dyDescent="0.3">
      <c r="A582" t="s">
        <v>17</v>
      </c>
      <c r="B582" t="str">
        <f>"600828"</f>
        <v>600828</v>
      </c>
      <c r="C582" t="s">
        <v>1209</v>
      </c>
      <c r="D582" t="s">
        <v>218</v>
      </c>
      <c r="E582">
        <v>110734054</v>
      </c>
      <c r="F582">
        <v>156450680</v>
      </c>
      <c r="G582">
        <v>-668416985</v>
      </c>
      <c r="H582">
        <v>-59824703</v>
      </c>
      <c r="I582">
        <v>305785880</v>
      </c>
      <c r="J582">
        <v>-33358502</v>
      </c>
      <c r="K582">
        <v>-451395798</v>
      </c>
      <c r="L582">
        <v>52108469</v>
      </c>
      <c r="M582">
        <v>85475746</v>
      </c>
      <c r="N582">
        <v>-13069707</v>
      </c>
      <c r="O582">
        <v>49932148</v>
      </c>
      <c r="P582">
        <v>628</v>
      </c>
      <c r="Q582" t="s">
        <v>1210</v>
      </c>
    </row>
    <row r="583" spans="1:17" x14ac:dyDescent="0.3">
      <c r="A583" t="s">
        <v>32</v>
      </c>
      <c r="B583" t="str">
        <f>"002106"</f>
        <v>002106</v>
      </c>
      <c r="C583" t="s">
        <v>1211</v>
      </c>
      <c r="D583" t="s">
        <v>124</v>
      </c>
      <c r="E583">
        <v>110334401</v>
      </c>
      <c r="F583">
        <v>66507988</v>
      </c>
      <c r="G583">
        <v>271254065</v>
      </c>
      <c r="H583">
        <v>344564316</v>
      </c>
      <c r="I583">
        <v>307068778</v>
      </c>
      <c r="J583">
        <v>427037417</v>
      </c>
      <c r="K583">
        <v>95310796</v>
      </c>
      <c r="L583">
        <v>91812171</v>
      </c>
      <c r="M583">
        <v>-247577155</v>
      </c>
      <c r="N583">
        <v>-152545436</v>
      </c>
      <c r="O583">
        <v>-125691630</v>
      </c>
      <c r="P583">
        <v>296</v>
      </c>
      <c r="Q583" t="s">
        <v>1212</v>
      </c>
    </row>
    <row r="584" spans="1:17" x14ac:dyDescent="0.3">
      <c r="A584" t="s">
        <v>32</v>
      </c>
      <c r="B584" t="str">
        <f>"002014"</f>
        <v>002014</v>
      </c>
      <c r="C584" t="s">
        <v>1213</v>
      </c>
      <c r="D584" t="s">
        <v>455</v>
      </c>
      <c r="E584">
        <v>110011760</v>
      </c>
      <c r="F584">
        <v>-147240722</v>
      </c>
      <c r="G584">
        <v>-22798587</v>
      </c>
      <c r="H584">
        <v>643784</v>
      </c>
      <c r="I584">
        <v>-49646978</v>
      </c>
      <c r="J584">
        <v>-9009557</v>
      </c>
      <c r="K584">
        <v>22771521</v>
      </c>
      <c r="L584">
        <v>-7480135</v>
      </c>
      <c r="M584">
        <v>-24384498</v>
      </c>
      <c r="N584">
        <v>-49223386</v>
      </c>
      <c r="O584">
        <v>-75019222</v>
      </c>
      <c r="P584">
        <v>468</v>
      </c>
      <c r="Q584" t="s">
        <v>1214</v>
      </c>
    </row>
    <row r="585" spans="1:17" x14ac:dyDescent="0.3">
      <c r="A585" t="s">
        <v>17</v>
      </c>
      <c r="B585" t="str">
        <f>"601928"</f>
        <v>601928</v>
      </c>
      <c r="C585" t="s">
        <v>1215</v>
      </c>
      <c r="D585" t="s">
        <v>245</v>
      </c>
      <c r="E585">
        <v>109556841</v>
      </c>
      <c r="F585">
        <v>233305880</v>
      </c>
      <c r="G585">
        <v>230141229</v>
      </c>
      <c r="H585">
        <v>558049711</v>
      </c>
      <c r="I585">
        <v>7218600</v>
      </c>
      <c r="J585">
        <v>208742836</v>
      </c>
      <c r="K585">
        <v>-27806759</v>
      </c>
      <c r="L585">
        <v>-387281470</v>
      </c>
      <c r="M585">
        <v>-214919912</v>
      </c>
      <c r="N585">
        <v>-252887566</v>
      </c>
      <c r="O585">
        <v>99899889</v>
      </c>
      <c r="P585">
        <v>551</v>
      </c>
      <c r="Q585" t="s">
        <v>1216</v>
      </c>
    </row>
    <row r="586" spans="1:17" x14ac:dyDescent="0.3">
      <c r="A586" t="s">
        <v>17</v>
      </c>
      <c r="B586" t="str">
        <f>"603132"</f>
        <v>603132</v>
      </c>
      <c r="C586" t="s">
        <v>1217</v>
      </c>
      <c r="E586">
        <v>109416840</v>
      </c>
      <c r="P586">
        <v>10</v>
      </c>
      <c r="Q586" t="s">
        <v>1218</v>
      </c>
    </row>
    <row r="587" spans="1:17" x14ac:dyDescent="0.3">
      <c r="A587" t="s">
        <v>17</v>
      </c>
      <c r="B587" t="str">
        <f>"603511"</f>
        <v>603511</v>
      </c>
      <c r="C587" t="s">
        <v>1219</v>
      </c>
      <c r="D587" t="s">
        <v>130</v>
      </c>
      <c r="E587">
        <v>108857420</v>
      </c>
      <c r="F587">
        <v>158552789</v>
      </c>
      <c r="G587">
        <v>208302780</v>
      </c>
      <c r="P587">
        <v>47</v>
      </c>
      <c r="Q587" t="s">
        <v>1220</v>
      </c>
    </row>
    <row r="588" spans="1:17" x14ac:dyDescent="0.3">
      <c r="A588" t="s">
        <v>17</v>
      </c>
      <c r="B588" t="str">
        <f>"603393"</f>
        <v>603393</v>
      </c>
      <c r="C588" t="s">
        <v>1221</v>
      </c>
      <c r="D588" t="s">
        <v>158</v>
      </c>
      <c r="E588">
        <v>108594102</v>
      </c>
      <c r="F588">
        <v>-416995930</v>
      </c>
      <c r="G588">
        <v>-224745073</v>
      </c>
      <c r="H588">
        <v>24016997</v>
      </c>
      <c r="I588">
        <v>6291564</v>
      </c>
      <c r="J588">
        <v>16454399</v>
      </c>
      <c r="K588">
        <v>-14244039</v>
      </c>
      <c r="P588">
        <v>498</v>
      </c>
      <c r="Q588" t="s">
        <v>1222</v>
      </c>
    </row>
    <row r="589" spans="1:17" x14ac:dyDescent="0.3">
      <c r="A589" t="s">
        <v>32</v>
      </c>
      <c r="B589" t="str">
        <f>"300476"</f>
        <v>300476</v>
      </c>
      <c r="C589" t="s">
        <v>1223</v>
      </c>
      <c r="D589" t="s">
        <v>124</v>
      </c>
      <c r="E589">
        <v>108353720</v>
      </c>
      <c r="F589">
        <v>-412738905</v>
      </c>
      <c r="G589">
        <v>-58801645</v>
      </c>
      <c r="H589">
        <v>-228874034</v>
      </c>
      <c r="I589">
        <v>-80705857</v>
      </c>
      <c r="J589">
        <v>18493945</v>
      </c>
      <c r="K589">
        <v>32582219</v>
      </c>
      <c r="L589">
        <v>-26040000</v>
      </c>
      <c r="M589">
        <v>-5771500</v>
      </c>
      <c r="P589">
        <v>633</v>
      </c>
      <c r="Q589" t="s">
        <v>1224</v>
      </c>
    </row>
    <row r="590" spans="1:17" x14ac:dyDescent="0.3">
      <c r="A590" t="s">
        <v>32</v>
      </c>
      <c r="B590" t="str">
        <f>"300196"</f>
        <v>300196</v>
      </c>
      <c r="C590" t="s">
        <v>1225</v>
      </c>
      <c r="D590" t="s">
        <v>400</v>
      </c>
      <c r="E590">
        <v>107996657</v>
      </c>
      <c r="F590">
        <v>-241381548</v>
      </c>
      <c r="G590">
        <v>10313433</v>
      </c>
      <c r="H590">
        <v>-3126737</v>
      </c>
      <c r="I590">
        <v>-90883631</v>
      </c>
      <c r="J590">
        <v>31447687</v>
      </c>
      <c r="K590">
        <v>42241859</v>
      </c>
      <c r="L590">
        <v>11243944</v>
      </c>
      <c r="M590">
        <v>-14392069</v>
      </c>
      <c r="N590">
        <v>59568503</v>
      </c>
      <c r="O590">
        <v>-55897873</v>
      </c>
      <c r="P590">
        <v>232</v>
      </c>
      <c r="Q590" t="s">
        <v>1226</v>
      </c>
    </row>
    <row r="591" spans="1:17" x14ac:dyDescent="0.3">
      <c r="A591" t="s">
        <v>32</v>
      </c>
      <c r="B591" t="str">
        <f>"002565"</f>
        <v>002565</v>
      </c>
      <c r="C591" t="s">
        <v>1227</v>
      </c>
      <c r="D591" t="s">
        <v>455</v>
      </c>
      <c r="E591">
        <v>107981053</v>
      </c>
      <c r="F591">
        <v>86881603</v>
      </c>
      <c r="G591">
        <v>-48270643</v>
      </c>
      <c r="H591">
        <v>-19975647</v>
      </c>
      <c r="I591">
        <v>-14321577</v>
      </c>
      <c r="J591">
        <v>-56580965</v>
      </c>
      <c r="K591">
        <v>-38489289</v>
      </c>
      <c r="L591">
        <v>-115376993</v>
      </c>
      <c r="M591">
        <v>-91429401</v>
      </c>
      <c r="N591">
        <v>98110571</v>
      </c>
      <c r="O591">
        <v>-19177849</v>
      </c>
      <c r="P591">
        <v>107</v>
      </c>
      <c r="Q591" t="s">
        <v>1228</v>
      </c>
    </row>
    <row r="592" spans="1:17" x14ac:dyDescent="0.3">
      <c r="A592" t="s">
        <v>32</v>
      </c>
      <c r="B592" t="str">
        <f>"002363"</f>
        <v>002363</v>
      </c>
      <c r="C592" t="s">
        <v>1229</v>
      </c>
      <c r="D592" t="s">
        <v>199</v>
      </c>
      <c r="E592">
        <v>107602760</v>
      </c>
      <c r="F592">
        <v>3686365</v>
      </c>
      <c r="G592">
        <v>37381352</v>
      </c>
      <c r="H592">
        <v>43993364</v>
      </c>
      <c r="I592">
        <v>81046067</v>
      </c>
      <c r="J592">
        <v>53153372</v>
      </c>
      <c r="K592">
        <v>34871784</v>
      </c>
      <c r="L592">
        <v>88240251</v>
      </c>
      <c r="M592">
        <v>-54698976</v>
      </c>
      <c r="N592">
        <v>-58863618</v>
      </c>
      <c r="O592">
        <v>-54753253</v>
      </c>
      <c r="P592">
        <v>126</v>
      </c>
      <c r="Q592" t="s">
        <v>1230</v>
      </c>
    </row>
    <row r="593" spans="1:17" x14ac:dyDescent="0.3">
      <c r="A593" t="s">
        <v>32</v>
      </c>
      <c r="B593" t="str">
        <f>"000099"</f>
        <v>000099</v>
      </c>
      <c r="C593" t="s">
        <v>1231</v>
      </c>
      <c r="D593" t="s">
        <v>46</v>
      </c>
      <c r="E593">
        <v>107602248</v>
      </c>
      <c r="F593">
        <v>282784107</v>
      </c>
      <c r="G593">
        <v>281639814</v>
      </c>
      <c r="H593">
        <v>67877747</v>
      </c>
      <c r="I593">
        <v>-104550554</v>
      </c>
      <c r="J593">
        <v>73013403</v>
      </c>
      <c r="K593">
        <v>41752676</v>
      </c>
      <c r="L593">
        <v>24133233</v>
      </c>
      <c r="M593">
        <v>-35551248</v>
      </c>
      <c r="N593">
        <v>-225213130</v>
      </c>
      <c r="O593">
        <v>29305992</v>
      </c>
      <c r="P593">
        <v>166</v>
      </c>
      <c r="Q593" t="s">
        <v>1232</v>
      </c>
    </row>
    <row r="594" spans="1:17" x14ac:dyDescent="0.3">
      <c r="A594" t="s">
        <v>17</v>
      </c>
      <c r="B594" t="str">
        <f>"600393"</f>
        <v>600393</v>
      </c>
      <c r="C594" t="s">
        <v>1233</v>
      </c>
      <c r="D594" t="s">
        <v>151</v>
      </c>
      <c r="E594">
        <v>107572505</v>
      </c>
      <c r="F594">
        <v>72783118</v>
      </c>
      <c r="G594">
        <v>2417434896</v>
      </c>
      <c r="H594">
        <v>309850735</v>
      </c>
      <c r="I594">
        <v>112393336</v>
      </c>
      <c r="J594">
        <v>1012038015</v>
      </c>
      <c r="K594">
        <v>-325166558</v>
      </c>
      <c r="L594">
        <v>-87962083</v>
      </c>
      <c r="M594">
        <v>173601572</v>
      </c>
      <c r="N594">
        <v>-99568031</v>
      </c>
      <c r="O594">
        <v>-23751871</v>
      </c>
      <c r="P594">
        <v>131</v>
      </c>
      <c r="Q594" t="s">
        <v>1234</v>
      </c>
    </row>
    <row r="595" spans="1:17" x14ac:dyDescent="0.3">
      <c r="A595" t="s">
        <v>32</v>
      </c>
      <c r="B595" t="str">
        <f>"300401"</f>
        <v>300401</v>
      </c>
      <c r="C595" t="s">
        <v>1235</v>
      </c>
      <c r="D595" t="s">
        <v>98</v>
      </c>
      <c r="E595">
        <v>107322267</v>
      </c>
      <c r="F595">
        <v>-30394897</v>
      </c>
      <c r="G595">
        <v>-51210836</v>
      </c>
      <c r="H595">
        <v>133498317</v>
      </c>
      <c r="I595">
        <v>105350824</v>
      </c>
      <c r="J595">
        <v>2929974</v>
      </c>
      <c r="K595">
        <v>-20192862</v>
      </c>
      <c r="L595">
        <v>-14284173</v>
      </c>
      <c r="M595">
        <v>-7640525</v>
      </c>
      <c r="P595">
        <v>476</v>
      </c>
      <c r="Q595" t="s">
        <v>1236</v>
      </c>
    </row>
    <row r="596" spans="1:17" x14ac:dyDescent="0.3">
      <c r="A596" t="s">
        <v>17</v>
      </c>
      <c r="B596" t="str">
        <f>"688169"</f>
        <v>688169</v>
      </c>
      <c r="C596" t="s">
        <v>1237</v>
      </c>
      <c r="D596" t="s">
        <v>127</v>
      </c>
      <c r="E596">
        <v>107233622</v>
      </c>
      <c r="F596">
        <v>423681832</v>
      </c>
      <c r="G596">
        <v>233625364</v>
      </c>
      <c r="H596">
        <v>157562449</v>
      </c>
      <c r="P596">
        <v>759</v>
      </c>
      <c r="Q596" t="s">
        <v>1238</v>
      </c>
    </row>
    <row r="597" spans="1:17" x14ac:dyDescent="0.3">
      <c r="A597" t="s">
        <v>32</v>
      </c>
      <c r="B597" t="str">
        <f>"300487"</f>
        <v>300487</v>
      </c>
      <c r="C597" t="s">
        <v>1239</v>
      </c>
      <c r="D597" t="s">
        <v>144</v>
      </c>
      <c r="E597">
        <v>107044374</v>
      </c>
      <c r="F597">
        <v>47831308</v>
      </c>
      <c r="G597">
        <v>-33068417</v>
      </c>
      <c r="H597">
        <v>-89621083</v>
      </c>
      <c r="I597">
        <v>-50661534</v>
      </c>
      <c r="J597">
        <v>-11940547</v>
      </c>
      <c r="K597">
        <v>-52618872</v>
      </c>
      <c r="L597">
        <v>-16064000</v>
      </c>
      <c r="M597">
        <v>-17813700</v>
      </c>
      <c r="P597">
        <v>374</v>
      </c>
      <c r="Q597" t="s">
        <v>1240</v>
      </c>
    </row>
    <row r="598" spans="1:17" x14ac:dyDescent="0.3">
      <c r="A598" t="s">
        <v>32</v>
      </c>
      <c r="B598" t="str">
        <f>"000426"</f>
        <v>000426</v>
      </c>
      <c r="C598" t="s">
        <v>1241</v>
      </c>
      <c r="D598" t="s">
        <v>121</v>
      </c>
      <c r="E598">
        <v>105469617</v>
      </c>
      <c r="F598">
        <v>-6237645</v>
      </c>
      <c r="G598">
        <v>-143465242</v>
      </c>
      <c r="H598">
        <v>26781911</v>
      </c>
      <c r="I598">
        <v>-123251076</v>
      </c>
      <c r="J598">
        <v>-340018263</v>
      </c>
      <c r="K598">
        <v>-13078970</v>
      </c>
      <c r="L598">
        <v>-34019098</v>
      </c>
      <c r="M598">
        <v>-105975407</v>
      </c>
      <c r="N598">
        <v>37948</v>
      </c>
      <c r="O598">
        <v>-47446473</v>
      </c>
      <c r="P598">
        <v>202</v>
      </c>
      <c r="Q598" t="s">
        <v>1242</v>
      </c>
    </row>
    <row r="599" spans="1:17" x14ac:dyDescent="0.3">
      <c r="A599" t="s">
        <v>32</v>
      </c>
      <c r="B599" t="str">
        <f>"002716"</f>
        <v>002716</v>
      </c>
      <c r="C599" t="s">
        <v>1243</v>
      </c>
      <c r="D599" t="s">
        <v>121</v>
      </c>
      <c r="E599">
        <v>105370903</v>
      </c>
      <c r="F599">
        <v>-45175578</v>
      </c>
      <c r="G599">
        <v>-140428195</v>
      </c>
      <c r="H599">
        <v>9926988</v>
      </c>
      <c r="I599">
        <v>-67501515</v>
      </c>
      <c r="J599">
        <v>236749224</v>
      </c>
      <c r="K599">
        <v>73175525</v>
      </c>
      <c r="L599">
        <v>118645317</v>
      </c>
      <c r="M599">
        <v>-2331584</v>
      </c>
      <c r="N599">
        <v>152956499</v>
      </c>
      <c r="P599">
        <v>129</v>
      </c>
      <c r="Q599" t="s">
        <v>1244</v>
      </c>
    </row>
    <row r="600" spans="1:17" x14ac:dyDescent="0.3">
      <c r="A600" t="s">
        <v>17</v>
      </c>
      <c r="B600" t="str">
        <f>"603900"</f>
        <v>603900</v>
      </c>
      <c r="C600" t="s">
        <v>1245</v>
      </c>
      <c r="D600" t="s">
        <v>130</v>
      </c>
      <c r="E600">
        <v>105185709</v>
      </c>
      <c r="F600">
        <v>47675852</v>
      </c>
      <c r="G600">
        <v>47972933</v>
      </c>
      <c r="H600">
        <v>108726660</v>
      </c>
      <c r="I600">
        <v>95125937</v>
      </c>
      <c r="J600">
        <v>4471709</v>
      </c>
      <c r="K600">
        <v>67421914</v>
      </c>
      <c r="P600">
        <v>137</v>
      </c>
      <c r="Q600" t="s">
        <v>1246</v>
      </c>
    </row>
    <row r="601" spans="1:17" x14ac:dyDescent="0.3">
      <c r="A601" t="s">
        <v>32</v>
      </c>
      <c r="B601" t="str">
        <f>"300650"</f>
        <v>300650</v>
      </c>
      <c r="C601" t="s">
        <v>1247</v>
      </c>
      <c r="D601" t="s">
        <v>124</v>
      </c>
      <c r="E601">
        <v>104781119</v>
      </c>
      <c r="F601">
        <v>-85910525</v>
      </c>
      <c r="G601">
        <v>-24380484</v>
      </c>
      <c r="H601">
        <v>-22508967</v>
      </c>
      <c r="I601">
        <v>-14443307</v>
      </c>
      <c r="J601">
        <v>4839505</v>
      </c>
      <c r="K601">
        <v>-25240317</v>
      </c>
      <c r="P601">
        <v>125</v>
      </c>
      <c r="Q601" t="s">
        <v>1248</v>
      </c>
    </row>
    <row r="602" spans="1:17" x14ac:dyDescent="0.3">
      <c r="A602" t="s">
        <v>32</v>
      </c>
      <c r="B602" t="str">
        <f>"000523"</f>
        <v>000523</v>
      </c>
      <c r="C602" t="s">
        <v>1249</v>
      </c>
      <c r="D602" t="s">
        <v>544</v>
      </c>
      <c r="E602">
        <v>104064661</v>
      </c>
      <c r="F602">
        <v>-97656954</v>
      </c>
      <c r="G602">
        <v>-78584463</v>
      </c>
      <c r="H602">
        <v>727510</v>
      </c>
      <c r="I602">
        <v>33386117</v>
      </c>
      <c r="J602">
        <v>13866319</v>
      </c>
      <c r="K602">
        <v>4577438</v>
      </c>
      <c r="L602">
        <v>42959008</v>
      </c>
      <c r="M602">
        <v>-86587430</v>
      </c>
      <c r="N602">
        <v>-2821453</v>
      </c>
      <c r="O602">
        <v>-73170305</v>
      </c>
      <c r="P602">
        <v>97</v>
      </c>
      <c r="Q602" t="s">
        <v>1250</v>
      </c>
    </row>
    <row r="603" spans="1:17" x14ac:dyDescent="0.3">
      <c r="A603" t="s">
        <v>17</v>
      </c>
      <c r="B603" t="str">
        <f>"605158"</f>
        <v>605158</v>
      </c>
      <c r="C603" t="s">
        <v>1251</v>
      </c>
      <c r="D603" t="s">
        <v>163</v>
      </c>
      <c r="E603">
        <v>104033739</v>
      </c>
      <c r="F603">
        <v>-171598960</v>
      </c>
      <c r="G603">
        <v>-257847735</v>
      </c>
      <c r="H603">
        <v>68456604</v>
      </c>
      <c r="P603">
        <v>91</v>
      </c>
      <c r="Q603" t="s">
        <v>1252</v>
      </c>
    </row>
    <row r="604" spans="1:17" x14ac:dyDescent="0.3">
      <c r="A604" t="s">
        <v>32</v>
      </c>
      <c r="B604" t="str">
        <f>"300771"</f>
        <v>300771</v>
      </c>
      <c r="C604" t="s">
        <v>1253</v>
      </c>
      <c r="D604" t="s">
        <v>342</v>
      </c>
      <c r="E604">
        <v>103477735</v>
      </c>
      <c r="F604">
        <v>-92992257</v>
      </c>
      <c r="G604">
        <v>112830364</v>
      </c>
      <c r="H604">
        <v>17941323</v>
      </c>
      <c r="I604">
        <v>57888397</v>
      </c>
      <c r="P604">
        <v>229</v>
      </c>
      <c r="Q604" t="s">
        <v>1254</v>
      </c>
    </row>
    <row r="605" spans="1:17" x14ac:dyDescent="0.3">
      <c r="A605" t="s">
        <v>17</v>
      </c>
      <c r="B605" t="str">
        <f>"600103"</f>
        <v>600103</v>
      </c>
      <c r="C605" t="s">
        <v>1255</v>
      </c>
      <c r="D605" t="s">
        <v>455</v>
      </c>
      <c r="E605">
        <v>103298633</v>
      </c>
      <c r="F605">
        <v>70806545</v>
      </c>
      <c r="G605">
        <v>-91161431</v>
      </c>
      <c r="H605">
        <v>33537107</v>
      </c>
      <c r="I605">
        <v>146960546</v>
      </c>
      <c r="J605">
        <v>-188347844</v>
      </c>
      <c r="K605">
        <v>72841277</v>
      </c>
      <c r="L605">
        <v>-70341331</v>
      </c>
      <c r="M605">
        <v>50932452</v>
      </c>
      <c r="N605">
        <v>-42082933</v>
      </c>
      <c r="O605">
        <v>-184392044</v>
      </c>
      <c r="P605">
        <v>138</v>
      </c>
      <c r="Q605" t="s">
        <v>1256</v>
      </c>
    </row>
    <row r="606" spans="1:17" x14ac:dyDescent="0.3">
      <c r="A606" t="s">
        <v>32</v>
      </c>
      <c r="B606" t="str">
        <f>"300295"</f>
        <v>300295</v>
      </c>
      <c r="C606" t="s">
        <v>1257</v>
      </c>
      <c r="D606" t="s">
        <v>245</v>
      </c>
      <c r="E606">
        <v>103037300</v>
      </c>
      <c r="F606">
        <v>66434296</v>
      </c>
      <c r="G606">
        <v>-38010395</v>
      </c>
      <c r="H606">
        <v>333363232</v>
      </c>
      <c r="I606">
        <v>152056105</v>
      </c>
      <c r="J606">
        <v>-80129513</v>
      </c>
      <c r="K606">
        <v>3110896</v>
      </c>
      <c r="L606">
        <v>-28481058</v>
      </c>
      <c r="M606">
        <v>17674678</v>
      </c>
      <c r="N606">
        <v>3659143</v>
      </c>
      <c r="O606">
        <v>13729323</v>
      </c>
      <c r="P606">
        <v>100</v>
      </c>
      <c r="Q606" t="s">
        <v>1258</v>
      </c>
    </row>
    <row r="607" spans="1:17" x14ac:dyDescent="0.3">
      <c r="A607" t="s">
        <v>17</v>
      </c>
      <c r="B607" t="str">
        <f>"603613"</f>
        <v>603613</v>
      </c>
      <c r="C607" t="s">
        <v>1259</v>
      </c>
      <c r="D607" t="s">
        <v>218</v>
      </c>
      <c r="E607">
        <v>102257255</v>
      </c>
      <c r="F607">
        <v>101081033</v>
      </c>
      <c r="G607">
        <v>37597818</v>
      </c>
      <c r="H607">
        <v>-139220800</v>
      </c>
      <c r="I607">
        <v>-145984100</v>
      </c>
      <c r="P607">
        <v>827</v>
      </c>
      <c r="Q607" t="s">
        <v>1260</v>
      </c>
    </row>
    <row r="608" spans="1:17" x14ac:dyDescent="0.3">
      <c r="A608" t="s">
        <v>32</v>
      </c>
      <c r="B608" t="str">
        <f>"300394"</f>
        <v>300394</v>
      </c>
      <c r="C608" t="s">
        <v>1261</v>
      </c>
      <c r="D608" t="s">
        <v>57</v>
      </c>
      <c r="E608">
        <v>102153357</v>
      </c>
      <c r="F608">
        <v>41619713</v>
      </c>
      <c r="G608">
        <v>73766423</v>
      </c>
      <c r="H608">
        <v>20237310</v>
      </c>
      <c r="I608">
        <v>18764582</v>
      </c>
      <c r="J608">
        <v>-17955545</v>
      </c>
      <c r="K608">
        <v>11449383</v>
      </c>
      <c r="L608">
        <v>7678106</v>
      </c>
      <c r="M608">
        <v>12897205</v>
      </c>
      <c r="P608">
        <v>804</v>
      </c>
      <c r="Q608" t="s">
        <v>1262</v>
      </c>
    </row>
    <row r="609" spans="1:17" x14ac:dyDescent="0.3">
      <c r="A609" t="s">
        <v>17</v>
      </c>
      <c r="B609" t="str">
        <f>"688161"</f>
        <v>688161</v>
      </c>
      <c r="C609" t="s">
        <v>1263</v>
      </c>
      <c r="D609" t="s">
        <v>98</v>
      </c>
      <c r="E609">
        <v>102051753</v>
      </c>
      <c r="F609">
        <v>51330300</v>
      </c>
      <c r="G609">
        <v>52417113</v>
      </c>
      <c r="P609">
        <v>101</v>
      </c>
      <c r="Q609" t="s">
        <v>1264</v>
      </c>
    </row>
    <row r="610" spans="1:17" x14ac:dyDescent="0.3">
      <c r="A610" t="s">
        <v>32</v>
      </c>
      <c r="B610" t="str">
        <f>"002250"</f>
        <v>002250</v>
      </c>
      <c r="C610" t="s">
        <v>1265</v>
      </c>
      <c r="D610" t="s">
        <v>144</v>
      </c>
      <c r="E610">
        <v>101543696</v>
      </c>
      <c r="F610">
        <v>-198116621</v>
      </c>
      <c r="G610">
        <v>-98729309</v>
      </c>
      <c r="H610">
        <v>-8786041</v>
      </c>
      <c r="I610">
        <v>-100281556</v>
      </c>
      <c r="J610">
        <v>34188986</v>
      </c>
      <c r="K610">
        <v>143403817</v>
      </c>
      <c r="L610">
        <v>2934160</v>
      </c>
      <c r="M610">
        <v>-74004658</v>
      </c>
      <c r="N610">
        <v>9024399</v>
      </c>
      <c r="O610">
        <v>-40856851</v>
      </c>
      <c r="P610">
        <v>348</v>
      </c>
      <c r="Q610" t="s">
        <v>1266</v>
      </c>
    </row>
    <row r="611" spans="1:17" x14ac:dyDescent="0.3">
      <c r="A611" t="s">
        <v>32</v>
      </c>
      <c r="B611" t="str">
        <f>"000989"</f>
        <v>000989</v>
      </c>
      <c r="C611" t="s">
        <v>1267</v>
      </c>
      <c r="D611" t="s">
        <v>98</v>
      </c>
      <c r="E611">
        <v>101527284</v>
      </c>
      <c r="F611">
        <v>-15521219</v>
      </c>
      <c r="G611">
        <v>46403799</v>
      </c>
      <c r="H611">
        <v>137244365</v>
      </c>
      <c r="I611">
        <v>-43464332</v>
      </c>
      <c r="J611">
        <v>39468103</v>
      </c>
      <c r="K611">
        <v>91120191</v>
      </c>
      <c r="L611">
        <v>30465041</v>
      </c>
      <c r="M611">
        <v>12686653</v>
      </c>
      <c r="N611">
        <v>-59055367</v>
      </c>
      <c r="O611">
        <v>-29295199</v>
      </c>
      <c r="P611">
        <v>370</v>
      </c>
      <c r="Q611" t="s">
        <v>1268</v>
      </c>
    </row>
    <row r="612" spans="1:17" x14ac:dyDescent="0.3">
      <c r="A612" t="s">
        <v>17</v>
      </c>
      <c r="B612" t="str">
        <f>"600313"</f>
        <v>600313</v>
      </c>
      <c r="C612" t="s">
        <v>1269</v>
      </c>
      <c r="D612" t="s">
        <v>175</v>
      </c>
      <c r="E612">
        <v>101271047</v>
      </c>
      <c r="F612">
        <v>-15541600</v>
      </c>
      <c r="G612">
        <v>26719495</v>
      </c>
      <c r="H612">
        <v>8092600</v>
      </c>
      <c r="I612">
        <v>114908901</v>
      </c>
      <c r="J612">
        <v>-98278432</v>
      </c>
      <c r="K612">
        <v>-31641171</v>
      </c>
      <c r="L612">
        <v>-41069060</v>
      </c>
      <c r="M612">
        <v>-199872627</v>
      </c>
      <c r="N612">
        <v>-19399340</v>
      </c>
      <c r="O612">
        <v>30050348</v>
      </c>
      <c r="P612">
        <v>173</v>
      </c>
      <c r="Q612" t="s">
        <v>1270</v>
      </c>
    </row>
    <row r="613" spans="1:17" x14ac:dyDescent="0.3">
      <c r="A613" t="s">
        <v>17</v>
      </c>
      <c r="B613" t="str">
        <f>"603290"</f>
        <v>603290</v>
      </c>
      <c r="C613" t="s">
        <v>1271</v>
      </c>
      <c r="D613" t="s">
        <v>124</v>
      </c>
      <c r="E613">
        <v>100188843</v>
      </c>
      <c r="F613">
        <v>7097555</v>
      </c>
      <c r="G613">
        <v>-73157878</v>
      </c>
      <c r="H613">
        <v>-79293742</v>
      </c>
      <c r="P613">
        <v>637</v>
      </c>
      <c r="Q613" t="s">
        <v>1272</v>
      </c>
    </row>
    <row r="614" spans="1:17" x14ac:dyDescent="0.3">
      <c r="A614" t="s">
        <v>17</v>
      </c>
      <c r="B614" t="str">
        <f>"603317"</f>
        <v>603317</v>
      </c>
      <c r="C614" t="s">
        <v>1273</v>
      </c>
      <c r="D614" t="s">
        <v>172</v>
      </c>
      <c r="E614">
        <v>99477896</v>
      </c>
      <c r="F614">
        <v>-56039705</v>
      </c>
      <c r="G614">
        <v>118797371</v>
      </c>
      <c r="H614">
        <v>49482277</v>
      </c>
      <c r="I614">
        <v>19761129</v>
      </c>
      <c r="P614">
        <v>1436</v>
      </c>
      <c r="Q614" t="s">
        <v>1274</v>
      </c>
    </row>
    <row r="615" spans="1:17" x14ac:dyDescent="0.3">
      <c r="A615" t="s">
        <v>17</v>
      </c>
      <c r="B615" t="str">
        <f>"600452"</f>
        <v>600452</v>
      </c>
      <c r="C615" t="s">
        <v>1275</v>
      </c>
      <c r="D615" t="s">
        <v>158</v>
      </c>
      <c r="E615">
        <v>98282359</v>
      </c>
      <c r="F615">
        <v>-393088414</v>
      </c>
      <c r="G615">
        <v>-73957804</v>
      </c>
      <c r="H615">
        <v>-93934086</v>
      </c>
      <c r="I615">
        <v>-84405640</v>
      </c>
      <c r="J615">
        <v>-65423091</v>
      </c>
      <c r="K615">
        <v>-27827673</v>
      </c>
      <c r="L615">
        <v>39926373</v>
      </c>
      <c r="M615">
        <v>18527435</v>
      </c>
      <c r="N615">
        <v>23600504</v>
      </c>
      <c r="O615">
        <v>-51282406</v>
      </c>
      <c r="P615">
        <v>4518</v>
      </c>
      <c r="Q615" t="s">
        <v>1276</v>
      </c>
    </row>
    <row r="616" spans="1:17" x14ac:dyDescent="0.3">
      <c r="A616" t="s">
        <v>32</v>
      </c>
      <c r="B616" t="str">
        <f>"300873"</f>
        <v>300873</v>
      </c>
      <c r="C616" t="s">
        <v>1277</v>
      </c>
      <c r="D616" t="s">
        <v>46</v>
      </c>
      <c r="E616">
        <v>98091792</v>
      </c>
      <c r="F616">
        <v>70144148</v>
      </c>
      <c r="G616">
        <v>9775616</v>
      </c>
      <c r="P616">
        <v>88</v>
      </c>
      <c r="Q616" t="s">
        <v>1278</v>
      </c>
    </row>
    <row r="617" spans="1:17" x14ac:dyDescent="0.3">
      <c r="A617" t="s">
        <v>17</v>
      </c>
      <c r="B617" t="str">
        <f>"603300"</f>
        <v>603300</v>
      </c>
      <c r="C617" t="s">
        <v>1279</v>
      </c>
      <c r="D617" t="s">
        <v>26</v>
      </c>
      <c r="E617">
        <v>97905361</v>
      </c>
      <c r="F617">
        <v>160872412</v>
      </c>
      <c r="G617">
        <v>28146858</v>
      </c>
      <c r="H617">
        <v>211626753</v>
      </c>
      <c r="I617">
        <v>-232473060</v>
      </c>
      <c r="J617">
        <v>-645922028</v>
      </c>
      <c r="K617">
        <v>-838934932</v>
      </c>
      <c r="L617">
        <v>13527931</v>
      </c>
      <c r="M617">
        <v>9154936</v>
      </c>
      <c r="P617">
        <v>124</v>
      </c>
      <c r="Q617" t="s">
        <v>1280</v>
      </c>
    </row>
    <row r="618" spans="1:17" x14ac:dyDescent="0.3">
      <c r="A618" t="s">
        <v>17</v>
      </c>
      <c r="B618" t="str">
        <f>"601880"</f>
        <v>601880</v>
      </c>
      <c r="C618" t="s">
        <v>1281</v>
      </c>
      <c r="D618" t="s">
        <v>46</v>
      </c>
      <c r="E618">
        <v>97614010</v>
      </c>
      <c r="F618">
        <v>66931587</v>
      </c>
      <c r="G618">
        <v>112879646</v>
      </c>
      <c r="H618">
        <v>-12190017</v>
      </c>
      <c r="I618">
        <v>44302010</v>
      </c>
      <c r="J618">
        <v>-111994458</v>
      </c>
      <c r="K618">
        <v>60237690</v>
      </c>
      <c r="L618">
        <v>-175799835</v>
      </c>
      <c r="M618">
        <v>-89503497</v>
      </c>
      <c r="N618">
        <v>-334923661</v>
      </c>
      <c r="O618">
        <v>-138767908</v>
      </c>
      <c r="P618">
        <v>189</v>
      </c>
      <c r="Q618" t="s">
        <v>1282</v>
      </c>
    </row>
    <row r="619" spans="1:17" x14ac:dyDescent="0.3">
      <c r="A619" t="s">
        <v>32</v>
      </c>
      <c r="B619" t="str">
        <f>"002925"</f>
        <v>002925</v>
      </c>
      <c r="C619" t="s">
        <v>1283</v>
      </c>
      <c r="D619" t="s">
        <v>124</v>
      </c>
      <c r="E619">
        <v>97598293</v>
      </c>
      <c r="F619">
        <v>132670190</v>
      </c>
      <c r="G619">
        <v>124093987</v>
      </c>
      <c r="H619">
        <v>26815481</v>
      </c>
      <c r="I619">
        <v>218309856</v>
      </c>
      <c r="J619">
        <v>334223762</v>
      </c>
      <c r="P619">
        <v>1062</v>
      </c>
      <c r="Q619" t="s">
        <v>1284</v>
      </c>
    </row>
    <row r="620" spans="1:17" x14ac:dyDescent="0.3">
      <c r="A620" t="s">
        <v>17</v>
      </c>
      <c r="B620" t="str">
        <f>"603948"</f>
        <v>603948</v>
      </c>
      <c r="C620" t="s">
        <v>1285</v>
      </c>
      <c r="D620" t="s">
        <v>144</v>
      </c>
      <c r="E620">
        <v>97553933</v>
      </c>
      <c r="F620">
        <v>-17772164</v>
      </c>
      <c r="G620">
        <v>5647834</v>
      </c>
      <c r="H620">
        <v>28106902</v>
      </c>
      <c r="P620">
        <v>60</v>
      </c>
      <c r="Q620" t="s">
        <v>1286</v>
      </c>
    </row>
    <row r="621" spans="1:17" x14ac:dyDescent="0.3">
      <c r="A621" t="s">
        <v>32</v>
      </c>
      <c r="B621" t="str">
        <f>"002695"</f>
        <v>002695</v>
      </c>
      <c r="C621" t="s">
        <v>1287</v>
      </c>
      <c r="D621" t="s">
        <v>172</v>
      </c>
      <c r="E621">
        <v>97546767</v>
      </c>
      <c r="F621">
        <v>46788848</v>
      </c>
      <c r="G621">
        <v>112808786</v>
      </c>
      <c r="H621">
        <v>147863786</v>
      </c>
      <c r="I621">
        <v>278799520</v>
      </c>
      <c r="J621">
        <v>97530195</v>
      </c>
      <c r="K621">
        <v>52480773</v>
      </c>
      <c r="L621">
        <v>73265998</v>
      </c>
      <c r="M621">
        <v>107333121</v>
      </c>
      <c r="N621">
        <v>89873647</v>
      </c>
      <c r="O621">
        <v>30447539</v>
      </c>
      <c r="P621">
        <v>623</v>
      </c>
      <c r="Q621" t="s">
        <v>1288</v>
      </c>
    </row>
    <row r="622" spans="1:17" x14ac:dyDescent="0.3">
      <c r="A622" t="s">
        <v>32</v>
      </c>
      <c r="B622" t="str">
        <f>"300832"</f>
        <v>300832</v>
      </c>
      <c r="C622" t="s">
        <v>1289</v>
      </c>
      <c r="D622" t="s">
        <v>98</v>
      </c>
      <c r="E622">
        <v>96633897</v>
      </c>
      <c r="F622">
        <v>62919971</v>
      </c>
      <c r="G622">
        <v>-30118746</v>
      </c>
      <c r="H622">
        <v>19085352</v>
      </c>
      <c r="P622">
        <v>515</v>
      </c>
      <c r="Q622" t="s">
        <v>1290</v>
      </c>
    </row>
    <row r="623" spans="1:17" x14ac:dyDescent="0.3">
      <c r="A623" t="s">
        <v>17</v>
      </c>
      <c r="B623" t="str">
        <f>"603318"</f>
        <v>603318</v>
      </c>
      <c r="C623" t="s">
        <v>1291</v>
      </c>
      <c r="D623" t="s">
        <v>158</v>
      </c>
      <c r="E623">
        <v>96471804</v>
      </c>
      <c r="F623">
        <v>65242787</v>
      </c>
      <c r="G623">
        <v>-5740799</v>
      </c>
      <c r="H623">
        <v>-73412836</v>
      </c>
      <c r="I623">
        <v>-45925334</v>
      </c>
      <c r="J623">
        <v>-15720143</v>
      </c>
      <c r="K623">
        <v>-34807647</v>
      </c>
      <c r="L623">
        <v>-101147045</v>
      </c>
      <c r="M623">
        <v>-92457234</v>
      </c>
      <c r="P623">
        <v>63</v>
      </c>
      <c r="Q623" t="s">
        <v>1292</v>
      </c>
    </row>
    <row r="624" spans="1:17" x14ac:dyDescent="0.3">
      <c r="A624" t="s">
        <v>17</v>
      </c>
      <c r="B624" t="str">
        <f>"603303"</f>
        <v>603303</v>
      </c>
      <c r="C624" t="s">
        <v>1293</v>
      </c>
      <c r="D624" t="s">
        <v>127</v>
      </c>
      <c r="E624">
        <v>96445544</v>
      </c>
      <c r="F624">
        <v>-303065165</v>
      </c>
      <c r="G624">
        <v>-17324119</v>
      </c>
      <c r="H624">
        <v>-49642748</v>
      </c>
      <c r="I624">
        <v>-36493489</v>
      </c>
      <c r="J624">
        <v>26294424</v>
      </c>
      <c r="K624">
        <v>20933915</v>
      </c>
      <c r="P624">
        <v>181</v>
      </c>
      <c r="Q624" t="s">
        <v>1294</v>
      </c>
    </row>
    <row r="625" spans="1:17" x14ac:dyDescent="0.3">
      <c r="A625" t="s">
        <v>17</v>
      </c>
      <c r="B625" t="str">
        <f>"601677"</f>
        <v>601677</v>
      </c>
      <c r="C625" t="s">
        <v>1295</v>
      </c>
      <c r="D625" t="s">
        <v>121</v>
      </c>
      <c r="E625">
        <v>96179047</v>
      </c>
      <c r="F625">
        <v>86824319</v>
      </c>
      <c r="G625">
        <v>276166178</v>
      </c>
      <c r="H625">
        <v>-172789272</v>
      </c>
      <c r="I625">
        <v>-567762907</v>
      </c>
      <c r="J625">
        <v>-167635943</v>
      </c>
      <c r="K625">
        <v>-50062837</v>
      </c>
      <c r="L625">
        <v>-106500109</v>
      </c>
      <c r="M625">
        <v>342785679</v>
      </c>
      <c r="N625">
        <v>-60162119</v>
      </c>
      <c r="O625">
        <v>-107529769</v>
      </c>
      <c r="P625">
        <v>372</v>
      </c>
      <c r="Q625" t="s">
        <v>1296</v>
      </c>
    </row>
    <row r="626" spans="1:17" x14ac:dyDescent="0.3">
      <c r="A626" t="s">
        <v>32</v>
      </c>
      <c r="B626" t="str">
        <f>"000968"</f>
        <v>000968</v>
      </c>
      <c r="C626" t="s">
        <v>1297</v>
      </c>
      <c r="D626" t="s">
        <v>64</v>
      </c>
      <c r="E626">
        <v>95991731</v>
      </c>
      <c r="F626">
        <v>-120186346</v>
      </c>
      <c r="G626">
        <v>-82436654</v>
      </c>
      <c r="H626">
        <v>-203220342</v>
      </c>
      <c r="I626">
        <v>-17509176</v>
      </c>
      <c r="J626">
        <v>-134769384</v>
      </c>
      <c r="K626">
        <v>386233162</v>
      </c>
      <c r="L626">
        <v>-743462240</v>
      </c>
      <c r="M626">
        <v>-573327078</v>
      </c>
      <c r="N626">
        <v>-652363705</v>
      </c>
      <c r="O626">
        <v>-329661646</v>
      </c>
      <c r="P626">
        <v>244</v>
      </c>
      <c r="Q626" t="s">
        <v>1298</v>
      </c>
    </row>
    <row r="627" spans="1:17" x14ac:dyDescent="0.3">
      <c r="A627" t="s">
        <v>32</v>
      </c>
      <c r="B627" t="str">
        <f>"002111"</f>
        <v>002111</v>
      </c>
      <c r="C627" t="s">
        <v>1299</v>
      </c>
      <c r="D627" t="s">
        <v>135</v>
      </c>
      <c r="E627">
        <v>95933288</v>
      </c>
      <c r="F627">
        <v>-415930796</v>
      </c>
      <c r="G627">
        <v>-181007144</v>
      </c>
      <c r="H627">
        <v>-163289904</v>
      </c>
      <c r="I627">
        <v>-144916545</v>
      </c>
      <c r="J627">
        <v>-217185938</v>
      </c>
      <c r="K627">
        <v>-65328312</v>
      </c>
      <c r="L627">
        <v>-3426948</v>
      </c>
      <c r="M627">
        <v>-48230241</v>
      </c>
      <c r="N627">
        <v>-60097627</v>
      </c>
      <c r="O627">
        <v>-56784543</v>
      </c>
      <c r="P627">
        <v>214</v>
      </c>
      <c r="Q627" t="s">
        <v>1300</v>
      </c>
    </row>
    <row r="628" spans="1:17" x14ac:dyDescent="0.3">
      <c r="A628" t="s">
        <v>32</v>
      </c>
      <c r="B628" t="str">
        <f>"003032"</f>
        <v>003032</v>
      </c>
      <c r="C628" t="s">
        <v>1301</v>
      </c>
      <c r="D628" t="s">
        <v>497</v>
      </c>
      <c r="E628">
        <v>95683770</v>
      </c>
      <c r="F628">
        <v>5191196</v>
      </c>
      <c r="G628">
        <v>-102019160</v>
      </c>
      <c r="P628">
        <v>60</v>
      </c>
      <c r="Q628" t="s">
        <v>1302</v>
      </c>
    </row>
    <row r="629" spans="1:17" x14ac:dyDescent="0.3">
      <c r="A629" t="s">
        <v>32</v>
      </c>
      <c r="B629" t="str">
        <f>"300079"</f>
        <v>300079</v>
      </c>
      <c r="C629" t="s">
        <v>1303</v>
      </c>
      <c r="D629" t="s">
        <v>342</v>
      </c>
      <c r="E629">
        <v>95620157</v>
      </c>
      <c r="F629">
        <v>46036348</v>
      </c>
      <c r="G629">
        <v>-44526906</v>
      </c>
      <c r="H629">
        <v>326265573</v>
      </c>
      <c r="I629">
        <v>-117515544</v>
      </c>
      <c r="J629">
        <v>-79223723</v>
      </c>
      <c r="K629">
        <v>-165471356</v>
      </c>
      <c r="L629">
        <v>-165621175</v>
      </c>
      <c r="M629">
        <v>-60329911</v>
      </c>
      <c r="N629">
        <v>-99888428</v>
      </c>
      <c r="O629">
        <v>-24527959</v>
      </c>
      <c r="P629">
        <v>261</v>
      </c>
      <c r="Q629" t="s">
        <v>1304</v>
      </c>
    </row>
    <row r="630" spans="1:17" x14ac:dyDescent="0.3">
      <c r="A630" t="s">
        <v>17</v>
      </c>
      <c r="B630" t="str">
        <f>"603003"</f>
        <v>603003</v>
      </c>
      <c r="C630" t="s">
        <v>1305</v>
      </c>
      <c r="D630" t="s">
        <v>342</v>
      </c>
      <c r="E630">
        <v>95515100</v>
      </c>
      <c r="F630">
        <v>-480528779</v>
      </c>
      <c r="G630">
        <v>-125226092</v>
      </c>
      <c r="H630">
        <v>-277342047</v>
      </c>
      <c r="I630">
        <v>182295718</v>
      </c>
      <c r="J630">
        <v>-211391971</v>
      </c>
      <c r="K630">
        <v>806040132</v>
      </c>
      <c r="L630">
        <v>-26988207</v>
      </c>
      <c r="M630">
        <v>24601588</v>
      </c>
      <c r="N630">
        <v>-105122465</v>
      </c>
      <c r="O630">
        <v>-310086017</v>
      </c>
      <c r="P630">
        <v>88</v>
      </c>
      <c r="Q630" t="s">
        <v>1306</v>
      </c>
    </row>
    <row r="631" spans="1:17" x14ac:dyDescent="0.3">
      <c r="A631" t="s">
        <v>17</v>
      </c>
      <c r="B631" t="str">
        <f>"600267"</f>
        <v>600267</v>
      </c>
      <c r="C631" t="s">
        <v>1307</v>
      </c>
      <c r="D631" t="s">
        <v>98</v>
      </c>
      <c r="E631">
        <v>95378247</v>
      </c>
      <c r="F631">
        <v>210129536</v>
      </c>
      <c r="G631">
        <v>301022750</v>
      </c>
      <c r="H631">
        <v>-312684338</v>
      </c>
      <c r="I631">
        <v>-4220121</v>
      </c>
      <c r="J631">
        <v>-304972292</v>
      </c>
      <c r="K631">
        <v>-485180895</v>
      </c>
      <c r="L631">
        <v>-331665895</v>
      </c>
      <c r="M631">
        <v>-475020697</v>
      </c>
      <c r="N631">
        <v>-498187661</v>
      </c>
      <c r="O631">
        <v>-391007745</v>
      </c>
      <c r="P631">
        <v>532</v>
      </c>
      <c r="Q631" t="s">
        <v>1308</v>
      </c>
    </row>
    <row r="632" spans="1:17" x14ac:dyDescent="0.3">
      <c r="A632" t="s">
        <v>17</v>
      </c>
      <c r="B632" t="str">
        <f>"603950"</f>
        <v>603950</v>
      </c>
      <c r="C632" t="s">
        <v>1309</v>
      </c>
      <c r="D632" t="s">
        <v>199</v>
      </c>
      <c r="E632">
        <v>95294526</v>
      </c>
      <c r="F632">
        <v>31855578</v>
      </c>
      <c r="G632">
        <v>148836094</v>
      </c>
      <c r="H632">
        <v>-86970063</v>
      </c>
      <c r="P632">
        <v>97</v>
      </c>
      <c r="Q632" t="s">
        <v>1310</v>
      </c>
    </row>
    <row r="633" spans="1:17" x14ac:dyDescent="0.3">
      <c r="A633" t="s">
        <v>17</v>
      </c>
      <c r="B633" t="str">
        <f>"605499"</f>
        <v>605499</v>
      </c>
      <c r="C633" t="s">
        <v>1311</v>
      </c>
      <c r="D633" t="s">
        <v>172</v>
      </c>
      <c r="E633">
        <v>95288535</v>
      </c>
      <c r="F633">
        <v>351836926</v>
      </c>
      <c r="G633">
        <v>-337305060</v>
      </c>
      <c r="P633">
        <v>284</v>
      </c>
      <c r="Q633" t="s">
        <v>1312</v>
      </c>
    </row>
    <row r="634" spans="1:17" x14ac:dyDescent="0.3">
      <c r="A634" t="s">
        <v>32</v>
      </c>
      <c r="B634" t="str">
        <f>"002606"</f>
        <v>002606</v>
      </c>
      <c r="C634" t="s">
        <v>1313</v>
      </c>
      <c r="D634" t="s">
        <v>464</v>
      </c>
      <c r="E634">
        <v>95262044</v>
      </c>
      <c r="F634">
        <v>61519346</v>
      </c>
      <c r="G634">
        <v>49062142</v>
      </c>
      <c r="H634">
        <v>-39167675</v>
      </c>
      <c r="I634">
        <v>57621600</v>
      </c>
      <c r="J634">
        <v>59548135</v>
      </c>
      <c r="K634">
        <v>-8358140</v>
      </c>
      <c r="L634">
        <v>43759069</v>
      </c>
      <c r="M634">
        <v>38423518</v>
      </c>
      <c r="N634">
        <v>-57640290</v>
      </c>
      <c r="O634">
        <v>-17908365</v>
      </c>
      <c r="P634">
        <v>160</v>
      </c>
      <c r="Q634" t="s">
        <v>1314</v>
      </c>
    </row>
    <row r="635" spans="1:17" x14ac:dyDescent="0.3">
      <c r="A635" t="s">
        <v>32</v>
      </c>
      <c r="B635" t="str">
        <f>"002605"</f>
        <v>002605</v>
      </c>
      <c r="C635" t="s">
        <v>1315</v>
      </c>
      <c r="D635" t="s">
        <v>245</v>
      </c>
      <c r="E635">
        <v>94836374</v>
      </c>
      <c r="F635">
        <v>151875952</v>
      </c>
      <c r="G635">
        <v>122568823</v>
      </c>
      <c r="H635">
        <v>124256068</v>
      </c>
      <c r="I635">
        <v>-15694447</v>
      </c>
      <c r="J635">
        <v>-41804838</v>
      </c>
      <c r="K635">
        <v>9068278</v>
      </c>
      <c r="L635">
        <v>49064082</v>
      </c>
      <c r="M635">
        <v>13181050</v>
      </c>
      <c r="N635">
        <v>53156269</v>
      </c>
      <c r="O635">
        <v>49429386</v>
      </c>
      <c r="P635">
        <v>433</v>
      </c>
      <c r="Q635" t="s">
        <v>1316</v>
      </c>
    </row>
    <row r="636" spans="1:17" x14ac:dyDescent="0.3">
      <c r="A636" t="s">
        <v>17</v>
      </c>
      <c r="B636" t="str">
        <f>"688006"</f>
        <v>688006</v>
      </c>
      <c r="C636" t="s">
        <v>1317</v>
      </c>
      <c r="D636" t="s">
        <v>464</v>
      </c>
      <c r="E636">
        <v>94110662</v>
      </c>
      <c r="F636">
        <v>5057984</v>
      </c>
      <c r="G636">
        <v>113900860</v>
      </c>
      <c r="H636">
        <v>8715136</v>
      </c>
      <c r="I636">
        <v>41104500</v>
      </c>
      <c r="P636">
        <v>255</v>
      </c>
      <c r="Q636" t="s">
        <v>1318</v>
      </c>
    </row>
    <row r="637" spans="1:17" x14ac:dyDescent="0.3">
      <c r="A637" t="s">
        <v>17</v>
      </c>
      <c r="B637" t="str">
        <f>"600151"</f>
        <v>600151</v>
      </c>
      <c r="C637" t="s">
        <v>1319</v>
      </c>
      <c r="D637" t="s">
        <v>464</v>
      </c>
      <c r="E637">
        <v>93811360</v>
      </c>
      <c r="F637">
        <v>-161450989</v>
      </c>
      <c r="G637">
        <v>-231444239</v>
      </c>
      <c r="H637">
        <v>-288829937</v>
      </c>
      <c r="I637">
        <v>-670103846</v>
      </c>
      <c r="J637">
        <v>-740082491</v>
      </c>
      <c r="K637">
        <v>-351981796</v>
      </c>
      <c r="L637">
        <v>-727012979</v>
      </c>
      <c r="M637">
        <v>-552723370</v>
      </c>
      <c r="N637">
        <v>-312273592</v>
      </c>
      <c r="O637">
        <v>-342605581</v>
      </c>
      <c r="P637">
        <v>165</v>
      </c>
      <c r="Q637" t="s">
        <v>1320</v>
      </c>
    </row>
    <row r="638" spans="1:17" x14ac:dyDescent="0.3">
      <c r="A638" t="s">
        <v>17</v>
      </c>
      <c r="B638" t="str">
        <f>"600081"</f>
        <v>600081</v>
      </c>
      <c r="C638" t="s">
        <v>1321</v>
      </c>
      <c r="D638" t="s">
        <v>199</v>
      </c>
      <c r="E638">
        <v>93325947</v>
      </c>
      <c r="F638">
        <v>-25520538</v>
      </c>
      <c r="G638">
        <v>130119776</v>
      </c>
      <c r="H638">
        <v>25382985</v>
      </c>
      <c r="I638">
        <v>166445362</v>
      </c>
      <c r="J638">
        <v>-54359938</v>
      </c>
      <c r="K638">
        <v>16712069</v>
      </c>
      <c r="L638">
        <v>29592310</v>
      </c>
      <c r="M638">
        <v>204529701</v>
      </c>
      <c r="N638">
        <v>-85387320</v>
      </c>
      <c r="O638">
        <v>38817528</v>
      </c>
      <c r="P638">
        <v>205</v>
      </c>
      <c r="Q638" t="s">
        <v>1322</v>
      </c>
    </row>
    <row r="639" spans="1:17" x14ac:dyDescent="0.3">
      <c r="A639" t="s">
        <v>17</v>
      </c>
      <c r="B639" t="str">
        <f>"600202"</f>
        <v>600202</v>
      </c>
      <c r="C639" t="s">
        <v>1323</v>
      </c>
      <c r="D639" t="s">
        <v>464</v>
      </c>
      <c r="E639">
        <v>92968666</v>
      </c>
      <c r="F639">
        <v>-142599785</v>
      </c>
      <c r="G639">
        <v>-73056112</v>
      </c>
      <c r="H639">
        <v>137215689</v>
      </c>
      <c r="I639">
        <v>47295737</v>
      </c>
      <c r="J639">
        <v>68007629</v>
      </c>
      <c r="K639">
        <v>115521693</v>
      </c>
      <c r="L639">
        <v>3535881</v>
      </c>
      <c r="M639">
        <v>71502075</v>
      </c>
      <c r="N639">
        <v>114059141</v>
      </c>
      <c r="O639">
        <v>-43922981</v>
      </c>
      <c r="P639">
        <v>76</v>
      </c>
      <c r="Q639" t="s">
        <v>1324</v>
      </c>
    </row>
    <row r="640" spans="1:17" x14ac:dyDescent="0.3">
      <c r="A640" t="s">
        <v>32</v>
      </c>
      <c r="B640" t="str">
        <f>"000863"</f>
        <v>000863</v>
      </c>
      <c r="C640" t="s">
        <v>1325</v>
      </c>
      <c r="D640" t="s">
        <v>151</v>
      </c>
      <c r="E640">
        <v>92792197</v>
      </c>
      <c r="F640">
        <v>209367135</v>
      </c>
      <c r="G640">
        <v>-9496559</v>
      </c>
      <c r="H640">
        <v>309085483</v>
      </c>
      <c r="I640">
        <v>-174818675</v>
      </c>
      <c r="J640">
        <v>-1565645095</v>
      </c>
      <c r="K640">
        <v>89304604</v>
      </c>
      <c r="L640">
        <v>-1397457007</v>
      </c>
      <c r="M640">
        <v>-550425253</v>
      </c>
      <c r="N640">
        <v>-253360945</v>
      </c>
      <c r="O640">
        <v>-209787383</v>
      </c>
      <c r="P640">
        <v>171</v>
      </c>
      <c r="Q640" t="s">
        <v>1326</v>
      </c>
    </row>
    <row r="641" spans="1:17" x14ac:dyDescent="0.3">
      <c r="A641" t="s">
        <v>32</v>
      </c>
      <c r="B641" t="str">
        <f>"300064"</f>
        <v>300064</v>
      </c>
      <c r="C641" t="s">
        <v>1327</v>
      </c>
      <c r="D641" t="s">
        <v>135</v>
      </c>
      <c r="E641">
        <v>92665798</v>
      </c>
      <c r="F641">
        <v>-10558516</v>
      </c>
      <c r="G641">
        <v>4328137</v>
      </c>
      <c r="H641">
        <v>-263489891</v>
      </c>
      <c r="I641">
        <v>-702000289</v>
      </c>
      <c r="J641">
        <v>-37936980</v>
      </c>
      <c r="K641">
        <v>-151106715</v>
      </c>
      <c r="L641">
        <v>-102440797</v>
      </c>
      <c r="M641">
        <v>-34253818</v>
      </c>
      <c r="N641">
        <v>-107465311</v>
      </c>
      <c r="O641">
        <v>-89658722</v>
      </c>
      <c r="P641">
        <v>77</v>
      </c>
      <c r="Q641" t="s">
        <v>1328</v>
      </c>
    </row>
    <row r="642" spans="1:17" x14ac:dyDescent="0.3">
      <c r="A642" t="s">
        <v>17</v>
      </c>
      <c r="B642" t="str">
        <f>"603922"</f>
        <v>603922</v>
      </c>
      <c r="C642" t="s">
        <v>1329</v>
      </c>
      <c r="D642" t="s">
        <v>199</v>
      </c>
      <c r="E642">
        <v>91581377</v>
      </c>
      <c r="F642">
        <v>21566724</v>
      </c>
      <c r="G642">
        <v>89600544</v>
      </c>
      <c r="H642">
        <v>-1489954</v>
      </c>
      <c r="I642">
        <v>-99536359</v>
      </c>
      <c r="J642">
        <v>-29357069</v>
      </c>
      <c r="P642">
        <v>54</v>
      </c>
      <c r="Q642" t="s">
        <v>1330</v>
      </c>
    </row>
    <row r="643" spans="1:17" x14ac:dyDescent="0.3">
      <c r="A643" t="s">
        <v>32</v>
      </c>
      <c r="B643" t="str">
        <f>"002727"</f>
        <v>002727</v>
      </c>
      <c r="C643" t="s">
        <v>1331</v>
      </c>
      <c r="D643" t="s">
        <v>98</v>
      </c>
      <c r="E643">
        <v>91383141</v>
      </c>
      <c r="F643">
        <v>195988330</v>
      </c>
      <c r="G643">
        <v>259092188</v>
      </c>
      <c r="H643">
        <v>50845312</v>
      </c>
      <c r="I643">
        <v>-297071813</v>
      </c>
      <c r="J643">
        <v>-228732156</v>
      </c>
      <c r="K643">
        <v>-172212094</v>
      </c>
      <c r="L643">
        <v>-162322397</v>
      </c>
      <c r="M643">
        <v>-23884560</v>
      </c>
      <c r="P643">
        <v>1246</v>
      </c>
      <c r="Q643" t="s">
        <v>1332</v>
      </c>
    </row>
    <row r="644" spans="1:17" x14ac:dyDescent="0.3">
      <c r="A644" t="s">
        <v>32</v>
      </c>
      <c r="B644" t="str">
        <f>"002205"</f>
        <v>002205</v>
      </c>
      <c r="C644" t="s">
        <v>1333</v>
      </c>
      <c r="D644" t="s">
        <v>1334</v>
      </c>
      <c r="E644">
        <v>91371557</v>
      </c>
      <c r="F644">
        <v>-70354591</v>
      </c>
      <c r="G644">
        <v>-43222773</v>
      </c>
      <c r="H644">
        <v>-32993136</v>
      </c>
      <c r="I644">
        <v>-172323900</v>
      </c>
      <c r="J644">
        <v>-96091931</v>
      </c>
      <c r="K644">
        <v>-9517252</v>
      </c>
      <c r="L644">
        <v>-46177146</v>
      </c>
      <c r="M644">
        <v>-171482311</v>
      </c>
      <c r="N644">
        <v>-37637293</v>
      </c>
      <c r="O644">
        <v>-47558203</v>
      </c>
      <c r="P644">
        <v>86</v>
      </c>
      <c r="Q644" t="s">
        <v>1335</v>
      </c>
    </row>
    <row r="645" spans="1:17" x14ac:dyDescent="0.3">
      <c r="A645" t="s">
        <v>32</v>
      </c>
      <c r="B645" t="str">
        <f>"000897"</f>
        <v>000897</v>
      </c>
      <c r="C645" t="s">
        <v>1336</v>
      </c>
      <c r="D645" t="s">
        <v>151</v>
      </c>
      <c r="E645">
        <v>90634733</v>
      </c>
      <c r="F645">
        <v>260636025</v>
      </c>
      <c r="G645">
        <v>148781081</v>
      </c>
      <c r="H645">
        <v>-27398726</v>
      </c>
      <c r="I645">
        <v>-6373397</v>
      </c>
      <c r="J645">
        <v>-70979309</v>
      </c>
      <c r="K645">
        <v>57998149</v>
      </c>
      <c r="L645">
        <v>-3510266</v>
      </c>
      <c r="M645">
        <v>78421866</v>
      </c>
      <c r="N645">
        <v>-138836293</v>
      </c>
      <c r="O645">
        <v>-464711112</v>
      </c>
      <c r="P645">
        <v>171</v>
      </c>
      <c r="Q645" t="s">
        <v>1337</v>
      </c>
    </row>
    <row r="646" spans="1:17" x14ac:dyDescent="0.3">
      <c r="A646" t="s">
        <v>17</v>
      </c>
      <c r="B646" t="str">
        <f>"600182"</f>
        <v>600182</v>
      </c>
      <c r="C646" t="s">
        <v>1338</v>
      </c>
      <c r="D646" t="s">
        <v>199</v>
      </c>
      <c r="E646">
        <v>89627863</v>
      </c>
      <c r="F646">
        <v>53838182</v>
      </c>
      <c r="G646">
        <v>-161760337</v>
      </c>
      <c r="H646">
        <v>177013081</v>
      </c>
      <c r="I646">
        <v>-250619562</v>
      </c>
      <c r="J646">
        <v>47950884</v>
      </c>
      <c r="K646">
        <v>203359869</v>
      </c>
      <c r="L646">
        <v>783376</v>
      </c>
      <c r="M646">
        <v>74513155</v>
      </c>
      <c r="N646">
        <v>-106578381</v>
      </c>
      <c r="O646">
        <v>10208222</v>
      </c>
      <c r="P646">
        <v>77</v>
      </c>
      <c r="Q646" t="s">
        <v>1339</v>
      </c>
    </row>
    <row r="647" spans="1:17" x14ac:dyDescent="0.3">
      <c r="A647" t="s">
        <v>17</v>
      </c>
      <c r="B647" t="str">
        <f>"600592"</f>
        <v>600592</v>
      </c>
      <c r="C647" t="s">
        <v>1340</v>
      </c>
      <c r="D647" t="s">
        <v>135</v>
      </c>
      <c r="E647">
        <v>88559048</v>
      </c>
      <c r="F647">
        <v>-73732703</v>
      </c>
      <c r="G647">
        <v>-25166783</v>
      </c>
      <c r="H647">
        <v>-46372160</v>
      </c>
      <c r="I647">
        <v>-39023295</v>
      </c>
      <c r="J647">
        <v>-83713813</v>
      </c>
      <c r="K647">
        <v>-37466639</v>
      </c>
      <c r="L647">
        <v>-9475691</v>
      </c>
      <c r="M647">
        <v>-71830689</v>
      </c>
      <c r="N647">
        <v>-73638857</v>
      </c>
      <c r="O647">
        <v>-124608788</v>
      </c>
      <c r="P647">
        <v>75</v>
      </c>
      <c r="Q647" t="s">
        <v>1341</v>
      </c>
    </row>
    <row r="648" spans="1:17" x14ac:dyDescent="0.3">
      <c r="A648" t="s">
        <v>32</v>
      </c>
      <c r="B648" t="str">
        <f>"300267"</f>
        <v>300267</v>
      </c>
      <c r="C648" t="s">
        <v>1342</v>
      </c>
      <c r="D648" t="s">
        <v>98</v>
      </c>
      <c r="E648">
        <v>88473431</v>
      </c>
      <c r="F648">
        <v>-26010923</v>
      </c>
      <c r="G648">
        <v>-244592702</v>
      </c>
      <c r="H648">
        <v>-135246433</v>
      </c>
      <c r="I648">
        <v>137980902</v>
      </c>
      <c r="J648">
        <v>-121135429</v>
      </c>
      <c r="K648">
        <v>-422617204</v>
      </c>
      <c r="L648">
        <v>-135582862</v>
      </c>
      <c r="M648">
        <v>-114976282</v>
      </c>
      <c r="N648">
        <v>-26166377</v>
      </c>
      <c r="O648">
        <v>-70783507</v>
      </c>
      <c r="P648">
        <v>237</v>
      </c>
      <c r="Q648" t="s">
        <v>1343</v>
      </c>
    </row>
    <row r="649" spans="1:17" x14ac:dyDescent="0.3">
      <c r="A649" t="s">
        <v>32</v>
      </c>
      <c r="B649" t="str">
        <f>"300039"</f>
        <v>300039</v>
      </c>
      <c r="C649" t="s">
        <v>1344</v>
      </c>
      <c r="D649" t="s">
        <v>98</v>
      </c>
      <c r="E649">
        <v>88463321</v>
      </c>
      <c r="F649">
        <v>-24354000</v>
      </c>
      <c r="G649">
        <v>79698079</v>
      </c>
      <c r="H649">
        <v>58596112</v>
      </c>
      <c r="I649">
        <v>10276406</v>
      </c>
      <c r="J649">
        <v>68364048</v>
      </c>
      <c r="K649">
        <v>73118626</v>
      </c>
      <c r="L649">
        <v>932528</v>
      </c>
      <c r="M649">
        <v>63936822</v>
      </c>
      <c r="N649">
        <v>79171853</v>
      </c>
      <c r="O649">
        <v>58709202</v>
      </c>
      <c r="P649">
        <v>223</v>
      </c>
      <c r="Q649" t="s">
        <v>1345</v>
      </c>
    </row>
    <row r="650" spans="1:17" x14ac:dyDescent="0.3">
      <c r="A650" t="s">
        <v>32</v>
      </c>
      <c r="B650" t="str">
        <f>"300381"</f>
        <v>300381</v>
      </c>
      <c r="C650" t="s">
        <v>1346</v>
      </c>
      <c r="D650" t="s">
        <v>98</v>
      </c>
      <c r="E650">
        <v>88290403</v>
      </c>
      <c r="F650">
        <v>-18184095</v>
      </c>
      <c r="G650">
        <v>-14239566</v>
      </c>
      <c r="H650">
        <v>-162356930</v>
      </c>
      <c r="I650">
        <v>-115085274</v>
      </c>
      <c r="J650">
        <v>-111010092</v>
      </c>
      <c r="K650">
        <v>-95346842</v>
      </c>
      <c r="L650">
        <v>-55988157</v>
      </c>
      <c r="M650">
        <v>-30315791</v>
      </c>
      <c r="N650">
        <v>-18773322</v>
      </c>
      <c r="P650">
        <v>160</v>
      </c>
      <c r="Q650" t="s">
        <v>1347</v>
      </c>
    </row>
    <row r="651" spans="1:17" x14ac:dyDescent="0.3">
      <c r="A651" t="s">
        <v>32</v>
      </c>
      <c r="B651" t="str">
        <f>"300709"</f>
        <v>300709</v>
      </c>
      <c r="C651" t="s">
        <v>1348</v>
      </c>
      <c r="D651" t="s">
        <v>124</v>
      </c>
      <c r="E651">
        <v>87840445</v>
      </c>
      <c r="F651">
        <v>-200093905</v>
      </c>
      <c r="G651">
        <v>-35559003</v>
      </c>
      <c r="H651">
        <v>47900579</v>
      </c>
      <c r="I651">
        <v>-19851415</v>
      </c>
      <c r="J651">
        <v>20672279</v>
      </c>
      <c r="P651">
        <v>221</v>
      </c>
      <c r="Q651" t="s">
        <v>1349</v>
      </c>
    </row>
    <row r="652" spans="1:17" x14ac:dyDescent="0.3">
      <c r="A652" t="s">
        <v>17</v>
      </c>
      <c r="B652" t="str">
        <f>"600778"</f>
        <v>600778</v>
      </c>
      <c r="C652" t="s">
        <v>1350</v>
      </c>
      <c r="D652" t="s">
        <v>218</v>
      </c>
      <c r="E652">
        <v>87698319</v>
      </c>
      <c r="F652">
        <v>165308795</v>
      </c>
      <c r="G652">
        <v>31966644</v>
      </c>
      <c r="H652">
        <v>-101910338</v>
      </c>
      <c r="I652">
        <v>26675109</v>
      </c>
      <c r="J652">
        <v>-205258894</v>
      </c>
      <c r="K652">
        <v>-80993220</v>
      </c>
      <c r="L652">
        <v>-156952597</v>
      </c>
      <c r="M652">
        <v>-18046891</v>
      </c>
      <c r="N652">
        <v>377819044</v>
      </c>
      <c r="O652">
        <v>-429286588</v>
      </c>
      <c r="P652">
        <v>82</v>
      </c>
      <c r="Q652" t="s">
        <v>1351</v>
      </c>
    </row>
    <row r="653" spans="1:17" x14ac:dyDescent="0.3">
      <c r="A653" t="s">
        <v>32</v>
      </c>
      <c r="B653" t="str">
        <f>"002290"</f>
        <v>002290</v>
      </c>
      <c r="C653" t="s">
        <v>1352</v>
      </c>
      <c r="D653" t="s">
        <v>127</v>
      </c>
      <c r="E653">
        <v>87161864</v>
      </c>
      <c r="F653">
        <v>-37234927</v>
      </c>
      <c r="G653">
        <v>83335646</v>
      </c>
      <c r="H653">
        <v>61515365</v>
      </c>
      <c r="I653">
        <v>50934679</v>
      </c>
      <c r="J653">
        <v>-213895208</v>
      </c>
      <c r="K653">
        <v>-56483664</v>
      </c>
      <c r="L653">
        <v>-34885543</v>
      </c>
      <c r="M653">
        <v>29400641</v>
      </c>
      <c r="N653">
        <v>-61922498</v>
      </c>
      <c r="O653">
        <v>54782600</v>
      </c>
      <c r="P653">
        <v>80</v>
      </c>
      <c r="Q653" t="s">
        <v>1353</v>
      </c>
    </row>
    <row r="654" spans="1:17" x14ac:dyDescent="0.3">
      <c r="A654" t="s">
        <v>17</v>
      </c>
      <c r="B654" t="str">
        <f>"603203"</f>
        <v>603203</v>
      </c>
      <c r="C654" t="s">
        <v>1354</v>
      </c>
      <c r="D654" t="s">
        <v>135</v>
      </c>
      <c r="E654">
        <v>86021784</v>
      </c>
      <c r="F654">
        <v>38905364</v>
      </c>
      <c r="G654">
        <v>17851407</v>
      </c>
      <c r="H654">
        <v>40622454</v>
      </c>
      <c r="I654">
        <v>-2780733</v>
      </c>
      <c r="J654">
        <v>6466128</v>
      </c>
      <c r="K654">
        <v>18524738</v>
      </c>
      <c r="P654">
        <v>2649</v>
      </c>
      <c r="Q654" t="s">
        <v>1355</v>
      </c>
    </row>
    <row r="655" spans="1:17" x14ac:dyDescent="0.3">
      <c r="A655" t="s">
        <v>32</v>
      </c>
      <c r="B655" t="str">
        <f>"002589"</f>
        <v>002589</v>
      </c>
      <c r="C655" t="s">
        <v>1356</v>
      </c>
      <c r="D655" t="s">
        <v>98</v>
      </c>
      <c r="E655">
        <v>86012170</v>
      </c>
      <c r="F655">
        <v>-41420179</v>
      </c>
      <c r="G655">
        <v>-85763151</v>
      </c>
      <c r="H655">
        <v>60151067</v>
      </c>
      <c r="I655">
        <v>-2675651042</v>
      </c>
      <c r="J655">
        <v>-1051941611</v>
      </c>
      <c r="K655">
        <v>-799475142</v>
      </c>
      <c r="L655">
        <v>-771651392</v>
      </c>
      <c r="M655">
        <v>-502021828</v>
      </c>
      <c r="N655">
        <v>-236520251</v>
      </c>
      <c r="O655">
        <v>-140046689</v>
      </c>
      <c r="P655">
        <v>460</v>
      </c>
      <c r="Q655" t="s">
        <v>1357</v>
      </c>
    </row>
    <row r="656" spans="1:17" x14ac:dyDescent="0.3">
      <c r="A656" t="s">
        <v>17</v>
      </c>
      <c r="B656" t="str">
        <f>"900923"</f>
        <v>900923</v>
      </c>
      <c r="C656" t="s">
        <v>1358</v>
      </c>
      <c r="E656">
        <v>85720348.141299993</v>
      </c>
      <c r="F656">
        <v>75788016.622799993</v>
      </c>
      <c r="G656">
        <v>17465153.684099998</v>
      </c>
      <c r="H656">
        <v>91971706.922000006</v>
      </c>
      <c r="I656">
        <v>67472595.442200005</v>
      </c>
      <c r="J656">
        <v>-14371150.398</v>
      </c>
      <c r="K656">
        <v>10360284.6653</v>
      </c>
      <c r="L656">
        <v>54222366.5339</v>
      </c>
      <c r="M656">
        <v>88378724.426400006</v>
      </c>
      <c r="N656">
        <v>90462905.238999993</v>
      </c>
      <c r="O656">
        <v>104056384.1964</v>
      </c>
      <c r="P656">
        <v>26</v>
      </c>
      <c r="Q656" t="s">
        <v>1359</v>
      </c>
    </row>
    <row r="657" spans="1:17" x14ac:dyDescent="0.3">
      <c r="A657" t="s">
        <v>17</v>
      </c>
      <c r="B657" t="str">
        <f>"603002"</f>
        <v>603002</v>
      </c>
      <c r="C657" t="s">
        <v>1360</v>
      </c>
      <c r="D657" t="s">
        <v>124</v>
      </c>
      <c r="E657">
        <v>85612746</v>
      </c>
      <c r="F657">
        <v>-13111364</v>
      </c>
      <c r="G657">
        <v>-8902698</v>
      </c>
      <c r="H657">
        <v>-110208273</v>
      </c>
      <c r="I657">
        <v>6477758</v>
      </c>
      <c r="J657">
        <v>-39537246</v>
      </c>
      <c r="K657">
        <v>-36427580</v>
      </c>
      <c r="L657">
        <v>-38013454</v>
      </c>
      <c r="M657">
        <v>5749229</v>
      </c>
      <c r="N657">
        <v>-37213509</v>
      </c>
      <c r="O657">
        <v>-3594135</v>
      </c>
      <c r="P657">
        <v>116</v>
      </c>
      <c r="Q657" t="s">
        <v>1361</v>
      </c>
    </row>
    <row r="658" spans="1:17" x14ac:dyDescent="0.3">
      <c r="A658" t="s">
        <v>17</v>
      </c>
      <c r="B658" t="str">
        <f>"600810"</f>
        <v>600810</v>
      </c>
      <c r="C658" t="s">
        <v>1362</v>
      </c>
      <c r="D658" t="s">
        <v>144</v>
      </c>
      <c r="E658">
        <v>85383920</v>
      </c>
      <c r="F658">
        <v>-412296137</v>
      </c>
      <c r="G658">
        <v>-830483280</v>
      </c>
      <c r="H658">
        <v>795616906</v>
      </c>
      <c r="I658">
        <v>586443409</v>
      </c>
      <c r="J658">
        <v>236510964</v>
      </c>
      <c r="K658">
        <v>88036126</v>
      </c>
      <c r="L658">
        <v>255771039</v>
      </c>
      <c r="M658">
        <v>125758667</v>
      </c>
      <c r="N658">
        <v>481056912</v>
      </c>
      <c r="O658">
        <v>177147605</v>
      </c>
      <c r="P658">
        <v>354</v>
      </c>
      <c r="Q658" t="s">
        <v>1363</v>
      </c>
    </row>
    <row r="659" spans="1:17" x14ac:dyDescent="0.3">
      <c r="A659" t="s">
        <v>32</v>
      </c>
      <c r="B659" t="str">
        <f>"300063"</f>
        <v>300063</v>
      </c>
      <c r="C659" t="s">
        <v>1364</v>
      </c>
      <c r="D659" t="s">
        <v>245</v>
      </c>
      <c r="E659">
        <v>85350477</v>
      </c>
      <c r="F659">
        <v>-56459777</v>
      </c>
      <c r="G659">
        <v>-34922401</v>
      </c>
      <c r="H659">
        <v>-33960960</v>
      </c>
      <c r="I659">
        <v>-15044479</v>
      </c>
      <c r="J659">
        <v>5258122</v>
      </c>
      <c r="K659">
        <v>33238138</v>
      </c>
      <c r="L659">
        <v>-33669632</v>
      </c>
      <c r="M659">
        <v>-39840916</v>
      </c>
      <c r="N659">
        <v>-38235740</v>
      </c>
      <c r="O659">
        <v>-15321003</v>
      </c>
      <c r="P659">
        <v>109</v>
      </c>
      <c r="Q659" t="s">
        <v>1365</v>
      </c>
    </row>
    <row r="660" spans="1:17" x14ac:dyDescent="0.3">
      <c r="A660" t="s">
        <v>17</v>
      </c>
      <c r="B660" t="str">
        <f>"600318"</f>
        <v>600318</v>
      </c>
      <c r="C660" t="s">
        <v>1366</v>
      </c>
      <c r="D660" t="s">
        <v>26</v>
      </c>
      <c r="E660">
        <v>84487229</v>
      </c>
      <c r="F660">
        <v>-67366931</v>
      </c>
      <c r="G660">
        <v>11276383</v>
      </c>
      <c r="H660">
        <v>-20468843</v>
      </c>
      <c r="I660">
        <v>233095801</v>
      </c>
      <c r="J660">
        <v>-243076179</v>
      </c>
      <c r="K660">
        <v>104641615</v>
      </c>
      <c r="L660">
        <v>-39520091</v>
      </c>
      <c r="M660">
        <v>190880784</v>
      </c>
      <c r="N660">
        <v>-25799266</v>
      </c>
      <c r="O660">
        <v>97811117</v>
      </c>
      <c r="P660">
        <v>104</v>
      </c>
      <c r="Q660" t="s">
        <v>1367</v>
      </c>
    </row>
    <row r="661" spans="1:17" x14ac:dyDescent="0.3">
      <c r="A661" t="s">
        <v>17</v>
      </c>
      <c r="B661" t="str">
        <f>"688526"</f>
        <v>688526</v>
      </c>
      <c r="C661" t="s">
        <v>1368</v>
      </c>
      <c r="D661" t="s">
        <v>175</v>
      </c>
      <c r="E661">
        <v>84305858</v>
      </c>
      <c r="F661">
        <v>132495026</v>
      </c>
      <c r="G661">
        <v>84747734</v>
      </c>
      <c r="P661">
        <v>147</v>
      </c>
      <c r="Q661" t="s">
        <v>1369</v>
      </c>
    </row>
    <row r="662" spans="1:17" x14ac:dyDescent="0.3">
      <c r="A662" t="s">
        <v>32</v>
      </c>
      <c r="B662" t="str">
        <f>"002006"</f>
        <v>002006</v>
      </c>
      <c r="C662" t="s">
        <v>1370</v>
      </c>
      <c r="D662" t="s">
        <v>135</v>
      </c>
      <c r="E662">
        <v>84176034</v>
      </c>
      <c r="F662">
        <v>12292173</v>
      </c>
      <c r="G662">
        <v>53944714</v>
      </c>
      <c r="H662">
        <v>-40645246</v>
      </c>
      <c r="I662">
        <v>-54294384</v>
      </c>
      <c r="J662">
        <v>-17855423</v>
      </c>
      <c r="K662">
        <v>-75230756</v>
      </c>
      <c r="L662">
        <v>-80691986</v>
      </c>
      <c r="M662">
        <v>-61381639</v>
      </c>
      <c r="N662">
        <v>-16608920</v>
      </c>
      <c r="O662">
        <v>-55537373</v>
      </c>
      <c r="P662">
        <v>129</v>
      </c>
      <c r="Q662" t="s">
        <v>1371</v>
      </c>
    </row>
    <row r="663" spans="1:17" x14ac:dyDescent="0.3">
      <c r="A663" t="s">
        <v>32</v>
      </c>
      <c r="B663" t="str">
        <f>"002312"</f>
        <v>002312</v>
      </c>
      <c r="C663" t="s">
        <v>1372</v>
      </c>
      <c r="D663" t="s">
        <v>144</v>
      </c>
      <c r="E663">
        <v>83515334</v>
      </c>
      <c r="F663">
        <v>-160751454</v>
      </c>
      <c r="G663">
        <v>-3312786</v>
      </c>
      <c r="H663">
        <v>-120619615</v>
      </c>
      <c r="I663">
        <v>-79547005</v>
      </c>
      <c r="J663">
        <v>-13276947</v>
      </c>
      <c r="K663">
        <v>-501452016</v>
      </c>
      <c r="L663">
        <v>-320614148</v>
      </c>
      <c r="M663">
        <v>-294953608</v>
      </c>
      <c r="N663">
        <v>-131806525</v>
      </c>
      <c r="O663">
        <v>-147007217</v>
      </c>
      <c r="P663">
        <v>249</v>
      </c>
      <c r="Q663" t="s">
        <v>1373</v>
      </c>
    </row>
    <row r="664" spans="1:17" x14ac:dyDescent="0.3">
      <c r="A664" t="s">
        <v>17</v>
      </c>
      <c r="B664" t="str">
        <f>"601163"</f>
        <v>601163</v>
      </c>
      <c r="C664" t="s">
        <v>1374</v>
      </c>
      <c r="D664" t="s">
        <v>199</v>
      </c>
      <c r="E664">
        <v>83225993</v>
      </c>
      <c r="F664">
        <v>30121272</v>
      </c>
      <c r="G664">
        <v>257908669</v>
      </c>
      <c r="H664">
        <v>15967251</v>
      </c>
      <c r="I664">
        <v>-56214776</v>
      </c>
      <c r="J664">
        <v>-618452443</v>
      </c>
      <c r="K664">
        <v>229543992</v>
      </c>
      <c r="P664">
        <v>224</v>
      </c>
      <c r="Q664" t="s">
        <v>1375</v>
      </c>
    </row>
    <row r="665" spans="1:17" x14ac:dyDescent="0.3">
      <c r="A665" t="s">
        <v>32</v>
      </c>
      <c r="B665" t="str">
        <f>"300363"</f>
        <v>300363</v>
      </c>
      <c r="C665" t="s">
        <v>1376</v>
      </c>
      <c r="D665" t="s">
        <v>98</v>
      </c>
      <c r="E665">
        <v>83186076</v>
      </c>
      <c r="F665">
        <v>-104301005</v>
      </c>
      <c r="G665">
        <v>45302813</v>
      </c>
      <c r="H665">
        <v>-17806728</v>
      </c>
      <c r="I665">
        <v>-25890103</v>
      </c>
      <c r="J665">
        <v>89116082</v>
      </c>
      <c r="K665">
        <v>-21223475</v>
      </c>
      <c r="L665">
        <v>20774813</v>
      </c>
      <c r="M665">
        <v>-119212976</v>
      </c>
      <c r="N665">
        <v>14526122</v>
      </c>
      <c r="P665">
        <v>542</v>
      </c>
      <c r="Q665" t="s">
        <v>1377</v>
      </c>
    </row>
    <row r="666" spans="1:17" x14ac:dyDescent="0.3">
      <c r="A666" t="s">
        <v>32</v>
      </c>
      <c r="B666" t="str">
        <f>"002626"</f>
        <v>002626</v>
      </c>
      <c r="C666" t="s">
        <v>1378</v>
      </c>
      <c r="D666" t="s">
        <v>172</v>
      </c>
      <c r="E666">
        <v>82840597</v>
      </c>
      <c r="F666">
        <v>107096764</v>
      </c>
      <c r="G666">
        <v>152044356</v>
      </c>
      <c r="H666">
        <v>187823786</v>
      </c>
      <c r="I666">
        <v>160096732</v>
      </c>
      <c r="J666">
        <v>27582916</v>
      </c>
      <c r="K666">
        <v>39207357</v>
      </c>
      <c r="L666">
        <v>-24307902</v>
      </c>
      <c r="M666">
        <v>-7915434</v>
      </c>
      <c r="N666">
        <v>-8882093</v>
      </c>
      <c r="O666">
        <v>-1282811</v>
      </c>
      <c r="P666">
        <v>1113</v>
      </c>
      <c r="Q666" t="s">
        <v>1379</v>
      </c>
    </row>
    <row r="667" spans="1:17" x14ac:dyDescent="0.3">
      <c r="A667" t="s">
        <v>32</v>
      </c>
      <c r="B667" t="str">
        <f>"300586"</f>
        <v>300586</v>
      </c>
      <c r="C667" t="s">
        <v>1380</v>
      </c>
      <c r="D667" t="s">
        <v>144</v>
      </c>
      <c r="E667">
        <v>82803935</v>
      </c>
      <c r="F667">
        <v>14383117</v>
      </c>
      <c r="G667">
        <v>13484064</v>
      </c>
      <c r="H667">
        <v>4031955</v>
      </c>
      <c r="I667">
        <v>-35411982</v>
      </c>
      <c r="J667">
        <v>-45506416</v>
      </c>
      <c r="K667">
        <v>-1463977</v>
      </c>
      <c r="P667">
        <v>132</v>
      </c>
      <c r="Q667" t="s">
        <v>1381</v>
      </c>
    </row>
    <row r="668" spans="1:17" x14ac:dyDescent="0.3">
      <c r="A668" t="s">
        <v>32</v>
      </c>
      <c r="B668" t="str">
        <f>"000507"</f>
        <v>000507</v>
      </c>
      <c r="C668" t="s">
        <v>1382</v>
      </c>
      <c r="D668" t="s">
        <v>46</v>
      </c>
      <c r="E668">
        <v>82779717</v>
      </c>
      <c r="F668">
        <v>-121043926</v>
      </c>
      <c r="G668">
        <v>-196692191</v>
      </c>
      <c r="H668">
        <v>-177388879</v>
      </c>
      <c r="I668">
        <v>-4467786</v>
      </c>
      <c r="J668">
        <v>12722952</v>
      </c>
      <c r="K668">
        <v>2936630</v>
      </c>
      <c r="L668">
        <v>-56853542</v>
      </c>
      <c r="M668">
        <v>-48431673</v>
      </c>
      <c r="N668">
        <v>-7310207</v>
      </c>
      <c r="O668">
        <v>-34754083</v>
      </c>
      <c r="P668">
        <v>185</v>
      </c>
      <c r="Q668" t="s">
        <v>1383</v>
      </c>
    </row>
    <row r="669" spans="1:17" x14ac:dyDescent="0.3">
      <c r="A669" t="s">
        <v>32</v>
      </c>
      <c r="B669" t="str">
        <f>"000892"</f>
        <v>000892</v>
      </c>
      <c r="C669" t="s">
        <v>1384</v>
      </c>
      <c r="D669" t="s">
        <v>245</v>
      </c>
      <c r="E669">
        <v>82749178</v>
      </c>
      <c r="F669">
        <v>-261149590</v>
      </c>
      <c r="G669">
        <v>-15304467</v>
      </c>
      <c r="H669">
        <v>-47248874</v>
      </c>
      <c r="I669">
        <v>-303128389</v>
      </c>
      <c r="J669">
        <v>-662185990</v>
      </c>
      <c r="K669">
        <v>3516803</v>
      </c>
      <c r="L669">
        <v>-423295</v>
      </c>
      <c r="M669">
        <v>-518237</v>
      </c>
      <c r="N669">
        <v>-969595</v>
      </c>
      <c r="O669">
        <v>-1740427</v>
      </c>
      <c r="P669">
        <v>109</v>
      </c>
      <c r="Q669" t="s">
        <v>1385</v>
      </c>
    </row>
    <row r="670" spans="1:17" x14ac:dyDescent="0.3">
      <c r="A670" t="s">
        <v>17</v>
      </c>
      <c r="B670" t="str">
        <f>"600032"</f>
        <v>600032</v>
      </c>
      <c r="C670" t="s">
        <v>1386</v>
      </c>
      <c r="D670" t="s">
        <v>158</v>
      </c>
      <c r="E670">
        <v>82629894</v>
      </c>
      <c r="F670">
        <v>-816000113</v>
      </c>
      <c r="G670">
        <v>-1110099699</v>
      </c>
      <c r="P670">
        <v>81</v>
      </c>
      <c r="Q670" t="s">
        <v>1387</v>
      </c>
    </row>
    <row r="671" spans="1:17" x14ac:dyDescent="0.3">
      <c r="A671" t="s">
        <v>32</v>
      </c>
      <c r="B671" t="str">
        <f>"002012"</f>
        <v>002012</v>
      </c>
      <c r="C671" t="s">
        <v>1388</v>
      </c>
      <c r="D671" t="s">
        <v>455</v>
      </c>
      <c r="E671">
        <v>82478223</v>
      </c>
      <c r="F671">
        <v>-3244755</v>
      </c>
      <c r="G671">
        <v>-110166720</v>
      </c>
      <c r="H671">
        <v>-41264807</v>
      </c>
      <c r="I671">
        <v>-43606821</v>
      </c>
      <c r="J671">
        <v>-3580839</v>
      </c>
      <c r="K671">
        <v>17764877</v>
      </c>
      <c r="L671">
        <v>-23373465</v>
      </c>
      <c r="M671">
        <v>22266603</v>
      </c>
      <c r="N671">
        <v>-78155130</v>
      </c>
      <c r="O671">
        <v>-27467810</v>
      </c>
      <c r="P671">
        <v>131</v>
      </c>
      <c r="Q671" t="s">
        <v>1389</v>
      </c>
    </row>
    <row r="672" spans="1:17" x14ac:dyDescent="0.3">
      <c r="A672" t="s">
        <v>32</v>
      </c>
      <c r="B672" t="str">
        <f>"002337"</f>
        <v>002337</v>
      </c>
      <c r="C672" t="s">
        <v>1390</v>
      </c>
      <c r="D672" t="s">
        <v>135</v>
      </c>
      <c r="E672">
        <v>82125606</v>
      </c>
      <c r="F672">
        <v>-49920971</v>
      </c>
      <c r="G672">
        <v>20781960</v>
      </c>
      <c r="H672">
        <v>45083726</v>
      </c>
      <c r="I672">
        <v>-40976338</v>
      </c>
      <c r="J672">
        <v>55706862</v>
      </c>
      <c r="K672">
        <v>3094628</v>
      </c>
      <c r="L672">
        <v>-93769451</v>
      </c>
      <c r="M672">
        <v>-94864592</v>
      </c>
      <c r="N672">
        <v>24873967</v>
      </c>
      <c r="O672">
        <v>4471615</v>
      </c>
      <c r="P672">
        <v>92</v>
      </c>
      <c r="Q672" t="s">
        <v>1391</v>
      </c>
    </row>
    <row r="673" spans="1:17" x14ac:dyDescent="0.3">
      <c r="A673" t="s">
        <v>32</v>
      </c>
      <c r="B673" t="str">
        <f>"000861"</f>
        <v>000861</v>
      </c>
      <c r="C673" t="s">
        <v>1392</v>
      </c>
      <c r="D673" t="s">
        <v>218</v>
      </c>
      <c r="E673">
        <v>81885172</v>
      </c>
      <c r="F673">
        <v>-93968135</v>
      </c>
      <c r="G673">
        <v>20533470</v>
      </c>
      <c r="H673">
        <v>134931579</v>
      </c>
      <c r="I673">
        <v>-254089964</v>
      </c>
      <c r="J673">
        <v>-194492170</v>
      </c>
      <c r="K673">
        <v>-228175069</v>
      </c>
      <c r="L673">
        <v>-33990485</v>
      </c>
      <c r="M673">
        <v>-465900060</v>
      </c>
      <c r="N673">
        <v>-153983001</v>
      </c>
      <c r="O673">
        <v>-56528996</v>
      </c>
      <c r="P673">
        <v>184</v>
      </c>
      <c r="Q673" t="s">
        <v>1393</v>
      </c>
    </row>
    <row r="674" spans="1:17" x14ac:dyDescent="0.3">
      <c r="A674" t="s">
        <v>32</v>
      </c>
      <c r="B674" t="str">
        <f>"002507"</f>
        <v>002507</v>
      </c>
      <c r="C674" t="s">
        <v>1394</v>
      </c>
      <c r="D674" t="s">
        <v>172</v>
      </c>
      <c r="E674">
        <v>81615052</v>
      </c>
      <c r="F674">
        <v>-78778770</v>
      </c>
      <c r="G674">
        <v>241238712</v>
      </c>
      <c r="H674">
        <v>-57730823</v>
      </c>
      <c r="I674">
        <v>-127416175</v>
      </c>
      <c r="J674">
        <v>49870399</v>
      </c>
      <c r="K674">
        <v>24214427</v>
      </c>
      <c r="L674">
        <v>-17098765</v>
      </c>
      <c r="M674">
        <v>-87316959</v>
      </c>
      <c r="N674">
        <v>-10018533</v>
      </c>
      <c r="O674">
        <v>-21509342</v>
      </c>
      <c r="P674">
        <v>4504</v>
      </c>
      <c r="Q674" t="s">
        <v>1395</v>
      </c>
    </row>
    <row r="675" spans="1:17" x14ac:dyDescent="0.3">
      <c r="A675" t="s">
        <v>32</v>
      </c>
      <c r="B675" t="str">
        <f>"002145"</f>
        <v>002145</v>
      </c>
      <c r="C675" t="s">
        <v>1396</v>
      </c>
      <c r="D675" t="s">
        <v>144</v>
      </c>
      <c r="E675">
        <v>81039960</v>
      </c>
      <c r="F675">
        <v>76294706</v>
      </c>
      <c r="G675">
        <v>66772631</v>
      </c>
      <c r="H675">
        <v>19178746</v>
      </c>
      <c r="I675">
        <v>27249045</v>
      </c>
      <c r="J675">
        <v>-47614959</v>
      </c>
      <c r="K675">
        <v>-67463933</v>
      </c>
      <c r="L675">
        <v>-204882756</v>
      </c>
      <c r="M675">
        <v>-10853287</v>
      </c>
      <c r="N675">
        <v>-190768555</v>
      </c>
      <c r="O675">
        <v>-2878375</v>
      </c>
      <c r="P675">
        <v>283</v>
      </c>
      <c r="Q675" t="s">
        <v>1397</v>
      </c>
    </row>
    <row r="676" spans="1:17" x14ac:dyDescent="0.3">
      <c r="A676" t="s">
        <v>17</v>
      </c>
      <c r="B676" t="str">
        <f>"688788"</f>
        <v>688788</v>
      </c>
      <c r="C676" t="s">
        <v>1398</v>
      </c>
      <c r="D676" t="s">
        <v>188</v>
      </c>
      <c r="E676">
        <v>80594715</v>
      </c>
      <c r="F676">
        <v>-56606236</v>
      </c>
      <c r="G676">
        <v>111419000</v>
      </c>
      <c r="H676">
        <v>4966500</v>
      </c>
      <c r="P676">
        <v>57</v>
      </c>
      <c r="Q676" t="s">
        <v>1399</v>
      </c>
    </row>
    <row r="677" spans="1:17" x14ac:dyDescent="0.3">
      <c r="A677" t="s">
        <v>17</v>
      </c>
      <c r="B677" t="str">
        <f>"600197"</f>
        <v>600197</v>
      </c>
      <c r="C677" t="s">
        <v>1400</v>
      </c>
      <c r="D677" t="s">
        <v>172</v>
      </c>
      <c r="E677">
        <v>80572303</v>
      </c>
      <c r="F677">
        <v>-86854212</v>
      </c>
      <c r="G677">
        <v>-273902033</v>
      </c>
      <c r="H677">
        <v>-7835989</v>
      </c>
      <c r="I677">
        <v>158685776</v>
      </c>
      <c r="J677">
        <v>-18762041</v>
      </c>
      <c r="K677">
        <v>87468640</v>
      </c>
      <c r="L677">
        <v>-9745511</v>
      </c>
      <c r="M677">
        <v>68615063</v>
      </c>
      <c r="N677">
        <v>53079332</v>
      </c>
      <c r="O677">
        <v>27313805</v>
      </c>
      <c r="P677">
        <v>1080</v>
      </c>
      <c r="Q677" t="s">
        <v>1401</v>
      </c>
    </row>
    <row r="678" spans="1:17" x14ac:dyDescent="0.3">
      <c r="A678" t="s">
        <v>32</v>
      </c>
      <c r="B678" t="str">
        <f>"200056"</f>
        <v>200056</v>
      </c>
      <c r="C678" t="s">
        <v>1402</v>
      </c>
      <c r="E678">
        <v>80235152.621999994</v>
      </c>
      <c r="F678">
        <v>34124534.119499996</v>
      </c>
      <c r="G678">
        <v>7616443.0509000001</v>
      </c>
      <c r="H678">
        <v>157375762.51769999</v>
      </c>
      <c r="I678">
        <v>348003388.19700003</v>
      </c>
      <c r="J678">
        <v>-333262635.3168</v>
      </c>
      <c r="K678">
        <v>447586346.0844</v>
      </c>
      <c r="L678">
        <v>-3624490</v>
      </c>
      <c r="M678">
        <v>-339040390.85399997</v>
      </c>
      <c r="N678">
        <v>-68088961.522799999</v>
      </c>
      <c r="O678">
        <v>26842876.074000001</v>
      </c>
      <c r="P678">
        <v>13</v>
      </c>
      <c r="Q678" t="s">
        <v>1403</v>
      </c>
    </row>
    <row r="679" spans="1:17" x14ac:dyDescent="0.3">
      <c r="A679" t="s">
        <v>32</v>
      </c>
      <c r="B679" t="str">
        <f>"000758"</f>
        <v>000758</v>
      </c>
      <c r="C679" t="s">
        <v>1404</v>
      </c>
      <c r="D679" t="s">
        <v>121</v>
      </c>
      <c r="E679">
        <v>80166209</v>
      </c>
      <c r="F679">
        <v>2307990579</v>
      </c>
      <c r="G679">
        <v>-445497418</v>
      </c>
      <c r="H679">
        <v>-190640064</v>
      </c>
      <c r="I679">
        <v>2528590389</v>
      </c>
      <c r="J679">
        <v>-785720008</v>
      </c>
      <c r="K679">
        <v>-619232979</v>
      </c>
      <c r="L679">
        <v>241329073</v>
      </c>
      <c r="M679">
        <v>-238675676</v>
      </c>
      <c r="N679">
        <v>-505296910</v>
      </c>
      <c r="O679">
        <v>-524771254</v>
      </c>
      <c r="P679">
        <v>177</v>
      </c>
      <c r="Q679" t="s">
        <v>1405</v>
      </c>
    </row>
    <row r="680" spans="1:17" x14ac:dyDescent="0.3">
      <c r="A680" t="s">
        <v>17</v>
      </c>
      <c r="B680" t="str">
        <f>"600127"</f>
        <v>600127</v>
      </c>
      <c r="C680" t="s">
        <v>1406</v>
      </c>
      <c r="D680" t="s">
        <v>175</v>
      </c>
      <c r="E680">
        <v>79959409</v>
      </c>
      <c r="F680">
        <v>-1975235</v>
      </c>
      <c r="G680">
        <v>36836109</v>
      </c>
      <c r="H680">
        <v>171001676</v>
      </c>
      <c r="I680">
        <v>26457778</v>
      </c>
      <c r="J680">
        <v>-40664805</v>
      </c>
      <c r="K680">
        <v>36164539</v>
      </c>
      <c r="L680">
        <v>-14816089</v>
      </c>
      <c r="M680">
        <v>-1472596</v>
      </c>
      <c r="N680">
        <v>45908267</v>
      </c>
      <c r="O680">
        <v>43638132</v>
      </c>
      <c r="P680">
        <v>231</v>
      </c>
      <c r="Q680" t="s">
        <v>1407</v>
      </c>
    </row>
    <row r="681" spans="1:17" x14ac:dyDescent="0.3">
      <c r="A681" t="s">
        <v>32</v>
      </c>
      <c r="B681" t="str">
        <f>"300533"</f>
        <v>300533</v>
      </c>
      <c r="C681" t="s">
        <v>1408</v>
      </c>
      <c r="D681" t="s">
        <v>245</v>
      </c>
      <c r="E681">
        <v>79546993</v>
      </c>
      <c r="F681">
        <v>-36721752</v>
      </c>
      <c r="G681">
        <v>21047613</v>
      </c>
      <c r="H681">
        <v>22425847</v>
      </c>
      <c r="I681">
        <v>-6381593</v>
      </c>
      <c r="J681">
        <v>-5547727</v>
      </c>
      <c r="K681">
        <v>25006856</v>
      </c>
      <c r="L681">
        <v>42348529</v>
      </c>
      <c r="P681">
        <v>131</v>
      </c>
      <c r="Q681" t="s">
        <v>1409</v>
      </c>
    </row>
    <row r="682" spans="1:17" x14ac:dyDescent="0.3">
      <c r="A682" t="s">
        <v>17</v>
      </c>
      <c r="B682" t="str">
        <f>"600189"</f>
        <v>600189</v>
      </c>
      <c r="C682" t="s">
        <v>1410</v>
      </c>
      <c r="D682" t="s">
        <v>172</v>
      </c>
      <c r="E682">
        <v>79227670</v>
      </c>
      <c r="F682">
        <v>-13379081</v>
      </c>
      <c r="G682">
        <v>36576880</v>
      </c>
      <c r="H682">
        <v>-30295067</v>
      </c>
      <c r="I682">
        <v>-103175346</v>
      </c>
      <c r="J682">
        <v>-156003351</v>
      </c>
      <c r="K682">
        <v>-217944086</v>
      </c>
      <c r="L682">
        <v>-165937016</v>
      </c>
      <c r="M682">
        <v>-84493754</v>
      </c>
      <c r="N682">
        <v>-187684042</v>
      </c>
      <c r="O682">
        <v>-171672789</v>
      </c>
      <c r="P682">
        <v>177</v>
      </c>
      <c r="Q682" t="s">
        <v>1411</v>
      </c>
    </row>
    <row r="683" spans="1:17" x14ac:dyDescent="0.3">
      <c r="A683" t="s">
        <v>32</v>
      </c>
      <c r="B683" t="str">
        <f>"002983"</f>
        <v>002983</v>
      </c>
      <c r="C683" t="s">
        <v>1412</v>
      </c>
      <c r="D683" t="s">
        <v>124</v>
      </c>
      <c r="E683">
        <v>79174139</v>
      </c>
      <c r="F683">
        <v>-12418410</v>
      </c>
      <c r="G683">
        <v>51187824</v>
      </c>
      <c r="H683">
        <v>11748398</v>
      </c>
      <c r="P683">
        <v>109</v>
      </c>
      <c r="Q683" t="s">
        <v>1413</v>
      </c>
    </row>
    <row r="684" spans="1:17" x14ac:dyDescent="0.3">
      <c r="A684" t="s">
        <v>32</v>
      </c>
      <c r="B684" t="str">
        <f>"000155"</f>
        <v>000155</v>
      </c>
      <c r="C684" t="s">
        <v>1414</v>
      </c>
      <c r="D684" t="s">
        <v>158</v>
      </c>
      <c r="E684">
        <v>79121136</v>
      </c>
      <c r="F684">
        <v>-170916776</v>
      </c>
      <c r="G684">
        <v>-192633607</v>
      </c>
      <c r="H684">
        <v>111892273</v>
      </c>
      <c r="I684">
        <v>-161928289</v>
      </c>
      <c r="J684">
        <v>-62733187</v>
      </c>
      <c r="K684">
        <v>-61574630</v>
      </c>
      <c r="L684">
        <v>-13422591</v>
      </c>
      <c r="M684">
        <v>-60616288</v>
      </c>
      <c r="N684">
        <v>2948566</v>
      </c>
      <c r="O684">
        <v>-129603192</v>
      </c>
      <c r="P684">
        <v>310</v>
      </c>
      <c r="Q684" t="s">
        <v>1415</v>
      </c>
    </row>
    <row r="685" spans="1:17" x14ac:dyDescent="0.3">
      <c r="A685" t="s">
        <v>32</v>
      </c>
      <c r="B685" t="str">
        <f>"000676"</f>
        <v>000676</v>
      </c>
      <c r="C685" t="s">
        <v>1416</v>
      </c>
      <c r="D685" t="s">
        <v>245</v>
      </c>
      <c r="E685">
        <v>78961629</v>
      </c>
      <c r="F685">
        <v>-56296772</v>
      </c>
      <c r="G685">
        <v>-32661568</v>
      </c>
      <c r="H685">
        <v>14575156</v>
      </c>
      <c r="I685">
        <v>-113241476</v>
      </c>
      <c r="J685">
        <v>-118742363</v>
      </c>
      <c r="K685">
        <v>-28703268</v>
      </c>
      <c r="L685">
        <v>40358010</v>
      </c>
      <c r="M685">
        <v>-25425077</v>
      </c>
      <c r="N685">
        <v>-33411538</v>
      </c>
      <c r="O685">
        <v>95306848</v>
      </c>
      <c r="P685">
        <v>215</v>
      </c>
      <c r="Q685" t="s">
        <v>1417</v>
      </c>
    </row>
    <row r="686" spans="1:17" x14ac:dyDescent="0.3">
      <c r="A686" t="s">
        <v>32</v>
      </c>
      <c r="B686" t="str">
        <f>"002442"</f>
        <v>002442</v>
      </c>
      <c r="C686" t="s">
        <v>1418</v>
      </c>
      <c r="D686" t="s">
        <v>144</v>
      </c>
      <c r="E686">
        <v>78838561</v>
      </c>
      <c r="F686">
        <v>1415091</v>
      </c>
      <c r="G686">
        <v>-96222354</v>
      </c>
      <c r="H686">
        <v>58455860</v>
      </c>
      <c r="I686">
        <v>154786876</v>
      </c>
      <c r="J686">
        <v>55353060</v>
      </c>
      <c r="K686">
        <v>96551774</v>
      </c>
      <c r="L686">
        <v>29239573</v>
      </c>
      <c r="M686">
        <v>21578236</v>
      </c>
      <c r="N686">
        <v>-207089632</v>
      </c>
      <c r="O686">
        <v>-175375377</v>
      </c>
      <c r="P686">
        <v>105</v>
      </c>
      <c r="Q686" t="s">
        <v>1419</v>
      </c>
    </row>
    <row r="687" spans="1:17" x14ac:dyDescent="0.3">
      <c r="A687" t="s">
        <v>32</v>
      </c>
      <c r="B687" t="str">
        <f>"300009"</f>
        <v>300009</v>
      </c>
      <c r="C687" t="s">
        <v>1420</v>
      </c>
      <c r="D687" t="s">
        <v>98</v>
      </c>
      <c r="E687">
        <v>78773600</v>
      </c>
      <c r="F687">
        <v>68279359</v>
      </c>
      <c r="G687">
        <v>8014145</v>
      </c>
      <c r="H687">
        <v>-40476708</v>
      </c>
      <c r="I687">
        <v>26543713</v>
      </c>
      <c r="J687">
        <v>-3925890</v>
      </c>
      <c r="K687">
        <v>-17201506</v>
      </c>
      <c r="L687">
        <v>-3728791</v>
      </c>
      <c r="M687">
        <v>-9240480</v>
      </c>
      <c r="N687">
        <v>-3033454</v>
      </c>
      <c r="O687">
        <v>-13068897</v>
      </c>
      <c r="P687">
        <v>842</v>
      </c>
      <c r="Q687" t="s">
        <v>1421</v>
      </c>
    </row>
    <row r="688" spans="1:17" x14ac:dyDescent="0.3">
      <c r="A688" t="s">
        <v>17</v>
      </c>
      <c r="B688" t="str">
        <f>"603012"</f>
        <v>603012</v>
      </c>
      <c r="C688" t="s">
        <v>1422</v>
      </c>
      <c r="D688" t="s">
        <v>135</v>
      </c>
      <c r="E688">
        <v>78740795</v>
      </c>
      <c r="F688">
        <v>-131627004</v>
      </c>
      <c r="G688">
        <v>-75490598</v>
      </c>
      <c r="H688">
        <v>-48363131</v>
      </c>
      <c r="I688">
        <v>-74011805</v>
      </c>
      <c r="J688">
        <v>-34870293</v>
      </c>
      <c r="K688">
        <v>-24456484</v>
      </c>
      <c r="L688">
        <v>-68459737</v>
      </c>
      <c r="M688">
        <v>-87458056</v>
      </c>
      <c r="P688">
        <v>135</v>
      </c>
      <c r="Q688" t="s">
        <v>1423</v>
      </c>
    </row>
    <row r="689" spans="1:17" x14ac:dyDescent="0.3">
      <c r="A689" t="s">
        <v>32</v>
      </c>
      <c r="B689" t="str">
        <f>"002663"</f>
        <v>002663</v>
      </c>
      <c r="C689" t="s">
        <v>1424</v>
      </c>
      <c r="D689" t="s">
        <v>645</v>
      </c>
      <c r="E689">
        <v>78684898</v>
      </c>
      <c r="F689">
        <v>-146912915</v>
      </c>
      <c r="G689">
        <v>-335446385</v>
      </c>
      <c r="H689">
        <v>-123985496</v>
      </c>
      <c r="I689">
        <v>-354945931</v>
      </c>
      <c r="J689">
        <v>-284862276</v>
      </c>
      <c r="K689">
        <v>-218934666</v>
      </c>
      <c r="L689">
        <v>-563504587</v>
      </c>
      <c r="M689">
        <v>-260490937</v>
      </c>
      <c r="N689">
        <v>-250877931</v>
      </c>
      <c r="O689">
        <v>-141327193</v>
      </c>
      <c r="P689">
        <v>95</v>
      </c>
      <c r="Q689" t="s">
        <v>1425</v>
      </c>
    </row>
    <row r="690" spans="1:17" x14ac:dyDescent="0.3">
      <c r="A690" t="s">
        <v>32</v>
      </c>
      <c r="B690" t="str">
        <f>"002515"</f>
        <v>002515</v>
      </c>
      <c r="C690" t="s">
        <v>1426</v>
      </c>
      <c r="D690" t="s">
        <v>172</v>
      </c>
      <c r="E690">
        <v>77791450</v>
      </c>
      <c r="F690">
        <v>60154209</v>
      </c>
      <c r="G690">
        <v>-42325616</v>
      </c>
      <c r="H690">
        <v>24439275</v>
      </c>
      <c r="I690">
        <v>-41073605</v>
      </c>
      <c r="J690">
        <v>-73912816</v>
      </c>
      <c r="K690">
        <v>49292095</v>
      </c>
      <c r="L690">
        <v>39554202</v>
      </c>
      <c r="M690">
        <v>-12543389</v>
      </c>
      <c r="N690">
        <v>-22927315</v>
      </c>
      <c r="O690">
        <v>-1845009</v>
      </c>
      <c r="P690">
        <v>296</v>
      </c>
      <c r="Q690" t="s">
        <v>1427</v>
      </c>
    </row>
    <row r="691" spans="1:17" x14ac:dyDescent="0.3">
      <c r="A691" t="s">
        <v>17</v>
      </c>
      <c r="B691" t="str">
        <f>"600779"</f>
        <v>600779</v>
      </c>
      <c r="C691" t="s">
        <v>1428</v>
      </c>
      <c r="D691" t="s">
        <v>172</v>
      </c>
      <c r="E691">
        <v>77760567</v>
      </c>
      <c r="F691">
        <v>521243419</v>
      </c>
      <c r="G691">
        <v>21760754</v>
      </c>
      <c r="H691">
        <v>235926145</v>
      </c>
      <c r="I691">
        <v>-117850213</v>
      </c>
      <c r="J691">
        <v>139128144</v>
      </c>
      <c r="K691">
        <v>70186753</v>
      </c>
      <c r="L691">
        <v>109631612</v>
      </c>
      <c r="M691">
        <v>-78638356</v>
      </c>
      <c r="N691">
        <v>-120426138</v>
      </c>
      <c r="O691">
        <v>-16260936</v>
      </c>
      <c r="P691">
        <v>2794</v>
      </c>
      <c r="Q691" t="s">
        <v>1429</v>
      </c>
    </row>
    <row r="692" spans="1:17" x14ac:dyDescent="0.3">
      <c r="A692" t="s">
        <v>32</v>
      </c>
      <c r="B692" t="str">
        <f>"000862"</f>
        <v>000862</v>
      </c>
      <c r="C692" t="s">
        <v>1430</v>
      </c>
      <c r="D692" t="s">
        <v>158</v>
      </c>
      <c r="E692">
        <v>77658205</v>
      </c>
      <c r="F692">
        <v>75509809</v>
      </c>
      <c r="G692">
        <v>31628945</v>
      </c>
      <c r="H692">
        <v>57090216</v>
      </c>
      <c r="I692">
        <v>32527643</v>
      </c>
      <c r="J692">
        <v>-10845211</v>
      </c>
      <c r="K692">
        <v>75910155</v>
      </c>
      <c r="L692">
        <v>18913162</v>
      </c>
      <c r="M692">
        <v>-24185227</v>
      </c>
      <c r="N692">
        <v>-55475553</v>
      </c>
      <c r="O692">
        <v>-195883256</v>
      </c>
      <c r="P692">
        <v>171</v>
      </c>
      <c r="Q692" t="s">
        <v>1431</v>
      </c>
    </row>
    <row r="693" spans="1:17" x14ac:dyDescent="0.3">
      <c r="A693" t="s">
        <v>32</v>
      </c>
      <c r="B693" t="str">
        <f>"300613"</f>
        <v>300613</v>
      </c>
      <c r="C693" t="s">
        <v>1432</v>
      </c>
      <c r="D693" t="s">
        <v>124</v>
      </c>
      <c r="E693">
        <v>77651263</v>
      </c>
      <c r="F693">
        <v>-130928612</v>
      </c>
      <c r="G693">
        <v>25832642</v>
      </c>
      <c r="H693">
        <v>2802080</v>
      </c>
      <c r="I693">
        <v>-35777116</v>
      </c>
      <c r="J693">
        <v>-4967547</v>
      </c>
      <c r="K693">
        <v>16605772</v>
      </c>
      <c r="P693">
        <v>355</v>
      </c>
      <c r="Q693" t="s">
        <v>1433</v>
      </c>
    </row>
    <row r="694" spans="1:17" x14ac:dyDescent="0.3">
      <c r="A694" t="s">
        <v>17</v>
      </c>
      <c r="B694" t="str">
        <f>"600285"</f>
        <v>600285</v>
      </c>
      <c r="C694" t="s">
        <v>1434</v>
      </c>
      <c r="D694" t="s">
        <v>98</v>
      </c>
      <c r="E694">
        <v>77493773</v>
      </c>
      <c r="F694">
        <v>208861932</v>
      </c>
      <c r="G694">
        <v>127257832</v>
      </c>
      <c r="H694">
        <v>132849557</v>
      </c>
      <c r="I694">
        <v>104199203</v>
      </c>
      <c r="J694">
        <v>-74231327</v>
      </c>
      <c r="K694">
        <v>-38870843</v>
      </c>
      <c r="L694">
        <v>26848945</v>
      </c>
      <c r="M694">
        <v>-168319061</v>
      </c>
      <c r="N694">
        <v>-28478767</v>
      </c>
      <c r="O694">
        <v>-35387293</v>
      </c>
      <c r="P694">
        <v>606</v>
      </c>
      <c r="Q694" t="s">
        <v>1435</v>
      </c>
    </row>
    <row r="695" spans="1:17" x14ac:dyDescent="0.3">
      <c r="A695" t="s">
        <v>32</v>
      </c>
      <c r="B695" t="str">
        <f>"300132"</f>
        <v>300132</v>
      </c>
      <c r="C695" t="s">
        <v>1436</v>
      </c>
      <c r="D695" t="s">
        <v>544</v>
      </c>
      <c r="E695">
        <v>77258962</v>
      </c>
      <c r="F695">
        <v>24943407</v>
      </c>
      <c r="G695">
        <v>170235415</v>
      </c>
      <c r="H695">
        <v>-8042265</v>
      </c>
      <c r="I695">
        <v>75052404</v>
      </c>
      <c r="J695">
        <v>14248215</v>
      </c>
      <c r="K695">
        <v>259461653</v>
      </c>
      <c r="L695">
        <v>4734456</v>
      </c>
      <c r="M695">
        <v>-1098505</v>
      </c>
      <c r="N695">
        <v>-56243624</v>
      </c>
      <c r="O695">
        <v>35479833</v>
      </c>
      <c r="P695">
        <v>399</v>
      </c>
      <c r="Q695" t="s">
        <v>1437</v>
      </c>
    </row>
    <row r="696" spans="1:17" x14ac:dyDescent="0.3">
      <c r="A696" t="s">
        <v>17</v>
      </c>
      <c r="B696" t="str">
        <f>"603087"</f>
        <v>603087</v>
      </c>
      <c r="C696" t="s">
        <v>1438</v>
      </c>
      <c r="D696" t="s">
        <v>98</v>
      </c>
      <c r="E696">
        <v>77042528</v>
      </c>
      <c r="F696">
        <v>-26546607</v>
      </c>
      <c r="G696">
        <v>190112405</v>
      </c>
      <c r="H696">
        <v>136686246</v>
      </c>
      <c r="P696">
        <v>677</v>
      </c>
      <c r="Q696" t="s">
        <v>1439</v>
      </c>
    </row>
    <row r="697" spans="1:17" x14ac:dyDescent="0.3">
      <c r="A697" t="s">
        <v>32</v>
      </c>
      <c r="B697" t="str">
        <f>"300888"</f>
        <v>300888</v>
      </c>
      <c r="C697" t="s">
        <v>1440</v>
      </c>
      <c r="D697" t="s">
        <v>544</v>
      </c>
      <c r="E697">
        <v>76876864</v>
      </c>
      <c r="F697">
        <v>-142053531</v>
      </c>
      <c r="P697">
        <v>457</v>
      </c>
      <c r="Q697" t="s">
        <v>1441</v>
      </c>
    </row>
    <row r="698" spans="1:17" x14ac:dyDescent="0.3">
      <c r="A698" t="s">
        <v>17</v>
      </c>
      <c r="B698" t="str">
        <f>"688200"</f>
        <v>688200</v>
      </c>
      <c r="C698" t="s">
        <v>1442</v>
      </c>
      <c r="D698" t="s">
        <v>124</v>
      </c>
      <c r="E698">
        <v>76804311</v>
      </c>
      <c r="F698">
        <v>-262367605</v>
      </c>
      <c r="G698">
        <v>8840406</v>
      </c>
      <c r="H698">
        <v>13350944</v>
      </c>
      <c r="P698">
        <v>292</v>
      </c>
      <c r="Q698" t="s">
        <v>1443</v>
      </c>
    </row>
    <row r="699" spans="1:17" x14ac:dyDescent="0.3">
      <c r="A699" t="s">
        <v>17</v>
      </c>
      <c r="B699" t="str">
        <f>"600811"</f>
        <v>600811</v>
      </c>
      <c r="C699" t="s">
        <v>1444</v>
      </c>
      <c r="D699" t="s">
        <v>345</v>
      </c>
      <c r="E699">
        <v>76760918</v>
      </c>
      <c r="F699">
        <v>174574256</v>
      </c>
      <c r="G699">
        <v>-7331554</v>
      </c>
      <c r="H699">
        <v>779436999</v>
      </c>
      <c r="I699">
        <v>266895030</v>
      </c>
      <c r="J699">
        <v>-431231044</v>
      </c>
      <c r="K699">
        <v>-531296072</v>
      </c>
      <c r="L699">
        <v>-18910490</v>
      </c>
      <c r="M699">
        <v>284951502</v>
      </c>
      <c r="N699">
        <v>81542949</v>
      </c>
      <c r="O699">
        <v>16455465</v>
      </c>
      <c r="P699">
        <v>205</v>
      </c>
      <c r="Q699" t="s">
        <v>1445</v>
      </c>
    </row>
    <row r="700" spans="1:17" x14ac:dyDescent="0.3">
      <c r="A700" t="s">
        <v>32</v>
      </c>
      <c r="B700" t="str">
        <f>"002550"</f>
        <v>002550</v>
      </c>
      <c r="C700" t="s">
        <v>1446</v>
      </c>
      <c r="D700" t="s">
        <v>98</v>
      </c>
      <c r="E700">
        <v>76740058</v>
      </c>
      <c r="F700">
        <v>-118447227</v>
      </c>
      <c r="G700">
        <v>-24039791</v>
      </c>
      <c r="H700">
        <v>70340237</v>
      </c>
      <c r="I700">
        <v>-869284</v>
      </c>
      <c r="J700">
        <v>-44807097</v>
      </c>
      <c r="K700">
        <v>17248580</v>
      </c>
      <c r="L700">
        <v>60537</v>
      </c>
      <c r="M700">
        <v>21460534</v>
      </c>
      <c r="N700">
        <v>13078907</v>
      </c>
      <c r="O700">
        <v>55251720</v>
      </c>
      <c r="P700">
        <v>172</v>
      </c>
      <c r="Q700" t="s">
        <v>1447</v>
      </c>
    </row>
    <row r="701" spans="1:17" x14ac:dyDescent="0.3">
      <c r="A701" t="s">
        <v>32</v>
      </c>
      <c r="B701" t="str">
        <f>"000848"</f>
        <v>000848</v>
      </c>
      <c r="C701" t="s">
        <v>1448</v>
      </c>
      <c r="D701" t="s">
        <v>172</v>
      </c>
      <c r="E701">
        <v>76617240</v>
      </c>
      <c r="F701">
        <v>120324392</v>
      </c>
      <c r="G701">
        <v>-166441239</v>
      </c>
      <c r="H701">
        <v>-106926078</v>
      </c>
      <c r="I701">
        <v>22866468</v>
      </c>
      <c r="J701">
        <v>-422648981</v>
      </c>
      <c r="K701">
        <v>-20557339</v>
      </c>
      <c r="L701">
        <v>233194968</v>
      </c>
      <c r="M701">
        <v>117889909</v>
      </c>
      <c r="N701">
        <v>119235966</v>
      </c>
      <c r="O701">
        <v>-17017316</v>
      </c>
      <c r="P701">
        <v>41213</v>
      </c>
      <c r="Q701" t="s">
        <v>1449</v>
      </c>
    </row>
    <row r="702" spans="1:17" x14ac:dyDescent="0.3">
      <c r="A702" t="s">
        <v>17</v>
      </c>
      <c r="B702" t="str">
        <f>"600583"</f>
        <v>600583</v>
      </c>
      <c r="C702" t="s">
        <v>1450</v>
      </c>
      <c r="D702" t="s">
        <v>64</v>
      </c>
      <c r="E702">
        <v>76562000</v>
      </c>
      <c r="F702">
        <v>-264154300</v>
      </c>
      <c r="G702">
        <v>-644325807</v>
      </c>
      <c r="H702">
        <v>-85308638</v>
      </c>
      <c r="I702">
        <v>-996968451</v>
      </c>
      <c r="J702">
        <v>-562740929</v>
      </c>
      <c r="K702">
        <v>1108404658</v>
      </c>
      <c r="L702">
        <v>-320326064</v>
      </c>
      <c r="M702">
        <v>1112590302</v>
      </c>
      <c r="N702">
        <v>-50302392</v>
      </c>
      <c r="O702">
        <v>272389151</v>
      </c>
      <c r="P702">
        <v>359</v>
      </c>
      <c r="Q702" t="s">
        <v>1451</v>
      </c>
    </row>
    <row r="703" spans="1:17" x14ac:dyDescent="0.3">
      <c r="A703" t="s">
        <v>32</v>
      </c>
      <c r="B703" t="str">
        <f>"002743"</f>
        <v>002743</v>
      </c>
      <c r="C703" t="s">
        <v>1452</v>
      </c>
      <c r="D703" t="s">
        <v>645</v>
      </c>
      <c r="E703">
        <v>76546455</v>
      </c>
      <c r="F703">
        <v>-284614544</v>
      </c>
      <c r="G703">
        <v>-79119511</v>
      </c>
      <c r="H703">
        <v>-11358991</v>
      </c>
      <c r="I703">
        <v>-178649365</v>
      </c>
      <c r="J703">
        <v>-519359432</v>
      </c>
      <c r="K703">
        <v>-133686961</v>
      </c>
      <c r="L703">
        <v>-181484918</v>
      </c>
      <c r="M703">
        <v>-157497638</v>
      </c>
      <c r="P703">
        <v>77</v>
      </c>
      <c r="Q703" t="s">
        <v>1453</v>
      </c>
    </row>
    <row r="704" spans="1:17" x14ac:dyDescent="0.3">
      <c r="A704" t="s">
        <v>32</v>
      </c>
      <c r="B704" t="str">
        <f>"002684"</f>
        <v>002684</v>
      </c>
      <c r="C704" t="s">
        <v>1454</v>
      </c>
      <c r="D704" t="s">
        <v>199</v>
      </c>
      <c r="E704">
        <v>76493074</v>
      </c>
      <c r="F704">
        <v>63956920</v>
      </c>
      <c r="G704">
        <v>51316771</v>
      </c>
      <c r="H704">
        <v>17953648</v>
      </c>
      <c r="I704">
        <v>-436235627</v>
      </c>
      <c r="J704">
        <v>-423994917</v>
      </c>
      <c r="K704">
        <v>-93859952</v>
      </c>
      <c r="L704">
        <v>-19148949</v>
      </c>
      <c r="M704">
        <v>-51539689</v>
      </c>
      <c r="N704">
        <v>-55627321</v>
      </c>
      <c r="O704">
        <v>-24712674</v>
      </c>
      <c r="P704">
        <v>91</v>
      </c>
      <c r="Q704" t="s">
        <v>1455</v>
      </c>
    </row>
    <row r="705" spans="1:17" x14ac:dyDescent="0.3">
      <c r="A705" t="s">
        <v>32</v>
      </c>
      <c r="B705" t="str">
        <f>"002023"</f>
        <v>002023</v>
      </c>
      <c r="C705" t="s">
        <v>1456</v>
      </c>
      <c r="D705" t="s">
        <v>188</v>
      </c>
      <c r="E705">
        <v>76226488</v>
      </c>
      <c r="F705">
        <v>28896168</v>
      </c>
      <c r="G705">
        <v>-60196527</v>
      </c>
      <c r="H705">
        <v>-357735932</v>
      </c>
      <c r="I705">
        <v>-81698798</v>
      </c>
      <c r="J705">
        <v>-128975420</v>
      </c>
      <c r="K705">
        <v>-51404711</v>
      </c>
      <c r="L705">
        <v>-95044545</v>
      </c>
      <c r="M705">
        <v>-42643990</v>
      </c>
      <c r="N705">
        <v>-74385804</v>
      </c>
      <c r="O705">
        <v>-47182021</v>
      </c>
      <c r="P705">
        <v>580</v>
      </c>
      <c r="Q705" t="s">
        <v>1457</v>
      </c>
    </row>
    <row r="706" spans="1:17" x14ac:dyDescent="0.3">
      <c r="A706" t="s">
        <v>17</v>
      </c>
      <c r="B706" t="str">
        <f>"688188"</f>
        <v>688188</v>
      </c>
      <c r="C706" t="s">
        <v>1458</v>
      </c>
      <c r="D706" t="s">
        <v>342</v>
      </c>
      <c r="E706">
        <v>76006658</v>
      </c>
      <c r="F706">
        <v>73089606</v>
      </c>
      <c r="G706">
        <v>2639329</v>
      </c>
      <c r="H706">
        <v>-56628613</v>
      </c>
      <c r="I706">
        <v>14981622</v>
      </c>
      <c r="P706">
        <v>364</v>
      </c>
      <c r="Q706" t="s">
        <v>1459</v>
      </c>
    </row>
    <row r="707" spans="1:17" x14ac:dyDescent="0.3">
      <c r="A707" t="s">
        <v>17</v>
      </c>
      <c r="B707" t="str">
        <f>"603657"</f>
        <v>603657</v>
      </c>
      <c r="C707" t="s">
        <v>1460</v>
      </c>
      <c r="D707" t="s">
        <v>127</v>
      </c>
      <c r="E707">
        <v>75855683</v>
      </c>
      <c r="F707">
        <v>-38385111</v>
      </c>
      <c r="G707">
        <v>10235334</v>
      </c>
      <c r="H707">
        <v>28089870</v>
      </c>
      <c r="I707">
        <v>14606592</v>
      </c>
      <c r="J707">
        <v>8235791</v>
      </c>
      <c r="P707">
        <v>153</v>
      </c>
      <c r="Q707" t="s">
        <v>1461</v>
      </c>
    </row>
    <row r="708" spans="1:17" x14ac:dyDescent="0.3">
      <c r="A708" t="s">
        <v>17</v>
      </c>
      <c r="B708" t="str">
        <f>"603798"</f>
        <v>603798</v>
      </c>
      <c r="C708" t="s">
        <v>1462</v>
      </c>
      <c r="D708" t="s">
        <v>64</v>
      </c>
      <c r="E708">
        <v>75703581</v>
      </c>
      <c r="F708">
        <v>155727154</v>
      </c>
      <c r="G708">
        <v>56515356</v>
      </c>
      <c r="H708">
        <v>98244183</v>
      </c>
      <c r="I708">
        <v>52998485</v>
      </c>
      <c r="J708">
        <v>42723235</v>
      </c>
      <c r="K708">
        <v>54749328</v>
      </c>
      <c r="L708">
        <v>23986826</v>
      </c>
      <c r="P708">
        <v>141</v>
      </c>
      <c r="Q708" t="s">
        <v>1463</v>
      </c>
    </row>
    <row r="709" spans="1:17" x14ac:dyDescent="0.3">
      <c r="A709" t="s">
        <v>17</v>
      </c>
      <c r="B709" t="str">
        <f>"600410"</f>
        <v>600410</v>
      </c>
      <c r="C709" t="s">
        <v>1464</v>
      </c>
      <c r="D709" t="s">
        <v>342</v>
      </c>
      <c r="E709">
        <v>75581285</v>
      </c>
      <c r="F709">
        <v>154194264</v>
      </c>
      <c r="G709">
        <v>26160174</v>
      </c>
      <c r="H709">
        <v>-52275791</v>
      </c>
      <c r="I709">
        <v>-95325026</v>
      </c>
      <c r="J709">
        <v>-801678749</v>
      </c>
      <c r="K709">
        <v>-460433307</v>
      </c>
      <c r="L709">
        <v>-104586554</v>
      </c>
      <c r="M709">
        <v>-281739666</v>
      </c>
      <c r="N709">
        <v>-273025952</v>
      </c>
      <c r="O709">
        <v>-122768937</v>
      </c>
      <c r="P709">
        <v>514</v>
      </c>
      <c r="Q709" t="s">
        <v>1465</v>
      </c>
    </row>
    <row r="710" spans="1:17" x14ac:dyDescent="0.3">
      <c r="A710" t="s">
        <v>17</v>
      </c>
      <c r="B710" t="str">
        <f>"900936"</f>
        <v>900936</v>
      </c>
      <c r="C710" t="s">
        <v>1466</v>
      </c>
      <c r="E710">
        <v>75141697.130400002</v>
      </c>
      <c r="F710">
        <v>332643777.6372</v>
      </c>
      <c r="G710">
        <v>4224156.9077000003</v>
      </c>
      <c r="H710">
        <v>32549114.815000001</v>
      </c>
      <c r="I710">
        <v>154063855.3046</v>
      </c>
      <c r="J710">
        <v>186848783.36520001</v>
      </c>
      <c r="K710">
        <v>171659941.29910001</v>
      </c>
      <c r="L710">
        <v>-39331840.575300001</v>
      </c>
      <c r="M710">
        <v>-68446648.991999999</v>
      </c>
      <c r="N710">
        <v>-169738508.289</v>
      </c>
      <c r="O710">
        <v>-152571337.10159999</v>
      </c>
      <c r="P710">
        <v>53</v>
      </c>
      <c r="Q710" t="s">
        <v>1467</v>
      </c>
    </row>
    <row r="711" spans="1:17" x14ac:dyDescent="0.3">
      <c r="A711" t="s">
        <v>32</v>
      </c>
      <c r="B711" t="str">
        <f>"002183"</f>
        <v>002183</v>
      </c>
      <c r="C711" t="s">
        <v>1468</v>
      </c>
      <c r="D711" t="s">
        <v>46</v>
      </c>
      <c r="E711">
        <v>74040891</v>
      </c>
      <c r="F711">
        <v>702258109</v>
      </c>
      <c r="G711">
        <v>-1472642</v>
      </c>
      <c r="H711">
        <v>694356162</v>
      </c>
      <c r="I711">
        <v>740010148</v>
      </c>
      <c r="J711">
        <v>-2540520389</v>
      </c>
      <c r="K711">
        <v>-1438634510</v>
      </c>
      <c r="L711">
        <v>-642598356</v>
      </c>
      <c r="M711">
        <v>-647428156</v>
      </c>
      <c r="N711">
        <v>-913689100</v>
      </c>
      <c r="O711">
        <v>-295555606</v>
      </c>
      <c r="P711">
        <v>261</v>
      </c>
      <c r="Q711" t="s">
        <v>1469</v>
      </c>
    </row>
    <row r="712" spans="1:17" x14ac:dyDescent="0.3">
      <c r="A712" t="s">
        <v>32</v>
      </c>
      <c r="B712" t="str">
        <f>"301026"</f>
        <v>301026</v>
      </c>
      <c r="C712" t="s">
        <v>1470</v>
      </c>
      <c r="D712" t="s">
        <v>121</v>
      </c>
      <c r="E712">
        <v>73905657</v>
      </c>
      <c r="F712">
        <v>227400881</v>
      </c>
      <c r="G712">
        <v>22883103</v>
      </c>
      <c r="P712">
        <v>41</v>
      </c>
      <c r="Q712" t="s">
        <v>1471</v>
      </c>
    </row>
    <row r="713" spans="1:17" x14ac:dyDescent="0.3">
      <c r="A713" t="s">
        <v>32</v>
      </c>
      <c r="B713" t="str">
        <f>"300280"</f>
        <v>300280</v>
      </c>
      <c r="C713" t="s">
        <v>1472</v>
      </c>
      <c r="D713" t="s">
        <v>245</v>
      </c>
      <c r="E713">
        <v>73724431</v>
      </c>
      <c r="F713">
        <v>7611095</v>
      </c>
      <c r="G713">
        <v>41094341</v>
      </c>
      <c r="H713">
        <v>9769734</v>
      </c>
      <c r="I713">
        <v>49762469</v>
      </c>
      <c r="J713">
        <v>-14606420</v>
      </c>
      <c r="K713">
        <v>10426228</v>
      </c>
      <c r="L713">
        <v>7562387</v>
      </c>
      <c r="M713">
        <v>8794105</v>
      </c>
      <c r="N713">
        <v>8742299</v>
      </c>
      <c r="O713">
        <v>-11520865</v>
      </c>
      <c r="P713">
        <v>144</v>
      </c>
      <c r="Q713" t="s">
        <v>1473</v>
      </c>
    </row>
    <row r="714" spans="1:17" x14ac:dyDescent="0.3">
      <c r="A714" t="s">
        <v>32</v>
      </c>
      <c r="B714" t="str">
        <f>"300641"</f>
        <v>300641</v>
      </c>
      <c r="C714" t="s">
        <v>1474</v>
      </c>
      <c r="D714" t="s">
        <v>144</v>
      </c>
      <c r="E714">
        <v>73546860</v>
      </c>
      <c r="F714">
        <v>-20332606</v>
      </c>
      <c r="G714">
        <v>-25982220</v>
      </c>
      <c r="H714">
        <v>-122569419</v>
      </c>
      <c r="I714">
        <v>-6340456</v>
      </c>
      <c r="J714">
        <v>-4936799</v>
      </c>
      <c r="K714">
        <v>22132561</v>
      </c>
      <c r="P714">
        <v>79</v>
      </c>
      <c r="Q714" t="s">
        <v>1475</v>
      </c>
    </row>
    <row r="715" spans="1:17" x14ac:dyDescent="0.3">
      <c r="A715" t="s">
        <v>17</v>
      </c>
      <c r="B715" t="str">
        <f>"688110"</f>
        <v>688110</v>
      </c>
      <c r="C715" t="s">
        <v>1476</v>
      </c>
      <c r="D715" t="s">
        <v>124</v>
      </c>
      <c r="E715">
        <v>73209380</v>
      </c>
      <c r="P715">
        <v>28</v>
      </c>
      <c r="Q715" t="s">
        <v>1477</v>
      </c>
    </row>
    <row r="716" spans="1:17" x14ac:dyDescent="0.3">
      <c r="A716" t="s">
        <v>32</v>
      </c>
      <c r="B716" t="str">
        <f>"002772"</f>
        <v>002772</v>
      </c>
      <c r="C716" t="s">
        <v>1478</v>
      </c>
      <c r="D716" t="s">
        <v>175</v>
      </c>
      <c r="E716">
        <v>72896288</v>
      </c>
      <c r="F716">
        <v>32267693</v>
      </c>
      <c r="G716">
        <v>31568488</v>
      </c>
      <c r="H716">
        <v>-40473318</v>
      </c>
      <c r="I716">
        <v>-40382484</v>
      </c>
      <c r="J716">
        <v>-39991908</v>
      </c>
      <c r="K716">
        <v>15483909</v>
      </c>
      <c r="L716">
        <v>59059700</v>
      </c>
      <c r="P716">
        <v>202</v>
      </c>
      <c r="Q716" t="s">
        <v>1479</v>
      </c>
    </row>
    <row r="717" spans="1:17" x14ac:dyDescent="0.3">
      <c r="A717" t="s">
        <v>17</v>
      </c>
      <c r="B717" t="str">
        <f>"600101"</f>
        <v>600101</v>
      </c>
      <c r="C717" t="s">
        <v>1480</v>
      </c>
      <c r="D717" t="s">
        <v>158</v>
      </c>
      <c r="E717">
        <v>72881048</v>
      </c>
      <c r="F717">
        <v>-17918464</v>
      </c>
      <c r="G717">
        <v>-286806</v>
      </c>
      <c r="H717">
        <v>212292241</v>
      </c>
      <c r="I717">
        <v>71814498</v>
      </c>
      <c r="J717">
        <v>26386148</v>
      </c>
      <c r="K717">
        <v>14011691</v>
      </c>
      <c r="L717">
        <v>-13461287</v>
      </c>
      <c r="M717">
        <v>3748063</v>
      </c>
      <c r="N717">
        <v>-16268808</v>
      </c>
      <c r="O717">
        <v>-16954294</v>
      </c>
      <c r="P717">
        <v>123</v>
      </c>
      <c r="Q717" t="s">
        <v>1481</v>
      </c>
    </row>
    <row r="718" spans="1:17" x14ac:dyDescent="0.3">
      <c r="A718" t="s">
        <v>17</v>
      </c>
      <c r="B718" t="str">
        <f>"601007"</f>
        <v>601007</v>
      </c>
      <c r="C718" t="s">
        <v>1482</v>
      </c>
      <c r="D718" t="s">
        <v>497</v>
      </c>
      <c r="E718">
        <v>72611118</v>
      </c>
      <c r="F718">
        <v>74565761</v>
      </c>
      <c r="G718">
        <v>58994083</v>
      </c>
      <c r="H718">
        <v>-24925464</v>
      </c>
      <c r="I718">
        <v>30355479</v>
      </c>
      <c r="J718">
        <v>46868610</v>
      </c>
      <c r="K718">
        <v>-54153896</v>
      </c>
      <c r="L718">
        <v>-109229396</v>
      </c>
      <c r="M718">
        <v>-131698635</v>
      </c>
      <c r="N718">
        <v>-125293719</v>
      </c>
      <c r="O718">
        <v>-105831907</v>
      </c>
      <c r="P718">
        <v>111</v>
      </c>
      <c r="Q718" t="s">
        <v>1483</v>
      </c>
    </row>
    <row r="719" spans="1:17" x14ac:dyDescent="0.3">
      <c r="A719" t="s">
        <v>17</v>
      </c>
      <c r="B719" t="str">
        <f>"603699"</f>
        <v>603699</v>
      </c>
      <c r="C719" t="s">
        <v>1484</v>
      </c>
      <c r="D719" t="s">
        <v>135</v>
      </c>
      <c r="E719">
        <v>71396163</v>
      </c>
      <c r="F719">
        <v>-133896413</v>
      </c>
      <c r="G719">
        <v>-123177177</v>
      </c>
      <c r="H719">
        <v>-120387794</v>
      </c>
      <c r="I719">
        <v>62461819</v>
      </c>
      <c r="J719">
        <v>20544982</v>
      </c>
      <c r="K719">
        <v>-21648136</v>
      </c>
      <c r="L719">
        <v>116703867</v>
      </c>
      <c r="M719">
        <v>148240492</v>
      </c>
      <c r="N719">
        <v>58214954</v>
      </c>
      <c r="P719">
        <v>272</v>
      </c>
      <c r="Q719" t="s">
        <v>1485</v>
      </c>
    </row>
    <row r="720" spans="1:17" x14ac:dyDescent="0.3">
      <c r="A720" t="s">
        <v>32</v>
      </c>
      <c r="B720" t="str">
        <f>"002480"</f>
        <v>002480</v>
      </c>
      <c r="C720" t="s">
        <v>1486</v>
      </c>
      <c r="D720" t="s">
        <v>135</v>
      </c>
      <c r="E720">
        <v>71353743</v>
      </c>
      <c r="F720">
        <v>-508238205</v>
      </c>
      <c r="G720">
        <v>-215659309</v>
      </c>
      <c r="H720">
        <v>-528856627</v>
      </c>
      <c r="I720">
        <v>-145285110</v>
      </c>
      <c r="J720">
        <v>-107721871</v>
      </c>
      <c r="K720">
        <v>88374068</v>
      </c>
      <c r="L720">
        <v>-116241781</v>
      </c>
      <c r="M720">
        <v>-91577975</v>
      </c>
      <c r="N720">
        <v>-173340792</v>
      </c>
      <c r="O720">
        <v>25154393</v>
      </c>
      <c r="P720">
        <v>107</v>
      </c>
      <c r="Q720" t="s">
        <v>1487</v>
      </c>
    </row>
    <row r="721" spans="1:17" x14ac:dyDescent="0.3">
      <c r="A721" t="s">
        <v>32</v>
      </c>
      <c r="B721" t="str">
        <f>"002469"</f>
        <v>002469</v>
      </c>
      <c r="C721" t="s">
        <v>1488</v>
      </c>
      <c r="D721" t="s">
        <v>645</v>
      </c>
      <c r="E721">
        <v>71297394</v>
      </c>
      <c r="F721">
        <v>69649499</v>
      </c>
      <c r="G721">
        <v>-21237093</v>
      </c>
      <c r="H721">
        <v>-74379367</v>
      </c>
      <c r="I721">
        <v>-14744530</v>
      </c>
      <c r="J721">
        <v>-75939674</v>
      </c>
      <c r="K721">
        <v>40708088</v>
      </c>
      <c r="L721">
        <v>117995688</v>
      </c>
      <c r="M721">
        <v>11434144</v>
      </c>
      <c r="N721">
        <v>-57987962</v>
      </c>
      <c r="O721">
        <v>-77748713</v>
      </c>
      <c r="P721">
        <v>126</v>
      </c>
      <c r="Q721" t="s">
        <v>1489</v>
      </c>
    </row>
    <row r="722" spans="1:17" x14ac:dyDescent="0.3">
      <c r="A722" t="s">
        <v>32</v>
      </c>
      <c r="B722" t="str">
        <f>"002662"</f>
        <v>002662</v>
      </c>
      <c r="C722" t="s">
        <v>1490</v>
      </c>
      <c r="D722" t="s">
        <v>199</v>
      </c>
      <c r="E722">
        <v>71255883</v>
      </c>
      <c r="F722">
        <v>98978015</v>
      </c>
      <c r="G722">
        <v>253101545</v>
      </c>
      <c r="H722">
        <v>252912674</v>
      </c>
      <c r="I722">
        <v>-166396385</v>
      </c>
      <c r="J722">
        <v>-203411704</v>
      </c>
      <c r="K722">
        <v>-109307774</v>
      </c>
      <c r="L722">
        <v>51283276</v>
      </c>
      <c r="M722">
        <v>3004671</v>
      </c>
      <c r="N722">
        <v>-51668382</v>
      </c>
      <c r="O722">
        <v>93352559</v>
      </c>
      <c r="P722">
        <v>140</v>
      </c>
      <c r="Q722" t="s">
        <v>1491</v>
      </c>
    </row>
    <row r="723" spans="1:17" x14ac:dyDescent="0.3">
      <c r="A723" t="s">
        <v>32</v>
      </c>
      <c r="B723" t="str">
        <f>"300340"</f>
        <v>300340</v>
      </c>
      <c r="C723" t="s">
        <v>1492</v>
      </c>
      <c r="D723" t="s">
        <v>464</v>
      </c>
      <c r="E723">
        <v>70800091</v>
      </c>
      <c r="F723">
        <v>-154159418</v>
      </c>
      <c r="G723">
        <v>-93557692</v>
      </c>
      <c r="H723">
        <v>2306576</v>
      </c>
      <c r="I723">
        <v>-132370354</v>
      </c>
      <c r="J723">
        <v>-60982806</v>
      </c>
      <c r="K723">
        <v>-35657814</v>
      </c>
      <c r="L723">
        <v>-22524633</v>
      </c>
      <c r="M723">
        <v>-2052622</v>
      </c>
      <c r="N723">
        <v>-38596072</v>
      </c>
      <c r="O723">
        <v>-13167893</v>
      </c>
      <c r="P723">
        <v>96</v>
      </c>
      <c r="Q723" t="s">
        <v>1493</v>
      </c>
    </row>
    <row r="724" spans="1:17" x14ac:dyDescent="0.3">
      <c r="A724" t="s">
        <v>32</v>
      </c>
      <c r="B724" t="str">
        <f>"000010"</f>
        <v>000010</v>
      </c>
      <c r="C724" t="s">
        <v>1494</v>
      </c>
      <c r="D724" t="s">
        <v>645</v>
      </c>
      <c r="E724">
        <v>70690577</v>
      </c>
      <c r="F724">
        <v>-40989395</v>
      </c>
      <c r="G724">
        <v>-175487686</v>
      </c>
      <c r="H724">
        <v>-61174573</v>
      </c>
      <c r="I724">
        <v>-83420955</v>
      </c>
      <c r="J724">
        <v>782461275</v>
      </c>
      <c r="K724">
        <v>-34176297</v>
      </c>
      <c r="L724">
        <v>-100284225</v>
      </c>
      <c r="M724">
        <v>-31059609</v>
      </c>
      <c r="N724">
        <v>-2942177</v>
      </c>
      <c r="O724">
        <v>-4347501</v>
      </c>
      <c r="P724">
        <v>93</v>
      </c>
      <c r="Q724" t="s">
        <v>1495</v>
      </c>
    </row>
    <row r="725" spans="1:17" x14ac:dyDescent="0.3">
      <c r="A725" t="s">
        <v>32</v>
      </c>
      <c r="B725" t="str">
        <f>"300582"</f>
        <v>300582</v>
      </c>
      <c r="C725" t="s">
        <v>1496</v>
      </c>
      <c r="D725" t="s">
        <v>124</v>
      </c>
      <c r="E725">
        <v>70612621</v>
      </c>
      <c r="F725">
        <v>-29773350</v>
      </c>
      <c r="G725">
        <v>-18101146</v>
      </c>
      <c r="H725">
        <v>6109959</v>
      </c>
      <c r="I725">
        <v>35804177</v>
      </c>
      <c r="J725">
        <v>-89975443</v>
      </c>
      <c r="K725">
        <v>-48002260</v>
      </c>
      <c r="P725">
        <v>152</v>
      </c>
      <c r="Q725" t="s">
        <v>1497</v>
      </c>
    </row>
    <row r="726" spans="1:17" x14ac:dyDescent="0.3">
      <c r="A726" t="s">
        <v>32</v>
      </c>
      <c r="B726" t="str">
        <f>"300040"</f>
        <v>300040</v>
      </c>
      <c r="C726" t="s">
        <v>1498</v>
      </c>
      <c r="D726" t="s">
        <v>464</v>
      </c>
      <c r="E726">
        <v>70465352</v>
      </c>
      <c r="F726">
        <v>-340741906</v>
      </c>
      <c r="G726">
        <v>-116370395</v>
      </c>
      <c r="H726">
        <v>2893604</v>
      </c>
      <c r="I726">
        <v>-53023937</v>
      </c>
      <c r="J726">
        <v>-39532750</v>
      </c>
      <c r="K726">
        <v>2389362</v>
      </c>
      <c r="L726">
        <v>-10995788</v>
      </c>
      <c r="M726">
        <v>-24311484</v>
      </c>
      <c r="N726">
        <v>-26587120</v>
      </c>
      <c r="O726">
        <v>-4489208</v>
      </c>
      <c r="P726">
        <v>215</v>
      </c>
      <c r="Q726" t="s">
        <v>1499</v>
      </c>
    </row>
    <row r="727" spans="1:17" x14ac:dyDescent="0.3">
      <c r="A727" t="s">
        <v>32</v>
      </c>
      <c r="B727" t="str">
        <f>"300917"</f>
        <v>300917</v>
      </c>
      <c r="C727" t="s">
        <v>1500</v>
      </c>
      <c r="D727" t="s">
        <v>151</v>
      </c>
      <c r="E727">
        <v>69883293</v>
      </c>
      <c r="F727">
        <v>-29468826</v>
      </c>
      <c r="G727">
        <v>-42893391</v>
      </c>
      <c r="P727">
        <v>80</v>
      </c>
      <c r="Q727" t="s">
        <v>1501</v>
      </c>
    </row>
    <row r="728" spans="1:17" x14ac:dyDescent="0.3">
      <c r="A728" t="s">
        <v>32</v>
      </c>
      <c r="B728" t="str">
        <f>"200413"</f>
        <v>200413</v>
      </c>
      <c r="C728" t="s">
        <v>1502</v>
      </c>
      <c r="E728">
        <v>69796452.930000007</v>
      </c>
      <c r="F728">
        <v>373205004.9375</v>
      </c>
      <c r="G728">
        <v>140277859.27680001</v>
      </c>
      <c r="H728">
        <v>622606971.09060001</v>
      </c>
      <c r="I728">
        <v>-1601851523.1654999</v>
      </c>
      <c r="J728">
        <v>-1522305370.3474</v>
      </c>
      <c r="K728">
        <v>-1320213838.7177</v>
      </c>
      <c r="L728">
        <v>-306602762.5</v>
      </c>
      <c r="M728">
        <v>-1023948350.0748</v>
      </c>
      <c r="N728">
        <v>-372572446.36919999</v>
      </c>
      <c r="O728">
        <v>-47271291.588</v>
      </c>
      <c r="P728">
        <v>44</v>
      </c>
      <c r="Q728" t="s">
        <v>1503</v>
      </c>
    </row>
    <row r="729" spans="1:17" x14ac:dyDescent="0.3">
      <c r="A729" t="s">
        <v>17</v>
      </c>
      <c r="B729" t="str">
        <f>"600260"</f>
        <v>600260</v>
      </c>
      <c r="C729" t="s">
        <v>1504</v>
      </c>
      <c r="D729" t="s">
        <v>57</v>
      </c>
      <c r="E729">
        <v>69691643</v>
      </c>
      <c r="F729">
        <v>-227679589</v>
      </c>
      <c r="G729">
        <v>-46897149</v>
      </c>
      <c r="H729">
        <v>661579971</v>
      </c>
      <c r="I729">
        <v>90161688</v>
      </c>
      <c r="J729">
        <v>-134957195</v>
      </c>
      <c r="K729">
        <v>-422130269</v>
      </c>
      <c r="L729">
        <v>-127022172</v>
      </c>
      <c r="M729">
        <v>-77710999</v>
      </c>
      <c r="N729">
        <v>-63236543</v>
      </c>
      <c r="O729">
        <v>-127959050</v>
      </c>
      <c r="P729">
        <v>467</v>
      </c>
      <c r="Q729" t="s">
        <v>1505</v>
      </c>
    </row>
    <row r="730" spans="1:17" x14ac:dyDescent="0.3">
      <c r="A730" t="s">
        <v>32</v>
      </c>
      <c r="B730" t="str">
        <f>"002781"</f>
        <v>002781</v>
      </c>
      <c r="C730" t="s">
        <v>1506</v>
      </c>
      <c r="D730" t="s">
        <v>645</v>
      </c>
      <c r="E730">
        <v>69588014</v>
      </c>
      <c r="F730">
        <v>-265400489</v>
      </c>
      <c r="G730">
        <v>-26596032</v>
      </c>
      <c r="H730">
        <v>-25105820</v>
      </c>
      <c r="I730">
        <v>-331838446</v>
      </c>
      <c r="J730">
        <v>-173342953</v>
      </c>
      <c r="K730">
        <v>-292351693</v>
      </c>
      <c r="L730">
        <v>-77391183</v>
      </c>
      <c r="P730">
        <v>68</v>
      </c>
      <c r="Q730" t="s">
        <v>1507</v>
      </c>
    </row>
    <row r="731" spans="1:17" x14ac:dyDescent="0.3">
      <c r="A731" t="s">
        <v>32</v>
      </c>
      <c r="B731" t="str">
        <f>"200020"</f>
        <v>200020</v>
      </c>
      <c r="C731" t="s">
        <v>1508</v>
      </c>
      <c r="E731">
        <v>69416649.942000002</v>
      </c>
      <c r="F731">
        <v>-7980511.8940000003</v>
      </c>
      <c r="G731">
        <v>8256965.5113000004</v>
      </c>
      <c r="H731">
        <v>20357307.987300001</v>
      </c>
      <c r="I731">
        <v>-3878195.6579999998</v>
      </c>
      <c r="J731">
        <v>-23525553.578000002</v>
      </c>
      <c r="K731">
        <v>-58207455.037299998</v>
      </c>
      <c r="L731">
        <v>-3243482.5</v>
      </c>
      <c r="M731">
        <v>-33348124.6928</v>
      </c>
      <c r="N731">
        <v>-90921167.7852</v>
      </c>
      <c r="O731">
        <v>-111731578.479</v>
      </c>
      <c r="P731">
        <v>6</v>
      </c>
      <c r="Q731" t="s">
        <v>1509</v>
      </c>
    </row>
    <row r="732" spans="1:17" x14ac:dyDescent="0.3">
      <c r="A732" t="s">
        <v>17</v>
      </c>
      <c r="B732" t="str">
        <f>"600160"</f>
        <v>600160</v>
      </c>
      <c r="C732" t="s">
        <v>1510</v>
      </c>
      <c r="D732" t="s">
        <v>144</v>
      </c>
      <c r="E732">
        <v>69302902</v>
      </c>
      <c r="F732">
        <v>-12265048</v>
      </c>
      <c r="G732">
        <v>-281376455</v>
      </c>
      <c r="H732">
        <v>308947978</v>
      </c>
      <c r="I732">
        <v>566840328</v>
      </c>
      <c r="J732">
        <v>-110943748</v>
      </c>
      <c r="K732">
        <v>-128524663</v>
      </c>
      <c r="L732">
        <v>-153164960</v>
      </c>
      <c r="M732">
        <v>-630946784</v>
      </c>
      <c r="N732">
        <v>277162546</v>
      </c>
      <c r="O732">
        <v>-80877299</v>
      </c>
      <c r="P732">
        <v>471</v>
      </c>
      <c r="Q732" t="s">
        <v>1511</v>
      </c>
    </row>
    <row r="733" spans="1:17" x14ac:dyDescent="0.3">
      <c r="A733" t="s">
        <v>17</v>
      </c>
      <c r="B733" t="str">
        <f>"688220"</f>
        <v>688220</v>
      </c>
      <c r="C733" t="s">
        <v>1512</v>
      </c>
      <c r="D733" t="s">
        <v>124</v>
      </c>
      <c r="E733">
        <v>68507442</v>
      </c>
      <c r="P733">
        <v>19</v>
      </c>
      <c r="Q733" t="s">
        <v>1513</v>
      </c>
    </row>
    <row r="734" spans="1:17" x14ac:dyDescent="0.3">
      <c r="A734" t="s">
        <v>32</v>
      </c>
      <c r="B734" t="str">
        <f>"002251"</f>
        <v>002251</v>
      </c>
      <c r="C734" t="s">
        <v>1514</v>
      </c>
      <c r="D734" t="s">
        <v>218</v>
      </c>
      <c r="E734">
        <v>68420058</v>
      </c>
      <c r="F734">
        <v>769452248</v>
      </c>
      <c r="G734">
        <v>237721721</v>
      </c>
      <c r="H734">
        <v>-79166457</v>
      </c>
      <c r="I734">
        <v>575529127</v>
      </c>
      <c r="J734">
        <v>293109349</v>
      </c>
      <c r="K734">
        <v>88822793</v>
      </c>
      <c r="L734">
        <v>425438159</v>
      </c>
      <c r="M734">
        <v>-74182629</v>
      </c>
      <c r="N734">
        <v>387217542</v>
      </c>
      <c r="O734">
        <v>109473924</v>
      </c>
      <c r="P734">
        <v>196</v>
      </c>
      <c r="Q734" t="s">
        <v>1515</v>
      </c>
    </row>
    <row r="735" spans="1:17" x14ac:dyDescent="0.3">
      <c r="A735" t="s">
        <v>17</v>
      </c>
      <c r="B735" t="str">
        <f>"601890"</f>
        <v>601890</v>
      </c>
      <c r="C735" t="s">
        <v>1516</v>
      </c>
      <c r="D735" t="s">
        <v>188</v>
      </c>
      <c r="E735">
        <v>68265722</v>
      </c>
      <c r="F735">
        <v>48702037</v>
      </c>
      <c r="G735">
        <v>56385870</v>
      </c>
      <c r="H735">
        <v>-119282579</v>
      </c>
      <c r="I735">
        <v>-45297775</v>
      </c>
      <c r="J735">
        <v>-115364626</v>
      </c>
      <c r="K735">
        <v>29114541</v>
      </c>
      <c r="L735">
        <v>-49713907</v>
      </c>
      <c r="M735">
        <v>3496607</v>
      </c>
      <c r="N735">
        <v>-91948174</v>
      </c>
      <c r="O735">
        <v>-275302259</v>
      </c>
      <c r="P735">
        <v>144</v>
      </c>
      <c r="Q735" t="s">
        <v>1517</v>
      </c>
    </row>
    <row r="736" spans="1:17" x14ac:dyDescent="0.3">
      <c r="A736" t="s">
        <v>32</v>
      </c>
      <c r="B736" t="str">
        <f>"300215"</f>
        <v>300215</v>
      </c>
      <c r="C736" t="s">
        <v>1518</v>
      </c>
      <c r="D736" t="s">
        <v>497</v>
      </c>
      <c r="E736">
        <v>67629646</v>
      </c>
      <c r="F736">
        <v>39713467</v>
      </c>
      <c r="G736">
        <v>-88271615</v>
      </c>
      <c r="H736">
        <v>69596155</v>
      </c>
      <c r="I736">
        <v>29144412</v>
      </c>
      <c r="J736">
        <v>23609491</v>
      </c>
      <c r="K736">
        <v>-5031</v>
      </c>
      <c r="L736">
        <v>-57904139</v>
      </c>
      <c r="M736">
        <v>-49054019</v>
      </c>
      <c r="N736">
        <v>-95693795</v>
      </c>
      <c r="O736">
        <v>-94734503</v>
      </c>
      <c r="P736">
        <v>178</v>
      </c>
      <c r="Q736" t="s">
        <v>1519</v>
      </c>
    </row>
    <row r="737" spans="1:17" x14ac:dyDescent="0.3">
      <c r="A737" t="s">
        <v>32</v>
      </c>
      <c r="B737" t="str">
        <f>"002878"</f>
        <v>002878</v>
      </c>
      <c r="C737" t="s">
        <v>1520</v>
      </c>
      <c r="D737" t="s">
        <v>497</v>
      </c>
      <c r="E737">
        <v>67199634</v>
      </c>
      <c r="F737">
        <v>-52114809</v>
      </c>
      <c r="G737">
        <v>-72416077</v>
      </c>
      <c r="H737">
        <v>-12124435</v>
      </c>
      <c r="I737">
        <v>50376407</v>
      </c>
      <c r="J737">
        <v>22497196</v>
      </c>
      <c r="K737">
        <v>-9843200</v>
      </c>
      <c r="P737">
        <v>345</v>
      </c>
      <c r="Q737" t="s">
        <v>1521</v>
      </c>
    </row>
    <row r="738" spans="1:17" x14ac:dyDescent="0.3">
      <c r="A738" t="s">
        <v>32</v>
      </c>
      <c r="B738" t="str">
        <f>"002228"</f>
        <v>002228</v>
      </c>
      <c r="C738" t="s">
        <v>1522</v>
      </c>
      <c r="D738" t="s">
        <v>455</v>
      </c>
      <c r="E738">
        <v>66864190</v>
      </c>
      <c r="F738">
        <v>-2024603</v>
      </c>
      <c r="G738">
        <v>166239107</v>
      </c>
      <c r="H738">
        <v>89476371</v>
      </c>
      <c r="I738">
        <v>-221898600</v>
      </c>
      <c r="J738">
        <v>-240594520</v>
      </c>
      <c r="K738">
        <v>15829683</v>
      </c>
      <c r="L738">
        <v>-26998178</v>
      </c>
      <c r="M738">
        <v>33924288</v>
      </c>
      <c r="N738">
        <v>-25106005</v>
      </c>
      <c r="O738">
        <v>-9318724</v>
      </c>
      <c r="P738">
        <v>291</v>
      </c>
      <c r="Q738" t="s">
        <v>1523</v>
      </c>
    </row>
    <row r="739" spans="1:17" x14ac:dyDescent="0.3">
      <c r="A739" t="s">
        <v>32</v>
      </c>
      <c r="B739" t="str">
        <f>"300140"</f>
        <v>300140</v>
      </c>
      <c r="C739" t="s">
        <v>1524</v>
      </c>
      <c r="D739" t="s">
        <v>1334</v>
      </c>
      <c r="E739">
        <v>66852014</v>
      </c>
      <c r="F739">
        <v>166012318</v>
      </c>
      <c r="G739">
        <v>-457301939</v>
      </c>
      <c r="H739">
        <v>-118332423</v>
      </c>
      <c r="I739">
        <v>-101700292</v>
      </c>
      <c r="J739">
        <v>-145618578</v>
      </c>
      <c r="K739">
        <v>-933864</v>
      </c>
      <c r="L739">
        <v>-17644020</v>
      </c>
      <c r="M739">
        <v>-3667874</v>
      </c>
      <c r="N739">
        <v>915287</v>
      </c>
      <c r="O739">
        <v>-1656395</v>
      </c>
      <c r="P739">
        <v>103</v>
      </c>
      <c r="Q739" t="s">
        <v>1525</v>
      </c>
    </row>
    <row r="740" spans="1:17" x14ac:dyDescent="0.3">
      <c r="A740" t="s">
        <v>17</v>
      </c>
      <c r="B740" t="str">
        <f>"603587"</f>
        <v>603587</v>
      </c>
      <c r="C740" t="s">
        <v>1526</v>
      </c>
      <c r="D740" t="s">
        <v>130</v>
      </c>
      <c r="E740">
        <v>66783531</v>
      </c>
      <c r="F740">
        <v>154884134</v>
      </c>
      <c r="G740">
        <v>116957206</v>
      </c>
      <c r="H740">
        <v>138992358</v>
      </c>
      <c r="I740">
        <v>114163167</v>
      </c>
      <c r="J740">
        <v>98251997</v>
      </c>
      <c r="P740">
        <v>1012</v>
      </c>
      <c r="Q740" t="s">
        <v>1527</v>
      </c>
    </row>
    <row r="741" spans="1:17" x14ac:dyDescent="0.3">
      <c r="A741" t="s">
        <v>17</v>
      </c>
      <c r="B741" t="str">
        <f>"688150"</f>
        <v>688150</v>
      </c>
      <c r="C741" t="s">
        <v>1528</v>
      </c>
      <c r="E741">
        <v>66686677</v>
      </c>
      <c r="P741">
        <v>4</v>
      </c>
      <c r="Q741" t="s">
        <v>1529</v>
      </c>
    </row>
    <row r="742" spans="1:17" x14ac:dyDescent="0.3">
      <c r="A742" t="s">
        <v>17</v>
      </c>
      <c r="B742" t="str">
        <f>"603086"</f>
        <v>603086</v>
      </c>
      <c r="C742" t="s">
        <v>1530</v>
      </c>
      <c r="D742" t="s">
        <v>144</v>
      </c>
      <c r="E742">
        <v>66642551</v>
      </c>
      <c r="F742">
        <v>-48294006</v>
      </c>
      <c r="G742">
        <v>-37223024</v>
      </c>
      <c r="H742">
        <v>-145305907</v>
      </c>
      <c r="I742">
        <v>-136337324</v>
      </c>
      <c r="J742">
        <v>-65640422</v>
      </c>
      <c r="K742">
        <v>25890085</v>
      </c>
      <c r="P742">
        <v>124</v>
      </c>
      <c r="Q742" t="s">
        <v>1531</v>
      </c>
    </row>
    <row r="743" spans="1:17" x14ac:dyDescent="0.3">
      <c r="A743" t="s">
        <v>17</v>
      </c>
      <c r="B743" t="str">
        <f>"603707"</f>
        <v>603707</v>
      </c>
      <c r="C743" t="s">
        <v>1532</v>
      </c>
      <c r="D743" t="s">
        <v>98</v>
      </c>
      <c r="E743">
        <v>66188257</v>
      </c>
      <c r="F743">
        <v>-66876467</v>
      </c>
      <c r="G743">
        <v>-107384943</v>
      </c>
      <c r="H743">
        <v>-214258392</v>
      </c>
      <c r="I743">
        <v>44214452</v>
      </c>
      <c r="J743">
        <v>-42646550</v>
      </c>
      <c r="K743">
        <v>-14153884</v>
      </c>
      <c r="P743">
        <v>775</v>
      </c>
      <c r="Q743" t="s">
        <v>1533</v>
      </c>
    </row>
    <row r="744" spans="1:17" x14ac:dyDescent="0.3">
      <c r="A744" t="s">
        <v>17</v>
      </c>
      <c r="B744" t="str">
        <f>"600172"</f>
        <v>600172</v>
      </c>
      <c r="C744" t="s">
        <v>1534</v>
      </c>
      <c r="D744" t="s">
        <v>135</v>
      </c>
      <c r="E744">
        <v>66178433</v>
      </c>
      <c r="F744">
        <v>42447503</v>
      </c>
      <c r="G744">
        <v>-79052457</v>
      </c>
      <c r="H744">
        <v>-17105124</v>
      </c>
      <c r="I744">
        <v>-287812635</v>
      </c>
      <c r="J744">
        <v>-216037356</v>
      </c>
      <c r="K744">
        <v>-299303229</v>
      </c>
      <c r="L744">
        <v>-115414496</v>
      </c>
      <c r="M744">
        <v>-39730729</v>
      </c>
      <c r="N744">
        <v>-38655010</v>
      </c>
      <c r="O744">
        <v>-16643588</v>
      </c>
      <c r="P744">
        <v>325</v>
      </c>
      <c r="Q744" t="s">
        <v>1535</v>
      </c>
    </row>
    <row r="745" spans="1:17" x14ac:dyDescent="0.3">
      <c r="A745" t="s">
        <v>17</v>
      </c>
      <c r="B745" t="str">
        <f>"603161"</f>
        <v>603161</v>
      </c>
      <c r="C745" t="s">
        <v>1536</v>
      </c>
      <c r="D745" t="s">
        <v>199</v>
      </c>
      <c r="E745">
        <v>65946536</v>
      </c>
      <c r="F745">
        <v>-17698448</v>
      </c>
      <c r="G745">
        <v>81273169</v>
      </c>
      <c r="H745">
        <v>-32988157</v>
      </c>
      <c r="I745">
        <v>-172469337</v>
      </c>
      <c r="J745">
        <v>-37196462</v>
      </c>
      <c r="P745">
        <v>81</v>
      </c>
      <c r="Q745" t="s">
        <v>1537</v>
      </c>
    </row>
    <row r="746" spans="1:17" x14ac:dyDescent="0.3">
      <c r="A746" t="s">
        <v>32</v>
      </c>
      <c r="B746" t="str">
        <f>"003043"</f>
        <v>003043</v>
      </c>
      <c r="C746" t="s">
        <v>1538</v>
      </c>
      <c r="D746" t="s">
        <v>124</v>
      </c>
      <c r="E746">
        <v>65817333</v>
      </c>
      <c r="F746">
        <v>10848626</v>
      </c>
      <c r="G746">
        <v>26781088</v>
      </c>
      <c r="P746">
        <v>47</v>
      </c>
      <c r="Q746" t="s">
        <v>1539</v>
      </c>
    </row>
    <row r="747" spans="1:17" x14ac:dyDescent="0.3">
      <c r="A747" t="s">
        <v>32</v>
      </c>
      <c r="B747" t="str">
        <f>"300158"</f>
        <v>300158</v>
      </c>
      <c r="C747" t="s">
        <v>1540</v>
      </c>
      <c r="D747" t="s">
        <v>98</v>
      </c>
      <c r="E747">
        <v>65797351</v>
      </c>
      <c r="F747">
        <v>-231054499</v>
      </c>
      <c r="G747">
        <v>-29841726</v>
      </c>
      <c r="H747">
        <v>5370782</v>
      </c>
      <c r="I747">
        <v>-188474049</v>
      </c>
      <c r="J747">
        <v>-79982093</v>
      </c>
      <c r="K747">
        <v>-107791730</v>
      </c>
      <c r="L747">
        <v>-26649907</v>
      </c>
      <c r="M747">
        <v>-43382051</v>
      </c>
      <c r="N747">
        <v>-115272758</v>
      </c>
      <c r="O747">
        <v>-90391817</v>
      </c>
      <c r="P747">
        <v>176</v>
      </c>
      <c r="Q747" t="s">
        <v>1541</v>
      </c>
    </row>
    <row r="748" spans="1:17" x14ac:dyDescent="0.3">
      <c r="A748" t="s">
        <v>32</v>
      </c>
      <c r="B748" t="str">
        <f>"300548"</f>
        <v>300548</v>
      </c>
      <c r="C748" t="s">
        <v>1542</v>
      </c>
      <c r="D748" t="s">
        <v>57</v>
      </c>
      <c r="E748">
        <v>65324736</v>
      </c>
      <c r="F748">
        <v>25070956</v>
      </c>
      <c r="G748">
        <v>-69163196</v>
      </c>
      <c r="H748">
        <v>-38401310</v>
      </c>
      <c r="I748">
        <v>39045205</v>
      </c>
      <c r="J748">
        <v>-11704869</v>
      </c>
      <c r="K748">
        <v>8777765</v>
      </c>
      <c r="P748">
        <v>290</v>
      </c>
      <c r="Q748" t="s">
        <v>1543</v>
      </c>
    </row>
    <row r="749" spans="1:17" x14ac:dyDescent="0.3">
      <c r="A749" t="s">
        <v>32</v>
      </c>
      <c r="B749" t="str">
        <f>"002029"</f>
        <v>002029</v>
      </c>
      <c r="C749" t="s">
        <v>1544</v>
      </c>
      <c r="D749" t="s">
        <v>130</v>
      </c>
      <c r="E749">
        <v>65121162</v>
      </c>
      <c r="F749">
        <v>107751228</v>
      </c>
      <c r="G749">
        <v>-29349114</v>
      </c>
      <c r="H749">
        <v>37752305</v>
      </c>
      <c r="I749">
        <v>-6172965</v>
      </c>
      <c r="J749">
        <v>132555480</v>
      </c>
      <c r="K749">
        <v>95851142</v>
      </c>
      <c r="L749">
        <v>69225230</v>
      </c>
      <c r="M749">
        <v>107514709</v>
      </c>
      <c r="N749">
        <v>326411786</v>
      </c>
      <c r="O749">
        <v>207096382</v>
      </c>
      <c r="P749">
        <v>217</v>
      </c>
      <c r="Q749" t="s">
        <v>1545</v>
      </c>
    </row>
    <row r="750" spans="1:17" x14ac:dyDescent="0.3">
      <c r="A750" t="s">
        <v>32</v>
      </c>
      <c r="B750" t="str">
        <f>"000056"</f>
        <v>000056</v>
      </c>
      <c r="C750" t="s">
        <v>1546</v>
      </c>
      <c r="D750" t="s">
        <v>151</v>
      </c>
      <c r="E750">
        <v>65020383</v>
      </c>
      <c r="F750">
        <v>28809231</v>
      </c>
      <c r="G750">
        <v>6969021</v>
      </c>
      <c r="H750">
        <v>134612747</v>
      </c>
      <c r="I750">
        <v>278291394</v>
      </c>
      <c r="J750">
        <v>-295393224</v>
      </c>
      <c r="K750">
        <v>372584988</v>
      </c>
      <c r="L750">
        <v>-2899592</v>
      </c>
      <c r="M750">
        <v>-271579935</v>
      </c>
      <c r="N750">
        <v>-54479886</v>
      </c>
      <c r="O750">
        <v>21770378</v>
      </c>
      <c r="P750">
        <v>100</v>
      </c>
      <c r="Q750" t="s">
        <v>1547</v>
      </c>
    </row>
    <row r="751" spans="1:17" x14ac:dyDescent="0.3">
      <c r="A751" t="s">
        <v>32</v>
      </c>
      <c r="B751" t="str">
        <f>"002831"</f>
        <v>002831</v>
      </c>
      <c r="C751" t="s">
        <v>1548</v>
      </c>
      <c r="D751" t="s">
        <v>455</v>
      </c>
      <c r="E751">
        <v>64787434</v>
      </c>
      <c r="F751">
        <v>-306742511</v>
      </c>
      <c r="G751">
        <v>87767659</v>
      </c>
      <c r="H751">
        <v>453529813</v>
      </c>
      <c r="I751">
        <v>27198206</v>
      </c>
      <c r="J751">
        <v>307382392</v>
      </c>
      <c r="K751">
        <v>74356560</v>
      </c>
      <c r="P751">
        <v>664</v>
      </c>
      <c r="Q751" t="s">
        <v>1549</v>
      </c>
    </row>
    <row r="752" spans="1:17" x14ac:dyDescent="0.3">
      <c r="A752" t="s">
        <v>17</v>
      </c>
      <c r="B752" t="str">
        <f>"600987"</f>
        <v>600987</v>
      </c>
      <c r="C752" t="s">
        <v>1550</v>
      </c>
      <c r="D752" t="s">
        <v>130</v>
      </c>
      <c r="E752">
        <v>64647264</v>
      </c>
      <c r="F752">
        <v>24248682</v>
      </c>
      <c r="G752">
        <v>187199419</v>
      </c>
      <c r="H752">
        <v>92774289</v>
      </c>
      <c r="I752">
        <v>11928802</v>
      </c>
      <c r="J752">
        <v>68086203</v>
      </c>
      <c r="K752">
        <v>138793359</v>
      </c>
      <c r="L752">
        <v>117466386</v>
      </c>
      <c r="M752">
        <v>88938054</v>
      </c>
      <c r="N752">
        <v>93758440</v>
      </c>
      <c r="O752">
        <v>19244065</v>
      </c>
      <c r="P752">
        <v>4845</v>
      </c>
      <c r="Q752" t="s">
        <v>1551</v>
      </c>
    </row>
    <row r="753" spans="1:17" x14ac:dyDescent="0.3">
      <c r="A753" t="s">
        <v>32</v>
      </c>
      <c r="B753" t="str">
        <f>"001213"</f>
        <v>001213</v>
      </c>
      <c r="C753" t="s">
        <v>1552</v>
      </c>
      <c r="D753" t="s">
        <v>46</v>
      </c>
      <c r="E753">
        <v>64623266</v>
      </c>
      <c r="F753">
        <v>124823921</v>
      </c>
      <c r="G753">
        <v>460754347</v>
      </c>
      <c r="P753">
        <v>27</v>
      </c>
      <c r="Q753" t="s">
        <v>1553</v>
      </c>
    </row>
    <row r="754" spans="1:17" x14ac:dyDescent="0.3">
      <c r="A754" t="s">
        <v>32</v>
      </c>
      <c r="B754" t="str">
        <f>"300303"</f>
        <v>300303</v>
      </c>
      <c r="C754" t="s">
        <v>1554</v>
      </c>
      <c r="D754" t="s">
        <v>124</v>
      </c>
      <c r="E754">
        <v>64576590</v>
      </c>
      <c r="F754">
        <v>61438260</v>
      </c>
      <c r="G754">
        <v>204277790</v>
      </c>
      <c r="H754">
        <v>-7088696</v>
      </c>
      <c r="I754">
        <v>-44458553</v>
      </c>
      <c r="J754">
        <v>38065235</v>
      </c>
      <c r="K754">
        <v>3162844</v>
      </c>
      <c r="L754">
        <v>7867156</v>
      </c>
      <c r="M754">
        <v>17778851</v>
      </c>
      <c r="N754">
        <v>7560164</v>
      </c>
      <c r="O754">
        <v>-7291090</v>
      </c>
      <c r="P754">
        <v>256</v>
      </c>
      <c r="Q754" t="s">
        <v>1555</v>
      </c>
    </row>
    <row r="755" spans="1:17" x14ac:dyDescent="0.3">
      <c r="A755" t="s">
        <v>32</v>
      </c>
      <c r="B755" t="str">
        <f>"002216"</f>
        <v>002216</v>
      </c>
      <c r="C755" t="s">
        <v>1556</v>
      </c>
      <c r="D755" t="s">
        <v>172</v>
      </c>
      <c r="E755">
        <v>64551711</v>
      </c>
      <c r="F755">
        <v>-151042860</v>
      </c>
      <c r="G755">
        <v>173935582</v>
      </c>
      <c r="H755">
        <v>-332104172</v>
      </c>
      <c r="I755">
        <v>-197886643</v>
      </c>
      <c r="J755">
        <v>-72814207</v>
      </c>
      <c r="K755">
        <v>-110361553</v>
      </c>
      <c r="L755">
        <v>-291172497</v>
      </c>
      <c r="M755">
        <v>-246689103</v>
      </c>
      <c r="N755">
        <v>-125468266</v>
      </c>
      <c r="O755">
        <v>-201269677</v>
      </c>
      <c r="P755">
        <v>1276</v>
      </c>
      <c r="Q755" t="s">
        <v>1557</v>
      </c>
    </row>
    <row r="756" spans="1:17" x14ac:dyDescent="0.3">
      <c r="A756" t="s">
        <v>17</v>
      </c>
      <c r="B756" t="str">
        <f>"605183"</f>
        <v>605183</v>
      </c>
      <c r="C756" t="s">
        <v>1558</v>
      </c>
      <c r="D756" t="s">
        <v>144</v>
      </c>
      <c r="E756">
        <v>64542918</v>
      </c>
      <c r="F756">
        <v>68010220</v>
      </c>
      <c r="G756">
        <v>-3939402</v>
      </c>
      <c r="H756">
        <v>11667004</v>
      </c>
      <c r="I756">
        <v>-65571895</v>
      </c>
      <c r="P756">
        <v>63</v>
      </c>
      <c r="Q756" t="s">
        <v>1559</v>
      </c>
    </row>
    <row r="757" spans="1:17" x14ac:dyDescent="0.3">
      <c r="A757" t="s">
        <v>32</v>
      </c>
      <c r="B757" t="str">
        <f>"002390"</f>
        <v>002390</v>
      </c>
      <c r="C757" t="s">
        <v>1560</v>
      </c>
      <c r="D757" t="s">
        <v>98</v>
      </c>
      <c r="E757">
        <v>64400709</v>
      </c>
      <c r="F757">
        <v>3155736</v>
      </c>
      <c r="G757">
        <v>178903728</v>
      </c>
      <c r="H757">
        <v>64596636</v>
      </c>
      <c r="I757">
        <v>-174910873</v>
      </c>
      <c r="J757">
        <v>-122365630</v>
      </c>
      <c r="K757">
        <v>-102020680</v>
      </c>
      <c r="L757">
        <v>-189381355</v>
      </c>
      <c r="M757">
        <v>-41915082</v>
      </c>
      <c r="N757">
        <v>-29852421</v>
      </c>
      <c r="O757">
        <v>-29265311</v>
      </c>
      <c r="P757">
        <v>273</v>
      </c>
      <c r="Q757" t="s">
        <v>1561</v>
      </c>
    </row>
    <row r="758" spans="1:17" x14ac:dyDescent="0.3">
      <c r="A758" t="s">
        <v>32</v>
      </c>
      <c r="B758" t="str">
        <f>"301102"</f>
        <v>301102</v>
      </c>
      <c r="C758" t="s">
        <v>1562</v>
      </c>
      <c r="E758">
        <v>64341776</v>
      </c>
      <c r="G758">
        <v>38687196</v>
      </c>
      <c r="P758">
        <v>4</v>
      </c>
      <c r="Q758" t="s">
        <v>1563</v>
      </c>
    </row>
    <row r="759" spans="1:17" x14ac:dyDescent="0.3">
      <c r="A759" t="s">
        <v>32</v>
      </c>
      <c r="B759" t="str">
        <f>"002940"</f>
        <v>002940</v>
      </c>
      <c r="C759" t="s">
        <v>1564</v>
      </c>
      <c r="D759" t="s">
        <v>98</v>
      </c>
      <c r="E759">
        <v>64290690</v>
      </c>
      <c r="F759">
        <v>29163792</v>
      </c>
      <c r="G759">
        <v>86362789</v>
      </c>
      <c r="H759">
        <v>30050016</v>
      </c>
      <c r="I759">
        <v>27352706</v>
      </c>
      <c r="P759">
        <v>148</v>
      </c>
      <c r="Q759" t="s">
        <v>1565</v>
      </c>
    </row>
    <row r="760" spans="1:17" x14ac:dyDescent="0.3">
      <c r="A760" t="s">
        <v>32</v>
      </c>
      <c r="B760" t="str">
        <f>"300022"</f>
        <v>300022</v>
      </c>
      <c r="C760" t="s">
        <v>1566</v>
      </c>
      <c r="D760" t="s">
        <v>218</v>
      </c>
      <c r="E760">
        <v>63897673</v>
      </c>
      <c r="F760">
        <v>42850315</v>
      </c>
      <c r="G760">
        <v>86445465</v>
      </c>
      <c r="H760">
        <v>16137254</v>
      </c>
      <c r="I760">
        <v>-20771870</v>
      </c>
      <c r="J760">
        <v>-46261675</v>
      </c>
      <c r="K760">
        <v>153903080</v>
      </c>
      <c r="L760">
        <v>35022861</v>
      </c>
      <c r="M760">
        <v>-79164639</v>
      </c>
      <c r="N760">
        <v>-183309884</v>
      </c>
      <c r="O760">
        <v>-90194007</v>
      </c>
      <c r="P760">
        <v>63</v>
      </c>
      <c r="Q760" t="s">
        <v>1567</v>
      </c>
    </row>
    <row r="761" spans="1:17" x14ac:dyDescent="0.3">
      <c r="A761" t="s">
        <v>17</v>
      </c>
      <c r="B761" t="str">
        <f>"603219"</f>
        <v>603219</v>
      </c>
      <c r="C761" t="s">
        <v>1568</v>
      </c>
      <c r="D761" t="s">
        <v>127</v>
      </c>
      <c r="E761">
        <v>63770209</v>
      </c>
      <c r="P761">
        <v>23</v>
      </c>
      <c r="Q761" t="s">
        <v>1569</v>
      </c>
    </row>
    <row r="762" spans="1:17" x14ac:dyDescent="0.3">
      <c r="A762" t="s">
        <v>17</v>
      </c>
      <c r="B762" t="str">
        <f>"600552"</f>
        <v>600552</v>
      </c>
      <c r="C762" t="s">
        <v>1570</v>
      </c>
      <c r="D762" t="s">
        <v>124</v>
      </c>
      <c r="E762">
        <v>63420608</v>
      </c>
      <c r="F762">
        <v>-1361915</v>
      </c>
      <c r="G762">
        <v>-25489602</v>
      </c>
      <c r="H762">
        <v>-26115282</v>
      </c>
      <c r="I762">
        <v>-20224907</v>
      </c>
      <c r="J762">
        <v>40654778</v>
      </c>
      <c r="K762">
        <v>18344162</v>
      </c>
      <c r="L762">
        <v>-105479066</v>
      </c>
      <c r="M762">
        <v>-63804093</v>
      </c>
      <c r="N762">
        <v>14837164</v>
      </c>
      <c r="O762">
        <v>58461305</v>
      </c>
      <c r="P762">
        <v>170</v>
      </c>
      <c r="Q762" t="s">
        <v>1571</v>
      </c>
    </row>
    <row r="763" spans="1:17" x14ac:dyDescent="0.3">
      <c r="A763" t="s">
        <v>32</v>
      </c>
      <c r="B763" t="str">
        <f>"002666"</f>
        <v>002666</v>
      </c>
      <c r="C763" t="s">
        <v>1572</v>
      </c>
      <c r="D763" t="s">
        <v>144</v>
      </c>
      <c r="E763">
        <v>62946482</v>
      </c>
      <c r="F763">
        <v>-162071463</v>
      </c>
      <c r="G763">
        <v>181084144</v>
      </c>
      <c r="H763">
        <v>124883033</v>
      </c>
      <c r="I763">
        <v>-34375444</v>
      </c>
      <c r="J763">
        <v>-36949028</v>
      </c>
      <c r="K763">
        <v>19122835</v>
      </c>
      <c r="L763">
        <v>32259057</v>
      </c>
      <c r="M763">
        <v>-31002438</v>
      </c>
      <c r="N763">
        <v>-93348055</v>
      </c>
      <c r="O763">
        <v>-35270127</v>
      </c>
      <c r="P763">
        <v>110</v>
      </c>
      <c r="Q763" t="s">
        <v>1573</v>
      </c>
    </row>
    <row r="764" spans="1:17" x14ac:dyDescent="0.3">
      <c r="A764" t="s">
        <v>32</v>
      </c>
      <c r="B764" t="str">
        <f>"002485"</f>
        <v>002485</v>
      </c>
      <c r="C764" t="s">
        <v>1574</v>
      </c>
      <c r="D764" t="s">
        <v>130</v>
      </c>
      <c r="E764">
        <v>62904556</v>
      </c>
      <c r="F764">
        <v>-122130771</v>
      </c>
      <c r="G764">
        <v>-146843054</v>
      </c>
      <c r="H764">
        <v>-56627892</v>
      </c>
      <c r="I764">
        <v>-347677652</v>
      </c>
      <c r="J764">
        <v>17121282</v>
      </c>
      <c r="K764">
        <v>142863995</v>
      </c>
      <c r="L764">
        <v>6150047</v>
      </c>
      <c r="M764">
        <v>-52774357</v>
      </c>
      <c r="N764">
        <v>-36825485</v>
      </c>
      <c r="O764">
        <v>-102676256</v>
      </c>
      <c r="P764">
        <v>80</v>
      </c>
      <c r="Q764" t="s">
        <v>1575</v>
      </c>
    </row>
    <row r="765" spans="1:17" x14ac:dyDescent="0.3">
      <c r="A765" t="s">
        <v>32</v>
      </c>
      <c r="B765" t="str">
        <f>"002790"</f>
        <v>002790</v>
      </c>
      <c r="C765" t="s">
        <v>1576</v>
      </c>
      <c r="D765" t="s">
        <v>455</v>
      </c>
      <c r="E765">
        <v>62787911</v>
      </c>
      <c r="F765">
        <v>25910560</v>
      </c>
      <c r="G765">
        <v>30126279</v>
      </c>
      <c r="H765">
        <v>24814894</v>
      </c>
      <c r="I765">
        <v>-2111000</v>
      </c>
      <c r="J765">
        <v>30251902</v>
      </c>
      <c r="K765">
        <v>32654130</v>
      </c>
      <c r="L765">
        <v>13501048</v>
      </c>
      <c r="P765">
        <v>138</v>
      </c>
      <c r="Q765" t="s">
        <v>1577</v>
      </c>
    </row>
    <row r="766" spans="1:17" x14ac:dyDescent="0.3">
      <c r="A766" t="s">
        <v>32</v>
      </c>
      <c r="B766" t="str">
        <f>"002739"</f>
        <v>002739</v>
      </c>
      <c r="C766" t="s">
        <v>1578</v>
      </c>
      <c r="D766" t="s">
        <v>245</v>
      </c>
      <c r="E766">
        <v>62079279</v>
      </c>
      <c r="F766">
        <v>1241633876</v>
      </c>
      <c r="G766">
        <v>-17596461</v>
      </c>
      <c r="H766">
        <v>42844099</v>
      </c>
      <c r="I766">
        <v>343107555</v>
      </c>
      <c r="J766">
        <v>292946500</v>
      </c>
      <c r="K766">
        <v>508010477</v>
      </c>
      <c r="L766">
        <v>392478752</v>
      </c>
      <c r="M766">
        <v>356027045</v>
      </c>
      <c r="P766">
        <v>911</v>
      </c>
      <c r="Q766" t="s">
        <v>1579</v>
      </c>
    </row>
    <row r="767" spans="1:17" x14ac:dyDescent="0.3">
      <c r="A767" t="s">
        <v>32</v>
      </c>
      <c r="B767" t="str">
        <f>"003028"</f>
        <v>003028</v>
      </c>
      <c r="C767" t="s">
        <v>1580</v>
      </c>
      <c r="D767" t="s">
        <v>124</v>
      </c>
      <c r="E767">
        <v>61825704</v>
      </c>
      <c r="F767">
        <v>-5122594</v>
      </c>
      <c r="G767">
        <v>59591995</v>
      </c>
      <c r="P767">
        <v>83</v>
      </c>
      <c r="Q767" t="s">
        <v>1581</v>
      </c>
    </row>
    <row r="768" spans="1:17" x14ac:dyDescent="0.3">
      <c r="A768" t="s">
        <v>17</v>
      </c>
      <c r="B768" t="str">
        <f>"600771"</f>
        <v>600771</v>
      </c>
      <c r="C768" t="s">
        <v>1582</v>
      </c>
      <c r="D768" t="s">
        <v>98</v>
      </c>
      <c r="E768">
        <v>60812817</v>
      </c>
      <c r="F768">
        <v>-39070638</v>
      </c>
      <c r="G768">
        <v>-104008845</v>
      </c>
      <c r="H768">
        <v>-61486725</v>
      </c>
      <c r="I768">
        <v>-139637674</v>
      </c>
      <c r="J768">
        <v>-252216932</v>
      </c>
      <c r="K768">
        <v>-75244407</v>
      </c>
      <c r="L768">
        <v>-3260690</v>
      </c>
      <c r="M768">
        <v>-12098346</v>
      </c>
      <c r="N768">
        <v>158410062</v>
      </c>
      <c r="O768">
        <v>-7428747</v>
      </c>
      <c r="P768">
        <v>477</v>
      </c>
      <c r="Q768" t="s">
        <v>1583</v>
      </c>
    </row>
    <row r="769" spans="1:17" x14ac:dyDescent="0.3">
      <c r="A769" t="s">
        <v>32</v>
      </c>
      <c r="B769" t="str">
        <f>"300712"</f>
        <v>300712</v>
      </c>
      <c r="C769" t="s">
        <v>1584</v>
      </c>
      <c r="D769" t="s">
        <v>645</v>
      </c>
      <c r="E769">
        <v>60468818</v>
      </c>
      <c r="F769">
        <v>77771828</v>
      </c>
      <c r="G769">
        <v>-155039467</v>
      </c>
      <c r="H769">
        <v>-226102611</v>
      </c>
      <c r="I769">
        <v>-105709631</v>
      </c>
      <c r="J769">
        <v>-43899304</v>
      </c>
      <c r="P769">
        <v>125</v>
      </c>
      <c r="Q769" t="s">
        <v>1585</v>
      </c>
    </row>
    <row r="770" spans="1:17" x14ac:dyDescent="0.3">
      <c r="A770" t="s">
        <v>32</v>
      </c>
      <c r="B770" t="str">
        <f>"002611"</f>
        <v>002611</v>
      </c>
      <c r="C770" t="s">
        <v>1586</v>
      </c>
      <c r="D770" t="s">
        <v>135</v>
      </c>
      <c r="E770">
        <v>60094178</v>
      </c>
      <c r="F770">
        <v>51128379</v>
      </c>
      <c r="G770">
        <v>-159931441</v>
      </c>
      <c r="H770">
        <v>407910722</v>
      </c>
      <c r="I770">
        <v>294068496</v>
      </c>
      <c r="J770">
        <v>85605189</v>
      </c>
      <c r="K770">
        <v>62288672</v>
      </c>
      <c r="L770">
        <v>28387111</v>
      </c>
      <c r="M770">
        <v>-13974520</v>
      </c>
      <c r="N770">
        <v>-24607019</v>
      </c>
      <c r="O770">
        <v>-9233751</v>
      </c>
      <c r="P770">
        <v>208</v>
      </c>
      <c r="Q770" t="s">
        <v>1587</v>
      </c>
    </row>
    <row r="771" spans="1:17" x14ac:dyDescent="0.3">
      <c r="A771" t="s">
        <v>17</v>
      </c>
      <c r="B771" t="str">
        <f>"600053"</f>
        <v>600053</v>
      </c>
      <c r="C771" t="s">
        <v>1588</v>
      </c>
      <c r="D771" t="s">
        <v>26</v>
      </c>
      <c r="E771">
        <v>59879602</v>
      </c>
      <c r="F771">
        <v>-20000431</v>
      </c>
      <c r="G771">
        <v>-40049422</v>
      </c>
      <c r="H771">
        <v>-15941884</v>
      </c>
      <c r="I771">
        <v>697327864</v>
      </c>
      <c r="J771">
        <v>-132383150</v>
      </c>
      <c r="K771">
        <v>116711678</v>
      </c>
      <c r="L771">
        <v>108413843</v>
      </c>
      <c r="M771">
        <v>104362527</v>
      </c>
      <c r="N771">
        <v>20915917</v>
      </c>
      <c r="O771">
        <v>103875503</v>
      </c>
      <c r="P771">
        <v>229</v>
      </c>
      <c r="Q771" t="s">
        <v>1589</v>
      </c>
    </row>
    <row r="772" spans="1:17" x14ac:dyDescent="0.3">
      <c r="A772" t="s">
        <v>17</v>
      </c>
      <c r="B772" t="str">
        <f>"603333"</f>
        <v>603333</v>
      </c>
      <c r="C772" t="s">
        <v>1590</v>
      </c>
      <c r="D772" t="s">
        <v>464</v>
      </c>
      <c r="E772">
        <v>59826415</v>
      </c>
      <c r="F772">
        <v>-170637333</v>
      </c>
      <c r="G772">
        <v>1301191</v>
      </c>
      <c r="H772">
        <v>-129857230</v>
      </c>
      <c r="I772">
        <v>-108245160</v>
      </c>
      <c r="J772">
        <v>-67634988</v>
      </c>
      <c r="K772">
        <v>-21591815</v>
      </c>
      <c r="L772">
        <v>7058516</v>
      </c>
      <c r="M772">
        <v>47236455</v>
      </c>
      <c r="N772">
        <v>-91671680</v>
      </c>
      <c r="O772">
        <v>-136114691</v>
      </c>
      <c r="P772">
        <v>134</v>
      </c>
      <c r="Q772" t="s">
        <v>1591</v>
      </c>
    </row>
    <row r="773" spans="1:17" x14ac:dyDescent="0.3">
      <c r="A773" t="s">
        <v>32</v>
      </c>
      <c r="B773" t="str">
        <f>"002211"</f>
        <v>002211</v>
      </c>
      <c r="C773" t="s">
        <v>1592</v>
      </c>
      <c r="D773" t="s">
        <v>144</v>
      </c>
      <c r="E773">
        <v>59575586</v>
      </c>
      <c r="F773">
        <v>-79311717</v>
      </c>
      <c r="G773">
        <v>-290211508</v>
      </c>
      <c r="H773">
        <v>63860969</v>
      </c>
      <c r="I773">
        <v>18394549</v>
      </c>
      <c r="J773">
        <v>-1196596</v>
      </c>
      <c r="K773">
        <v>74931565</v>
      </c>
      <c r="L773">
        <v>55561556</v>
      </c>
      <c r="M773">
        <v>126954963</v>
      </c>
      <c r="N773">
        <v>-6311817</v>
      </c>
      <c r="O773">
        <v>-40670994</v>
      </c>
      <c r="P773">
        <v>85</v>
      </c>
      <c r="Q773" t="s">
        <v>1593</v>
      </c>
    </row>
    <row r="774" spans="1:17" x14ac:dyDescent="0.3">
      <c r="A774" t="s">
        <v>32</v>
      </c>
      <c r="B774" t="str">
        <f>"002087"</f>
        <v>002087</v>
      </c>
      <c r="C774" t="s">
        <v>1594</v>
      </c>
      <c r="D774" t="s">
        <v>130</v>
      </c>
      <c r="E774">
        <v>59034944</v>
      </c>
      <c r="F774">
        <v>268917965</v>
      </c>
      <c r="G774">
        <v>38302686</v>
      </c>
      <c r="H774">
        <v>604666105</v>
      </c>
      <c r="I774">
        <v>116900347</v>
      </c>
      <c r="J774">
        <v>-145281381</v>
      </c>
      <c r="K774">
        <v>-357063573</v>
      </c>
      <c r="L774">
        <v>-191640175</v>
      </c>
      <c r="M774">
        <v>-198093943</v>
      </c>
      <c r="N774">
        <v>17871152</v>
      </c>
      <c r="O774">
        <v>37952938</v>
      </c>
      <c r="P774">
        <v>208</v>
      </c>
      <c r="Q774" t="s">
        <v>1595</v>
      </c>
    </row>
    <row r="775" spans="1:17" x14ac:dyDescent="0.3">
      <c r="A775" t="s">
        <v>32</v>
      </c>
      <c r="B775" t="str">
        <f>"002718"</f>
        <v>002718</v>
      </c>
      <c r="C775" t="s">
        <v>1596</v>
      </c>
      <c r="D775" t="s">
        <v>400</v>
      </c>
      <c r="E775">
        <v>58854856</v>
      </c>
      <c r="F775">
        <v>-95388719</v>
      </c>
      <c r="G775">
        <v>-142373057</v>
      </c>
      <c r="H775">
        <v>-49246997</v>
      </c>
      <c r="I775">
        <v>-102086890</v>
      </c>
      <c r="J775">
        <v>120696647</v>
      </c>
      <c r="K775">
        <v>-9268544</v>
      </c>
      <c r="L775">
        <v>5039307</v>
      </c>
      <c r="M775">
        <v>-7448193</v>
      </c>
      <c r="N775">
        <v>-23658525</v>
      </c>
      <c r="P775">
        <v>170</v>
      </c>
      <c r="Q775" t="s">
        <v>1597</v>
      </c>
    </row>
    <row r="776" spans="1:17" x14ac:dyDescent="0.3">
      <c r="A776" t="s">
        <v>17</v>
      </c>
      <c r="B776" t="str">
        <f>"601595"</f>
        <v>601595</v>
      </c>
      <c r="C776" t="s">
        <v>1598</v>
      </c>
      <c r="D776" t="s">
        <v>245</v>
      </c>
      <c r="E776">
        <v>58485481</v>
      </c>
      <c r="F776">
        <v>23649767</v>
      </c>
      <c r="G776">
        <v>-97327257</v>
      </c>
      <c r="H776">
        <v>-42622906</v>
      </c>
      <c r="I776">
        <v>-91382012</v>
      </c>
      <c r="J776">
        <v>29397629</v>
      </c>
      <c r="K776">
        <v>79140553</v>
      </c>
      <c r="L776">
        <v>129699939</v>
      </c>
      <c r="P776">
        <v>158</v>
      </c>
      <c r="Q776" t="s">
        <v>1599</v>
      </c>
    </row>
    <row r="777" spans="1:17" x14ac:dyDescent="0.3">
      <c r="A777" t="s">
        <v>17</v>
      </c>
      <c r="B777" t="str">
        <f>"605188"</f>
        <v>605188</v>
      </c>
      <c r="C777" t="s">
        <v>1600</v>
      </c>
      <c r="D777" t="s">
        <v>218</v>
      </c>
      <c r="E777">
        <v>58456886</v>
      </c>
      <c r="F777">
        <v>87904557</v>
      </c>
      <c r="G777">
        <v>113835124</v>
      </c>
      <c r="H777">
        <v>82746075</v>
      </c>
      <c r="P777">
        <v>43</v>
      </c>
      <c r="Q777" t="s">
        <v>1601</v>
      </c>
    </row>
    <row r="778" spans="1:17" x14ac:dyDescent="0.3">
      <c r="A778" t="s">
        <v>17</v>
      </c>
      <c r="B778" t="str">
        <f>"603021"</f>
        <v>603021</v>
      </c>
      <c r="C778" t="s">
        <v>1602</v>
      </c>
      <c r="D778" t="s">
        <v>455</v>
      </c>
      <c r="E778">
        <v>58274105</v>
      </c>
      <c r="F778">
        <v>-74563205</v>
      </c>
      <c r="G778">
        <v>-52827659</v>
      </c>
      <c r="H778">
        <v>-124473707</v>
      </c>
      <c r="I778">
        <v>-143141705</v>
      </c>
      <c r="J778">
        <v>-108777575</v>
      </c>
      <c r="K778">
        <v>-27812825</v>
      </c>
      <c r="L778">
        <v>-8258035</v>
      </c>
      <c r="M778">
        <v>-20351706</v>
      </c>
      <c r="P778">
        <v>59</v>
      </c>
      <c r="Q778" t="s">
        <v>1603</v>
      </c>
    </row>
    <row r="779" spans="1:17" x14ac:dyDescent="0.3">
      <c r="A779" t="s">
        <v>32</v>
      </c>
      <c r="B779" t="str">
        <f>"002795"</f>
        <v>002795</v>
      </c>
      <c r="C779" t="s">
        <v>1604</v>
      </c>
      <c r="D779" t="s">
        <v>135</v>
      </c>
      <c r="E779">
        <v>58108532</v>
      </c>
      <c r="F779">
        <v>12122167</v>
      </c>
      <c r="G779">
        <v>-17644588</v>
      </c>
      <c r="H779">
        <v>38628634</v>
      </c>
      <c r="I779">
        <v>20214850</v>
      </c>
      <c r="J779">
        <v>12370504</v>
      </c>
      <c r="K779">
        <v>42175777</v>
      </c>
      <c r="L779">
        <v>40036938</v>
      </c>
      <c r="P779">
        <v>74</v>
      </c>
      <c r="Q779" t="s">
        <v>1605</v>
      </c>
    </row>
    <row r="780" spans="1:17" x14ac:dyDescent="0.3">
      <c r="A780" t="s">
        <v>32</v>
      </c>
      <c r="B780" t="str">
        <f>"301211"</f>
        <v>301211</v>
      </c>
      <c r="C780" t="s">
        <v>1606</v>
      </c>
      <c r="D780" t="s">
        <v>98</v>
      </c>
      <c r="E780">
        <v>58068570</v>
      </c>
      <c r="P780">
        <v>14</v>
      </c>
      <c r="Q780" t="s">
        <v>1607</v>
      </c>
    </row>
    <row r="781" spans="1:17" x14ac:dyDescent="0.3">
      <c r="A781" t="s">
        <v>17</v>
      </c>
      <c r="B781" t="str">
        <f>"600761"</f>
        <v>600761</v>
      </c>
      <c r="C781" t="s">
        <v>1608</v>
      </c>
      <c r="D781" t="s">
        <v>135</v>
      </c>
      <c r="E781">
        <v>57905632</v>
      </c>
      <c r="F781">
        <v>-189704117</v>
      </c>
      <c r="G781">
        <v>-156886569</v>
      </c>
      <c r="H781">
        <v>-22157548</v>
      </c>
      <c r="I781">
        <v>25320555</v>
      </c>
      <c r="J781">
        <v>72999463</v>
      </c>
      <c r="K781">
        <v>106165475</v>
      </c>
      <c r="L781">
        <v>-85145780</v>
      </c>
      <c r="M781">
        <v>73054594</v>
      </c>
      <c r="N781">
        <v>27314095</v>
      </c>
      <c r="O781">
        <v>-7044829</v>
      </c>
      <c r="P781">
        <v>443</v>
      </c>
      <c r="Q781" t="s">
        <v>1609</v>
      </c>
    </row>
    <row r="782" spans="1:17" x14ac:dyDescent="0.3">
      <c r="A782" t="s">
        <v>17</v>
      </c>
      <c r="B782" t="str">
        <f>"600735"</f>
        <v>600735</v>
      </c>
      <c r="C782" t="s">
        <v>1610</v>
      </c>
      <c r="D782" t="s">
        <v>130</v>
      </c>
      <c r="E782">
        <v>57810320</v>
      </c>
      <c r="F782">
        <v>-6380715</v>
      </c>
      <c r="G782">
        <v>19828450</v>
      </c>
      <c r="H782">
        <v>4828386</v>
      </c>
      <c r="I782">
        <v>48509241</v>
      </c>
      <c r="J782">
        <v>52123825</v>
      </c>
      <c r="K782">
        <v>26671992</v>
      </c>
      <c r="L782">
        <v>40647281</v>
      </c>
      <c r="M782">
        <v>25908675</v>
      </c>
      <c r="N782">
        <v>27423915</v>
      </c>
      <c r="O782">
        <v>12426337</v>
      </c>
      <c r="P782">
        <v>105</v>
      </c>
      <c r="Q782" t="s">
        <v>1611</v>
      </c>
    </row>
    <row r="783" spans="1:17" x14ac:dyDescent="0.3">
      <c r="A783" t="s">
        <v>32</v>
      </c>
      <c r="B783" t="str">
        <f>"002437"</f>
        <v>002437</v>
      </c>
      <c r="C783" t="s">
        <v>1612</v>
      </c>
      <c r="D783" t="s">
        <v>98</v>
      </c>
      <c r="E783">
        <v>57754055</v>
      </c>
      <c r="F783">
        <v>162272546</v>
      </c>
      <c r="G783">
        <v>-57486790</v>
      </c>
      <c r="H783">
        <v>180328205</v>
      </c>
      <c r="I783">
        <v>91677666</v>
      </c>
      <c r="J783">
        <v>2536657</v>
      </c>
      <c r="K783">
        <v>-48804571</v>
      </c>
      <c r="L783">
        <v>25324439</v>
      </c>
      <c r="M783">
        <v>-5669944</v>
      </c>
      <c r="N783">
        <v>-26541139</v>
      </c>
      <c r="O783">
        <v>-16576205</v>
      </c>
      <c r="P783">
        <v>189</v>
      </c>
      <c r="Q783" t="s">
        <v>1613</v>
      </c>
    </row>
    <row r="784" spans="1:17" x14ac:dyDescent="0.3">
      <c r="A784" t="s">
        <v>32</v>
      </c>
      <c r="B784" t="str">
        <f>"301149"</f>
        <v>301149</v>
      </c>
      <c r="C784" t="s">
        <v>1614</v>
      </c>
      <c r="D784" t="s">
        <v>144</v>
      </c>
      <c r="E784">
        <v>57595875</v>
      </c>
      <c r="P784">
        <v>17</v>
      </c>
      <c r="Q784" t="s">
        <v>1615</v>
      </c>
    </row>
    <row r="785" spans="1:17" x14ac:dyDescent="0.3">
      <c r="A785" t="s">
        <v>17</v>
      </c>
      <c r="B785" t="str">
        <f>"603103"</f>
        <v>603103</v>
      </c>
      <c r="C785" t="s">
        <v>1616</v>
      </c>
      <c r="D785" t="s">
        <v>245</v>
      </c>
      <c r="E785">
        <v>57539540</v>
      </c>
      <c r="F785">
        <v>228340629</v>
      </c>
      <c r="G785">
        <v>-140021750</v>
      </c>
      <c r="H785">
        <v>92075725</v>
      </c>
      <c r="I785">
        <v>170757545</v>
      </c>
      <c r="J785">
        <v>42513351</v>
      </c>
      <c r="P785">
        <v>241</v>
      </c>
      <c r="Q785" t="s">
        <v>1617</v>
      </c>
    </row>
    <row r="786" spans="1:17" x14ac:dyDescent="0.3">
      <c r="A786" t="s">
        <v>32</v>
      </c>
      <c r="B786" t="str">
        <f>"002677"</f>
        <v>002677</v>
      </c>
      <c r="C786" t="s">
        <v>1618</v>
      </c>
      <c r="D786" t="s">
        <v>127</v>
      </c>
      <c r="E786">
        <v>57479338</v>
      </c>
      <c r="F786">
        <v>-18177946</v>
      </c>
      <c r="G786">
        <v>-148051710</v>
      </c>
      <c r="H786">
        <v>-39690955</v>
      </c>
      <c r="I786">
        <v>-59798636</v>
      </c>
      <c r="J786">
        <v>47421656</v>
      </c>
      <c r="K786">
        <v>-39548151</v>
      </c>
      <c r="L786">
        <v>-65213076</v>
      </c>
      <c r="M786">
        <v>-39771786</v>
      </c>
      <c r="N786">
        <v>-272580446</v>
      </c>
      <c r="O786">
        <v>-57662286</v>
      </c>
      <c r="P786">
        <v>4544</v>
      </c>
      <c r="Q786" t="s">
        <v>1619</v>
      </c>
    </row>
    <row r="787" spans="1:17" x14ac:dyDescent="0.3">
      <c r="A787" t="s">
        <v>32</v>
      </c>
      <c r="B787" t="str">
        <f>"300319"</f>
        <v>300319</v>
      </c>
      <c r="C787" t="s">
        <v>1620</v>
      </c>
      <c r="D787" t="s">
        <v>124</v>
      </c>
      <c r="E787">
        <v>57199055</v>
      </c>
      <c r="F787">
        <v>1309534</v>
      </c>
      <c r="G787">
        <v>124845072</v>
      </c>
      <c r="H787">
        <v>14574993</v>
      </c>
      <c r="I787">
        <v>8653090</v>
      </c>
      <c r="J787">
        <v>-49702783</v>
      </c>
      <c r="K787">
        <v>-25230762</v>
      </c>
      <c r="L787">
        <v>3844808</v>
      </c>
      <c r="M787">
        <v>-6312670</v>
      </c>
      <c r="N787">
        <v>-18586770</v>
      </c>
      <c r="O787">
        <v>-11540466</v>
      </c>
      <c r="P787">
        <v>3162</v>
      </c>
      <c r="Q787" t="s">
        <v>1621</v>
      </c>
    </row>
    <row r="788" spans="1:17" x14ac:dyDescent="0.3">
      <c r="A788" t="s">
        <v>17</v>
      </c>
      <c r="B788" t="str">
        <f>"600854"</f>
        <v>600854</v>
      </c>
      <c r="C788" t="s">
        <v>1622</v>
      </c>
      <c r="D788" t="s">
        <v>127</v>
      </c>
      <c r="E788">
        <v>57129121</v>
      </c>
      <c r="F788">
        <v>62555974</v>
      </c>
      <c r="G788">
        <v>-17704588</v>
      </c>
      <c r="H788">
        <v>-7036537</v>
      </c>
      <c r="I788">
        <v>15880724</v>
      </c>
      <c r="J788">
        <v>143178386</v>
      </c>
      <c r="K788">
        <v>-10355373</v>
      </c>
      <c r="L788">
        <v>15257394</v>
      </c>
      <c r="M788">
        <v>-6880673</v>
      </c>
      <c r="N788">
        <v>-8355704</v>
      </c>
      <c r="O788">
        <v>-48161084</v>
      </c>
      <c r="P788">
        <v>146</v>
      </c>
      <c r="Q788" t="s">
        <v>1623</v>
      </c>
    </row>
    <row r="789" spans="1:17" x14ac:dyDescent="0.3">
      <c r="A789" t="s">
        <v>32</v>
      </c>
      <c r="B789" t="str">
        <f>"000882"</f>
        <v>000882</v>
      </c>
      <c r="C789" t="s">
        <v>1624</v>
      </c>
      <c r="D789" t="s">
        <v>218</v>
      </c>
      <c r="E789">
        <v>56879069</v>
      </c>
      <c r="F789">
        <v>15352076</v>
      </c>
      <c r="G789">
        <v>59771004</v>
      </c>
      <c r="H789">
        <v>26848024</v>
      </c>
      <c r="I789">
        <v>-192690545</v>
      </c>
      <c r="J789">
        <v>-75857181</v>
      </c>
      <c r="K789">
        <v>-198874737</v>
      </c>
      <c r="L789">
        <v>-69798346</v>
      </c>
      <c r="M789">
        <v>-435707719</v>
      </c>
      <c r="N789">
        <v>-55772936</v>
      </c>
      <c r="O789">
        <v>18258953</v>
      </c>
      <c r="P789">
        <v>114</v>
      </c>
      <c r="Q789" t="s">
        <v>1625</v>
      </c>
    </row>
    <row r="790" spans="1:17" x14ac:dyDescent="0.3">
      <c r="A790" t="s">
        <v>32</v>
      </c>
      <c r="B790" t="str">
        <f>"002346"</f>
        <v>002346</v>
      </c>
      <c r="C790" t="s">
        <v>1626</v>
      </c>
      <c r="D790" t="s">
        <v>464</v>
      </c>
      <c r="E790">
        <v>56874595</v>
      </c>
      <c r="F790">
        <v>124176089</v>
      </c>
      <c r="G790">
        <v>-71702943</v>
      </c>
      <c r="H790">
        <v>17812628</v>
      </c>
      <c r="I790">
        <v>22494679</v>
      </c>
      <c r="J790">
        <v>-11257258</v>
      </c>
      <c r="K790">
        <v>-13465958</v>
      </c>
      <c r="L790">
        <v>-107472997</v>
      </c>
      <c r="M790">
        <v>-13504061</v>
      </c>
      <c r="N790">
        <v>28408039</v>
      </c>
      <c r="O790">
        <v>-60507258</v>
      </c>
      <c r="P790">
        <v>105</v>
      </c>
      <c r="Q790" t="s">
        <v>1627</v>
      </c>
    </row>
    <row r="791" spans="1:17" x14ac:dyDescent="0.3">
      <c r="A791" t="s">
        <v>17</v>
      </c>
      <c r="B791" t="str">
        <f>"600613"</f>
        <v>600613</v>
      </c>
      <c r="C791" t="s">
        <v>1628</v>
      </c>
      <c r="D791" t="s">
        <v>98</v>
      </c>
      <c r="E791">
        <v>56849646</v>
      </c>
      <c r="F791">
        <v>41954380</v>
      </c>
      <c r="G791">
        <v>-34104031</v>
      </c>
      <c r="H791">
        <v>47795789</v>
      </c>
      <c r="I791">
        <v>-22115106</v>
      </c>
      <c r="J791">
        <v>-83729708</v>
      </c>
      <c r="K791">
        <v>-21734594</v>
      </c>
      <c r="L791">
        <v>-36657691</v>
      </c>
      <c r="M791">
        <v>-79803239</v>
      </c>
      <c r="N791">
        <v>15255321</v>
      </c>
      <c r="O791">
        <v>27033716</v>
      </c>
      <c r="P791">
        <v>121</v>
      </c>
      <c r="Q791" t="s">
        <v>1629</v>
      </c>
    </row>
    <row r="792" spans="1:17" x14ac:dyDescent="0.3">
      <c r="A792" t="s">
        <v>32</v>
      </c>
      <c r="B792" t="str">
        <f>"002377"</f>
        <v>002377</v>
      </c>
      <c r="C792" t="s">
        <v>1630</v>
      </c>
      <c r="D792" t="s">
        <v>151</v>
      </c>
      <c r="E792">
        <v>56694138</v>
      </c>
      <c r="F792">
        <v>-43899922</v>
      </c>
      <c r="G792">
        <v>-410743768</v>
      </c>
      <c r="H792">
        <v>-223603448</v>
      </c>
      <c r="I792">
        <v>-109713365</v>
      </c>
      <c r="J792">
        <v>-136596070</v>
      </c>
      <c r="K792">
        <v>-117121428</v>
      </c>
      <c r="L792">
        <v>-215821584</v>
      </c>
      <c r="M792">
        <v>-228380118</v>
      </c>
      <c r="N792">
        <v>-231140685</v>
      </c>
      <c r="O792">
        <v>-196900833</v>
      </c>
      <c r="P792">
        <v>95</v>
      </c>
      <c r="Q792" t="s">
        <v>1631</v>
      </c>
    </row>
    <row r="793" spans="1:17" x14ac:dyDescent="0.3">
      <c r="A793" t="s">
        <v>32</v>
      </c>
      <c r="B793" t="str">
        <f>"300834"</f>
        <v>300834</v>
      </c>
      <c r="C793" t="s">
        <v>1632</v>
      </c>
      <c r="D793" t="s">
        <v>144</v>
      </c>
      <c r="E793">
        <v>56581773</v>
      </c>
      <c r="P793">
        <v>19</v>
      </c>
      <c r="Q793" t="s">
        <v>1633</v>
      </c>
    </row>
    <row r="794" spans="1:17" x14ac:dyDescent="0.3">
      <c r="A794" t="s">
        <v>32</v>
      </c>
      <c r="B794" t="str">
        <f>"000413"</f>
        <v>000413</v>
      </c>
      <c r="C794" t="s">
        <v>1634</v>
      </c>
      <c r="D794" t="s">
        <v>124</v>
      </c>
      <c r="E794">
        <v>56561145</v>
      </c>
      <c r="F794">
        <v>315073875</v>
      </c>
      <c r="G794">
        <v>128353792</v>
      </c>
      <c r="H794">
        <v>532552366</v>
      </c>
      <c r="I794">
        <v>-1280968831</v>
      </c>
      <c r="J794">
        <v>-1349322257</v>
      </c>
      <c r="K794">
        <v>-1098987629</v>
      </c>
      <c r="L794">
        <v>-245282210</v>
      </c>
      <c r="M794">
        <v>-820208547</v>
      </c>
      <c r="N794">
        <v>-298105654</v>
      </c>
      <c r="O794">
        <v>-38338436</v>
      </c>
      <c r="P794">
        <v>525</v>
      </c>
      <c r="Q794" t="s">
        <v>1635</v>
      </c>
    </row>
    <row r="795" spans="1:17" x14ac:dyDescent="0.3">
      <c r="A795" t="s">
        <v>17</v>
      </c>
      <c r="B795" t="str">
        <f>"601717"</f>
        <v>601717</v>
      </c>
      <c r="C795" t="s">
        <v>1636</v>
      </c>
      <c r="D795" t="s">
        <v>135</v>
      </c>
      <c r="E795">
        <v>56531961</v>
      </c>
      <c r="F795">
        <v>1718128</v>
      </c>
      <c r="G795">
        <v>-180260251</v>
      </c>
      <c r="H795">
        <v>-39492543</v>
      </c>
      <c r="I795">
        <v>52197774</v>
      </c>
      <c r="J795">
        <v>501757928</v>
      </c>
      <c r="K795">
        <v>216376761</v>
      </c>
      <c r="L795">
        <v>183089401</v>
      </c>
      <c r="M795">
        <v>-77670673</v>
      </c>
      <c r="N795">
        <v>-358500529</v>
      </c>
      <c r="O795">
        <v>-219026590</v>
      </c>
      <c r="P795">
        <v>318</v>
      </c>
      <c r="Q795" t="s">
        <v>1637</v>
      </c>
    </row>
    <row r="796" spans="1:17" x14ac:dyDescent="0.3">
      <c r="A796" t="s">
        <v>32</v>
      </c>
      <c r="B796" t="str">
        <f>"300831"</f>
        <v>300831</v>
      </c>
      <c r="C796" t="s">
        <v>1638</v>
      </c>
      <c r="D796" t="s">
        <v>124</v>
      </c>
      <c r="E796">
        <v>56447782</v>
      </c>
      <c r="F796">
        <v>-8678337</v>
      </c>
      <c r="G796">
        <v>-25267900</v>
      </c>
      <c r="H796">
        <v>40860645</v>
      </c>
      <c r="P796">
        <v>129</v>
      </c>
      <c r="Q796" t="s">
        <v>1639</v>
      </c>
    </row>
    <row r="797" spans="1:17" x14ac:dyDescent="0.3">
      <c r="A797" t="s">
        <v>32</v>
      </c>
      <c r="B797" t="str">
        <f>"000020"</f>
        <v>000020</v>
      </c>
      <c r="C797" t="s">
        <v>1640</v>
      </c>
      <c r="D797" t="s">
        <v>124</v>
      </c>
      <c r="E797">
        <v>56253363</v>
      </c>
      <c r="F797">
        <v>-6737452</v>
      </c>
      <c r="G797">
        <v>7555097</v>
      </c>
      <c r="H797">
        <v>17412803</v>
      </c>
      <c r="I797">
        <v>-3101316</v>
      </c>
      <c r="J797">
        <v>-20852290</v>
      </c>
      <c r="K797">
        <v>-48453721</v>
      </c>
      <c r="L797">
        <v>-2594786</v>
      </c>
      <c r="M797">
        <v>-26712692</v>
      </c>
      <c r="N797">
        <v>-72748574</v>
      </c>
      <c r="O797">
        <v>-90617663</v>
      </c>
      <c r="P797">
        <v>75</v>
      </c>
      <c r="Q797" t="s">
        <v>1641</v>
      </c>
    </row>
    <row r="798" spans="1:17" x14ac:dyDescent="0.3">
      <c r="A798" t="s">
        <v>17</v>
      </c>
      <c r="B798" t="str">
        <f>"688139"</f>
        <v>688139</v>
      </c>
      <c r="C798" t="s">
        <v>1642</v>
      </c>
      <c r="D798" t="s">
        <v>98</v>
      </c>
      <c r="E798">
        <v>55812106</v>
      </c>
      <c r="F798">
        <v>109134990</v>
      </c>
      <c r="G798">
        <v>8708310</v>
      </c>
      <c r="H798">
        <v>4565006</v>
      </c>
      <c r="P798">
        <v>349</v>
      </c>
      <c r="Q798" t="s">
        <v>1643</v>
      </c>
    </row>
    <row r="799" spans="1:17" x14ac:dyDescent="0.3">
      <c r="A799" t="s">
        <v>17</v>
      </c>
      <c r="B799" t="str">
        <f>"688722"</f>
        <v>688722</v>
      </c>
      <c r="C799" t="s">
        <v>1644</v>
      </c>
      <c r="D799" t="s">
        <v>144</v>
      </c>
      <c r="E799">
        <v>55749365</v>
      </c>
      <c r="P799">
        <v>13</v>
      </c>
      <c r="Q799" t="s">
        <v>1645</v>
      </c>
    </row>
    <row r="800" spans="1:17" x14ac:dyDescent="0.3">
      <c r="A800" t="s">
        <v>32</v>
      </c>
      <c r="B800" t="str">
        <f>"000700"</f>
        <v>000700</v>
      </c>
      <c r="C800" t="s">
        <v>1646</v>
      </c>
      <c r="D800" t="s">
        <v>199</v>
      </c>
      <c r="E800">
        <v>55739048</v>
      </c>
      <c r="F800">
        <v>105160239</v>
      </c>
      <c r="G800">
        <v>-144937561</v>
      </c>
      <c r="H800">
        <v>-147666399</v>
      </c>
      <c r="I800">
        <v>-51930504</v>
      </c>
      <c r="J800">
        <v>-193811671</v>
      </c>
      <c r="K800">
        <v>9524293</v>
      </c>
      <c r="L800">
        <v>-3464766</v>
      </c>
      <c r="M800">
        <v>3346060</v>
      </c>
      <c r="N800">
        <v>65886068</v>
      </c>
      <c r="O800">
        <v>123110951</v>
      </c>
      <c r="P800">
        <v>259</v>
      </c>
      <c r="Q800" t="s">
        <v>1647</v>
      </c>
    </row>
    <row r="801" spans="1:17" x14ac:dyDescent="0.3">
      <c r="A801" t="s">
        <v>32</v>
      </c>
      <c r="B801" t="str">
        <f>"002038"</f>
        <v>002038</v>
      </c>
      <c r="C801" t="s">
        <v>1648</v>
      </c>
      <c r="D801" t="s">
        <v>98</v>
      </c>
      <c r="E801">
        <v>55476593</v>
      </c>
      <c r="F801">
        <v>52232139</v>
      </c>
      <c r="G801">
        <v>28106208</v>
      </c>
      <c r="H801">
        <v>189171494</v>
      </c>
      <c r="I801">
        <v>97507784</v>
      </c>
      <c r="J801">
        <v>54317145</v>
      </c>
      <c r="K801">
        <v>34343142</v>
      </c>
      <c r="L801">
        <v>129529887</v>
      </c>
      <c r="M801">
        <v>47551559</v>
      </c>
      <c r="N801">
        <v>-46488378</v>
      </c>
      <c r="O801">
        <v>-6671295</v>
      </c>
      <c r="P801">
        <v>5163</v>
      </c>
      <c r="Q801" t="s">
        <v>1649</v>
      </c>
    </row>
    <row r="802" spans="1:17" x14ac:dyDescent="0.3">
      <c r="A802" t="s">
        <v>32</v>
      </c>
      <c r="B802" t="str">
        <f>"300343"</f>
        <v>300343</v>
      </c>
      <c r="C802" t="s">
        <v>1650</v>
      </c>
      <c r="D802" t="s">
        <v>245</v>
      </c>
      <c r="E802">
        <v>55334983</v>
      </c>
      <c r="F802">
        <v>53011160</v>
      </c>
      <c r="G802">
        <v>-2720261</v>
      </c>
      <c r="H802">
        <v>16371287</v>
      </c>
      <c r="I802">
        <v>125336383</v>
      </c>
      <c r="J802">
        <v>219641752</v>
      </c>
      <c r="K802">
        <v>29362693</v>
      </c>
      <c r="L802">
        <v>20681784</v>
      </c>
      <c r="M802">
        <v>-22041486</v>
      </c>
      <c r="N802">
        <v>-34174167</v>
      </c>
      <c r="O802">
        <v>-19290109</v>
      </c>
      <c r="P802">
        <v>155</v>
      </c>
      <c r="Q802" t="s">
        <v>1651</v>
      </c>
    </row>
    <row r="803" spans="1:17" x14ac:dyDescent="0.3">
      <c r="A803" t="s">
        <v>32</v>
      </c>
      <c r="B803" t="str">
        <f>"300326"</f>
        <v>300326</v>
      </c>
      <c r="C803" t="s">
        <v>1652</v>
      </c>
      <c r="D803" t="s">
        <v>98</v>
      </c>
      <c r="E803">
        <v>55090237</v>
      </c>
      <c r="F803">
        <v>36754266</v>
      </c>
      <c r="G803">
        <v>-47186204</v>
      </c>
      <c r="H803">
        <v>-28446070</v>
      </c>
      <c r="I803">
        <v>-20760722</v>
      </c>
      <c r="J803">
        <v>-28100517</v>
      </c>
      <c r="K803">
        <v>-57911609</v>
      </c>
      <c r="L803">
        <v>-40047907</v>
      </c>
      <c r="M803">
        <v>-1571790</v>
      </c>
      <c r="N803">
        <v>-28936070</v>
      </c>
      <c r="O803">
        <v>1380571</v>
      </c>
      <c r="P803">
        <v>853</v>
      </c>
      <c r="Q803" t="s">
        <v>1653</v>
      </c>
    </row>
    <row r="804" spans="1:17" x14ac:dyDescent="0.3">
      <c r="A804" t="s">
        <v>17</v>
      </c>
      <c r="B804" t="str">
        <f>"603155"</f>
        <v>603155</v>
      </c>
      <c r="C804" t="s">
        <v>1654</v>
      </c>
      <c r="D804" t="s">
        <v>144</v>
      </c>
      <c r="E804">
        <v>55031095</v>
      </c>
      <c r="F804">
        <v>-32842276</v>
      </c>
      <c r="G804">
        <v>19973316</v>
      </c>
      <c r="P804">
        <v>76</v>
      </c>
      <c r="Q804" t="s">
        <v>1655</v>
      </c>
    </row>
    <row r="805" spans="1:17" x14ac:dyDescent="0.3">
      <c r="A805" t="s">
        <v>32</v>
      </c>
      <c r="B805" t="str">
        <f>"300765"</f>
        <v>300765</v>
      </c>
      <c r="C805" t="s">
        <v>1656</v>
      </c>
      <c r="D805" t="s">
        <v>98</v>
      </c>
      <c r="E805">
        <v>54967418</v>
      </c>
      <c r="F805">
        <v>30538268</v>
      </c>
      <c r="G805">
        <v>60354887</v>
      </c>
      <c r="H805">
        <v>41448363</v>
      </c>
      <c r="I805">
        <v>2048363</v>
      </c>
      <c r="P805">
        <v>173</v>
      </c>
      <c r="Q805" t="s">
        <v>1657</v>
      </c>
    </row>
    <row r="806" spans="1:17" x14ac:dyDescent="0.3">
      <c r="A806" t="s">
        <v>17</v>
      </c>
      <c r="B806" t="str">
        <f>"600665"</f>
        <v>600665</v>
      </c>
      <c r="C806" t="s">
        <v>1658</v>
      </c>
      <c r="D806" t="s">
        <v>151</v>
      </c>
      <c r="E806">
        <v>54938803</v>
      </c>
      <c r="F806">
        <v>254402968</v>
      </c>
      <c r="G806">
        <v>-721661972</v>
      </c>
      <c r="H806">
        <v>-1311408063</v>
      </c>
      <c r="I806">
        <v>643629868</v>
      </c>
      <c r="J806">
        <v>-153692570</v>
      </c>
      <c r="K806">
        <v>415705350</v>
      </c>
      <c r="L806">
        <v>-667464732</v>
      </c>
      <c r="M806">
        <v>-259587092</v>
      </c>
      <c r="N806">
        <v>-500432452</v>
      </c>
      <c r="O806">
        <v>-130918507</v>
      </c>
      <c r="P806">
        <v>455</v>
      </c>
      <c r="Q806" t="s">
        <v>1659</v>
      </c>
    </row>
    <row r="807" spans="1:17" x14ac:dyDescent="0.3">
      <c r="A807" t="s">
        <v>32</v>
      </c>
      <c r="B807" t="str">
        <f>"002381"</f>
        <v>002381</v>
      </c>
      <c r="C807" t="s">
        <v>1660</v>
      </c>
      <c r="D807" t="s">
        <v>144</v>
      </c>
      <c r="E807">
        <v>54823561</v>
      </c>
      <c r="F807">
        <v>8630983</v>
      </c>
      <c r="G807">
        <v>55220614</v>
      </c>
      <c r="H807">
        <v>-3616705</v>
      </c>
      <c r="I807">
        <v>75822459</v>
      </c>
      <c r="J807">
        <v>27118637</v>
      </c>
      <c r="K807">
        <v>-34089148</v>
      </c>
      <c r="L807">
        <v>33909175</v>
      </c>
      <c r="M807">
        <v>7923771</v>
      </c>
      <c r="N807">
        <v>30394647</v>
      </c>
      <c r="O807">
        <v>-27737699</v>
      </c>
      <c r="P807">
        <v>277</v>
      </c>
      <c r="Q807" t="s">
        <v>1661</v>
      </c>
    </row>
    <row r="808" spans="1:17" x14ac:dyDescent="0.3">
      <c r="A808" t="s">
        <v>32</v>
      </c>
      <c r="B808" t="str">
        <f>"301190"</f>
        <v>301190</v>
      </c>
      <c r="C808" t="s">
        <v>1662</v>
      </c>
      <c r="D808" t="s">
        <v>144</v>
      </c>
      <c r="E808">
        <v>54784732</v>
      </c>
      <c r="P808">
        <v>11</v>
      </c>
      <c r="Q808" t="s">
        <v>1663</v>
      </c>
    </row>
    <row r="809" spans="1:17" x14ac:dyDescent="0.3">
      <c r="A809" t="s">
        <v>17</v>
      </c>
      <c r="B809" t="str">
        <f>"603917"</f>
        <v>603917</v>
      </c>
      <c r="C809" t="s">
        <v>1664</v>
      </c>
      <c r="D809" t="s">
        <v>199</v>
      </c>
      <c r="E809">
        <v>54487353</v>
      </c>
      <c r="F809">
        <v>-2490082</v>
      </c>
      <c r="G809">
        <v>19512074</v>
      </c>
      <c r="H809">
        <v>-68455241</v>
      </c>
      <c r="I809">
        <v>-8950876</v>
      </c>
      <c r="J809">
        <v>181226</v>
      </c>
      <c r="P809">
        <v>73</v>
      </c>
      <c r="Q809" t="s">
        <v>1665</v>
      </c>
    </row>
    <row r="810" spans="1:17" x14ac:dyDescent="0.3">
      <c r="A810" t="s">
        <v>17</v>
      </c>
      <c r="B810" t="str">
        <f>"605056"</f>
        <v>605056</v>
      </c>
      <c r="C810" t="s">
        <v>1666</v>
      </c>
      <c r="D810" t="s">
        <v>135</v>
      </c>
      <c r="E810">
        <v>54151945</v>
      </c>
      <c r="F810">
        <v>-5701672</v>
      </c>
      <c r="G810">
        <v>-1819662</v>
      </c>
      <c r="P810">
        <v>21</v>
      </c>
      <c r="Q810" t="s">
        <v>1667</v>
      </c>
    </row>
    <row r="811" spans="1:17" x14ac:dyDescent="0.3">
      <c r="A811" t="s">
        <v>17</v>
      </c>
      <c r="B811" t="str">
        <f>"600117"</f>
        <v>600117</v>
      </c>
      <c r="C811" t="s">
        <v>1668</v>
      </c>
      <c r="D811" t="s">
        <v>163</v>
      </c>
      <c r="E811">
        <v>54098129</v>
      </c>
      <c r="F811">
        <v>32733157</v>
      </c>
      <c r="G811">
        <v>-243571810</v>
      </c>
      <c r="H811">
        <v>-21833802</v>
      </c>
      <c r="I811">
        <v>-253608527</v>
      </c>
      <c r="J811">
        <v>-66867585</v>
      </c>
      <c r="K811">
        <v>-485482980</v>
      </c>
      <c r="L811">
        <v>-40302516</v>
      </c>
      <c r="M811">
        <v>-270709036</v>
      </c>
      <c r="N811">
        <v>-168001321</v>
      </c>
      <c r="O811">
        <v>-261314601</v>
      </c>
      <c r="P811">
        <v>116</v>
      </c>
      <c r="Q811" t="s">
        <v>1669</v>
      </c>
    </row>
    <row r="812" spans="1:17" x14ac:dyDescent="0.3">
      <c r="A812" t="s">
        <v>32</v>
      </c>
      <c r="B812" t="str">
        <f>"300230"</f>
        <v>300230</v>
      </c>
      <c r="C812" t="s">
        <v>1670</v>
      </c>
      <c r="D812" t="s">
        <v>144</v>
      </c>
      <c r="E812">
        <v>54032602</v>
      </c>
      <c r="F812">
        <v>9157935</v>
      </c>
      <c r="G812">
        <v>90830333</v>
      </c>
      <c r="H812">
        <v>87713609</v>
      </c>
      <c r="I812">
        <v>-32755388</v>
      </c>
      <c r="J812">
        <v>87599785</v>
      </c>
      <c r="K812">
        <v>327634</v>
      </c>
      <c r="L812">
        <v>38185</v>
      </c>
      <c r="M812">
        <v>-13595761</v>
      </c>
      <c r="N812">
        <v>-26936781</v>
      </c>
      <c r="O812">
        <v>-6421787</v>
      </c>
      <c r="P812">
        <v>169</v>
      </c>
      <c r="Q812" t="s">
        <v>1671</v>
      </c>
    </row>
    <row r="813" spans="1:17" x14ac:dyDescent="0.3">
      <c r="A813" t="s">
        <v>32</v>
      </c>
      <c r="B813" t="str">
        <f>"301017"</f>
        <v>301017</v>
      </c>
      <c r="C813" t="s">
        <v>1672</v>
      </c>
      <c r="D813" t="s">
        <v>98</v>
      </c>
      <c r="E813">
        <v>53657629</v>
      </c>
      <c r="F813">
        <v>54993898</v>
      </c>
      <c r="G813">
        <v>-73974228</v>
      </c>
      <c r="P813">
        <v>36</v>
      </c>
      <c r="Q813" t="s">
        <v>1673</v>
      </c>
    </row>
    <row r="814" spans="1:17" x14ac:dyDescent="0.3">
      <c r="A814" t="s">
        <v>17</v>
      </c>
      <c r="B814" t="str">
        <f>"603719"</f>
        <v>603719</v>
      </c>
      <c r="C814" t="s">
        <v>1674</v>
      </c>
      <c r="D814" t="s">
        <v>172</v>
      </c>
      <c r="E814">
        <v>53621020</v>
      </c>
      <c r="F814">
        <v>-90936510</v>
      </c>
      <c r="G814">
        <v>31217597</v>
      </c>
      <c r="H814">
        <v>28212832</v>
      </c>
      <c r="P814">
        <v>716</v>
      </c>
      <c r="Q814" t="s">
        <v>1675</v>
      </c>
    </row>
    <row r="815" spans="1:17" x14ac:dyDescent="0.3">
      <c r="A815" t="s">
        <v>17</v>
      </c>
      <c r="B815" t="str">
        <f>"600798"</f>
        <v>600798</v>
      </c>
      <c r="C815" t="s">
        <v>1676</v>
      </c>
      <c r="D815" t="s">
        <v>46</v>
      </c>
      <c r="E815">
        <v>53611807</v>
      </c>
      <c r="F815">
        <v>77127647</v>
      </c>
      <c r="G815">
        <v>148787014</v>
      </c>
      <c r="H815">
        <v>92760837</v>
      </c>
      <c r="I815">
        <v>133718803</v>
      </c>
      <c r="J815">
        <v>72297850</v>
      </c>
      <c r="K815">
        <v>31065045</v>
      </c>
      <c r="L815">
        <v>-25442805</v>
      </c>
      <c r="M815">
        <v>50980494</v>
      </c>
      <c r="N815">
        <v>68974185</v>
      </c>
      <c r="O815">
        <v>29320373</v>
      </c>
      <c r="P815">
        <v>142</v>
      </c>
      <c r="Q815" t="s">
        <v>1677</v>
      </c>
    </row>
    <row r="816" spans="1:17" x14ac:dyDescent="0.3">
      <c r="A816" t="s">
        <v>17</v>
      </c>
      <c r="B816" t="str">
        <f>"600116"</f>
        <v>600116</v>
      </c>
      <c r="C816" t="s">
        <v>1678</v>
      </c>
      <c r="D816" t="s">
        <v>158</v>
      </c>
      <c r="E816">
        <v>53577424</v>
      </c>
      <c r="F816">
        <v>-254312863</v>
      </c>
      <c r="G816">
        <v>-54523235</v>
      </c>
      <c r="H816">
        <v>-66869458</v>
      </c>
      <c r="I816">
        <v>-149076548</v>
      </c>
      <c r="J816">
        <v>-36640277</v>
      </c>
      <c r="K816">
        <v>20116618</v>
      </c>
      <c r="L816">
        <v>-56297196</v>
      </c>
      <c r="M816">
        <v>30982341</v>
      </c>
      <c r="N816">
        <v>-89052700</v>
      </c>
      <c r="O816">
        <v>-81403045</v>
      </c>
      <c r="P816">
        <v>236</v>
      </c>
      <c r="Q816" t="s">
        <v>1679</v>
      </c>
    </row>
    <row r="817" spans="1:17" x14ac:dyDescent="0.3">
      <c r="A817" t="s">
        <v>32</v>
      </c>
      <c r="B817" t="str">
        <f>"300642"</f>
        <v>300642</v>
      </c>
      <c r="C817" t="s">
        <v>1680</v>
      </c>
      <c r="D817" t="s">
        <v>98</v>
      </c>
      <c r="E817">
        <v>53434660</v>
      </c>
      <c r="F817">
        <v>-38751106</v>
      </c>
      <c r="G817">
        <v>-53193313</v>
      </c>
      <c r="H817">
        <v>-21180673</v>
      </c>
      <c r="I817">
        <v>-11031126</v>
      </c>
      <c r="J817">
        <v>-13277837</v>
      </c>
      <c r="K817">
        <v>-5342716</v>
      </c>
      <c r="P817">
        <v>418</v>
      </c>
      <c r="Q817" t="s">
        <v>1681</v>
      </c>
    </row>
    <row r="818" spans="1:17" x14ac:dyDescent="0.3">
      <c r="A818" t="s">
        <v>32</v>
      </c>
      <c r="B818" t="str">
        <f>"301047"</f>
        <v>301047</v>
      </c>
      <c r="C818" t="s">
        <v>1682</v>
      </c>
      <c r="D818" t="s">
        <v>98</v>
      </c>
      <c r="E818">
        <v>53203049</v>
      </c>
      <c r="F818">
        <v>236802526</v>
      </c>
      <c r="G818">
        <v>18413450</v>
      </c>
      <c r="P818">
        <v>71</v>
      </c>
      <c r="Q818" t="s">
        <v>1683</v>
      </c>
    </row>
    <row r="819" spans="1:17" x14ac:dyDescent="0.3">
      <c r="A819" t="s">
        <v>17</v>
      </c>
      <c r="B819" t="str">
        <f>"605339"</f>
        <v>605339</v>
      </c>
      <c r="C819" t="s">
        <v>1684</v>
      </c>
      <c r="D819" t="s">
        <v>172</v>
      </c>
      <c r="E819">
        <v>53120266</v>
      </c>
      <c r="F819">
        <v>5084491</v>
      </c>
      <c r="G819">
        <v>-13863008</v>
      </c>
      <c r="P819">
        <v>65</v>
      </c>
      <c r="Q819" t="s">
        <v>1685</v>
      </c>
    </row>
    <row r="820" spans="1:17" x14ac:dyDescent="0.3">
      <c r="A820" t="s">
        <v>17</v>
      </c>
      <c r="B820" t="str">
        <f>"600241"</f>
        <v>600241</v>
      </c>
      <c r="C820" t="s">
        <v>1686</v>
      </c>
      <c r="D820" t="s">
        <v>464</v>
      </c>
      <c r="E820">
        <v>52854587</v>
      </c>
      <c r="F820">
        <v>24616402</v>
      </c>
      <c r="G820">
        <v>-73670339</v>
      </c>
      <c r="H820">
        <v>-30060811</v>
      </c>
      <c r="I820">
        <v>-151138068</v>
      </c>
      <c r="J820">
        <v>-32208097</v>
      </c>
      <c r="K820">
        <v>13924584</v>
      </c>
      <c r="L820">
        <v>34772662</v>
      </c>
      <c r="M820">
        <v>-9668213</v>
      </c>
      <c r="N820">
        <v>3387135</v>
      </c>
      <c r="O820">
        <v>63108100</v>
      </c>
      <c r="P820">
        <v>51</v>
      </c>
      <c r="Q820" t="s">
        <v>1687</v>
      </c>
    </row>
    <row r="821" spans="1:17" x14ac:dyDescent="0.3">
      <c r="A821" t="s">
        <v>32</v>
      </c>
      <c r="B821" t="str">
        <f>"000509"</f>
        <v>000509</v>
      </c>
      <c r="C821" t="s">
        <v>1688</v>
      </c>
      <c r="D821" t="s">
        <v>98</v>
      </c>
      <c r="E821">
        <v>52436644</v>
      </c>
      <c r="F821">
        <v>-37555044</v>
      </c>
      <c r="G821">
        <v>7555499</v>
      </c>
      <c r="H821">
        <v>-1520010</v>
      </c>
      <c r="I821">
        <v>-14072756</v>
      </c>
      <c r="J821">
        <v>-13587145</v>
      </c>
      <c r="K821">
        <v>-33118344</v>
      </c>
      <c r="L821">
        <v>-16784672</v>
      </c>
      <c r="M821">
        <v>-18875339</v>
      </c>
      <c r="N821">
        <v>-2910674</v>
      </c>
      <c r="O821">
        <v>6164128</v>
      </c>
      <c r="P821">
        <v>84</v>
      </c>
      <c r="Q821" t="s">
        <v>1689</v>
      </c>
    </row>
    <row r="822" spans="1:17" x14ac:dyDescent="0.3">
      <c r="A822" t="s">
        <v>32</v>
      </c>
      <c r="B822" t="str">
        <f>"002232"</f>
        <v>002232</v>
      </c>
      <c r="C822" t="s">
        <v>1690</v>
      </c>
      <c r="D822" t="s">
        <v>342</v>
      </c>
      <c r="E822">
        <v>52000886</v>
      </c>
      <c r="F822">
        <v>-29228760</v>
      </c>
      <c r="G822">
        <v>-114419230</v>
      </c>
      <c r="H822">
        <v>30924346</v>
      </c>
      <c r="I822">
        <v>-125930869</v>
      </c>
      <c r="J822">
        <v>-97813699</v>
      </c>
      <c r="K822">
        <v>-90089028</v>
      </c>
      <c r="L822">
        <v>-19191398</v>
      </c>
      <c r="M822">
        <v>-79216388</v>
      </c>
      <c r="N822">
        <v>-90315322</v>
      </c>
      <c r="O822">
        <v>-72608878</v>
      </c>
      <c r="P822">
        <v>247</v>
      </c>
      <c r="Q822" t="s">
        <v>1691</v>
      </c>
    </row>
    <row r="823" spans="1:17" x14ac:dyDescent="0.3">
      <c r="A823" t="s">
        <v>17</v>
      </c>
      <c r="B823" t="str">
        <f>"603266"</f>
        <v>603266</v>
      </c>
      <c r="C823" t="s">
        <v>1692</v>
      </c>
      <c r="D823" t="s">
        <v>144</v>
      </c>
      <c r="E823">
        <v>52000044</v>
      </c>
      <c r="F823">
        <v>38415301</v>
      </c>
      <c r="G823">
        <v>56301610</v>
      </c>
      <c r="H823">
        <v>30172880</v>
      </c>
      <c r="I823">
        <v>6074058</v>
      </c>
      <c r="J823">
        <v>-30871751</v>
      </c>
      <c r="K823">
        <v>-25412237</v>
      </c>
      <c r="P823">
        <v>95</v>
      </c>
      <c r="Q823" t="s">
        <v>1693</v>
      </c>
    </row>
    <row r="824" spans="1:17" x14ac:dyDescent="0.3">
      <c r="A824" t="s">
        <v>17</v>
      </c>
      <c r="B824" t="str">
        <f>"603439"</f>
        <v>603439</v>
      </c>
      <c r="C824" t="s">
        <v>1694</v>
      </c>
      <c r="D824" t="s">
        <v>98</v>
      </c>
      <c r="E824">
        <v>51782770</v>
      </c>
      <c r="F824">
        <v>15404578</v>
      </c>
      <c r="G824">
        <v>-8719831</v>
      </c>
      <c r="P824">
        <v>294</v>
      </c>
      <c r="Q824" t="s">
        <v>1695</v>
      </c>
    </row>
    <row r="825" spans="1:17" x14ac:dyDescent="0.3">
      <c r="A825" t="s">
        <v>32</v>
      </c>
      <c r="B825" t="str">
        <f>"002811"</f>
        <v>002811</v>
      </c>
      <c r="C825" t="s">
        <v>1696</v>
      </c>
      <c r="D825" t="s">
        <v>645</v>
      </c>
      <c r="E825">
        <v>51664377</v>
      </c>
      <c r="F825">
        <v>51627375</v>
      </c>
      <c r="G825">
        <v>-43975851</v>
      </c>
      <c r="H825">
        <v>-3358490</v>
      </c>
      <c r="I825">
        <v>35492794</v>
      </c>
      <c r="J825">
        <v>-57476692</v>
      </c>
      <c r="K825">
        <v>-65193868</v>
      </c>
      <c r="P825">
        <v>95</v>
      </c>
      <c r="Q825" t="s">
        <v>1697</v>
      </c>
    </row>
    <row r="826" spans="1:17" x14ac:dyDescent="0.3">
      <c r="A826" t="s">
        <v>32</v>
      </c>
      <c r="B826" t="str">
        <f>"000669"</f>
        <v>000669</v>
      </c>
      <c r="C826" t="s">
        <v>1698</v>
      </c>
      <c r="D826" t="s">
        <v>158</v>
      </c>
      <c r="E826">
        <v>51661426</v>
      </c>
      <c r="F826">
        <v>88100229</v>
      </c>
      <c r="G826">
        <v>273681853</v>
      </c>
      <c r="H826">
        <v>3591845</v>
      </c>
      <c r="I826">
        <v>119780031</v>
      </c>
      <c r="J826">
        <v>-484019911</v>
      </c>
      <c r="K826">
        <v>-236218399</v>
      </c>
      <c r="L826">
        <v>-195884095</v>
      </c>
      <c r="M826">
        <v>-132228642</v>
      </c>
      <c r="N826">
        <v>-44419590</v>
      </c>
      <c r="O826">
        <v>50853244</v>
      </c>
      <c r="P826">
        <v>83</v>
      </c>
      <c r="Q826" t="s">
        <v>1699</v>
      </c>
    </row>
    <row r="827" spans="1:17" x14ac:dyDescent="0.3">
      <c r="A827" t="s">
        <v>32</v>
      </c>
      <c r="B827" t="str">
        <f>"300543"</f>
        <v>300543</v>
      </c>
      <c r="C827" t="s">
        <v>1700</v>
      </c>
      <c r="D827" t="s">
        <v>124</v>
      </c>
      <c r="E827">
        <v>51629537</v>
      </c>
      <c r="F827">
        <v>-158985881</v>
      </c>
      <c r="G827">
        <v>76748323</v>
      </c>
      <c r="H827">
        <v>27582323</v>
      </c>
      <c r="I827">
        <v>-41220860</v>
      </c>
      <c r="J827">
        <v>11672377</v>
      </c>
      <c r="K827">
        <v>19408204</v>
      </c>
      <c r="P827">
        <v>152</v>
      </c>
      <c r="Q827" t="s">
        <v>1701</v>
      </c>
    </row>
    <row r="828" spans="1:17" x14ac:dyDescent="0.3">
      <c r="A828" t="s">
        <v>32</v>
      </c>
      <c r="B828" t="str">
        <f>"002702"</f>
        <v>002702</v>
      </c>
      <c r="C828" t="s">
        <v>1702</v>
      </c>
      <c r="D828" t="s">
        <v>172</v>
      </c>
      <c r="E828">
        <v>51299198</v>
      </c>
      <c r="F828">
        <v>8839248</v>
      </c>
      <c r="G828">
        <v>11103531</v>
      </c>
      <c r="H828">
        <v>18885445</v>
      </c>
      <c r="I828">
        <v>82470902</v>
      </c>
      <c r="J828">
        <v>9694853</v>
      </c>
      <c r="K828">
        <v>81992564</v>
      </c>
      <c r="L828">
        <v>26786271</v>
      </c>
      <c r="M828">
        <v>7364568</v>
      </c>
      <c r="N828">
        <v>8721893</v>
      </c>
      <c r="O828">
        <v>53415275</v>
      </c>
      <c r="P828">
        <v>186</v>
      </c>
      <c r="Q828" t="s">
        <v>1703</v>
      </c>
    </row>
    <row r="829" spans="1:17" x14ac:dyDescent="0.3">
      <c r="A829" t="s">
        <v>32</v>
      </c>
      <c r="B829" t="str">
        <f>"002962"</f>
        <v>002962</v>
      </c>
      <c r="C829" t="s">
        <v>1704</v>
      </c>
      <c r="D829" t="s">
        <v>124</v>
      </c>
      <c r="E829">
        <v>51249224</v>
      </c>
      <c r="F829">
        <v>-9509092</v>
      </c>
      <c r="G829">
        <v>-765591</v>
      </c>
      <c r="H829">
        <v>-11247315</v>
      </c>
      <c r="P829">
        <v>137</v>
      </c>
      <c r="Q829" t="s">
        <v>1705</v>
      </c>
    </row>
    <row r="830" spans="1:17" x14ac:dyDescent="0.3">
      <c r="A830" t="s">
        <v>32</v>
      </c>
      <c r="B830" t="str">
        <f>"002905"</f>
        <v>002905</v>
      </c>
      <c r="C830" t="s">
        <v>1706</v>
      </c>
      <c r="D830" t="s">
        <v>245</v>
      </c>
      <c r="E830">
        <v>51175160</v>
      </c>
      <c r="F830">
        <v>227687062</v>
      </c>
      <c r="G830">
        <v>-216079489</v>
      </c>
      <c r="H830">
        <v>-15931486</v>
      </c>
      <c r="I830">
        <v>3498491</v>
      </c>
      <c r="J830">
        <v>4316445</v>
      </c>
      <c r="P830">
        <v>133</v>
      </c>
      <c r="Q830" t="s">
        <v>1707</v>
      </c>
    </row>
    <row r="831" spans="1:17" x14ac:dyDescent="0.3">
      <c r="A831" t="s">
        <v>32</v>
      </c>
      <c r="B831" t="str">
        <f>"300653"</f>
        <v>300653</v>
      </c>
      <c r="C831" t="s">
        <v>1708</v>
      </c>
      <c r="D831" t="s">
        <v>98</v>
      </c>
      <c r="E831">
        <v>51068750</v>
      </c>
      <c r="F831">
        <v>17444998</v>
      </c>
      <c r="G831">
        <v>-4881285</v>
      </c>
      <c r="H831">
        <v>8554346</v>
      </c>
      <c r="I831">
        <v>17885948</v>
      </c>
      <c r="J831">
        <v>6921054</v>
      </c>
      <c r="K831">
        <v>1588206</v>
      </c>
      <c r="P831">
        <v>901</v>
      </c>
      <c r="Q831" t="s">
        <v>1709</v>
      </c>
    </row>
    <row r="832" spans="1:17" x14ac:dyDescent="0.3">
      <c r="A832" t="s">
        <v>17</v>
      </c>
      <c r="B832" t="str">
        <f>"601566"</f>
        <v>601566</v>
      </c>
      <c r="C832" t="s">
        <v>1710</v>
      </c>
      <c r="D832" t="s">
        <v>130</v>
      </c>
      <c r="E832">
        <v>50898378</v>
      </c>
      <c r="F832">
        <v>144966553</v>
      </c>
      <c r="G832">
        <v>106450797</v>
      </c>
      <c r="H832">
        <v>106148362</v>
      </c>
      <c r="I832">
        <v>211727343</v>
      </c>
      <c r="J832">
        <v>205511748</v>
      </c>
      <c r="K832">
        <v>173606813</v>
      </c>
      <c r="L832">
        <v>235138103</v>
      </c>
      <c r="M832">
        <v>154846440</v>
      </c>
      <c r="N832">
        <v>166383437</v>
      </c>
      <c r="O832">
        <v>110928719</v>
      </c>
      <c r="P832">
        <v>426</v>
      </c>
      <c r="Q832" t="s">
        <v>1711</v>
      </c>
    </row>
    <row r="833" spans="1:17" x14ac:dyDescent="0.3">
      <c r="A833" t="s">
        <v>17</v>
      </c>
      <c r="B833" t="str">
        <f>"688183"</f>
        <v>688183</v>
      </c>
      <c r="C833" t="s">
        <v>1712</v>
      </c>
      <c r="D833" t="s">
        <v>124</v>
      </c>
      <c r="E833">
        <v>50847393</v>
      </c>
      <c r="F833">
        <v>-95834901</v>
      </c>
      <c r="G833">
        <v>147758423</v>
      </c>
      <c r="H833">
        <v>39113600</v>
      </c>
      <c r="P833">
        <v>41</v>
      </c>
      <c r="Q833" t="s">
        <v>1713</v>
      </c>
    </row>
    <row r="834" spans="1:17" x14ac:dyDescent="0.3">
      <c r="A834" t="s">
        <v>32</v>
      </c>
      <c r="B834" t="str">
        <f>"300573"</f>
        <v>300573</v>
      </c>
      <c r="C834" t="s">
        <v>1714</v>
      </c>
      <c r="D834" t="s">
        <v>98</v>
      </c>
      <c r="E834">
        <v>50828803</v>
      </c>
      <c r="F834">
        <v>28256685</v>
      </c>
      <c r="G834">
        <v>-25439333</v>
      </c>
      <c r="H834">
        <v>-459592</v>
      </c>
      <c r="I834">
        <v>-5832266</v>
      </c>
      <c r="J834">
        <v>9513101</v>
      </c>
      <c r="K834">
        <v>8720407</v>
      </c>
      <c r="P834">
        <v>315</v>
      </c>
      <c r="Q834" t="s">
        <v>1715</v>
      </c>
    </row>
    <row r="835" spans="1:17" x14ac:dyDescent="0.3">
      <c r="A835" t="s">
        <v>17</v>
      </c>
      <c r="B835" t="str">
        <f>"603992"</f>
        <v>603992</v>
      </c>
      <c r="C835" t="s">
        <v>1716</v>
      </c>
      <c r="D835" t="s">
        <v>455</v>
      </c>
      <c r="E835">
        <v>50630739</v>
      </c>
      <c r="F835">
        <v>-109966290</v>
      </c>
      <c r="G835">
        <v>-71184585</v>
      </c>
      <c r="H835">
        <v>-14705397</v>
      </c>
      <c r="P835">
        <v>120</v>
      </c>
      <c r="Q835" t="s">
        <v>1717</v>
      </c>
    </row>
    <row r="836" spans="1:17" x14ac:dyDescent="0.3">
      <c r="A836" t="s">
        <v>17</v>
      </c>
      <c r="B836" t="str">
        <f>"600653"</f>
        <v>600653</v>
      </c>
      <c r="C836" t="s">
        <v>1718</v>
      </c>
      <c r="D836" t="s">
        <v>199</v>
      </c>
      <c r="E836">
        <v>50516149</v>
      </c>
      <c r="F836">
        <v>150967434</v>
      </c>
      <c r="G836">
        <v>-152689340</v>
      </c>
      <c r="H836">
        <v>-34608307</v>
      </c>
      <c r="I836">
        <v>-173531013</v>
      </c>
      <c r="J836">
        <v>-375042967</v>
      </c>
      <c r="K836">
        <v>-205900529</v>
      </c>
      <c r="L836">
        <v>2239375</v>
      </c>
      <c r="M836">
        <v>-18840879</v>
      </c>
      <c r="N836">
        <v>12865957</v>
      </c>
      <c r="O836">
        <v>-283498389</v>
      </c>
      <c r="P836">
        <v>93</v>
      </c>
      <c r="Q836" t="s">
        <v>1719</v>
      </c>
    </row>
    <row r="837" spans="1:17" x14ac:dyDescent="0.3">
      <c r="A837" t="s">
        <v>17</v>
      </c>
      <c r="B837" t="str">
        <f>"605286"</f>
        <v>605286</v>
      </c>
      <c r="C837" t="s">
        <v>1720</v>
      </c>
      <c r="D837" t="s">
        <v>135</v>
      </c>
      <c r="E837">
        <v>50505231</v>
      </c>
      <c r="F837">
        <v>-100805328</v>
      </c>
      <c r="G837">
        <v>-17522827</v>
      </c>
      <c r="P837">
        <v>27</v>
      </c>
      <c r="Q837" t="s">
        <v>1721</v>
      </c>
    </row>
    <row r="838" spans="1:17" x14ac:dyDescent="0.3">
      <c r="A838" t="s">
        <v>32</v>
      </c>
      <c r="B838" t="str">
        <f>"301103"</f>
        <v>301103</v>
      </c>
      <c r="C838" t="s">
        <v>1722</v>
      </c>
      <c r="E838">
        <v>50364101</v>
      </c>
      <c r="P838">
        <v>6</v>
      </c>
      <c r="Q838" t="s">
        <v>1723</v>
      </c>
    </row>
    <row r="839" spans="1:17" x14ac:dyDescent="0.3">
      <c r="A839" t="s">
        <v>32</v>
      </c>
      <c r="B839" t="str">
        <f>"300442"</f>
        <v>300442</v>
      </c>
      <c r="C839" t="s">
        <v>1724</v>
      </c>
      <c r="D839" t="s">
        <v>135</v>
      </c>
      <c r="E839">
        <v>50249087</v>
      </c>
      <c r="F839">
        <v>-199181</v>
      </c>
      <c r="G839">
        <v>-27613725</v>
      </c>
      <c r="H839">
        <v>-23513159</v>
      </c>
      <c r="I839">
        <v>-62261692</v>
      </c>
      <c r="J839">
        <v>-9474201</v>
      </c>
      <c r="K839">
        <v>-57196491</v>
      </c>
      <c r="L839">
        <v>-43682515</v>
      </c>
      <c r="M839">
        <v>-30957163</v>
      </c>
      <c r="P839">
        <v>66</v>
      </c>
      <c r="Q839" t="s">
        <v>1725</v>
      </c>
    </row>
    <row r="840" spans="1:17" x14ac:dyDescent="0.3">
      <c r="A840" t="s">
        <v>32</v>
      </c>
      <c r="B840" t="str">
        <f>"300519"</f>
        <v>300519</v>
      </c>
      <c r="C840" t="s">
        <v>1726</v>
      </c>
      <c r="D840" t="s">
        <v>98</v>
      </c>
      <c r="E840">
        <v>49797336</v>
      </c>
      <c r="F840">
        <v>46185540</v>
      </c>
      <c r="G840">
        <v>35356589</v>
      </c>
      <c r="H840">
        <v>30335040</v>
      </c>
      <c r="I840">
        <v>25088307</v>
      </c>
      <c r="J840">
        <v>49554056</v>
      </c>
      <c r="K840">
        <v>59629868</v>
      </c>
      <c r="L840">
        <v>60632441</v>
      </c>
      <c r="P840">
        <v>251</v>
      </c>
      <c r="Q840" t="s">
        <v>1727</v>
      </c>
    </row>
    <row r="841" spans="1:17" x14ac:dyDescent="0.3">
      <c r="A841" t="s">
        <v>32</v>
      </c>
      <c r="B841" t="str">
        <f>"300814"</f>
        <v>300814</v>
      </c>
      <c r="C841" t="s">
        <v>1728</v>
      </c>
      <c r="D841" t="s">
        <v>124</v>
      </c>
      <c r="E841">
        <v>49700655</v>
      </c>
      <c r="F841">
        <v>41416820</v>
      </c>
      <c r="G841">
        <v>19314205</v>
      </c>
      <c r="P841">
        <v>14</v>
      </c>
      <c r="Q841" t="s">
        <v>1729</v>
      </c>
    </row>
    <row r="842" spans="1:17" x14ac:dyDescent="0.3">
      <c r="A842" t="s">
        <v>17</v>
      </c>
      <c r="B842" t="str">
        <f>"688072"</f>
        <v>688072</v>
      </c>
      <c r="C842" t="s">
        <v>1730</v>
      </c>
      <c r="E842">
        <v>49676675</v>
      </c>
      <c r="F842">
        <v>-79673585</v>
      </c>
      <c r="P842">
        <v>6</v>
      </c>
      <c r="Q842" t="s">
        <v>1731</v>
      </c>
    </row>
    <row r="843" spans="1:17" x14ac:dyDescent="0.3">
      <c r="A843" t="s">
        <v>32</v>
      </c>
      <c r="B843" t="str">
        <f>"300068"</f>
        <v>300068</v>
      </c>
      <c r="C843" t="s">
        <v>1732</v>
      </c>
      <c r="D843" t="s">
        <v>464</v>
      </c>
      <c r="E843">
        <v>49505701</v>
      </c>
      <c r="F843">
        <v>-611480154</v>
      </c>
      <c r="G843">
        <v>-442554396</v>
      </c>
      <c r="H843">
        <v>-907364340</v>
      </c>
      <c r="I843">
        <v>-1434786468</v>
      </c>
      <c r="J843">
        <v>-533893727</v>
      </c>
      <c r="K843">
        <v>-424308108</v>
      </c>
      <c r="L843">
        <v>-314271960</v>
      </c>
      <c r="M843">
        <v>-96694940</v>
      </c>
      <c r="N843">
        <v>-245853576</v>
      </c>
      <c r="O843">
        <v>-139506071</v>
      </c>
      <c r="P843">
        <v>305</v>
      </c>
      <c r="Q843" t="s">
        <v>1733</v>
      </c>
    </row>
    <row r="844" spans="1:17" x14ac:dyDescent="0.3">
      <c r="A844" t="s">
        <v>32</v>
      </c>
      <c r="B844" t="str">
        <f>"002698"</f>
        <v>002698</v>
      </c>
      <c r="C844" t="s">
        <v>1734</v>
      </c>
      <c r="D844" t="s">
        <v>135</v>
      </c>
      <c r="E844">
        <v>49487760</v>
      </c>
      <c r="F844">
        <v>99453531</v>
      </c>
      <c r="G844">
        <v>-73842779</v>
      </c>
      <c r="H844">
        <v>74233955</v>
      </c>
      <c r="I844">
        <v>-6736774</v>
      </c>
      <c r="J844">
        <v>22958784</v>
      </c>
      <c r="K844">
        <v>-7237425</v>
      </c>
      <c r="L844">
        <v>22075961</v>
      </c>
      <c r="M844">
        <v>-13255233</v>
      </c>
      <c r="N844">
        <v>19666316</v>
      </c>
      <c r="O844">
        <v>-58694374</v>
      </c>
      <c r="P844">
        <v>271</v>
      </c>
      <c r="Q844" t="s">
        <v>1735</v>
      </c>
    </row>
    <row r="845" spans="1:17" x14ac:dyDescent="0.3">
      <c r="A845" t="s">
        <v>32</v>
      </c>
      <c r="B845" t="str">
        <f>"002628"</f>
        <v>002628</v>
      </c>
      <c r="C845" t="s">
        <v>1736</v>
      </c>
      <c r="D845" t="s">
        <v>645</v>
      </c>
      <c r="E845">
        <v>49408249</v>
      </c>
      <c r="F845">
        <v>-339001283</v>
      </c>
      <c r="G845">
        <v>-293279278</v>
      </c>
      <c r="H845">
        <v>-223615508</v>
      </c>
      <c r="I845">
        <v>18574142</v>
      </c>
      <c r="J845">
        <v>21591092</v>
      </c>
      <c r="K845">
        <v>-12794426</v>
      </c>
      <c r="L845">
        <v>-131126974</v>
      </c>
      <c r="M845">
        <v>-257625596</v>
      </c>
      <c r="N845">
        <v>-448664366</v>
      </c>
      <c r="O845">
        <v>-171576607</v>
      </c>
      <c r="P845">
        <v>91</v>
      </c>
      <c r="Q845" t="s">
        <v>1737</v>
      </c>
    </row>
    <row r="846" spans="1:17" x14ac:dyDescent="0.3">
      <c r="A846" t="s">
        <v>32</v>
      </c>
      <c r="B846" t="str">
        <f>"300879"</f>
        <v>300879</v>
      </c>
      <c r="C846" t="s">
        <v>1738</v>
      </c>
      <c r="D846" t="s">
        <v>135</v>
      </c>
      <c r="E846">
        <v>49075036</v>
      </c>
      <c r="F846">
        <v>-143604221</v>
      </c>
      <c r="G846">
        <v>71828075</v>
      </c>
      <c r="P846">
        <v>52</v>
      </c>
      <c r="Q846" t="s">
        <v>1739</v>
      </c>
    </row>
    <row r="847" spans="1:17" x14ac:dyDescent="0.3">
      <c r="A847" t="s">
        <v>32</v>
      </c>
      <c r="B847" t="str">
        <f>"002545"</f>
        <v>002545</v>
      </c>
      <c r="C847" t="s">
        <v>1740</v>
      </c>
      <c r="D847" t="s">
        <v>645</v>
      </c>
      <c r="E847">
        <v>48955112</v>
      </c>
      <c r="F847">
        <v>-257466463</v>
      </c>
      <c r="G847">
        <v>91893606</v>
      </c>
      <c r="H847">
        <v>-11762608</v>
      </c>
      <c r="I847">
        <v>-125825908</v>
      </c>
      <c r="J847">
        <v>-162383043</v>
      </c>
      <c r="K847">
        <v>158419779</v>
      </c>
      <c r="L847">
        <v>-79538726</v>
      </c>
      <c r="M847">
        <v>-117893844</v>
      </c>
      <c r="N847">
        <v>-20290780</v>
      </c>
      <c r="O847">
        <v>97337898</v>
      </c>
      <c r="P847">
        <v>138</v>
      </c>
      <c r="Q847" t="s">
        <v>1741</v>
      </c>
    </row>
    <row r="848" spans="1:17" x14ac:dyDescent="0.3">
      <c r="A848" t="s">
        <v>32</v>
      </c>
      <c r="B848" t="str">
        <f>"002259"</f>
        <v>002259</v>
      </c>
      <c r="C848" t="s">
        <v>1742</v>
      </c>
      <c r="D848" t="s">
        <v>158</v>
      </c>
      <c r="E848">
        <v>48891649</v>
      </c>
      <c r="F848">
        <v>24164740</v>
      </c>
      <c r="G848">
        <v>8524118</v>
      </c>
      <c r="H848">
        <v>4451590</v>
      </c>
      <c r="I848">
        <v>5759162</v>
      </c>
      <c r="J848">
        <v>-16594485</v>
      </c>
      <c r="K848">
        <v>-39375094</v>
      </c>
      <c r="L848">
        <v>-19754583</v>
      </c>
      <c r="M848">
        <v>-25669660</v>
      </c>
      <c r="N848">
        <v>-56077814</v>
      </c>
      <c r="O848">
        <v>-26070576</v>
      </c>
      <c r="P848">
        <v>59</v>
      </c>
      <c r="Q848" t="s">
        <v>1743</v>
      </c>
    </row>
    <row r="849" spans="1:17" x14ac:dyDescent="0.3">
      <c r="A849" t="s">
        <v>32</v>
      </c>
      <c r="B849" t="str">
        <f>"300099"</f>
        <v>300099</v>
      </c>
      <c r="C849" t="s">
        <v>1744</v>
      </c>
      <c r="D849" t="s">
        <v>135</v>
      </c>
      <c r="E849">
        <v>48868323</v>
      </c>
      <c r="F849">
        <v>18126155</v>
      </c>
      <c r="G849">
        <v>7471704</v>
      </c>
      <c r="H849">
        <v>14469060</v>
      </c>
      <c r="I849">
        <v>-49214804</v>
      </c>
      <c r="J849">
        <v>-19433648</v>
      </c>
      <c r="K849">
        <v>-18868237</v>
      </c>
      <c r="L849">
        <v>-3432908</v>
      </c>
      <c r="M849">
        <v>-15241691</v>
      </c>
      <c r="N849">
        <v>3624305</v>
      </c>
      <c r="O849">
        <v>-14023252</v>
      </c>
      <c r="P849">
        <v>134</v>
      </c>
      <c r="Q849" t="s">
        <v>1745</v>
      </c>
    </row>
    <row r="850" spans="1:17" x14ac:dyDescent="0.3">
      <c r="A850" t="s">
        <v>17</v>
      </c>
      <c r="B850" t="str">
        <f>"600277"</f>
        <v>600277</v>
      </c>
      <c r="C850" t="s">
        <v>1746</v>
      </c>
      <c r="D850" t="s">
        <v>144</v>
      </c>
      <c r="E850">
        <v>48722633</v>
      </c>
      <c r="F850">
        <v>509917451</v>
      </c>
      <c r="G850">
        <v>-73861556</v>
      </c>
      <c r="H850">
        <v>1010175630</v>
      </c>
      <c r="I850">
        <v>-111895985</v>
      </c>
      <c r="J850">
        <v>1147665499</v>
      </c>
      <c r="K850">
        <v>81871674</v>
      </c>
      <c r="L850">
        <v>-23672500</v>
      </c>
      <c r="M850">
        <v>77015317</v>
      </c>
      <c r="N850">
        <v>58409439</v>
      </c>
      <c r="O850">
        <v>116873935</v>
      </c>
      <c r="P850">
        <v>187</v>
      </c>
      <c r="Q850" t="s">
        <v>1747</v>
      </c>
    </row>
    <row r="851" spans="1:17" x14ac:dyDescent="0.3">
      <c r="A851" t="s">
        <v>32</v>
      </c>
      <c r="B851" t="str">
        <f>"301179"</f>
        <v>301179</v>
      </c>
      <c r="C851" t="s">
        <v>1748</v>
      </c>
      <c r="D851" t="s">
        <v>464</v>
      </c>
      <c r="E851">
        <v>48333732</v>
      </c>
      <c r="P851">
        <v>17</v>
      </c>
      <c r="Q851" t="s">
        <v>1749</v>
      </c>
    </row>
    <row r="852" spans="1:17" x14ac:dyDescent="0.3">
      <c r="A852" t="s">
        <v>32</v>
      </c>
      <c r="B852" t="str">
        <f>"002646"</f>
        <v>002646</v>
      </c>
      <c r="C852" t="s">
        <v>1750</v>
      </c>
      <c r="D852" t="s">
        <v>172</v>
      </c>
      <c r="E852">
        <v>48243118</v>
      </c>
      <c r="F852">
        <v>77390318</v>
      </c>
      <c r="G852">
        <v>-121432399</v>
      </c>
      <c r="H852">
        <v>-31451894</v>
      </c>
      <c r="I852">
        <v>68409768</v>
      </c>
      <c r="J852">
        <v>-45160984</v>
      </c>
      <c r="K852">
        <v>132101194</v>
      </c>
      <c r="L852">
        <v>207134738</v>
      </c>
      <c r="M852">
        <v>95401712</v>
      </c>
      <c r="N852">
        <v>133925533</v>
      </c>
      <c r="O852">
        <v>175071666</v>
      </c>
      <c r="P852">
        <v>254</v>
      </c>
      <c r="Q852" t="s">
        <v>1751</v>
      </c>
    </row>
    <row r="853" spans="1:17" x14ac:dyDescent="0.3">
      <c r="A853" t="s">
        <v>32</v>
      </c>
      <c r="B853" t="str">
        <f>"002837"</f>
        <v>002837</v>
      </c>
      <c r="C853" t="s">
        <v>1752</v>
      </c>
      <c r="D853" t="s">
        <v>135</v>
      </c>
      <c r="E853">
        <v>48086013</v>
      </c>
      <c r="F853">
        <v>-176750858</v>
      </c>
      <c r="G853">
        <v>-113361765</v>
      </c>
      <c r="H853">
        <v>-81550166</v>
      </c>
      <c r="I853">
        <v>-70145677</v>
      </c>
      <c r="J853">
        <v>-116534989</v>
      </c>
      <c r="K853">
        <v>-23369775</v>
      </c>
      <c r="P853">
        <v>397</v>
      </c>
      <c r="Q853" t="s">
        <v>1753</v>
      </c>
    </row>
    <row r="854" spans="1:17" x14ac:dyDescent="0.3">
      <c r="A854" t="s">
        <v>32</v>
      </c>
      <c r="B854" t="str">
        <f>"002884"</f>
        <v>002884</v>
      </c>
      <c r="C854" t="s">
        <v>1754</v>
      </c>
      <c r="D854" t="s">
        <v>135</v>
      </c>
      <c r="E854">
        <v>47939948</v>
      </c>
      <c r="F854">
        <v>-20095470</v>
      </c>
      <c r="G854">
        <v>-7567820</v>
      </c>
      <c r="H854">
        <v>54859215</v>
      </c>
      <c r="I854">
        <v>-918306</v>
      </c>
      <c r="J854">
        <v>-2125600</v>
      </c>
      <c r="K854">
        <v>8234000</v>
      </c>
      <c r="P854">
        <v>997</v>
      </c>
      <c r="Q854" t="s">
        <v>1755</v>
      </c>
    </row>
    <row r="855" spans="1:17" x14ac:dyDescent="0.3">
      <c r="A855" t="s">
        <v>32</v>
      </c>
      <c r="B855" t="str">
        <f>"300175"</f>
        <v>300175</v>
      </c>
      <c r="C855" t="s">
        <v>1756</v>
      </c>
      <c r="D855" t="s">
        <v>175</v>
      </c>
      <c r="E855">
        <v>47332420</v>
      </c>
      <c r="F855">
        <v>8617419</v>
      </c>
      <c r="G855">
        <v>-20583828</v>
      </c>
      <c r="H855">
        <v>-7742306</v>
      </c>
      <c r="I855">
        <v>7560798</v>
      </c>
      <c r="J855">
        <v>37508311</v>
      </c>
      <c r="K855">
        <v>176878273</v>
      </c>
      <c r="L855">
        <v>-91547125</v>
      </c>
      <c r="M855">
        <v>-78907284</v>
      </c>
      <c r="N855">
        <v>47672232</v>
      </c>
      <c r="O855">
        <v>57098449</v>
      </c>
      <c r="P855">
        <v>84</v>
      </c>
      <c r="Q855" t="s">
        <v>1757</v>
      </c>
    </row>
    <row r="856" spans="1:17" x14ac:dyDescent="0.3">
      <c r="A856" t="s">
        <v>17</v>
      </c>
      <c r="B856" t="str">
        <f>"688617"</f>
        <v>688617</v>
      </c>
      <c r="C856" t="s">
        <v>1758</v>
      </c>
      <c r="D856" t="s">
        <v>98</v>
      </c>
      <c r="E856">
        <v>47276291</v>
      </c>
      <c r="F856">
        <v>21694994</v>
      </c>
      <c r="P856">
        <v>137</v>
      </c>
      <c r="Q856" t="s">
        <v>1759</v>
      </c>
    </row>
    <row r="857" spans="1:17" x14ac:dyDescent="0.3">
      <c r="A857" t="s">
        <v>32</v>
      </c>
      <c r="B857" t="str">
        <f>"002107"</f>
        <v>002107</v>
      </c>
      <c r="C857" t="s">
        <v>1760</v>
      </c>
      <c r="D857" t="s">
        <v>98</v>
      </c>
      <c r="E857">
        <v>46996348</v>
      </c>
      <c r="F857">
        <v>74273839</v>
      </c>
      <c r="G857">
        <v>45661665</v>
      </c>
      <c r="H857">
        <v>16322822</v>
      </c>
      <c r="I857">
        <v>8177071</v>
      </c>
      <c r="J857">
        <v>31797243</v>
      </c>
      <c r="K857">
        <v>15109640</v>
      </c>
      <c r="L857">
        <v>19320396</v>
      </c>
      <c r="M857">
        <v>-5940181</v>
      </c>
      <c r="N857">
        <v>-4683095</v>
      </c>
      <c r="O857">
        <v>-12519629</v>
      </c>
      <c r="P857">
        <v>351</v>
      </c>
      <c r="Q857" t="s">
        <v>1761</v>
      </c>
    </row>
    <row r="858" spans="1:17" x14ac:dyDescent="0.3">
      <c r="A858" t="s">
        <v>32</v>
      </c>
      <c r="B858" t="str">
        <f>"000678"</f>
        <v>000678</v>
      </c>
      <c r="C858" t="s">
        <v>1762</v>
      </c>
      <c r="D858" t="s">
        <v>199</v>
      </c>
      <c r="E858">
        <v>46863507</v>
      </c>
      <c r="F858">
        <v>34984548</v>
      </c>
      <c r="G858">
        <v>-10546715</v>
      </c>
      <c r="H858">
        <v>-80778641</v>
      </c>
      <c r="I858">
        <v>-8169253</v>
      </c>
      <c r="J858">
        <v>-89151380</v>
      </c>
      <c r="K858">
        <v>-15989856</v>
      </c>
      <c r="L858">
        <v>-90857322</v>
      </c>
      <c r="M858">
        <v>-74894458</v>
      </c>
      <c r="N858">
        <v>-63627943</v>
      </c>
      <c r="O858">
        <v>-48351389</v>
      </c>
      <c r="P858">
        <v>71</v>
      </c>
      <c r="Q858" t="s">
        <v>1763</v>
      </c>
    </row>
    <row r="859" spans="1:17" x14ac:dyDescent="0.3">
      <c r="A859" t="s">
        <v>17</v>
      </c>
      <c r="B859" t="str">
        <f>"600715"</f>
        <v>600715</v>
      </c>
      <c r="C859" t="s">
        <v>1764</v>
      </c>
      <c r="D859" t="s">
        <v>245</v>
      </c>
      <c r="E859">
        <v>46563648</v>
      </c>
      <c r="F859">
        <v>17886366</v>
      </c>
      <c r="G859">
        <v>14673897</v>
      </c>
      <c r="H859">
        <v>-85755930</v>
      </c>
      <c r="I859">
        <v>-419903270</v>
      </c>
      <c r="J859">
        <v>281631221</v>
      </c>
      <c r="K859">
        <v>-91924812</v>
      </c>
      <c r="L859">
        <v>114485239</v>
      </c>
      <c r="M859">
        <v>1667407</v>
      </c>
      <c r="N859">
        <v>-3386587</v>
      </c>
      <c r="O859">
        <v>-2347824</v>
      </c>
      <c r="P859">
        <v>127</v>
      </c>
      <c r="Q859" t="s">
        <v>1765</v>
      </c>
    </row>
    <row r="860" spans="1:17" x14ac:dyDescent="0.3">
      <c r="A860" t="s">
        <v>32</v>
      </c>
      <c r="B860" t="str">
        <f>"002558"</f>
        <v>002558</v>
      </c>
      <c r="C860" t="s">
        <v>1766</v>
      </c>
      <c r="D860" t="s">
        <v>245</v>
      </c>
      <c r="E860">
        <v>46488482</v>
      </c>
      <c r="F860">
        <v>89638125</v>
      </c>
      <c r="G860">
        <v>170338389</v>
      </c>
      <c r="H860">
        <v>392368780</v>
      </c>
      <c r="I860">
        <v>-372624134</v>
      </c>
      <c r="J860">
        <v>445971139</v>
      </c>
      <c r="K860">
        <v>3089427</v>
      </c>
      <c r="L860">
        <v>-18946550</v>
      </c>
      <c r="M860">
        <v>-14127616</v>
      </c>
      <c r="N860">
        <v>-46040667</v>
      </c>
      <c r="O860">
        <v>-20251534</v>
      </c>
      <c r="P860">
        <v>458</v>
      </c>
      <c r="Q860" t="s">
        <v>1767</v>
      </c>
    </row>
    <row r="861" spans="1:17" x14ac:dyDescent="0.3">
      <c r="A861" t="s">
        <v>17</v>
      </c>
      <c r="B861" t="str">
        <f>"600186"</f>
        <v>600186</v>
      </c>
      <c r="C861" t="s">
        <v>1768</v>
      </c>
      <c r="D861" t="s">
        <v>172</v>
      </c>
      <c r="E861">
        <v>46252415</v>
      </c>
      <c r="F861">
        <v>-1296738</v>
      </c>
      <c r="G861">
        <v>-738483335</v>
      </c>
      <c r="H861">
        <v>-70214934</v>
      </c>
      <c r="I861">
        <v>-31788025</v>
      </c>
      <c r="J861">
        <v>-5095919</v>
      </c>
      <c r="K861">
        <v>8068208</v>
      </c>
      <c r="L861">
        <v>-8916243</v>
      </c>
      <c r="M861">
        <v>-24908929</v>
      </c>
      <c r="N861">
        <v>2724721</v>
      </c>
      <c r="O861">
        <v>-86400</v>
      </c>
      <c r="P861">
        <v>182</v>
      </c>
      <c r="Q861" t="s">
        <v>1769</v>
      </c>
    </row>
    <row r="862" spans="1:17" x14ac:dyDescent="0.3">
      <c r="A862" t="s">
        <v>32</v>
      </c>
      <c r="B862" t="str">
        <f>"000609"</f>
        <v>000609</v>
      </c>
      <c r="C862" t="s">
        <v>1770</v>
      </c>
      <c r="D862" t="s">
        <v>151</v>
      </c>
      <c r="E862">
        <v>46215244</v>
      </c>
      <c r="F862">
        <v>-24112226</v>
      </c>
      <c r="G862">
        <v>-62788342</v>
      </c>
      <c r="H862">
        <v>41740479</v>
      </c>
      <c r="I862">
        <v>-370751504</v>
      </c>
      <c r="J862">
        <v>-28440418</v>
      </c>
      <c r="K862">
        <v>-55883613</v>
      </c>
      <c r="L862">
        <v>-34874908</v>
      </c>
      <c r="M862">
        <v>19584505</v>
      </c>
      <c r="N862">
        <v>27158065</v>
      </c>
      <c r="O862">
        <v>61246907</v>
      </c>
      <c r="P862">
        <v>95</v>
      </c>
      <c r="Q862" t="s">
        <v>1771</v>
      </c>
    </row>
    <row r="863" spans="1:17" x14ac:dyDescent="0.3">
      <c r="A863" t="s">
        <v>32</v>
      </c>
      <c r="B863" t="str">
        <f>"300033"</f>
        <v>300033</v>
      </c>
      <c r="C863" t="s">
        <v>1772</v>
      </c>
      <c r="D863" t="s">
        <v>342</v>
      </c>
      <c r="E863">
        <v>46123497</v>
      </c>
      <c r="F863">
        <v>165321941</v>
      </c>
      <c r="G863">
        <v>192771974</v>
      </c>
      <c r="H863">
        <v>125023214</v>
      </c>
      <c r="I863">
        <v>36961023</v>
      </c>
      <c r="J863">
        <v>130343859</v>
      </c>
      <c r="K863">
        <v>140020409</v>
      </c>
      <c r="L863">
        <v>99032619</v>
      </c>
      <c r="M863">
        <v>-30483381</v>
      </c>
      <c r="N863">
        <v>-17380069</v>
      </c>
      <c r="O863">
        <v>-21182079</v>
      </c>
      <c r="P863">
        <v>2725</v>
      </c>
      <c r="Q863" t="s">
        <v>1773</v>
      </c>
    </row>
    <row r="864" spans="1:17" x14ac:dyDescent="0.3">
      <c r="A864" t="s">
        <v>17</v>
      </c>
      <c r="B864" t="str">
        <f>"603215"</f>
        <v>603215</v>
      </c>
      <c r="C864" t="s">
        <v>1774</v>
      </c>
      <c r="E864">
        <v>45947256</v>
      </c>
      <c r="P864">
        <v>13</v>
      </c>
      <c r="Q864" t="s">
        <v>1775</v>
      </c>
    </row>
    <row r="865" spans="1:17" x14ac:dyDescent="0.3">
      <c r="A865" t="s">
        <v>17</v>
      </c>
      <c r="B865" t="str">
        <f>"603045"</f>
        <v>603045</v>
      </c>
      <c r="C865" t="s">
        <v>1776</v>
      </c>
      <c r="D865" t="s">
        <v>121</v>
      </c>
      <c r="E865">
        <v>45886490</v>
      </c>
      <c r="F865">
        <v>-457163742</v>
      </c>
      <c r="G865">
        <v>-182510530</v>
      </c>
      <c r="H865">
        <v>-289249897</v>
      </c>
      <c r="I865">
        <v>-296913215</v>
      </c>
      <c r="J865">
        <v>-147676342</v>
      </c>
      <c r="P865">
        <v>54</v>
      </c>
      <c r="Q865" t="s">
        <v>1777</v>
      </c>
    </row>
    <row r="866" spans="1:17" x14ac:dyDescent="0.3">
      <c r="A866" t="s">
        <v>32</v>
      </c>
      <c r="B866" t="str">
        <f>"002069"</f>
        <v>002069</v>
      </c>
      <c r="C866" t="s">
        <v>1778</v>
      </c>
      <c r="D866" t="s">
        <v>175</v>
      </c>
      <c r="E866">
        <v>45758266</v>
      </c>
      <c r="F866">
        <v>51010172</v>
      </c>
      <c r="G866">
        <v>5656744</v>
      </c>
      <c r="H866">
        <v>-15753362</v>
      </c>
      <c r="I866">
        <v>61797458</v>
      </c>
      <c r="J866">
        <v>-219570830</v>
      </c>
      <c r="K866">
        <v>-54096950</v>
      </c>
      <c r="L866">
        <v>-16995165</v>
      </c>
      <c r="M866">
        <v>-80361157</v>
      </c>
      <c r="N866">
        <v>-195443053</v>
      </c>
      <c r="O866">
        <v>-476740285</v>
      </c>
      <c r="P866">
        <v>406</v>
      </c>
      <c r="Q866" t="s">
        <v>1779</v>
      </c>
    </row>
    <row r="867" spans="1:17" x14ac:dyDescent="0.3">
      <c r="A867" t="s">
        <v>17</v>
      </c>
      <c r="B867" t="str">
        <f>"601086"</f>
        <v>601086</v>
      </c>
      <c r="C867" t="s">
        <v>1780</v>
      </c>
      <c r="D867" t="s">
        <v>218</v>
      </c>
      <c r="E867">
        <v>45726568</v>
      </c>
      <c r="F867">
        <v>92355071</v>
      </c>
      <c r="G867">
        <v>-82046534</v>
      </c>
      <c r="H867">
        <v>22210742</v>
      </c>
      <c r="I867">
        <v>116916030</v>
      </c>
      <c r="J867">
        <v>-79321922</v>
      </c>
      <c r="P867">
        <v>79</v>
      </c>
      <c r="Q867" t="s">
        <v>1781</v>
      </c>
    </row>
    <row r="868" spans="1:17" x14ac:dyDescent="0.3">
      <c r="A868" t="s">
        <v>32</v>
      </c>
      <c r="B868" t="str">
        <f>"300130"</f>
        <v>300130</v>
      </c>
      <c r="C868" t="s">
        <v>1782</v>
      </c>
      <c r="D868" t="s">
        <v>342</v>
      </c>
      <c r="E868">
        <v>45626897</v>
      </c>
      <c r="F868">
        <v>77666597</v>
      </c>
      <c r="G868">
        <v>102652161</v>
      </c>
      <c r="H868">
        <v>-10041676</v>
      </c>
      <c r="I868">
        <v>-58487007</v>
      </c>
      <c r="J868">
        <v>-112973587</v>
      </c>
      <c r="K868">
        <v>-142136370</v>
      </c>
      <c r="L868">
        <v>-75157896</v>
      </c>
      <c r="M868">
        <v>-94152349</v>
      </c>
      <c r="N868">
        <v>-70483366</v>
      </c>
      <c r="O868">
        <v>-99431077</v>
      </c>
      <c r="P868">
        <v>203</v>
      </c>
      <c r="Q868" t="s">
        <v>1783</v>
      </c>
    </row>
    <row r="869" spans="1:17" x14ac:dyDescent="0.3">
      <c r="A869" t="s">
        <v>17</v>
      </c>
      <c r="B869" t="str">
        <f>"600148"</f>
        <v>600148</v>
      </c>
      <c r="C869" t="s">
        <v>1784</v>
      </c>
      <c r="D869" t="s">
        <v>199</v>
      </c>
      <c r="E869">
        <v>45573506</v>
      </c>
      <c r="F869">
        <v>-44308217</v>
      </c>
      <c r="G869">
        <v>-40697160</v>
      </c>
      <c r="H869">
        <v>-2782295</v>
      </c>
      <c r="I869">
        <v>-8620992</v>
      </c>
      <c r="J869">
        <v>-28338380</v>
      </c>
      <c r="K869">
        <v>4297477</v>
      </c>
      <c r="L869">
        <v>6162532</v>
      </c>
      <c r="M869">
        <v>42144225</v>
      </c>
      <c r="N869">
        <v>-18636140</v>
      </c>
      <c r="O869">
        <v>-23290468</v>
      </c>
      <c r="P869">
        <v>75</v>
      </c>
      <c r="Q869" t="s">
        <v>1785</v>
      </c>
    </row>
    <row r="870" spans="1:17" x14ac:dyDescent="0.3">
      <c r="A870" t="s">
        <v>17</v>
      </c>
      <c r="B870" t="str">
        <f>"600740"</f>
        <v>600740</v>
      </c>
      <c r="C870" t="s">
        <v>1786</v>
      </c>
      <c r="D870" t="s">
        <v>73</v>
      </c>
      <c r="E870">
        <v>45524959</v>
      </c>
      <c r="F870">
        <v>88504960</v>
      </c>
      <c r="G870">
        <v>-105476719</v>
      </c>
      <c r="H870">
        <v>118822270</v>
      </c>
      <c r="I870">
        <v>44983652</v>
      </c>
      <c r="J870">
        <v>80205081</v>
      </c>
      <c r="K870">
        <v>-225676245</v>
      </c>
      <c r="L870">
        <v>-497385861</v>
      </c>
      <c r="M870">
        <v>209252107</v>
      </c>
      <c r="N870">
        <v>25951186</v>
      </c>
      <c r="O870">
        <v>60180918</v>
      </c>
      <c r="P870">
        <v>331</v>
      </c>
      <c r="Q870" t="s">
        <v>1787</v>
      </c>
    </row>
    <row r="871" spans="1:17" x14ac:dyDescent="0.3">
      <c r="A871" t="s">
        <v>32</v>
      </c>
      <c r="B871" t="str">
        <f>"002536"</f>
        <v>002536</v>
      </c>
      <c r="C871" t="s">
        <v>1788</v>
      </c>
      <c r="D871" t="s">
        <v>199</v>
      </c>
      <c r="E871">
        <v>45425856</v>
      </c>
      <c r="F871">
        <v>-110983738</v>
      </c>
      <c r="G871">
        <v>40922903</v>
      </c>
      <c r="H871">
        <v>128587614</v>
      </c>
      <c r="I871">
        <v>-12641358</v>
      </c>
      <c r="J871">
        <v>31298910</v>
      </c>
      <c r="K871">
        <v>-29171055</v>
      </c>
      <c r="L871">
        <v>34682631</v>
      </c>
      <c r="M871">
        <v>-30713203</v>
      </c>
      <c r="N871">
        <v>-40735107</v>
      </c>
      <c r="O871">
        <v>-51818191</v>
      </c>
      <c r="P871">
        <v>254</v>
      </c>
      <c r="Q871" t="s">
        <v>1789</v>
      </c>
    </row>
    <row r="872" spans="1:17" x14ac:dyDescent="0.3">
      <c r="A872" t="s">
        <v>32</v>
      </c>
      <c r="B872" t="str">
        <f>"301180"</f>
        <v>301180</v>
      </c>
      <c r="C872" t="s">
        <v>1790</v>
      </c>
      <c r="D872" t="s">
        <v>124</v>
      </c>
      <c r="E872">
        <v>45362817</v>
      </c>
      <c r="P872">
        <v>15</v>
      </c>
      <c r="Q872" t="s">
        <v>1791</v>
      </c>
    </row>
    <row r="873" spans="1:17" x14ac:dyDescent="0.3">
      <c r="A873" t="s">
        <v>17</v>
      </c>
      <c r="B873" t="str">
        <f>"603006"</f>
        <v>603006</v>
      </c>
      <c r="C873" t="s">
        <v>1792</v>
      </c>
      <c r="D873" t="s">
        <v>199</v>
      </c>
      <c r="E873">
        <v>45216042</v>
      </c>
      <c r="F873">
        <v>81409199</v>
      </c>
      <c r="G873">
        <v>48236749</v>
      </c>
      <c r="H873">
        <v>11038846</v>
      </c>
      <c r="I873">
        <v>15893824</v>
      </c>
      <c r="J873">
        <v>-15523241</v>
      </c>
      <c r="K873">
        <v>34051746</v>
      </c>
      <c r="L873">
        <v>-16296482</v>
      </c>
      <c r="M873">
        <v>5575119</v>
      </c>
      <c r="N873">
        <v>-8346482</v>
      </c>
      <c r="P873">
        <v>106</v>
      </c>
      <c r="Q873" t="s">
        <v>1793</v>
      </c>
    </row>
    <row r="874" spans="1:17" x14ac:dyDescent="0.3">
      <c r="A874" t="s">
        <v>17</v>
      </c>
      <c r="B874" t="str">
        <f>"688468"</f>
        <v>688468</v>
      </c>
      <c r="C874" t="s">
        <v>1794</v>
      </c>
      <c r="D874" t="s">
        <v>98</v>
      </c>
      <c r="E874">
        <v>45181780</v>
      </c>
      <c r="F874">
        <v>21142695</v>
      </c>
      <c r="G874">
        <v>-11402568</v>
      </c>
      <c r="P874">
        <v>39</v>
      </c>
      <c r="Q874" t="s">
        <v>1795</v>
      </c>
    </row>
    <row r="875" spans="1:17" x14ac:dyDescent="0.3">
      <c r="A875" t="s">
        <v>17</v>
      </c>
      <c r="B875" t="str">
        <f>"600130"</f>
        <v>600130</v>
      </c>
      <c r="C875" t="s">
        <v>1796</v>
      </c>
      <c r="D875" t="s">
        <v>124</v>
      </c>
      <c r="E875">
        <v>45132744</v>
      </c>
      <c r="F875">
        <v>15902551</v>
      </c>
      <c r="G875">
        <v>-6001013</v>
      </c>
      <c r="H875">
        <v>8573344</v>
      </c>
      <c r="I875">
        <v>9160971</v>
      </c>
      <c r="J875">
        <v>5877427</v>
      </c>
      <c r="K875">
        <v>-105776662</v>
      </c>
      <c r="L875">
        <v>-9653917</v>
      </c>
      <c r="M875">
        <v>-18808824</v>
      </c>
      <c r="N875">
        <v>-6410417</v>
      </c>
      <c r="O875">
        <v>6165697</v>
      </c>
      <c r="P875">
        <v>93</v>
      </c>
      <c r="Q875" t="s">
        <v>1797</v>
      </c>
    </row>
    <row r="876" spans="1:17" x14ac:dyDescent="0.3">
      <c r="A876" t="s">
        <v>32</v>
      </c>
      <c r="B876" t="str">
        <f>"002655"</f>
        <v>002655</v>
      </c>
      <c r="C876" t="s">
        <v>1798</v>
      </c>
      <c r="D876" t="s">
        <v>124</v>
      </c>
      <c r="E876">
        <v>45105701</v>
      </c>
      <c r="F876">
        <v>-18270760</v>
      </c>
      <c r="G876">
        <v>19046241</v>
      </c>
      <c r="H876">
        <v>-4614338</v>
      </c>
      <c r="I876">
        <v>-54156067</v>
      </c>
      <c r="J876">
        <v>-27809387</v>
      </c>
      <c r="K876">
        <v>-34789769</v>
      </c>
      <c r="L876">
        <v>-26324954</v>
      </c>
      <c r="M876">
        <v>-17252241</v>
      </c>
      <c r="N876">
        <v>-115632557</v>
      </c>
      <c r="O876">
        <v>-18102374</v>
      </c>
      <c r="P876">
        <v>231</v>
      </c>
      <c r="Q876" t="s">
        <v>1799</v>
      </c>
    </row>
    <row r="877" spans="1:17" x14ac:dyDescent="0.3">
      <c r="A877" t="s">
        <v>32</v>
      </c>
      <c r="B877" t="str">
        <f>"002578"</f>
        <v>002578</v>
      </c>
      <c r="C877" t="s">
        <v>1800</v>
      </c>
      <c r="D877" t="s">
        <v>121</v>
      </c>
      <c r="E877">
        <v>44726566</v>
      </c>
      <c r="F877">
        <v>-36601615</v>
      </c>
      <c r="G877">
        <v>2191662</v>
      </c>
      <c r="H877">
        <v>111525513</v>
      </c>
      <c r="I877">
        <v>29781240</v>
      </c>
      <c r="J877">
        <v>43344215</v>
      </c>
      <c r="K877">
        <v>29961057</v>
      </c>
      <c r="L877">
        <v>-62986100</v>
      </c>
      <c r="M877">
        <v>-29713274</v>
      </c>
      <c r="N877">
        <v>-43427454</v>
      </c>
      <c r="O877">
        <v>-23207130</v>
      </c>
      <c r="P877">
        <v>91</v>
      </c>
      <c r="Q877" t="s">
        <v>1801</v>
      </c>
    </row>
    <row r="878" spans="1:17" x14ac:dyDescent="0.3">
      <c r="A878" t="s">
        <v>17</v>
      </c>
      <c r="B878" t="str">
        <f>"603179"</f>
        <v>603179</v>
      </c>
      <c r="C878" t="s">
        <v>1802</v>
      </c>
      <c r="D878" t="s">
        <v>199</v>
      </c>
      <c r="E878">
        <v>44724671</v>
      </c>
      <c r="F878">
        <v>-114681385</v>
      </c>
      <c r="G878">
        <v>-94368788</v>
      </c>
      <c r="H878">
        <v>-68372707</v>
      </c>
      <c r="I878">
        <v>64380945</v>
      </c>
      <c r="J878">
        <v>-23341507</v>
      </c>
      <c r="K878">
        <v>-15409732</v>
      </c>
      <c r="P878">
        <v>303</v>
      </c>
      <c r="Q878" t="s">
        <v>1803</v>
      </c>
    </row>
    <row r="879" spans="1:17" x14ac:dyDescent="0.3">
      <c r="A879" t="s">
        <v>17</v>
      </c>
      <c r="B879" t="str">
        <f>"603528"</f>
        <v>603528</v>
      </c>
      <c r="C879" t="s">
        <v>1804</v>
      </c>
      <c r="D879" t="s">
        <v>342</v>
      </c>
      <c r="E879">
        <v>44655656</v>
      </c>
      <c r="F879">
        <v>-10599931</v>
      </c>
      <c r="G879">
        <v>-61830868</v>
      </c>
      <c r="H879">
        <v>-10479311</v>
      </c>
      <c r="I879">
        <v>-27621989</v>
      </c>
      <c r="J879">
        <v>-75366217</v>
      </c>
      <c r="K879">
        <v>-21022317</v>
      </c>
      <c r="L879">
        <v>24774464</v>
      </c>
      <c r="P879">
        <v>195</v>
      </c>
      <c r="Q879" t="s">
        <v>1805</v>
      </c>
    </row>
    <row r="880" spans="1:17" x14ac:dyDescent="0.3">
      <c r="A880" t="s">
        <v>17</v>
      </c>
      <c r="B880" t="str">
        <f>"600283"</f>
        <v>600283</v>
      </c>
      <c r="C880" t="s">
        <v>1806</v>
      </c>
      <c r="D880" t="s">
        <v>1334</v>
      </c>
      <c r="E880">
        <v>43916094</v>
      </c>
      <c r="F880">
        <v>-73587148</v>
      </c>
      <c r="G880">
        <v>-15482380</v>
      </c>
      <c r="H880">
        <v>-32510176</v>
      </c>
      <c r="I880">
        <v>-10966010</v>
      </c>
      <c r="J880">
        <v>-15068537</v>
      </c>
      <c r="K880">
        <v>-3906791</v>
      </c>
      <c r="L880">
        <v>-46221026</v>
      </c>
      <c r="M880">
        <v>-103154597</v>
      </c>
      <c r="N880">
        <v>-93047747</v>
      </c>
      <c r="O880">
        <v>-13579613</v>
      </c>
      <c r="P880">
        <v>122</v>
      </c>
      <c r="Q880" t="s">
        <v>1807</v>
      </c>
    </row>
    <row r="881" spans="1:17" x14ac:dyDescent="0.3">
      <c r="A881" t="s">
        <v>32</v>
      </c>
      <c r="B881" t="str">
        <f>"300695"</f>
        <v>300695</v>
      </c>
      <c r="C881" t="s">
        <v>1808</v>
      </c>
      <c r="D881" t="s">
        <v>199</v>
      </c>
      <c r="E881">
        <v>43691537</v>
      </c>
      <c r="F881">
        <v>-53178730</v>
      </c>
      <c r="G881">
        <v>-25446217</v>
      </c>
      <c r="H881">
        <v>30235457</v>
      </c>
      <c r="I881">
        <v>13630058</v>
      </c>
      <c r="J881">
        <v>18206371</v>
      </c>
      <c r="P881">
        <v>125</v>
      </c>
      <c r="Q881" t="s">
        <v>1809</v>
      </c>
    </row>
    <row r="882" spans="1:17" x14ac:dyDescent="0.3">
      <c r="A882" t="s">
        <v>32</v>
      </c>
      <c r="B882" t="str">
        <f>"002316"</f>
        <v>002316</v>
      </c>
      <c r="C882" t="s">
        <v>1810</v>
      </c>
      <c r="D882" t="s">
        <v>26</v>
      </c>
      <c r="E882">
        <v>43571533</v>
      </c>
      <c r="F882">
        <v>-144157644</v>
      </c>
      <c r="G882">
        <v>-43629104</v>
      </c>
      <c r="H882">
        <v>-46236365</v>
      </c>
      <c r="I882">
        <v>141355860</v>
      </c>
      <c r="J882">
        <v>-90642591</v>
      </c>
      <c r="K882">
        <v>-70031085</v>
      </c>
      <c r="L882">
        <v>-1694168</v>
      </c>
      <c r="M882">
        <v>-15530647</v>
      </c>
      <c r="N882">
        <v>-78100270</v>
      </c>
      <c r="O882">
        <v>-23433504</v>
      </c>
      <c r="P882">
        <v>229</v>
      </c>
      <c r="Q882" t="s">
        <v>1811</v>
      </c>
    </row>
    <row r="883" spans="1:17" x14ac:dyDescent="0.3">
      <c r="A883" t="s">
        <v>17</v>
      </c>
      <c r="B883" t="str">
        <f>"605111"</f>
        <v>605111</v>
      </c>
      <c r="C883" t="s">
        <v>1812</v>
      </c>
      <c r="D883" t="s">
        <v>124</v>
      </c>
      <c r="E883">
        <v>43470538</v>
      </c>
      <c r="F883">
        <v>24460329</v>
      </c>
      <c r="G883">
        <v>-30545121</v>
      </c>
      <c r="P883">
        <v>333</v>
      </c>
      <c r="Q883" t="s">
        <v>1813</v>
      </c>
    </row>
    <row r="884" spans="1:17" x14ac:dyDescent="0.3">
      <c r="A884" t="s">
        <v>32</v>
      </c>
      <c r="B884" t="str">
        <f>"300307"</f>
        <v>300307</v>
      </c>
      <c r="C884" t="s">
        <v>1814</v>
      </c>
      <c r="D884" t="s">
        <v>135</v>
      </c>
      <c r="E884">
        <v>43459225</v>
      </c>
      <c r="F884">
        <v>32347911</v>
      </c>
      <c r="G884">
        <v>-32055881</v>
      </c>
      <c r="H884">
        <v>47520109</v>
      </c>
      <c r="I884">
        <v>-22794819</v>
      </c>
      <c r="J884">
        <v>98042318</v>
      </c>
      <c r="K884">
        <v>-16443967</v>
      </c>
      <c r="L884">
        <v>-27303890</v>
      </c>
      <c r="M884">
        <v>-331620184</v>
      </c>
      <c r="N884">
        <v>131930011</v>
      </c>
      <c r="O884">
        <v>398055439</v>
      </c>
      <c r="P884">
        <v>2981</v>
      </c>
      <c r="Q884" t="s">
        <v>1815</v>
      </c>
    </row>
    <row r="885" spans="1:17" x14ac:dyDescent="0.3">
      <c r="A885" t="s">
        <v>17</v>
      </c>
      <c r="B885" t="str">
        <f>"603601"</f>
        <v>603601</v>
      </c>
      <c r="C885" t="s">
        <v>1816</v>
      </c>
      <c r="D885" t="s">
        <v>400</v>
      </c>
      <c r="E885">
        <v>43339790</v>
      </c>
      <c r="F885">
        <v>-7429598</v>
      </c>
      <c r="G885">
        <v>47679332</v>
      </c>
      <c r="H885">
        <v>26420916</v>
      </c>
      <c r="I885">
        <v>-59669822</v>
      </c>
      <c r="J885">
        <v>-17508392</v>
      </c>
      <c r="K885">
        <v>-8576744</v>
      </c>
      <c r="L885">
        <v>-9266652</v>
      </c>
      <c r="M885">
        <v>2776371</v>
      </c>
      <c r="P885">
        <v>501</v>
      </c>
      <c r="Q885" t="s">
        <v>1817</v>
      </c>
    </row>
    <row r="886" spans="1:17" x14ac:dyDescent="0.3">
      <c r="A886" t="s">
        <v>32</v>
      </c>
      <c r="B886" t="str">
        <f>"000972"</f>
        <v>000972</v>
      </c>
      <c r="C886" t="s">
        <v>1818</v>
      </c>
      <c r="D886" t="s">
        <v>175</v>
      </c>
      <c r="E886">
        <v>42957591</v>
      </c>
      <c r="F886">
        <v>-25390803</v>
      </c>
      <c r="G886">
        <v>-4790684</v>
      </c>
      <c r="H886">
        <v>-13306335</v>
      </c>
      <c r="I886">
        <v>6116029</v>
      </c>
      <c r="J886">
        <v>16568903</v>
      </c>
      <c r="K886">
        <v>-211223711</v>
      </c>
      <c r="L886">
        <v>-81371528</v>
      </c>
      <c r="M886">
        <v>32607354</v>
      </c>
      <c r="N886">
        <v>103105940</v>
      </c>
      <c r="O886">
        <v>-81312012</v>
      </c>
      <c r="P886">
        <v>78</v>
      </c>
      <c r="Q886" t="s">
        <v>1819</v>
      </c>
    </row>
    <row r="887" spans="1:17" x14ac:dyDescent="0.3">
      <c r="A887" t="s">
        <v>32</v>
      </c>
      <c r="B887" t="str">
        <f>"002167"</f>
        <v>002167</v>
      </c>
      <c r="C887" t="s">
        <v>1820</v>
      </c>
      <c r="D887" t="s">
        <v>121</v>
      </c>
      <c r="E887">
        <v>42756716</v>
      </c>
      <c r="F887">
        <v>137422367</v>
      </c>
      <c r="G887">
        <v>-39721020</v>
      </c>
      <c r="H887">
        <v>-39579432</v>
      </c>
      <c r="I887">
        <v>191345550</v>
      </c>
      <c r="J887">
        <v>39981580</v>
      </c>
      <c r="K887">
        <v>-81953870</v>
      </c>
      <c r="L887">
        <v>28936980</v>
      </c>
      <c r="M887">
        <v>-139351006</v>
      </c>
      <c r="N887">
        <v>-116966443</v>
      </c>
      <c r="O887">
        <v>-101873756</v>
      </c>
      <c r="P887">
        <v>112</v>
      </c>
      <c r="Q887" t="s">
        <v>1821</v>
      </c>
    </row>
    <row r="888" spans="1:17" x14ac:dyDescent="0.3">
      <c r="A888" t="s">
        <v>32</v>
      </c>
      <c r="B888" t="str">
        <f>"300048"</f>
        <v>300048</v>
      </c>
      <c r="C888" t="s">
        <v>1822</v>
      </c>
      <c r="D888" t="s">
        <v>135</v>
      </c>
      <c r="E888">
        <v>42542588</v>
      </c>
      <c r="F888">
        <v>-44027885</v>
      </c>
      <c r="G888">
        <v>-6909157</v>
      </c>
      <c r="H888">
        <v>23368957</v>
      </c>
      <c r="I888">
        <v>-50489258</v>
      </c>
      <c r="J888">
        <v>-87503727</v>
      </c>
      <c r="K888">
        <v>-145645586</v>
      </c>
      <c r="L888">
        <v>-48154534</v>
      </c>
      <c r="M888">
        <v>6349228</v>
      </c>
      <c r="N888">
        <v>-49194170</v>
      </c>
      <c r="O888">
        <v>-56289863</v>
      </c>
      <c r="P888">
        <v>119</v>
      </c>
      <c r="Q888" t="s">
        <v>1823</v>
      </c>
    </row>
    <row r="889" spans="1:17" x14ac:dyDescent="0.3">
      <c r="A889" t="s">
        <v>17</v>
      </c>
      <c r="B889" t="str">
        <f>"600605"</f>
        <v>600605</v>
      </c>
      <c r="C889" t="s">
        <v>1824</v>
      </c>
      <c r="D889" t="s">
        <v>218</v>
      </c>
      <c r="E889">
        <v>42537669</v>
      </c>
      <c r="F889">
        <v>-577082139</v>
      </c>
      <c r="G889">
        <v>-1771540</v>
      </c>
      <c r="H889">
        <v>-10524896</v>
      </c>
      <c r="I889">
        <v>-95375243</v>
      </c>
      <c r="J889">
        <v>18280785</v>
      </c>
      <c r="K889">
        <v>-57581047</v>
      </c>
      <c r="L889">
        <v>-50013583</v>
      </c>
      <c r="M889">
        <v>80974515</v>
      </c>
      <c r="N889">
        <v>-2693104</v>
      </c>
      <c r="O889">
        <v>11603863</v>
      </c>
      <c r="P889">
        <v>71</v>
      </c>
      <c r="Q889" t="s">
        <v>1825</v>
      </c>
    </row>
    <row r="890" spans="1:17" x14ac:dyDescent="0.3">
      <c r="A890" t="s">
        <v>17</v>
      </c>
      <c r="B890" t="str">
        <f>"600444"</f>
        <v>600444</v>
      </c>
      <c r="C890" t="s">
        <v>1826</v>
      </c>
      <c r="D890" t="s">
        <v>135</v>
      </c>
      <c r="E890">
        <v>42358838</v>
      </c>
      <c r="F890">
        <v>-51822645</v>
      </c>
      <c r="G890">
        <v>2154814</v>
      </c>
      <c r="H890">
        <v>38358490</v>
      </c>
      <c r="I890">
        <v>-27697043</v>
      </c>
      <c r="J890">
        <v>45476485</v>
      </c>
      <c r="K890">
        <v>-3490427</v>
      </c>
      <c r="L890">
        <v>-6623420</v>
      </c>
      <c r="M890">
        <v>-2035837</v>
      </c>
      <c r="N890">
        <v>-23981460</v>
      </c>
      <c r="O890">
        <v>-4040293</v>
      </c>
      <c r="P890">
        <v>69</v>
      </c>
      <c r="Q890" t="s">
        <v>1827</v>
      </c>
    </row>
    <row r="891" spans="1:17" x14ac:dyDescent="0.3">
      <c r="A891" t="s">
        <v>17</v>
      </c>
      <c r="B891" t="str">
        <f>"601188"</f>
        <v>601188</v>
      </c>
      <c r="C891" t="s">
        <v>1828</v>
      </c>
      <c r="D891" t="s">
        <v>46</v>
      </c>
      <c r="E891">
        <v>42225434</v>
      </c>
      <c r="F891">
        <v>51974064</v>
      </c>
      <c r="G891">
        <v>-25402455</v>
      </c>
      <c r="H891">
        <v>65651097</v>
      </c>
      <c r="I891">
        <v>66750712</v>
      </c>
      <c r="J891">
        <v>143294675</v>
      </c>
      <c r="K891">
        <v>-72353090</v>
      </c>
      <c r="L891">
        <v>95688552</v>
      </c>
      <c r="M891">
        <v>31780325</v>
      </c>
      <c r="N891">
        <v>-30287408</v>
      </c>
      <c r="O891">
        <v>-38342034</v>
      </c>
      <c r="P891">
        <v>124</v>
      </c>
      <c r="Q891" t="s">
        <v>1829</v>
      </c>
    </row>
    <row r="892" spans="1:17" x14ac:dyDescent="0.3">
      <c r="A892" t="s">
        <v>17</v>
      </c>
      <c r="B892" t="str">
        <f>"600209"</f>
        <v>600209</v>
      </c>
      <c r="C892" t="s">
        <v>1830</v>
      </c>
      <c r="D892" t="s">
        <v>645</v>
      </c>
      <c r="E892">
        <v>41965330</v>
      </c>
      <c r="F892">
        <v>-13877619</v>
      </c>
      <c r="G892">
        <v>-31002060</v>
      </c>
      <c r="H892">
        <v>-3191933</v>
      </c>
      <c r="I892">
        <v>-11145489</v>
      </c>
      <c r="J892">
        <v>-8350832</v>
      </c>
      <c r="K892">
        <v>-13549523</v>
      </c>
      <c r="L892">
        <v>-7512965</v>
      </c>
      <c r="M892">
        <v>-4379762</v>
      </c>
      <c r="N892">
        <v>-35939236</v>
      </c>
      <c r="O892">
        <v>16983979</v>
      </c>
      <c r="P892">
        <v>49</v>
      </c>
      <c r="Q892" t="s">
        <v>1831</v>
      </c>
    </row>
    <row r="893" spans="1:17" x14ac:dyDescent="0.3">
      <c r="A893" t="s">
        <v>17</v>
      </c>
      <c r="B893" t="str">
        <f>"603499"</f>
        <v>603499</v>
      </c>
      <c r="C893" t="s">
        <v>1832</v>
      </c>
      <c r="D893" t="s">
        <v>455</v>
      </c>
      <c r="E893">
        <v>41368436</v>
      </c>
      <c r="F893">
        <v>12465335</v>
      </c>
      <c r="G893">
        <v>-40279798</v>
      </c>
      <c r="H893">
        <v>-25946578</v>
      </c>
      <c r="I893">
        <v>-954281</v>
      </c>
      <c r="J893">
        <v>-22334</v>
      </c>
      <c r="P893">
        <v>83</v>
      </c>
      <c r="Q893" t="s">
        <v>1833</v>
      </c>
    </row>
    <row r="894" spans="1:17" x14ac:dyDescent="0.3">
      <c r="A894" t="s">
        <v>32</v>
      </c>
      <c r="B894" t="str">
        <f>"300073"</f>
        <v>300073</v>
      </c>
      <c r="C894" t="s">
        <v>1834</v>
      </c>
      <c r="D894" t="s">
        <v>464</v>
      </c>
      <c r="E894">
        <v>41324952</v>
      </c>
      <c r="F894">
        <v>-454778964</v>
      </c>
      <c r="G894">
        <v>-103807655</v>
      </c>
      <c r="H894">
        <v>-8203476</v>
      </c>
      <c r="I894">
        <v>59014685</v>
      </c>
      <c r="J894">
        <v>-35720050</v>
      </c>
      <c r="K894">
        <v>-34020608</v>
      </c>
      <c r="L894">
        <v>-12934656</v>
      </c>
      <c r="M894">
        <v>-45265616</v>
      </c>
      <c r="N894">
        <v>-61355603</v>
      </c>
      <c r="O894">
        <v>-641772</v>
      </c>
      <c r="P894">
        <v>826</v>
      </c>
      <c r="Q894" t="s">
        <v>1835</v>
      </c>
    </row>
    <row r="895" spans="1:17" x14ac:dyDescent="0.3">
      <c r="A895" t="s">
        <v>17</v>
      </c>
      <c r="B895" t="str">
        <f>"600089"</f>
        <v>600089</v>
      </c>
      <c r="C895" t="s">
        <v>1836</v>
      </c>
      <c r="D895" t="s">
        <v>464</v>
      </c>
      <c r="E895">
        <v>41226887</v>
      </c>
      <c r="F895">
        <v>-1222373937</v>
      </c>
      <c r="G895">
        <v>-1600741449</v>
      </c>
      <c r="H895">
        <v>-3549647822</v>
      </c>
      <c r="I895">
        <v>-4801247801</v>
      </c>
      <c r="J895">
        <v>-2338841296</v>
      </c>
      <c r="K895">
        <v>-3834205071</v>
      </c>
      <c r="L895">
        <v>-2151767379</v>
      </c>
      <c r="M895">
        <v>-3733839764</v>
      </c>
      <c r="N895">
        <v>-3495757780</v>
      </c>
      <c r="O895">
        <v>-3668928898</v>
      </c>
      <c r="P895">
        <v>1283</v>
      </c>
      <c r="Q895" t="s">
        <v>1837</v>
      </c>
    </row>
    <row r="896" spans="1:17" x14ac:dyDescent="0.3">
      <c r="A896" t="s">
        <v>32</v>
      </c>
      <c r="B896" t="str">
        <f>"301078"</f>
        <v>301078</v>
      </c>
      <c r="C896" t="s">
        <v>1838</v>
      </c>
      <c r="D896" t="s">
        <v>218</v>
      </c>
      <c r="E896">
        <v>41132328</v>
      </c>
      <c r="P896">
        <v>23</v>
      </c>
      <c r="Q896" t="s">
        <v>1839</v>
      </c>
    </row>
    <row r="897" spans="1:17" x14ac:dyDescent="0.3">
      <c r="A897" t="s">
        <v>17</v>
      </c>
      <c r="B897" t="str">
        <f>"600793"</f>
        <v>600793</v>
      </c>
      <c r="C897" t="s">
        <v>1840</v>
      </c>
      <c r="D897" t="s">
        <v>455</v>
      </c>
      <c r="E897">
        <v>40942862</v>
      </c>
      <c r="F897">
        <v>-129386194</v>
      </c>
      <c r="G897">
        <v>11241411</v>
      </c>
      <c r="H897">
        <v>121429016</v>
      </c>
      <c r="I897">
        <v>-265186672</v>
      </c>
      <c r="J897">
        <v>-215095397</v>
      </c>
      <c r="K897">
        <v>-189471123</v>
      </c>
      <c r="L897">
        <v>-104907187</v>
      </c>
      <c r="M897">
        <v>-157301000</v>
      </c>
      <c r="N897">
        <v>-31104032</v>
      </c>
      <c r="O897">
        <v>-36848965</v>
      </c>
      <c r="P897">
        <v>109</v>
      </c>
      <c r="Q897" t="s">
        <v>1841</v>
      </c>
    </row>
    <row r="898" spans="1:17" x14ac:dyDescent="0.3">
      <c r="A898" t="s">
        <v>32</v>
      </c>
      <c r="B898" t="str">
        <f>"300269"</f>
        <v>300269</v>
      </c>
      <c r="C898" t="s">
        <v>1842</v>
      </c>
      <c r="D898" t="s">
        <v>245</v>
      </c>
      <c r="E898">
        <v>40368310</v>
      </c>
      <c r="F898">
        <v>7837996</v>
      </c>
      <c r="G898">
        <v>-54164085</v>
      </c>
      <c r="H898">
        <v>14894694</v>
      </c>
      <c r="I898">
        <v>-41725776</v>
      </c>
      <c r="J898">
        <v>-63198737</v>
      </c>
      <c r="K898">
        <v>28801631</v>
      </c>
      <c r="L898">
        <v>-15473863</v>
      </c>
      <c r="M898">
        <v>-52867831</v>
      </c>
      <c r="N898">
        <v>-27595138</v>
      </c>
      <c r="O898">
        <v>-50977098</v>
      </c>
      <c r="P898">
        <v>125</v>
      </c>
      <c r="Q898" t="s">
        <v>1843</v>
      </c>
    </row>
    <row r="899" spans="1:17" x14ac:dyDescent="0.3">
      <c r="A899" t="s">
        <v>32</v>
      </c>
      <c r="B899" t="str">
        <f>"300327"</f>
        <v>300327</v>
      </c>
      <c r="C899" t="s">
        <v>1844</v>
      </c>
      <c r="D899" t="s">
        <v>124</v>
      </c>
      <c r="E899">
        <v>40360682</v>
      </c>
      <c r="F899">
        <v>29467919</v>
      </c>
      <c r="G899">
        <v>-51986035</v>
      </c>
      <c r="H899">
        <v>8874142</v>
      </c>
      <c r="I899">
        <v>-17075232</v>
      </c>
      <c r="J899">
        <v>37914675</v>
      </c>
      <c r="K899">
        <v>7853263</v>
      </c>
      <c r="L899">
        <v>1599483</v>
      </c>
      <c r="M899">
        <v>-730458</v>
      </c>
      <c r="N899">
        <v>-6176167</v>
      </c>
      <c r="O899">
        <v>-30232789</v>
      </c>
      <c r="P899">
        <v>4066</v>
      </c>
      <c r="Q899" t="s">
        <v>1845</v>
      </c>
    </row>
    <row r="900" spans="1:17" x14ac:dyDescent="0.3">
      <c r="A900" t="s">
        <v>17</v>
      </c>
      <c r="B900" t="str">
        <f>"688687"</f>
        <v>688687</v>
      </c>
      <c r="C900" t="s">
        <v>1846</v>
      </c>
      <c r="D900" t="s">
        <v>98</v>
      </c>
      <c r="E900">
        <v>40304722</v>
      </c>
      <c r="F900">
        <v>58826083</v>
      </c>
      <c r="G900">
        <v>41948000</v>
      </c>
      <c r="H900">
        <v>-6530300</v>
      </c>
      <c r="P900">
        <v>41</v>
      </c>
      <c r="Q900" t="s">
        <v>1847</v>
      </c>
    </row>
    <row r="901" spans="1:17" x14ac:dyDescent="0.3">
      <c r="A901" t="s">
        <v>17</v>
      </c>
      <c r="B901" t="str">
        <f>"603167"</f>
        <v>603167</v>
      </c>
      <c r="C901" t="s">
        <v>1848</v>
      </c>
      <c r="D901" t="s">
        <v>46</v>
      </c>
      <c r="E901">
        <v>40248729</v>
      </c>
      <c r="F901">
        <v>96711452</v>
      </c>
      <c r="G901">
        <v>-15237058</v>
      </c>
      <c r="H901">
        <v>173120572</v>
      </c>
      <c r="I901">
        <v>24521972</v>
      </c>
      <c r="J901">
        <v>167710389</v>
      </c>
      <c r="K901">
        <v>83119579</v>
      </c>
      <c r="L901">
        <v>47023072</v>
      </c>
      <c r="M901">
        <v>-316278953</v>
      </c>
      <c r="N901">
        <v>69018358</v>
      </c>
      <c r="O901">
        <v>-122339922</v>
      </c>
      <c r="P901">
        <v>239</v>
      </c>
      <c r="Q901" t="s">
        <v>1849</v>
      </c>
    </row>
    <row r="902" spans="1:17" x14ac:dyDescent="0.3">
      <c r="A902" t="s">
        <v>17</v>
      </c>
      <c r="B902" t="str">
        <f>"600775"</f>
        <v>600775</v>
      </c>
      <c r="C902" t="s">
        <v>1850</v>
      </c>
      <c r="D902" t="s">
        <v>57</v>
      </c>
      <c r="E902">
        <v>40219092</v>
      </c>
      <c r="F902">
        <v>-75596091</v>
      </c>
      <c r="G902">
        <v>38461588</v>
      </c>
      <c r="H902">
        <v>-255037113</v>
      </c>
      <c r="I902">
        <v>-132474172</v>
      </c>
      <c r="J902">
        <v>153543266</v>
      </c>
      <c r="K902">
        <v>23627940</v>
      </c>
      <c r="L902">
        <v>-161748037</v>
      </c>
      <c r="M902">
        <v>-52251075</v>
      </c>
      <c r="N902">
        <v>-209854260</v>
      </c>
      <c r="O902">
        <v>-105618390</v>
      </c>
      <c r="P902">
        <v>179</v>
      </c>
      <c r="Q902" t="s">
        <v>1851</v>
      </c>
    </row>
    <row r="903" spans="1:17" x14ac:dyDescent="0.3">
      <c r="A903" t="s">
        <v>17</v>
      </c>
      <c r="B903" t="str">
        <f>"688123"</f>
        <v>688123</v>
      </c>
      <c r="C903" t="s">
        <v>1852</v>
      </c>
      <c r="D903" t="s">
        <v>124</v>
      </c>
      <c r="E903">
        <v>40021571</v>
      </c>
      <c r="F903">
        <v>-7956388</v>
      </c>
      <c r="G903">
        <v>31266010</v>
      </c>
      <c r="H903">
        <v>-11671756</v>
      </c>
      <c r="P903">
        <v>163</v>
      </c>
      <c r="Q903" t="s">
        <v>1853</v>
      </c>
    </row>
    <row r="904" spans="1:17" x14ac:dyDescent="0.3">
      <c r="A904" t="s">
        <v>17</v>
      </c>
      <c r="B904" t="str">
        <f>"603603"</f>
        <v>603603</v>
      </c>
      <c r="C904" t="s">
        <v>1854</v>
      </c>
      <c r="D904" t="s">
        <v>1334</v>
      </c>
      <c r="E904">
        <v>40001607</v>
      </c>
      <c r="F904">
        <v>-27034834</v>
      </c>
      <c r="G904">
        <v>-149994900</v>
      </c>
      <c r="H904">
        <v>-454219173</v>
      </c>
      <c r="I904">
        <v>-447631584</v>
      </c>
      <c r="J904">
        <v>-181210500</v>
      </c>
      <c r="K904">
        <v>-286039404</v>
      </c>
      <c r="P904">
        <v>118</v>
      </c>
      <c r="Q904" t="s">
        <v>1855</v>
      </c>
    </row>
    <row r="905" spans="1:17" x14ac:dyDescent="0.3">
      <c r="A905" t="s">
        <v>17</v>
      </c>
      <c r="B905" t="str">
        <f>"688336"</f>
        <v>688336</v>
      </c>
      <c r="C905" t="s">
        <v>1856</v>
      </c>
      <c r="D905" t="s">
        <v>98</v>
      </c>
      <c r="E905">
        <v>39758861</v>
      </c>
      <c r="F905">
        <v>-137362736</v>
      </c>
      <c r="G905">
        <v>-52442855</v>
      </c>
      <c r="H905">
        <v>46211500</v>
      </c>
      <c r="P905">
        <v>52</v>
      </c>
      <c r="Q905" t="s">
        <v>1857</v>
      </c>
    </row>
    <row r="906" spans="1:17" x14ac:dyDescent="0.3">
      <c r="A906" t="s">
        <v>32</v>
      </c>
      <c r="B906" t="str">
        <f>"300562"</f>
        <v>300562</v>
      </c>
      <c r="C906" t="s">
        <v>1858</v>
      </c>
      <c r="D906" t="s">
        <v>98</v>
      </c>
      <c r="E906">
        <v>39413951</v>
      </c>
      <c r="F906">
        <v>-29366711</v>
      </c>
      <c r="G906">
        <v>-4319504</v>
      </c>
      <c r="H906">
        <v>10886824</v>
      </c>
      <c r="I906">
        <v>75628281</v>
      </c>
      <c r="J906">
        <v>-39161012</v>
      </c>
      <c r="K906">
        <v>23249329</v>
      </c>
      <c r="P906">
        <v>155</v>
      </c>
      <c r="Q906" t="s">
        <v>1859</v>
      </c>
    </row>
    <row r="907" spans="1:17" x14ac:dyDescent="0.3">
      <c r="A907" t="s">
        <v>32</v>
      </c>
      <c r="B907" t="str">
        <f>"000962"</f>
        <v>000962</v>
      </c>
      <c r="C907" t="s">
        <v>1860</v>
      </c>
      <c r="D907" t="s">
        <v>121</v>
      </c>
      <c r="E907">
        <v>39378897</v>
      </c>
      <c r="F907">
        <v>42509964</v>
      </c>
      <c r="G907">
        <v>20147498</v>
      </c>
      <c r="H907">
        <v>78548742</v>
      </c>
      <c r="I907">
        <v>11022031</v>
      </c>
      <c r="J907">
        <v>74768253</v>
      </c>
      <c r="K907">
        <v>29283323</v>
      </c>
      <c r="L907">
        <v>80736202</v>
      </c>
      <c r="M907">
        <v>32716182</v>
      </c>
      <c r="N907">
        <v>-121956853</v>
      </c>
      <c r="O907">
        <v>-225541238</v>
      </c>
      <c r="P907">
        <v>131</v>
      </c>
      <c r="Q907" t="s">
        <v>1861</v>
      </c>
    </row>
    <row r="908" spans="1:17" x14ac:dyDescent="0.3">
      <c r="A908" t="s">
        <v>17</v>
      </c>
      <c r="B908" t="str">
        <f>"603067"</f>
        <v>603067</v>
      </c>
      <c r="C908" t="s">
        <v>1862</v>
      </c>
      <c r="D908" t="s">
        <v>144</v>
      </c>
      <c r="E908">
        <v>39368358</v>
      </c>
      <c r="F908">
        <v>-50761231</v>
      </c>
      <c r="G908">
        <v>-38120467</v>
      </c>
      <c r="H908">
        <v>7076985</v>
      </c>
      <c r="I908">
        <v>-54233338</v>
      </c>
      <c r="J908">
        <v>-101913033</v>
      </c>
      <c r="K908">
        <v>7620252</v>
      </c>
      <c r="P908">
        <v>137</v>
      </c>
      <c r="Q908" t="s">
        <v>1863</v>
      </c>
    </row>
    <row r="909" spans="1:17" x14ac:dyDescent="0.3">
      <c r="A909" t="s">
        <v>32</v>
      </c>
      <c r="B909" t="str">
        <f>"300610"</f>
        <v>300610</v>
      </c>
      <c r="C909" t="s">
        <v>1864</v>
      </c>
      <c r="D909" t="s">
        <v>144</v>
      </c>
      <c r="E909">
        <v>39125902</v>
      </c>
      <c r="F909">
        <v>34319323</v>
      </c>
      <c r="G909">
        <v>35332025</v>
      </c>
      <c r="H909">
        <v>-35863414</v>
      </c>
      <c r="I909">
        <v>-20186818</v>
      </c>
      <c r="J909">
        <v>-46135715</v>
      </c>
      <c r="K909">
        <v>5423622</v>
      </c>
      <c r="P909">
        <v>129</v>
      </c>
      <c r="Q909" t="s">
        <v>1865</v>
      </c>
    </row>
    <row r="910" spans="1:17" x14ac:dyDescent="0.3">
      <c r="A910" t="s">
        <v>32</v>
      </c>
      <c r="B910" t="str">
        <f>"300055"</f>
        <v>300055</v>
      </c>
      <c r="C910" t="s">
        <v>1866</v>
      </c>
      <c r="D910" t="s">
        <v>1334</v>
      </c>
      <c r="E910">
        <v>39019194</v>
      </c>
      <c r="F910">
        <v>965596876</v>
      </c>
      <c r="G910">
        <v>-27030331</v>
      </c>
      <c r="H910">
        <v>-177539435</v>
      </c>
      <c r="I910">
        <v>6080049</v>
      </c>
      <c r="J910">
        <v>-141067797</v>
      </c>
      <c r="K910">
        <v>-312319553</v>
      </c>
      <c r="L910">
        <v>-65959682</v>
      </c>
      <c r="M910">
        <v>-67092132</v>
      </c>
      <c r="N910">
        <v>-47719647</v>
      </c>
      <c r="O910">
        <v>-47899641</v>
      </c>
      <c r="P910">
        <v>163</v>
      </c>
      <c r="Q910" t="s">
        <v>1867</v>
      </c>
    </row>
    <row r="911" spans="1:17" x14ac:dyDescent="0.3">
      <c r="A911" t="s">
        <v>32</v>
      </c>
      <c r="B911" t="str">
        <f>"300939"</f>
        <v>300939</v>
      </c>
      <c r="C911" t="s">
        <v>1868</v>
      </c>
      <c r="D911" t="s">
        <v>124</v>
      </c>
      <c r="E911">
        <v>39005333</v>
      </c>
      <c r="F911">
        <v>-45685029</v>
      </c>
      <c r="G911">
        <v>10772431</v>
      </c>
      <c r="H911">
        <v>42481800</v>
      </c>
      <c r="P911">
        <v>31</v>
      </c>
      <c r="Q911" t="s">
        <v>1869</v>
      </c>
    </row>
    <row r="912" spans="1:17" x14ac:dyDescent="0.3">
      <c r="A912" t="s">
        <v>17</v>
      </c>
      <c r="B912" t="str">
        <f>"600379"</f>
        <v>600379</v>
      </c>
      <c r="C912" t="s">
        <v>1870</v>
      </c>
      <c r="D912" t="s">
        <v>464</v>
      </c>
      <c r="E912">
        <v>38475312</v>
      </c>
      <c r="F912">
        <v>41260964</v>
      </c>
      <c r="G912">
        <v>16282467</v>
      </c>
      <c r="H912">
        <v>-19352426</v>
      </c>
      <c r="I912">
        <v>19790653</v>
      </c>
      <c r="J912">
        <v>-19228535</v>
      </c>
      <c r="K912">
        <v>15939367</v>
      </c>
      <c r="L912">
        <v>132785219</v>
      </c>
      <c r="M912">
        <v>-614004</v>
      </c>
      <c r="N912">
        <v>-33042363</v>
      </c>
      <c r="O912">
        <v>-54666946</v>
      </c>
      <c r="P912">
        <v>85</v>
      </c>
      <c r="Q912" t="s">
        <v>1871</v>
      </c>
    </row>
    <row r="913" spans="1:17" x14ac:dyDescent="0.3">
      <c r="A913" t="s">
        <v>17</v>
      </c>
      <c r="B913" t="str">
        <f>"603729"</f>
        <v>603729</v>
      </c>
      <c r="C913" t="s">
        <v>1872</v>
      </c>
      <c r="D913" t="s">
        <v>245</v>
      </c>
      <c r="E913">
        <v>38224583</v>
      </c>
      <c r="F913">
        <v>76230797</v>
      </c>
      <c r="G913">
        <v>22430334</v>
      </c>
      <c r="H913">
        <v>20609320</v>
      </c>
      <c r="I913">
        <v>-17522821</v>
      </c>
      <c r="J913">
        <v>17051990</v>
      </c>
      <c r="K913">
        <v>14265863</v>
      </c>
      <c r="L913">
        <v>-113804458</v>
      </c>
      <c r="M913">
        <v>-119628566</v>
      </c>
      <c r="P913">
        <v>51</v>
      </c>
      <c r="Q913" t="s">
        <v>1873</v>
      </c>
    </row>
    <row r="914" spans="1:17" x14ac:dyDescent="0.3">
      <c r="A914" t="s">
        <v>17</v>
      </c>
      <c r="B914" t="str">
        <f>"600818"</f>
        <v>600818</v>
      </c>
      <c r="C914" t="s">
        <v>1874</v>
      </c>
      <c r="D914" t="s">
        <v>199</v>
      </c>
      <c r="E914">
        <v>38072477</v>
      </c>
      <c r="F914">
        <v>-35708843</v>
      </c>
      <c r="G914">
        <v>-15584785</v>
      </c>
      <c r="H914">
        <v>-20755648</v>
      </c>
      <c r="I914">
        <v>-21503964</v>
      </c>
      <c r="J914">
        <v>-44844998</v>
      </c>
      <c r="K914">
        <v>43683164</v>
      </c>
      <c r="L914">
        <v>-11267097</v>
      </c>
      <c r="M914">
        <v>-34894404</v>
      </c>
      <c r="N914">
        <v>-14937635</v>
      </c>
      <c r="O914">
        <v>-1558122</v>
      </c>
      <c r="P914">
        <v>82</v>
      </c>
      <c r="Q914" t="s">
        <v>1875</v>
      </c>
    </row>
    <row r="915" spans="1:17" x14ac:dyDescent="0.3">
      <c r="A915" t="s">
        <v>17</v>
      </c>
      <c r="B915" t="str">
        <f>"600512"</f>
        <v>600512</v>
      </c>
      <c r="C915" t="s">
        <v>1876</v>
      </c>
      <c r="D915" t="s">
        <v>645</v>
      </c>
      <c r="E915">
        <v>37704092</v>
      </c>
      <c r="F915">
        <v>434245077</v>
      </c>
      <c r="G915">
        <v>20374248</v>
      </c>
      <c r="H915">
        <v>148123190</v>
      </c>
      <c r="I915">
        <v>-373207387</v>
      </c>
      <c r="J915">
        <v>-223234293</v>
      </c>
      <c r="K915">
        <v>97029664</v>
      </c>
      <c r="L915">
        <v>-193051130</v>
      </c>
      <c r="M915">
        <v>19777218</v>
      </c>
      <c r="N915">
        <v>49093962</v>
      </c>
      <c r="O915">
        <v>-71863617</v>
      </c>
      <c r="P915">
        <v>161</v>
      </c>
      <c r="Q915" t="s">
        <v>1877</v>
      </c>
    </row>
    <row r="916" spans="1:17" x14ac:dyDescent="0.3">
      <c r="A916" t="s">
        <v>32</v>
      </c>
      <c r="B916" t="str">
        <f>"002341"</f>
        <v>002341</v>
      </c>
      <c r="C916" t="s">
        <v>1878</v>
      </c>
      <c r="D916" t="s">
        <v>144</v>
      </c>
      <c r="E916">
        <v>37566245</v>
      </c>
      <c r="F916">
        <v>62197252</v>
      </c>
      <c r="G916">
        <v>-45246713</v>
      </c>
      <c r="H916">
        <v>-67795901</v>
      </c>
      <c r="I916">
        <v>-276207149</v>
      </c>
      <c r="J916">
        <v>-307726683</v>
      </c>
      <c r="K916">
        <v>-100616116</v>
      </c>
      <c r="L916">
        <v>-237465659</v>
      </c>
      <c r="M916">
        <v>-150870060</v>
      </c>
      <c r="N916">
        <v>-105977155</v>
      </c>
      <c r="O916">
        <v>-64454000</v>
      </c>
      <c r="P916">
        <v>276</v>
      </c>
      <c r="Q916" t="s">
        <v>1879</v>
      </c>
    </row>
    <row r="917" spans="1:17" x14ac:dyDescent="0.3">
      <c r="A917" t="s">
        <v>32</v>
      </c>
      <c r="B917" t="str">
        <f>"300947"</f>
        <v>300947</v>
      </c>
      <c r="C917" t="s">
        <v>1880</v>
      </c>
      <c r="D917" t="s">
        <v>218</v>
      </c>
      <c r="E917">
        <v>37152797</v>
      </c>
      <c r="F917">
        <v>86068981</v>
      </c>
      <c r="G917">
        <v>17344395</v>
      </c>
      <c r="P917">
        <v>28</v>
      </c>
      <c r="Q917" t="s">
        <v>1881</v>
      </c>
    </row>
    <row r="918" spans="1:17" x14ac:dyDescent="0.3">
      <c r="A918" t="s">
        <v>17</v>
      </c>
      <c r="B918" t="str">
        <f>"600200"</f>
        <v>600200</v>
      </c>
      <c r="C918" t="s">
        <v>1882</v>
      </c>
      <c r="D918" t="s">
        <v>98</v>
      </c>
      <c r="E918">
        <v>36997277</v>
      </c>
      <c r="F918">
        <v>520176547</v>
      </c>
      <c r="G918">
        <v>-80343941</v>
      </c>
      <c r="H918">
        <v>-55631767</v>
      </c>
      <c r="I918">
        <v>46836985</v>
      </c>
      <c r="J918">
        <v>-132452070</v>
      </c>
      <c r="K918">
        <v>109707401</v>
      </c>
      <c r="L918">
        <v>-165964403</v>
      </c>
      <c r="M918">
        <v>-237378398</v>
      </c>
      <c r="N918">
        <v>-46765492</v>
      </c>
      <c r="O918">
        <v>37333131</v>
      </c>
      <c r="P918">
        <v>143</v>
      </c>
      <c r="Q918" t="s">
        <v>1883</v>
      </c>
    </row>
    <row r="919" spans="1:17" x14ac:dyDescent="0.3">
      <c r="A919" t="s">
        <v>32</v>
      </c>
      <c r="B919" t="str">
        <f>"002412"</f>
        <v>002412</v>
      </c>
      <c r="C919" t="s">
        <v>1884</v>
      </c>
      <c r="D919" t="s">
        <v>98</v>
      </c>
      <c r="E919">
        <v>36878060</v>
      </c>
      <c r="F919">
        <v>62038284</v>
      </c>
      <c r="G919">
        <v>-6283663</v>
      </c>
      <c r="H919">
        <v>3811807</v>
      </c>
      <c r="I919">
        <v>4297020</v>
      </c>
      <c r="J919">
        <v>-50178399</v>
      </c>
      <c r="K919">
        <v>37677436</v>
      </c>
      <c r="L919">
        <v>-56472547</v>
      </c>
      <c r="M919">
        <v>-24924455</v>
      </c>
      <c r="N919">
        <v>-24612224</v>
      </c>
      <c r="O919">
        <v>-18936319</v>
      </c>
      <c r="P919">
        <v>155</v>
      </c>
      <c r="Q919" t="s">
        <v>1885</v>
      </c>
    </row>
    <row r="920" spans="1:17" x14ac:dyDescent="0.3">
      <c r="A920" t="s">
        <v>32</v>
      </c>
      <c r="B920" t="str">
        <f>"300121"</f>
        <v>300121</v>
      </c>
      <c r="C920" t="s">
        <v>1886</v>
      </c>
      <c r="D920" t="s">
        <v>144</v>
      </c>
      <c r="E920">
        <v>36791972</v>
      </c>
      <c r="F920">
        <v>-3547601</v>
      </c>
      <c r="G920">
        <v>38209652</v>
      </c>
      <c r="H920">
        <v>1301894</v>
      </c>
      <c r="I920">
        <v>-57379538</v>
      </c>
      <c r="J920">
        <v>3381081</v>
      </c>
      <c r="K920">
        <v>36776443</v>
      </c>
      <c r="L920">
        <v>-5686716</v>
      </c>
      <c r="M920">
        <v>7551905</v>
      </c>
      <c r="N920">
        <v>-47201413</v>
      </c>
      <c r="O920">
        <v>-73564428</v>
      </c>
      <c r="P920">
        <v>353</v>
      </c>
      <c r="Q920" t="s">
        <v>1887</v>
      </c>
    </row>
    <row r="921" spans="1:17" x14ac:dyDescent="0.3">
      <c r="A921" t="s">
        <v>32</v>
      </c>
      <c r="B921" t="str">
        <f>"003000"</f>
        <v>003000</v>
      </c>
      <c r="C921" t="s">
        <v>1888</v>
      </c>
      <c r="D921" t="s">
        <v>172</v>
      </c>
      <c r="E921">
        <v>35952162</v>
      </c>
      <c r="F921">
        <v>-6382722</v>
      </c>
      <c r="G921">
        <v>69886090</v>
      </c>
      <c r="P921">
        <v>86</v>
      </c>
      <c r="Q921" t="s">
        <v>1889</v>
      </c>
    </row>
    <row r="922" spans="1:17" x14ac:dyDescent="0.3">
      <c r="A922" t="s">
        <v>32</v>
      </c>
      <c r="B922" t="str">
        <f>"300922"</f>
        <v>300922</v>
      </c>
      <c r="C922" t="s">
        <v>1890</v>
      </c>
      <c r="D922" t="s">
        <v>188</v>
      </c>
      <c r="E922">
        <v>35931121</v>
      </c>
      <c r="F922">
        <v>35516136</v>
      </c>
      <c r="G922">
        <v>23101444</v>
      </c>
      <c r="H922">
        <v>-6234089</v>
      </c>
      <c r="I922">
        <v>-4816655</v>
      </c>
      <c r="P922">
        <v>83</v>
      </c>
      <c r="Q922" t="s">
        <v>1891</v>
      </c>
    </row>
    <row r="923" spans="1:17" x14ac:dyDescent="0.3">
      <c r="A923" t="s">
        <v>32</v>
      </c>
      <c r="B923" t="str">
        <f>"000520"</f>
        <v>000520</v>
      </c>
      <c r="C923" t="s">
        <v>1892</v>
      </c>
      <c r="D923" t="s">
        <v>46</v>
      </c>
      <c r="E923">
        <v>35910315</v>
      </c>
      <c r="F923">
        <v>-2096720</v>
      </c>
      <c r="G923">
        <v>-55884982</v>
      </c>
      <c r="H923">
        <v>-37052876</v>
      </c>
      <c r="I923">
        <v>26770817</v>
      </c>
      <c r="J923">
        <v>24491182</v>
      </c>
      <c r="K923">
        <v>1980716</v>
      </c>
      <c r="L923">
        <v>-14425889</v>
      </c>
      <c r="M923">
        <v>-12526594</v>
      </c>
      <c r="N923">
        <v>3458042</v>
      </c>
      <c r="O923">
        <v>-52595842</v>
      </c>
      <c r="P923">
        <v>109</v>
      </c>
      <c r="Q923" t="s">
        <v>1893</v>
      </c>
    </row>
    <row r="924" spans="1:17" x14ac:dyDescent="0.3">
      <c r="A924" t="s">
        <v>17</v>
      </c>
      <c r="B924" t="str">
        <f>"600573"</f>
        <v>600573</v>
      </c>
      <c r="C924" t="s">
        <v>1894</v>
      </c>
      <c r="D924" t="s">
        <v>172</v>
      </c>
      <c r="E924">
        <v>35589809</v>
      </c>
      <c r="F924">
        <v>40277635</v>
      </c>
      <c r="G924">
        <v>31969942</v>
      </c>
      <c r="H924">
        <v>16767302</v>
      </c>
      <c r="I924">
        <v>2250472</v>
      </c>
      <c r="J924">
        <v>-10353228</v>
      </c>
      <c r="K924">
        <v>3713002</v>
      </c>
      <c r="L924">
        <v>724620</v>
      </c>
      <c r="M924">
        <v>16867532</v>
      </c>
      <c r="N924">
        <v>9246012</v>
      </c>
      <c r="O924">
        <v>-17910800</v>
      </c>
      <c r="P924">
        <v>191</v>
      </c>
      <c r="Q924" t="s">
        <v>1895</v>
      </c>
    </row>
    <row r="925" spans="1:17" x14ac:dyDescent="0.3">
      <c r="A925" t="s">
        <v>17</v>
      </c>
      <c r="B925" t="str">
        <f>"688312"</f>
        <v>688312</v>
      </c>
      <c r="C925" t="s">
        <v>1896</v>
      </c>
      <c r="D925" t="s">
        <v>135</v>
      </c>
      <c r="E925">
        <v>35563934</v>
      </c>
      <c r="F925">
        <v>83925163</v>
      </c>
      <c r="G925">
        <v>51464924</v>
      </c>
      <c r="H925">
        <v>81688182</v>
      </c>
      <c r="P925">
        <v>66</v>
      </c>
      <c r="Q925" t="s">
        <v>1897</v>
      </c>
    </row>
    <row r="926" spans="1:17" x14ac:dyDescent="0.3">
      <c r="A926" t="s">
        <v>32</v>
      </c>
      <c r="B926" t="str">
        <f>"002779"</f>
        <v>002779</v>
      </c>
      <c r="C926" t="s">
        <v>1898</v>
      </c>
      <c r="D926" t="s">
        <v>135</v>
      </c>
      <c r="E926">
        <v>35511236</v>
      </c>
      <c r="F926">
        <v>-27751406</v>
      </c>
      <c r="G926">
        <v>-11573742</v>
      </c>
      <c r="H926">
        <v>-24854605</v>
      </c>
      <c r="I926">
        <v>-14861397</v>
      </c>
      <c r="J926">
        <v>-52219955</v>
      </c>
      <c r="K926">
        <v>3002891</v>
      </c>
      <c r="L926">
        <v>13122457</v>
      </c>
      <c r="M926">
        <v>6291706</v>
      </c>
      <c r="P926">
        <v>54</v>
      </c>
      <c r="Q926" t="s">
        <v>1899</v>
      </c>
    </row>
    <row r="927" spans="1:17" x14ac:dyDescent="0.3">
      <c r="A927" t="s">
        <v>17</v>
      </c>
      <c r="B927" t="str">
        <f>"603590"</f>
        <v>603590</v>
      </c>
      <c r="C927" t="s">
        <v>1900</v>
      </c>
      <c r="D927" t="s">
        <v>98</v>
      </c>
      <c r="E927">
        <v>35480959</v>
      </c>
      <c r="F927">
        <v>22633567</v>
      </c>
      <c r="G927">
        <v>54542539</v>
      </c>
      <c r="H927">
        <v>59600180</v>
      </c>
      <c r="I927">
        <v>-1640706</v>
      </c>
      <c r="P927">
        <v>158</v>
      </c>
      <c r="Q927" t="s">
        <v>1901</v>
      </c>
    </row>
    <row r="928" spans="1:17" x14ac:dyDescent="0.3">
      <c r="A928" t="s">
        <v>17</v>
      </c>
      <c r="B928" t="str">
        <f>"600356"</f>
        <v>600356</v>
      </c>
      <c r="C928" t="s">
        <v>1902</v>
      </c>
      <c r="D928" t="s">
        <v>455</v>
      </c>
      <c r="E928">
        <v>35366152</v>
      </c>
      <c r="F928">
        <v>84689780</v>
      </c>
      <c r="G928">
        <v>-72206503</v>
      </c>
      <c r="H928">
        <v>-89784503</v>
      </c>
      <c r="I928">
        <v>-155459831</v>
      </c>
      <c r="J928">
        <v>21080361</v>
      </c>
      <c r="K928">
        <v>-132369782</v>
      </c>
      <c r="L928">
        <v>-40657585</v>
      </c>
      <c r="M928">
        <v>-16902939</v>
      </c>
      <c r="N928">
        <v>-86458857</v>
      </c>
      <c r="O928">
        <v>-50501918</v>
      </c>
      <c r="P928">
        <v>116</v>
      </c>
      <c r="Q928" t="s">
        <v>1903</v>
      </c>
    </row>
    <row r="929" spans="1:17" x14ac:dyDescent="0.3">
      <c r="A929" t="s">
        <v>32</v>
      </c>
      <c r="B929" t="str">
        <f>"300111"</f>
        <v>300111</v>
      </c>
      <c r="C929" t="s">
        <v>1904</v>
      </c>
      <c r="D929" t="s">
        <v>464</v>
      </c>
      <c r="E929">
        <v>35284377</v>
      </c>
      <c r="F929">
        <v>3821986</v>
      </c>
      <c r="G929">
        <v>80708347</v>
      </c>
      <c r="H929">
        <v>8210363</v>
      </c>
      <c r="I929">
        <v>62919036</v>
      </c>
      <c r="J929">
        <v>-95152424</v>
      </c>
      <c r="K929">
        <v>1272420</v>
      </c>
      <c r="L929">
        <v>2225357</v>
      </c>
      <c r="M929">
        <v>3084729</v>
      </c>
      <c r="N929">
        <v>-20557146</v>
      </c>
      <c r="O929">
        <v>-35656316</v>
      </c>
      <c r="P929">
        <v>124</v>
      </c>
      <c r="Q929" t="s">
        <v>1905</v>
      </c>
    </row>
    <row r="930" spans="1:17" x14ac:dyDescent="0.3">
      <c r="A930" t="s">
        <v>17</v>
      </c>
      <c r="B930" t="str">
        <f>"603429"</f>
        <v>603429</v>
      </c>
      <c r="C930" t="s">
        <v>1906</v>
      </c>
      <c r="D930" t="s">
        <v>455</v>
      </c>
      <c r="E930">
        <v>34860553</v>
      </c>
      <c r="F930">
        <v>51636292</v>
      </c>
      <c r="G930">
        <v>-5820374</v>
      </c>
      <c r="H930">
        <v>39855352</v>
      </c>
      <c r="I930">
        <v>-26035845</v>
      </c>
      <c r="J930">
        <v>10662638</v>
      </c>
      <c r="K930">
        <v>19082213</v>
      </c>
      <c r="P930">
        <v>368</v>
      </c>
      <c r="Q930" t="s">
        <v>1907</v>
      </c>
    </row>
    <row r="931" spans="1:17" x14ac:dyDescent="0.3">
      <c r="A931" t="s">
        <v>17</v>
      </c>
      <c r="B931" t="str">
        <f>"603607"</f>
        <v>603607</v>
      </c>
      <c r="C931" t="s">
        <v>1908</v>
      </c>
      <c r="D931" t="s">
        <v>455</v>
      </c>
      <c r="E931">
        <v>34726861</v>
      </c>
      <c r="F931">
        <v>40629328</v>
      </c>
      <c r="G931">
        <v>14824996</v>
      </c>
      <c r="H931">
        <v>-3106224</v>
      </c>
      <c r="I931">
        <v>-524194</v>
      </c>
      <c r="J931">
        <v>26491151</v>
      </c>
      <c r="P931">
        <v>108</v>
      </c>
      <c r="Q931" t="s">
        <v>1909</v>
      </c>
    </row>
    <row r="932" spans="1:17" x14ac:dyDescent="0.3">
      <c r="A932" t="s">
        <v>32</v>
      </c>
      <c r="B932" t="str">
        <f>"000935"</f>
        <v>000935</v>
      </c>
      <c r="C932" t="s">
        <v>1910</v>
      </c>
      <c r="D932" t="s">
        <v>400</v>
      </c>
      <c r="E932">
        <v>34560021</v>
      </c>
      <c r="F932">
        <v>25225777</v>
      </c>
      <c r="G932">
        <v>94837431</v>
      </c>
      <c r="H932">
        <v>32270762</v>
      </c>
      <c r="I932">
        <v>32656505</v>
      </c>
      <c r="J932">
        <v>-68648830</v>
      </c>
      <c r="K932">
        <v>9081624</v>
      </c>
      <c r="L932">
        <v>-176679227</v>
      </c>
      <c r="M932">
        <v>5075135</v>
      </c>
      <c r="N932">
        <v>47106652</v>
      </c>
      <c r="O932">
        <v>-75803209</v>
      </c>
      <c r="P932">
        <v>230</v>
      </c>
      <c r="Q932" t="s">
        <v>1911</v>
      </c>
    </row>
    <row r="933" spans="1:17" x14ac:dyDescent="0.3">
      <c r="A933" t="s">
        <v>32</v>
      </c>
      <c r="B933" t="str">
        <f>"002528"</f>
        <v>002528</v>
      </c>
      <c r="C933" t="s">
        <v>1912</v>
      </c>
      <c r="D933" t="s">
        <v>342</v>
      </c>
      <c r="E933">
        <v>34231904</v>
      </c>
      <c r="F933">
        <v>111614821</v>
      </c>
      <c r="G933">
        <v>-128544753</v>
      </c>
      <c r="H933">
        <v>-197288408</v>
      </c>
      <c r="I933">
        <v>-89952712</v>
      </c>
      <c r="J933">
        <v>30150344</v>
      </c>
      <c r="K933">
        <v>-89757535</v>
      </c>
      <c r="L933">
        <v>-150918727</v>
      </c>
      <c r="M933">
        <v>-20158850</v>
      </c>
      <c r="N933">
        <v>-31877958</v>
      </c>
      <c r="O933">
        <v>-27195881</v>
      </c>
      <c r="P933">
        <v>169</v>
      </c>
      <c r="Q933" t="s">
        <v>1913</v>
      </c>
    </row>
    <row r="934" spans="1:17" x14ac:dyDescent="0.3">
      <c r="A934" t="s">
        <v>32</v>
      </c>
      <c r="B934" t="str">
        <f>"002866"</f>
        <v>002866</v>
      </c>
      <c r="C934" t="s">
        <v>1914</v>
      </c>
      <c r="D934" t="s">
        <v>124</v>
      </c>
      <c r="E934">
        <v>34185946</v>
      </c>
      <c r="F934">
        <v>1492938</v>
      </c>
      <c r="G934">
        <v>25636804</v>
      </c>
      <c r="H934">
        <v>-12887584</v>
      </c>
      <c r="I934">
        <v>-50250140</v>
      </c>
      <c r="J934">
        <v>61980590</v>
      </c>
      <c r="K934">
        <v>6297566</v>
      </c>
      <c r="P934">
        <v>161</v>
      </c>
      <c r="Q934" t="s">
        <v>1915</v>
      </c>
    </row>
    <row r="935" spans="1:17" x14ac:dyDescent="0.3">
      <c r="A935" t="s">
        <v>32</v>
      </c>
      <c r="B935" t="str">
        <f>"002099"</f>
        <v>002099</v>
      </c>
      <c r="C935" t="s">
        <v>1916</v>
      </c>
      <c r="D935" t="s">
        <v>98</v>
      </c>
      <c r="E935">
        <v>34123938</v>
      </c>
      <c r="F935">
        <v>13891755</v>
      </c>
      <c r="G935">
        <v>173363690</v>
      </c>
      <c r="H935">
        <v>74547629</v>
      </c>
      <c r="I935">
        <v>119800059</v>
      </c>
      <c r="J935">
        <v>66293910</v>
      </c>
      <c r="K935">
        <v>116385701</v>
      </c>
      <c r="L935">
        <v>32139117</v>
      </c>
      <c r="M935">
        <v>-41694571</v>
      </c>
      <c r="N935">
        <v>-89170732</v>
      </c>
      <c r="O935">
        <v>-4570634</v>
      </c>
      <c r="P935">
        <v>298</v>
      </c>
      <c r="Q935" t="s">
        <v>1917</v>
      </c>
    </row>
    <row r="936" spans="1:17" x14ac:dyDescent="0.3">
      <c r="A936" t="s">
        <v>32</v>
      </c>
      <c r="B936" t="str">
        <f>"001206"</f>
        <v>001206</v>
      </c>
      <c r="C936" t="s">
        <v>1918</v>
      </c>
      <c r="D936" t="s">
        <v>544</v>
      </c>
      <c r="E936">
        <v>33825816</v>
      </c>
      <c r="F936">
        <v>-8348061</v>
      </c>
      <c r="G936">
        <v>44194331</v>
      </c>
      <c r="P936">
        <v>53</v>
      </c>
      <c r="Q936" t="s">
        <v>1919</v>
      </c>
    </row>
    <row r="937" spans="1:17" x14ac:dyDescent="0.3">
      <c r="A937" t="s">
        <v>17</v>
      </c>
      <c r="B937" t="str">
        <f>"600351"</f>
        <v>600351</v>
      </c>
      <c r="C937" t="s">
        <v>1920</v>
      </c>
      <c r="D937" t="s">
        <v>98</v>
      </c>
      <c r="E937">
        <v>33674915</v>
      </c>
      <c r="F937">
        <v>87458279</v>
      </c>
      <c r="G937">
        <v>81038283</v>
      </c>
      <c r="H937">
        <v>4480501</v>
      </c>
      <c r="I937">
        <v>51553643</v>
      </c>
      <c r="J937">
        <v>-17923065</v>
      </c>
      <c r="K937">
        <v>79023369</v>
      </c>
      <c r="L937">
        <v>68025847</v>
      </c>
      <c r="M937">
        <v>-49385</v>
      </c>
      <c r="N937">
        <v>-1629112</v>
      </c>
      <c r="O937">
        <v>-6401496</v>
      </c>
      <c r="P937">
        <v>234</v>
      </c>
      <c r="Q937" t="s">
        <v>1921</v>
      </c>
    </row>
    <row r="938" spans="1:17" x14ac:dyDescent="0.3">
      <c r="A938" t="s">
        <v>32</v>
      </c>
      <c r="B938" t="str">
        <f>"300928"</f>
        <v>300928</v>
      </c>
      <c r="C938" t="s">
        <v>1922</v>
      </c>
      <c r="D938" t="s">
        <v>199</v>
      </c>
      <c r="E938">
        <v>33631922</v>
      </c>
      <c r="F938">
        <v>-106538391</v>
      </c>
      <c r="G938">
        <v>-54613428</v>
      </c>
      <c r="H938">
        <v>-37875200</v>
      </c>
      <c r="P938">
        <v>27</v>
      </c>
      <c r="Q938" t="s">
        <v>1923</v>
      </c>
    </row>
    <row r="939" spans="1:17" x14ac:dyDescent="0.3">
      <c r="A939" t="s">
        <v>32</v>
      </c>
      <c r="B939" t="str">
        <f>"002284"</f>
        <v>002284</v>
      </c>
      <c r="C939" t="s">
        <v>1924</v>
      </c>
      <c r="D939" t="s">
        <v>199</v>
      </c>
      <c r="E939">
        <v>33594312</v>
      </c>
      <c r="F939">
        <v>67154948</v>
      </c>
      <c r="G939">
        <v>87087233</v>
      </c>
      <c r="H939">
        <v>-127132615</v>
      </c>
      <c r="I939">
        <v>-124099469</v>
      </c>
      <c r="J939">
        <v>-334831872</v>
      </c>
      <c r="K939">
        <v>-193615203</v>
      </c>
      <c r="L939">
        <v>-77385881</v>
      </c>
      <c r="M939">
        <v>7739791</v>
      </c>
      <c r="N939">
        <v>-61085674</v>
      </c>
      <c r="O939">
        <v>-142453398</v>
      </c>
      <c r="P939">
        <v>197</v>
      </c>
      <c r="Q939" t="s">
        <v>1925</v>
      </c>
    </row>
    <row r="940" spans="1:17" x14ac:dyDescent="0.3">
      <c r="A940" t="s">
        <v>17</v>
      </c>
      <c r="B940" t="str">
        <f>"603808"</f>
        <v>603808</v>
      </c>
      <c r="C940" t="s">
        <v>1926</v>
      </c>
      <c r="D940" t="s">
        <v>130</v>
      </c>
      <c r="E940">
        <v>33459214</v>
      </c>
      <c r="F940">
        <v>53204006</v>
      </c>
      <c r="G940">
        <v>30904330</v>
      </c>
      <c r="H940">
        <v>80734271</v>
      </c>
      <c r="I940">
        <v>94090277</v>
      </c>
      <c r="J940">
        <v>48043214</v>
      </c>
      <c r="K940">
        <v>5093966</v>
      </c>
      <c r="L940">
        <v>63450700</v>
      </c>
      <c r="M940">
        <v>47380875</v>
      </c>
      <c r="P940">
        <v>479</v>
      </c>
      <c r="Q940" t="s">
        <v>1927</v>
      </c>
    </row>
    <row r="941" spans="1:17" x14ac:dyDescent="0.3">
      <c r="A941" t="s">
        <v>17</v>
      </c>
      <c r="B941" t="str">
        <f>"688553"</f>
        <v>688553</v>
      </c>
      <c r="C941" t="s">
        <v>1928</v>
      </c>
      <c r="D941" t="s">
        <v>98</v>
      </c>
      <c r="E941">
        <v>33317705</v>
      </c>
      <c r="F941">
        <v>30021117</v>
      </c>
      <c r="G941">
        <v>15281236</v>
      </c>
      <c r="P941">
        <v>30</v>
      </c>
      <c r="Q941" t="s">
        <v>1929</v>
      </c>
    </row>
    <row r="942" spans="1:17" x14ac:dyDescent="0.3">
      <c r="A942" t="s">
        <v>17</v>
      </c>
      <c r="B942" t="str">
        <f>"600329"</f>
        <v>600329</v>
      </c>
      <c r="C942" t="s">
        <v>1930</v>
      </c>
      <c r="D942" t="s">
        <v>98</v>
      </c>
      <c r="E942">
        <v>33313392</v>
      </c>
      <c r="F942">
        <v>79982260</v>
      </c>
      <c r="G942">
        <v>83242026</v>
      </c>
      <c r="H942">
        <v>100993982</v>
      </c>
      <c r="I942">
        <v>147172434</v>
      </c>
      <c r="J942">
        <v>-15304431</v>
      </c>
      <c r="K942">
        <v>98576360</v>
      </c>
      <c r="L942">
        <v>124067855</v>
      </c>
      <c r="M942">
        <v>10505288</v>
      </c>
      <c r="N942">
        <v>63751641</v>
      </c>
      <c r="O942">
        <v>32535577</v>
      </c>
      <c r="P942">
        <v>555</v>
      </c>
      <c r="Q942" t="s">
        <v>1931</v>
      </c>
    </row>
    <row r="943" spans="1:17" x14ac:dyDescent="0.3">
      <c r="A943" t="s">
        <v>17</v>
      </c>
      <c r="B943" t="str">
        <f>"601113"</f>
        <v>601113</v>
      </c>
      <c r="C943" t="s">
        <v>1932</v>
      </c>
      <c r="D943" t="s">
        <v>218</v>
      </c>
      <c r="E943">
        <v>33263329</v>
      </c>
      <c r="F943">
        <v>-113197378</v>
      </c>
      <c r="G943">
        <v>-110009865</v>
      </c>
      <c r="H943">
        <v>-577831657</v>
      </c>
      <c r="I943">
        <v>-33983124</v>
      </c>
      <c r="J943">
        <v>65499255</v>
      </c>
      <c r="K943">
        <v>10639488</v>
      </c>
      <c r="L943">
        <v>78489108</v>
      </c>
      <c r="M943">
        <v>-141160492</v>
      </c>
      <c r="N943">
        <v>104770365</v>
      </c>
      <c r="O943">
        <v>270642066</v>
      </c>
      <c r="P943">
        <v>68</v>
      </c>
      <c r="Q943" t="s">
        <v>1933</v>
      </c>
    </row>
    <row r="944" spans="1:17" x14ac:dyDescent="0.3">
      <c r="A944" t="s">
        <v>32</v>
      </c>
      <c r="B944" t="str">
        <f>"300526"</f>
        <v>300526</v>
      </c>
      <c r="C944" t="s">
        <v>1934</v>
      </c>
      <c r="D944" t="s">
        <v>130</v>
      </c>
      <c r="E944">
        <v>33261725</v>
      </c>
      <c r="F944">
        <v>116565659</v>
      </c>
      <c r="G944">
        <v>-34543145</v>
      </c>
      <c r="H944">
        <v>-44846480</v>
      </c>
      <c r="I944">
        <v>-49010607</v>
      </c>
      <c r="J944">
        <v>-18503838</v>
      </c>
      <c r="K944">
        <v>-34654271</v>
      </c>
      <c r="P944">
        <v>104</v>
      </c>
      <c r="Q944" t="s">
        <v>1935</v>
      </c>
    </row>
    <row r="945" spans="1:17" x14ac:dyDescent="0.3">
      <c r="A945" t="s">
        <v>32</v>
      </c>
      <c r="B945" t="str">
        <f>"002349"</f>
        <v>002349</v>
      </c>
      <c r="C945" t="s">
        <v>1936</v>
      </c>
      <c r="D945" t="s">
        <v>98</v>
      </c>
      <c r="E945">
        <v>33227284</v>
      </c>
      <c r="F945">
        <v>45688908</v>
      </c>
      <c r="G945">
        <v>19158166</v>
      </c>
      <c r="H945">
        <v>-31000482</v>
      </c>
      <c r="I945">
        <v>-38608736</v>
      </c>
      <c r="J945">
        <v>-159772658</v>
      </c>
      <c r="K945">
        <v>99130124</v>
      </c>
      <c r="L945">
        <v>-10419959</v>
      </c>
      <c r="M945">
        <v>-17968866</v>
      </c>
      <c r="N945">
        <v>-21589858</v>
      </c>
      <c r="O945">
        <v>2391748</v>
      </c>
      <c r="P945">
        <v>194</v>
      </c>
      <c r="Q945" t="s">
        <v>1937</v>
      </c>
    </row>
    <row r="946" spans="1:17" x14ac:dyDescent="0.3">
      <c r="A946" t="s">
        <v>17</v>
      </c>
      <c r="B946" t="str">
        <f>"600965"</f>
        <v>600965</v>
      </c>
      <c r="C946" t="s">
        <v>1938</v>
      </c>
      <c r="D946" t="s">
        <v>175</v>
      </c>
      <c r="E946">
        <v>33127579</v>
      </c>
      <c r="F946">
        <v>45498348</v>
      </c>
      <c r="G946">
        <v>25834106</v>
      </c>
      <c r="H946">
        <v>21466836</v>
      </c>
      <c r="I946">
        <v>35792184</v>
      </c>
      <c r="J946">
        <v>25516212</v>
      </c>
      <c r="K946">
        <v>-52582791</v>
      </c>
      <c r="L946">
        <v>-8166426</v>
      </c>
      <c r="M946">
        <v>17956827</v>
      </c>
      <c r="N946">
        <v>36521462</v>
      </c>
      <c r="O946">
        <v>-4099907</v>
      </c>
      <c r="P946">
        <v>113</v>
      </c>
      <c r="Q946" t="s">
        <v>1939</v>
      </c>
    </row>
    <row r="947" spans="1:17" x14ac:dyDescent="0.3">
      <c r="A947" t="s">
        <v>32</v>
      </c>
      <c r="B947" t="str">
        <f>"301020"</f>
        <v>301020</v>
      </c>
      <c r="C947" t="s">
        <v>1940</v>
      </c>
      <c r="D947" t="s">
        <v>199</v>
      </c>
      <c r="E947">
        <v>33084215</v>
      </c>
      <c r="F947">
        <v>42118036</v>
      </c>
      <c r="G947">
        <v>62006463</v>
      </c>
      <c r="P947">
        <v>54</v>
      </c>
      <c r="Q947" t="s">
        <v>1941</v>
      </c>
    </row>
    <row r="948" spans="1:17" x14ac:dyDescent="0.3">
      <c r="A948" t="s">
        <v>32</v>
      </c>
      <c r="B948" t="str">
        <f>"301128"</f>
        <v>301128</v>
      </c>
      <c r="C948" t="s">
        <v>1942</v>
      </c>
      <c r="D948" t="s">
        <v>135</v>
      </c>
      <c r="E948">
        <v>32868811</v>
      </c>
      <c r="P948">
        <v>12</v>
      </c>
      <c r="Q948" t="s">
        <v>1943</v>
      </c>
    </row>
    <row r="949" spans="1:17" x14ac:dyDescent="0.3">
      <c r="A949" t="s">
        <v>17</v>
      </c>
      <c r="B949" t="str">
        <f>"603387"</f>
        <v>603387</v>
      </c>
      <c r="C949" t="s">
        <v>1944</v>
      </c>
      <c r="D949" t="s">
        <v>98</v>
      </c>
      <c r="E949">
        <v>32755928</v>
      </c>
      <c r="F949">
        <v>-8677756</v>
      </c>
      <c r="G949">
        <v>-64415086</v>
      </c>
      <c r="H949">
        <v>-29396414</v>
      </c>
      <c r="I949">
        <v>4220984</v>
      </c>
      <c r="J949">
        <v>9366546</v>
      </c>
      <c r="K949">
        <v>11846700</v>
      </c>
      <c r="P949">
        <v>1502</v>
      </c>
      <c r="Q949" t="s">
        <v>1945</v>
      </c>
    </row>
    <row r="950" spans="1:17" x14ac:dyDescent="0.3">
      <c r="A950" t="s">
        <v>17</v>
      </c>
      <c r="B950" t="str">
        <f>"600052"</f>
        <v>600052</v>
      </c>
      <c r="C950" t="s">
        <v>1946</v>
      </c>
      <c r="D950" t="s">
        <v>245</v>
      </c>
      <c r="E950">
        <v>32593604</v>
      </c>
      <c r="F950">
        <v>-247575313</v>
      </c>
      <c r="G950">
        <v>-27012602</v>
      </c>
      <c r="H950">
        <v>548822143</v>
      </c>
      <c r="I950">
        <v>-142940996</v>
      </c>
      <c r="J950">
        <v>229865211</v>
      </c>
      <c r="K950">
        <v>-11113209</v>
      </c>
      <c r="L950">
        <v>-140628423</v>
      </c>
      <c r="M950">
        <v>-61485644</v>
      </c>
      <c r="N950">
        <v>213823208</v>
      </c>
      <c r="O950">
        <v>-185513506</v>
      </c>
      <c r="P950">
        <v>133</v>
      </c>
      <c r="Q950" t="s">
        <v>1947</v>
      </c>
    </row>
    <row r="951" spans="1:17" x14ac:dyDescent="0.3">
      <c r="A951" t="s">
        <v>32</v>
      </c>
      <c r="B951" t="str">
        <f>"002930"</f>
        <v>002930</v>
      </c>
      <c r="C951" t="s">
        <v>1948</v>
      </c>
      <c r="D951" t="s">
        <v>46</v>
      </c>
      <c r="E951">
        <v>32591988</v>
      </c>
      <c r="F951">
        <v>35535684</v>
      </c>
      <c r="G951">
        <v>-37121698</v>
      </c>
      <c r="H951">
        <v>-18582211</v>
      </c>
      <c r="I951">
        <v>18835149</v>
      </c>
      <c r="J951">
        <v>25845654</v>
      </c>
      <c r="P951">
        <v>160</v>
      </c>
      <c r="Q951" t="s">
        <v>1949</v>
      </c>
    </row>
    <row r="952" spans="1:17" x14ac:dyDescent="0.3">
      <c r="A952" t="s">
        <v>32</v>
      </c>
      <c r="B952" t="str">
        <f>"300985"</f>
        <v>300985</v>
      </c>
      <c r="C952" t="s">
        <v>1950</v>
      </c>
      <c r="D952" t="s">
        <v>135</v>
      </c>
      <c r="E952">
        <v>32589779</v>
      </c>
      <c r="F952">
        <v>-94265705</v>
      </c>
      <c r="G952">
        <v>-137100278</v>
      </c>
      <c r="P952">
        <v>32</v>
      </c>
      <c r="Q952" t="s">
        <v>1951</v>
      </c>
    </row>
    <row r="953" spans="1:17" x14ac:dyDescent="0.3">
      <c r="A953" t="s">
        <v>32</v>
      </c>
      <c r="B953" t="str">
        <f>"002802"</f>
        <v>002802</v>
      </c>
      <c r="C953" t="s">
        <v>1952</v>
      </c>
      <c r="D953" t="s">
        <v>144</v>
      </c>
      <c r="E953">
        <v>32587324</v>
      </c>
      <c r="F953">
        <v>-17134123</v>
      </c>
      <c r="G953">
        <v>36228661</v>
      </c>
      <c r="H953">
        <v>14645876</v>
      </c>
      <c r="I953">
        <v>-16720309</v>
      </c>
      <c r="J953">
        <v>-13996960</v>
      </c>
      <c r="K953">
        <v>4297527</v>
      </c>
      <c r="L953">
        <v>3709478</v>
      </c>
      <c r="P953">
        <v>102</v>
      </c>
      <c r="Q953" t="s">
        <v>1953</v>
      </c>
    </row>
    <row r="954" spans="1:17" x14ac:dyDescent="0.3">
      <c r="A954" t="s">
        <v>32</v>
      </c>
      <c r="B954" t="str">
        <f>"300752"</f>
        <v>300752</v>
      </c>
      <c r="C954" t="s">
        <v>1954</v>
      </c>
      <c r="D954" t="s">
        <v>124</v>
      </c>
      <c r="E954">
        <v>32538373</v>
      </c>
      <c r="F954">
        <v>-51941419</v>
      </c>
      <c r="G954">
        <v>11621103</v>
      </c>
      <c r="H954">
        <v>86210476</v>
      </c>
      <c r="I954">
        <v>15053353</v>
      </c>
      <c r="P954">
        <v>140</v>
      </c>
      <c r="Q954" t="s">
        <v>1955</v>
      </c>
    </row>
    <row r="955" spans="1:17" x14ac:dyDescent="0.3">
      <c r="A955" t="s">
        <v>32</v>
      </c>
      <c r="B955" t="str">
        <f>"301263"</f>
        <v>301263</v>
      </c>
      <c r="C955" t="s">
        <v>1956</v>
      </c>
      <c r="E955">
        <v>32256858</v>
      </c>
      <c r="P955">
        <v>5</v>
      </c>
      <c r="Q955" t="s">
        <v>1957</v>
      </c>
    </row>
    <row r="956" spans="1:17" x14ac:dyDescent="0.3">
      <c r="A956" t="s">
        <v>32</v>
      </c>
      <c r="B956" t="str">
        <f>"002141"</f>
        <v>002141</v>
      </c>
      <c r="C956" t="s">
        <v>1958</v>
      </c>
      <c r="D956" t="s">
        <v>124</v>
      </c>
      <c r="E956">
        <v>32202899</v>
      </c>
      <c r="F956">
        <v>15551068</v>
      </c>
      <c r="G956">
        <v>-11864089</v>
      </c>
      <c r="H956">
        <v>-14916640</v>
      </c>
      <c r="I956">
        <v>1786605</v>
      </c>
      <c r="J956">
        <v>-38113504</v>
      </c>
      <c r="K956">
        <v>3110151</v>
      </c>
      <c r="L956">
        <v>34655861</v>
      </c>
      <c r="M956">
        <v>-16356884</v>
      </c>
      <c r="N956">
        <v>-38263446</v>
      </c>
      <c r="O956">
        <v>-1687663</v>
      </c>
      <c r="P956">
        <v>74</v>
      </c>
      <c r="Q956" t="s">
        <v>1959</v>
      </c>
    </row>
    <row r="957" spans="1:17" x14ac:dyDescent="0.3">
      <c r="A957" t="s">
        <v>17</v>
      </c>
      <c r="B957" t="str">
        <f>"600739"</f>
        <v>600739</v>
      </c>
      <c r="C957" t="s">
        <v>1960</v>
      </c>
      <c r="D957" t="s">
        <v>98</v>
      </c>
      <c r="E957">
        <v>32169794</v>
      </c>
      <c r="F957">
        <v>-311551980</v>
      </c>
      <c r="G957">
        <v>-192056555</v>
      </c>
      <c r="H957">
        <v>112798646</v>
      </c>
      <c r="I957">
        <v>-302837990</v>
      </c>
      <c r="J957">
        <v>-468426585</v>
      </c>
      <c r="K957">
        <v>-100481094</v>
      </c>
      <c r="L957">
        <v>-456468805</v>
      </c>
      <c r="M957">
        <v>-63527660</v>
      </c>
      <c r="N957">
        <v>-440144119</v>
      </c>
      <c r="O957">
        <v>-375965089</v>
      </c>
      <c r="P957">
        <v>338</v>
      </c>
      <c r="Q957" t="s">
        <v>1961</v>
      </c>
    </row>
    <row r="958" spans="1:17" x14ac:dyDescent="0.3">
      <c r="A958" t="s">
        <v>32</v>
      </c>
      <c r="B958" t="str">
        <f>"002615"</f>
        <v>002615</v>
      </c>
      <c r="C958" t="s">
        <v>1962</v>
      </c>
      <c r="D958" t="s">
        <v>455</v>
      </c>
      <c r="E958">
        <v>32074283</v>
      </c>
      <c r="F958">
        <v>98186636</v>
      </c>
      <c r="G958">
        <v>-4950909</v>
      </c>
      <c r="H958">
        <v>-46797851</v>
      </c>
      <c r="I958">
        <v>-59849062</v>
      </c>
      <c r="J958">
        <v>-181301839</v>
      </c>
      <c r="K958">
        <v>-43906212</v>
      </c>
      <c r="L958">
        <v>-48847179</v>
      </c>
      <c r="M958">
        <v>-83272182</v>
      </c>
      <c r="N958">
        <v>-36073023</v>
      </c>
      <c r="O958">
        <v>-43193053</v>
      </c>
      <c r="P958">
        <v>178</v>
      </c>
      <c r="Q958" t="s">
        <v>1963</v>
      </c>
    </row>
    <row r="959" spans="1:17" x14ac:dyDescent="0.3">
      <c r="A959" t="s">
        <v>32</v>
      </c>
      <c r="B959" t="str">
        <f>"300352"</f>
        <v>300352</v>
      </c>
      <c r="C959" t="s">
        <v>1964</v>
      </c>
      <c r="D959" t="s">
        <v>342</v>
      </c>
      <c r="E959">
        <v>31862816</v>
      </c>
      <c r="F959">
        <v>-171598908</v>
      </c>
      <c r="G959">
        <v>-56636775</v>
      </c>
      <c r="H959">
        <v>-170783406</v>
      </c>
      <c r="I959">
        <v>-148357458</v>
      </c>
      <c r="J959">
        <v>-61379410</v>
      </c>
      <c r="K959">
        <v>-37162716</v>
      </c>
      <c r="L959">
        <v>-17417860</v>
      </c>
      <c r="M959">
        <v>-34017468</v>
      </c>
      <c r="N959">
        <v>-31418519</v>
      </c>
      <c r="O959">
        <v>-12844377</v>
      </c>
      <c r="P959">
        <v>255</v>
      </c>
      <c r="Q959" t="s">
        <v>1965</v>
      </c>
    </row>
    <row r="960" spans="1:17" x14ac:dyDescent="0.3">
      <c r="A960" t="s">
        <v>32</v>
      </c>
      <c r="B960" t="str">
        <f>"002288"</f>
        <v>002288</v>
      </c>
      <c r="C960" t="s">
        <v>1966</v>
      </c>
      <c r="D960" t="s">
        <v>124</v>
      </c>
      <c r="E960">
        <v>31840409</v>
      </c>
      <c r="F960">
        <v>35615545</v>
      </c>
      <c r="G960">
        <v>7129192</v>
      </c>
      <c r="H960">
        <v>-25628824</v>
      </c>
      <c r="I960">
        <v>22606087</v>
      </c>
      <c r="J960">
        <v>-108581937</v>
      </c>
      <c r="K960">
        <v>4632995</v>
      </c>
      <c r="L960">
        <v>-16126719</v>
      </c>
      <c r="M960">
        <v>15876323</v>
      </c>
      <c r="N960">
        <v>-49684240</v>
      </c>
      <c r="O960">
        <v>-47202731</v>
      </c>
      <c r="P960">
        <v>176</v>
      </c>
      <c r="Q960" t="s">
        <v>1967</v>
      </c>
    </row>
    <row r="961" spans="1:17" x14ac:dyDescent="0.3">
      <c r="A961" t="s">
        <v>32</v>
      </c>
      <c r="B961" t="str">
        <f>"002881"</f>
        <v>002881</v>
      </c>
      <c r="C961" t="s">
        <v>1968</v>
      </c>
      <c r="D961" t="s">
        <v>124</v>
      </c>
      <c r="E961">
        <v>31825176</v>
      </c>
      <c r="F961">
        <v>-71928952</v>
      </c>
      <c r="G961">
        <v>-48736478</v>
      </c>
      <c r="H961">
        <v>-24353687</v>
      </c>
      <c r="I961">
        <v>8644035</v>
      </c>
      <c r="J961">
        <v>4961036</v>
      </c>
      <c r="K961">
        <v>5272088</v>
      </c>
      <c r="P961">
        <v>241</v>
      </c>
      <c r="Q961" t="s">
        <v>1969</v>
      </c>
    </row>
    <row r="962" spans="1:17" x14ac:dyDescent="0.3">
      <c r="A962" t="s">
        <v>17</v>
      </c>
      <c r="B962" t="str">
        <f>"603738"</f>
        <v>603738</v>
      </c>
      <c r="C962" t="s">
        <v>1970</v>
      </c>
      <c r="D962" t="s">
        <v>124</v>
      </c>
      <c r="E962">
        <v>31524561</v>
      </c>
      <c r="F962">
        <v>-62565676</v>
      </c>
      <c r="G962">
        <v>-18719317</v>
      </c>
      <c r="H962">
        <v>10673761</v>
      </c>
      <c r="I962">
        <v>-143658107</v>
      </c>
      <c r="J962">
        <v>-53565769</v>
      </c>
      <c r="K962">
        <v>-21656582</v>
      </c>
      <c r="P962">
        <v>248</v>
      </c>
      <c r="Q962" t="s">
        <v>1971</v>
      </c>
    </row>
    <row r="963" spans="1:17" x14ac:dyDescent="0.3">
      <c r="A963" t="s">
        <v>17</v>
      </c>
      <c r="B963" t="str">
        <f>"603339"</f>
        <v>603339</v>
      </c>
      <c r="C963" t="s">
        <v>1972</v>
      </c>
      <c r="D963" t="s">
        <v>135</v>
      </c>
      <c r="E963">
        <v>31230235</v>
      </c>
      <c r="F963">
        <v>-141084615</v>
      </c>
      <c r="G963">
        <v>-126798154</v>
      </c>
      <c r="H963">
        <v>-105969657</v>
      </c>
      <c r="I963">
        <v>-131126031</v>
      </c>
      <c r="J963">
        <v>19685662</v>
      </c>
      <c r="K963">
        <v>93674835</v>
      </c>
      <c r="L963">
        <v>84676248</v>
      </c>
      <c r="P963">
        <v>163</v>
      </c>
      <c r="Q963" t="s">
        <v>1973</v>
      </c>
    </row>
    <row r="964" spans="1:17" x14ac:dyDescent="0.3">
      <c r="A964" t="s">
        <v>17</v>
      </c>
      <c r="B964" t="str">
        <f>"688063"</f>
        <v>688063</v>
      </c>
      <c r="C964" t="s">
        <v>1974</v>
      </c>
      <c r="D964" t="s">
        <v>464</v>
      </c>
      <c r="E964">
        <v>30948106</v>
      </c>
      <c r="F964">
        <v>6136502</v>
      </c>
      <c r="G964">
        <v>2124930</v>
      </c>
      <c r="P964">
        <v>212</v>
      </c>
      <c r="Q964" t="s">
        <v>1975</v>
      </c>
    </row>
    <row r="965" spans="1:17" x14ac:dyDescent="0.3">
      <c r="A965" t="s">
        <v>17</v>
      </c>
      <c r="B965" t="str">
        <f>"600527"</f>
        <v>600527</v>
      </c>
      <c r="C965" t="s">
        <v>1976</v>
      </c>
      <c r="D965" t="s">
        <v>130</v>
      </c>
      <c r="E965">
        <v>30883649</v>
      </c>
      <c r="F965">
        <v>-9916095</v>
      </c>
      <c r="G965">
        <v>100247163</v>
      </c>
      <c r="H965">
        <v>-79931311</v>
      </c>
      <c r="I965">
        <v>-57264012</v>
      </c>
      <c r="J965">
        <v>36726241</v>
      </c>
      <c r="K965">
        <v>39313719</v>
      </c>
      <c r="L965">
        <v>-5215941</v>
      </c>
      <c r="M965">
        <v>-48331812</v>
      </c>
      <c r="N965">
        <v>-62324585</v>
      </c>
      <c r="O965">
        <v>56022416</v>
      </c>
      <c r="P965">
        <v>112</v>
      </c>
      <c r="Q965" t="s">
        <v>1977</v>
      </c>
    </row>
    <row r="966" spans="1:17" x14ac:dyDescent="0.3">
      <c r="A966" t="s">
        <v>17</v>
      </c>
      <c r="B966" t="str">
        <f>"605337"</f>
        <v>605337</v>
      </c>
      <c r="C966" t="s">
        <v>1978</v>
      </c>
      <c r="D966" t="s">
        <v>172</v>
      </c>
      <c r="E966">
        <v>30715377</v>
      </c>
      <c r="F966">
        <v>-3925831</v>
      </c>
      <c r="G966">
        <v>-36811808</v>
      </c>
      <c r="P966">
        <v>147</v>
      </c>
      <c r="Q966" t="s">
        <v>1979</v>
      </c>
    </row>
    <row r="967" spans="1:17" x14ac:dyDescent="0.3">
      <c r="A967" t="s">
        <v>17</v>
      </c>
      <c r="B967" t="str">
        <f>"600062"</f>
        <v>600062</v>
      </c>
      <c r="C967" t="s">
        <v>1980</v>
      </c>
      <c r="D967" t="s">
        <v>98</v>
      </c>
      <c r="E967">
        <v>30440392</v>
      </c>
      <c r="F967">
        <v>263223537</v>
      </c>
      <c r="G967">
        <v>318521276</v>
      </c>
      <c r="H967">
        <v>393257879</v>
      </c>
      <c r="I967">
        <v>343638652</v>
      </c>
      <c r="J967">
        <v>278646255</v>
      </c>
      <c r="K967">
        <v>142762803</v>
      </c>
      <c r="L967">
        <v>-10989839</v>
      </c>
      <c r="M967">
        <v>84186627</v>
      </c>
      <c r="N967">
        <v>-27156644</v>
      </c>
      <c r="O967">
        <v>20762558</v>
      </c>
      <c r="P967">
        <v>635</v>
      </c>
      <c r="Q967" t="s">
        <v>1981</v>
      </c>
    </row>
    <row r="968" spans="1:17" x14ac:dyDescent="0.3">
      <c r="A968" t="s">
        <v>17</v>
      </c>
      <c r="B968" t="str">
        <f>"688335"</f>
        <v>688335</v>
      </c>
      <c r="C968" t="s">
        <v>1982</v>
      </c>
      <c r="D968" t="s">
        <v>1334</v>
      </c>
      <c r="E968">
        <v>30358909</v>
      </c>
      <c r="F968">
        <v>-84337508</v>
      </c>
      <c r="G968">
        <v>-29157969</v>
      </c>
      <c r="H968">
        <v>-22311951</v>
      </c>
      <c r="I968">
        <v>50002337</v>
      </c>
      <c r="P968">
        <v>61</v>
      </c>
      <c r="Q968" t="s">
        <v>1983</v>
      </c>
    </row>
    <row r="969" spans="1:17" x14ac:dyDescent="0.3">
      <c r="A969" t="s">
        <v>17</v>
      </c>
      <c r="B969" t="str">
        <f>"603359"</f>
        <v>603359</v>
      </c>
      <c r="C969" t="s">
        <v>1984</v>
      </c>
      <c r="D969" t="s">
        <v>645</v>
      </c>
      <c r="E969">
        <v>30307092</v>
      </c>
      <c r="F969">
        <v>-148810523</v>
      </c>
      <c r="G969">
        <v>-149853190</v>
      </c>
      <c r="H969">
        <v>-116036277</v>
      </c>
      <c r="I969">
        <v>-145900301</v>
      </c>
      <c r="J969">
        <v>99410202</v>
      </c>
      <c r="K969">
        <v>13552897</v>
      </c>
      <c r="P969">
        <v>187</v>
      </c>
      <c r="Q969" t="s">
        <v>1985</v>
      </c>
    </row>
    <row r="970" spans="1:17" x14ac:dyDescent="0.3">
      <c r="A970" t="s">
        <v>17</v>
      </c>
      <c r="B970" t="str">
        <f>"688278"</f>
        <v>688278</v>
      </c>
      <c r="C970" t="s">
        <v>1986</v>
      </c>
      <c r="D970" t="s">
        <v>98</v>
      </c>
      <c r="E970">
        <v>30278323</v>
      </c>
      <c r="F970">
        <v>24254101</v>
      </c>
      <c r="G970">
        <v>-2015853</v>
      </c>
      <c r="H970">
        <v>13925512</v>
      </c>
      <c r="P970">
        <v>156</v>
      </c>
      <c r="Q970" t="s">
        <v>1987</v>
      </c>
    </row>
    <row r="971" spans="1:17" x14ac:dyDescent="0.3">
      <c r="A971" t="s">
        <v>17</v>
      </c>
      <c r="B971" t="str">
        <f>"603997"</f>
        <v>603997</v>
      </c>
      <c r="C971" t="s">
        <v>1988</v>
      </c>
      <c r="D971" t="s">
        <v>199</v>
      </c>
      <c r="E971">
        <v>30040250</v>
      </c>
      <c r="F971">
        <v>-90662946</v>
      </c>
      <c r="G971">
        <v>-309259017</v>
      </c>
      <c r="H971">
        <v>39538318</v>
      </c>
      <c r="I971">
        <v>66717765</v>
      </c>
      <c r="J971">
        <v>72358021</v>
      </c>
      <c r="K971">
        <v>33999681</v>
      </c>
      <c r="L971">
        <v>-2863550</v>
      </c>
      <c r="M971">
        <v>2718188</v>
      </c>
      <c r="P971">
        <v>248</v>
      </c>
      <c r="Q971" t="s">
        <v>1989</v>
      </c>
    </row>
    <row r="972" spans="1:17" x14ac:dyDescent="0.3">
      <c r="A972" t="s">
        <v>32</v>
      </c>
      <c r="B972" t="str">
        <f>"000659"</f>
        <v>000659</v>
      </c>
      <c r="C972" t="s">
        <v>1990</v>
      </c>
      <c r="D972" t="s">
        <v>455</v>
      </c>
      <c r="E972">
        <v>29967006</v>
      </c>
      <c r="F972">
        <v>-340946</v>
      </c>
      <c r="G972">
        <v>14168722</v>
      </c>
      <c r="H972">
        <v>-1865297</v>
      </c>
      <c r="I972">
        <v>24830726</v>
      </c>
      <c r="J972">
        <v>15757059</v>
      </c>
      <c r="K972">
        <v>30194270</v>
      </c>
      <c r="L972">
        <v>32190105</v>
      </c>
      <c r="M972">
        <v>89185623</v>
      </c>
      <c r="N972">
        <v>-147506944</v>
      </c>
      <c r="O972">
        <v>-115750216</v>
      </c>
      <c r="P972">
        <v>77</v>
      </c>
      <c r="Q972" t="s">
        <v>1991</v>
      </c>
    </row>
    <row r="973" spans="1:17" x14ac:dyDescent="0.3">
      <c r="A973" t="s">
        <v>17</v>
      </c>
      <c r="B973" t="str">
        <f>"603589"</f>
        <v>603589</v>
      </c>
      <c r="C973" t="s">
        <v>1992</v>
      </c>
      <c r="D973" t="s">
        <v>172</v>
      </c>
      <c r="E973">
        <v>29621060</v>
      </c>
      <c r="F973">
        <v>-384939440</v>
      </c>
      <c r="G973">
        <v>-347206744</v>
      </c>
      <c r="H973">
        <v>18769625</v>
      </c>
      <c r="I973">
        <v>-239009877</v>
      </c>
      <c r="J973">
        <v>171024275</v>
      </c>
      <c r="K973">
        <v>-188625557</v>
      </c>
      <c r="L973">
        <v>-151919500</v>
      </c>
      <c r="M973">
        <v>-110347400</v>
      </c>
      <c r="P973">
        <v>6971</v>
      </c>
      <c r="Q973" t="s">
        <v>1993</v>
      </c>
    </row>
    <row r="974" spans="1:17" x14ac:dyDescent="0.3">
      <c r="A974" t="s">
        <v>17</v>
      </c>
      <c r="B974" t="str">
        <f>"603866"</f>
        <v>603866</v>
      </c>
      <c r="C974" t="s">
        <v>1994</v>
      </c>
      <c r="D974" t="s">
        <v>172</v>
      </c>
      <c r="E974">
        <v>29564683</v>
      </c>
      <c r="F974">
        <v>-33765034</v>
      </c>
      <c r="G974">
        <v>56188013</v>
      </c>
      <c r="H974">
        <v>-33571150</v>
      </c>
      <c r="I974">
        <v>103064575</v>
      </c>
      <c r="J974">
        <v>-15255528</v>
      </c>
      <c r="K974">
        <v>30189496</v>
      </c>
      <c r="L974">
        <v>68352900</v>
      </c>
      <c r="P974">
        <v>7674</v>
      </c>
      <c r="Q974" t="s">
        <v>1995</v>
      </c>
    </row>
    <row r="975" spans="1:17" x14ac:dyDescent="0.3">
      <c r="A975" t="s">
        <v>17</v>
      </c>
      <c r="B975" t="str">
        <f>"600856"</f>
        <v>600856</v>
      </c>
      <c r="C975" t="s">
        <v>1996</v>
      </c>
      <c r="D975" t="s">
        <v>64</v>
      </c>
      <c r="E975">
        <v>29427744</v>
      </c>
      <c r="F975">
        <v>13862914</v>
      </c>
      <c r="G975">
        <v>-138888490</v>
      </c>
      <c r="H975">
        <v>-110222654</v>
      </c>
      <c r="I975">
        <v>-280646599</v>
      </c>
      <c r="J975">
        <v>-331780165</v>
      </c>
      <c r="K975">
        <v>-25511059</v>
      </c>
      <c r="L975">
        <v>-47679713</v>
      </c>
      <c r="M975">
        <v>6305580</v>
      </c>
      <c r="N975">
        <v>12720500</v>
      </c>
      <c r="O975">
        <v>5774851</v>
      </c>
      <c r="P975">
        <v>129</v>
      </c>
      <c r="Q975" t="s">
        <v>1997</v>
      </c>
    </row>
    <row r="976" spans="1:17" x14ac:dyDescent="0.3">
      <c r="A976" t="s">
        <v>32</v>
      </c>
      <c r="B976" t="str">
        <f>"000417"</f>
        <v>000417</v>
      </c>
      <c r="C976" t="s">
        <v>1998</v>
      </c>
      <c r="D976" t="s">
        <v>218</v>
      </c>
      <c r="E976">
        <v>29395220</v>
      </c>
      <c r="F976">
        <v>-10168459</v>
      </c>
      <c r="G976">
        <v>-424128544</v>
      </c>
      <c r="H976">
        <v>-599890474</v>
      </c>
      <c r="I976">
        <v>85368320</v>
      </c>
      <c r="J976">
        <v>-8958862</v>
      </c>
      <c r="K976">
        <v>-190654387</v>
      </c>
      <c r="L976">
        <v>-9241617</v>
      </c>
      <c r="M976">
        <v>180588550</v>
      </c>
      <c r="N976">
        <v>237811380</v>
      </c>
      <c r="O976">
        <v>-69813799</v>
      </c>
      <c r="P976">
        <v>145</v>
      </c>
      <c r="Q976" t="s">
        <v>1999</v>
      </c>
    </row>
    <row r="977" spans="1:17" x14ac:dyDescent="0.3">
      <c r="A977" t="s">
        <v>32</v>
      </c>
      <c r="B977" t="str">
        <f>"301021"</f>
        <v>301021</v>
      </c>
      <c r="C977" t="s">
        <v>2000</v>
      </c>
      <c r="D977" t="s">
        <v>135</v>
      </c>
      <c r="E977">
        <v>29386029</v>
      </c>
      <c r="F977">
        <v>-13237233</v>
      </c>
      <c r="G977">
        <v>-6443452</v>
      </c>
      <c r="P977">
        <v>35</v>
      </c>
      <c r="Q977" t="s">
        <v>2001</v>
      </c>
    </row>
    <row r="978" spans="1:17" x14ac:dyDescent="0.3">
      <c r="A978" t="s">
        <v>32</v>
      </c>
      <c r="B978" t="str">
        <f>"000557"</f>
        <v>000557</v>
      </c>
      <c r="C978" t="s">
        <v>2002</v>
      </c>
      <c r="D978" t="s">
        <v>46</v>
      </c>
      <c r="E978">
        <v>29238635</v>
      </c>
      <c r="F978">
        <v>75047478</v>
      </c>
      <c r="G978">
        <v>53097027</v>
      </c>
      <c r="H978">
        <v>-9388412</v>
      </c>
      <c r="I978">
        <v>-16250156</v>
      </c>
      <c r="J978">
        <v>37709061</v>
      </c>
      <c r="K978">
        <v>2977280</v>
      </c>
      <c r="L978">
        <v>-2313937</v>
      </c>
      <c r="M978">
        <v>-2199728</v>
      </c>
      <c r="N978">
        <v>-1213359</v>
      </c>
      <c r="O978">
        <v>-321898</v>
      </c>
      <c r="P978">
        <v>103</v>
      </c>
      <c r="Q978" t="s">
        <v>2003</v>
      </c>
    </row>
    <row r="979" spans="1:17" x14ac:dyDescent="0.3">
      <c r="A979" t="s">
        <v>17</v>
      </c>
      <c r="B979" t="str">
        <f>"605006"</f>
        <v>605006</v>
      </c>
      <c r="C979" t="s">
        <v>2004</v>
      </c>
      <c r="D979" t="s">
        <v>400</v>
      </c>
      <c r="E979">
        <v>29190638</v>
      </c>
      <c r="F979">
        <v>-20586780</v>
      </c>
      <c r="G979">
        <v>-47220146</v>
      </c>
      <c r="P979">
        <v>121</v>
      </c>
      <c r="Q979" t="s">
        <v>2005</v>
      </c>
    </row>
    <row r="980" spans="1:17" x14ac:dyDescent="0.3">
      <c r="A980" t="s">
        <v>32</v>
      </c>
      <c r="B980" t="str">
        <f>"003016"</f>
        <v>003016</v>
      </c>
      <c r="C980" t="s">
        <v>2006</v>
      </c>
      <c r="D980" t="s">
        <v>130</v>
      </c>
      <c r="E980">
        <v>28869064</v>
      </c>
      <c r="F980">
        <v>56521613</v>
      </c>
      <c r="G980">
        <v>24717290</v>
      </c>
      <c r="P980">
        <v>58</v>
      </c>
      <c r="Q980" t="s">
        <v>2007</v>
      </c>
    </row>
    <row r="981" spans="1:17" x14ac:dyDescent="0.3">
      <c r="A981" t="s">
        <v>17</v>
      </c>
      <c r="B981" t="str">
        <f>"603789"</f>
        <v>603789</v>
      </c>
      <c r="C981" t="s">
        <v>2008</v>
      </c>
      <c r="D981" t="s">
        <v>135</v>
      </c>
      <c r="E981">
        <v>28704114</v>
      </c>
      <c r="F981">
        <v>5994251</v>
      </c>
      <c r="G981">
        <v>-80305308</v>
      </c>
      <c r="H981">
        <v>-43305683</v>
      </c>
      <c r="I981">
        <v>-108769540</v>
      </c>
      <c r="J981">
        <v>4681928</v>
      </c>
      <c r="K981">
        <v>51858033</v>
      </c>
      <c r="L981">
        <v>-54490211</v>
      </c>
      <c r="P981">
        <v>64</v>
      </c>
      <c r="Q981" t="s">
        <v>2009</v>
      </c>
    </row>
    <row r="982" spans="1:17" x14ac:dyDescent="0.3">
      <c r="A982" t="s">
        <v>32</v>
      </c>
      <c r="B982" t="str">
        <f>"300626"</f>
        <v>300626</v>
      </c>
      <c r="C982" t="s">
        <v>2010</v>
      </c>
      <c r="D982" t="s">
        <v>464</v>
      </c>
      <c r="E982">
        <v>28676551</v>
      </c>
      <c r="F982">
        <v>-49274501</v>
      </c>
      <c r="G982">
        <v>-4232308</v>
      </c>
      <c r="H982">
        <v>58037387</v>
      </c>
      <c r="I982">
        <v>-26335515</v>
      </c>
      <c r="J982">
        <v>-23851063</v>
      </c>
      <c r="K982">
        <v>41368753</v>
      </c>
      <c r="P982">
        <v>55</v>
      </c>
      <c r="Q982" t="s">
        <v>2011</v>
      </c>
    </row>
    <row r="983" spans="1:17" x14ac:dyDescent="0.3">
      <c r="A983" t="s">
        <v>17</v>
      </c>
      <c r="B983" t="str">
        <f>"600557"</f>
        <v>600557</v>
      </c>
      <c r="C983" t="s">
        <v>2012</v>
      </c>
      <c r="D983" t="s">
        <v>98</v>
      </c>
      <c r="E983">
        <v>28640036</v>
      </c>
      <c r="F983">
        <v>-77665472</v>
      </c>
      <c r="G983">
        <v>91196065</v>
      </c>
      <c r="H983">
        <v>57656756</v>
      </c>
      <c r="I983">
        <v>132861043</v>
      </c>
      <c r="J983">
        <v>-65733581</v>
      </c>
      <c r="K983">
        <v>-35498105</v>
      </c>
      <c r="L983">
        <v>-9954826</v>
      </c>
      <c r="M983">
        <v>-27442192</v>
      </c>
      <c r="N983">
        <v>-37679387</v>
      </c>
      <c r="O983">
        <v>174147</v>
      </c>
      <c r="P983">
        <v>429</v>
      </c>
      <c r="Q983" t="s">
        <v>2013</v>
      </c>
    </row>
    <row r="984" spans="1:17" x14ac:dyDescent="0.3">
      <c r="A984" t="s">
        <v>32</v>
      </c>
      <c r="B984" t="str">
        <f>"300791"</f>
        <v>300791</v>
      </c>
      <c r="C984" t="s">
        <v>2014</v>
      </c>
      <c r="D984" t="s">
        <v>172</v>
      </c>
      <c r="E984">
        <v>28618402</v>
      </c>
      <c r="F984">
        <v>-82774597</v>
      </c>
      <c r="G984">
        <v>65937173</v>
      </c>
      <c r="H984">
        <v>85623790</v>
      </c>
      <c r="P984">
        <v>286</v>
      </c>
      <c r="Q984" t="s">
        <v>2015</v>
      </c>
    </row>
    <row r="985" spans="1:17" x14ac:dyDescent="0.3">
      <c r="A985" t="s">
        <v>17</v>
      </c>
      <c r="B985" t="str">
        <f>"600722"</f>
        <v>600722</v>
      </c>
      <c r="C985" t="s">
        <v>2016</v>
      </c>
      <c r="D985" t="s">
        <v>144</v>
      </c>
      <c r="E985">
        <v>28251334</v>
      </c>
      <c r="F985">
        <v>18938847</v>
      </c>
      <c r="G985">
        <v>11676072</v>
      </c>
      <c r="H985">
        <v>46638112</v>
      </c>
      <c r="I985">
        <v>18364959</v>
      </c>
      <c r="J985">
        <v>98556304</v>
      </c>
      <c r="K985">
        <v>-67641252</v>
      </c>
      <c r="L985">
        <v>-129672008</v>
      </c>
      <c r="M985">
        <v>-104478589</v>
      </c>
      <c r="N985">
        <v>12874576</v>
      </c>
      <c r="O985">
        <v>18562744</v>
      </c>
      <c r="P985">
        <v>97</v>
      </c>
      <c r="Q985" t="s">
        <v>2017</v>
      </c>
    </row>
    <row r="986" spans="1:17" x14ac:dyDescent="0.3">
      <c r="A986" t="s">
        <v>17</v>
      </c>
      <c r="B986" t="str">
        <f>"603360"</f>
        <v>603360</v>
      </c>
      <c r="C986" t="s">
        <v>2018</v>
      </c>
      <c r="D986" t="s">
        <v>144</v>
      </c>
      <c r="E986">
        <v>28243769</v>
      </c>
      <c r="F986">
        <v>-41197475</v>
      </c>
      <c r="G986">
        <v>71602597</v>
      </c>
      <c r="H986">
        <v>5621689</v>
      </c>
      <c r="I986">
        <v>13235038</v>
      </c>
      <c r="J986">
        <v>21114261</v>
      </c>
      <c r="K986">
        <v>18239769</v>
      </c>
      <c r="P986">
        <v>404</v>
      </c>
      <c r="Q986" t="s">
        <v>2019</v>
      </c>
    </row>
    <row r="987" spans="1:17" x14ac:dyDescent="0.3">
      <c r="A987" t="s">
        <v>32</v>
      </c>
      <c r="B987" t="str">
        <f>"300056"</f>
        <v>300056</v>
      </c>
      <c r="C987" t="s">
        <v>2020</v>
      </c>
      <c r="D987" t="s">
        <v>1334</v>
      </c>
      <c r="E987">
        <v>28204002</v>
      </c>
      <c r="F987">
        <v>-70160176</v>
      </c>
      <c r="G987">
        <v>-178234149</v>
      </c>
      <c r="H987">
        <v>27918201</v>
      </c>
      <c r="I987">
        <v>105701748</v>
      </c>
      <c r="J987">
        <v>-8801211</v>
      </c>
      <c r="K987">
        <v>-70351531</v>
      </c>
      <c r="L987">
        <v>-24835190</v>
      </c>
      <c r="M987">
        <v>-19071596</v>
      </c>
      <c r="N987">
        <v>-14900178</v>
      </c>
      <c r="O987">
        <v>-46401302</v>
      </c>
      <c r="P987">
        <v>87</v>
      </c>
      <c r="Q987" t="s">
        <v>2021</v>
      </c>
    </row>
    <row r="988" spans="1:17" x14ac:dyDescent="0.3">
      <c r="A988" t="s">
        <v>32</v>
      </c>
      <c r="B988" t="str">
        <f>"300716"</f>
        <v>300716</v>
      </c>
      <c r="C988" t="s">
        <v>2022</v>
      </c>
      <c r="D988" t="s">
        <v>144</v>
      </c>
      <c r="E988">
        <v>28183791</v>
      </c>
      <c r="F988">
        <v>-84359411</v>
      </c>
      <c r="G988">
        <v>-200546363</v>
      </c>
      <c r="H988">
        <v>-58626163</v>
      </c>
      <c r="I988">
        <v>-52066626</v>
      </c>
      <c r="J988">
        <v>-1462053</v>
      </c>
      <c r="P988">
        <v>59</v>
      </c>
      <c r="Q988" t="s">
        <v>2023</v>
      </c>
    </row>
    <row r="989" spans="1:17" x14ac:dyDescent="0.3">
      <c r="A989" t="s">
        <v>32</v>
      </c>
      <c r="B989" t="str">
        <f>"002624"</f>
        <v>002624</v>
      </c>
      <c r="C989" t="s">
        <v>2024</v>
      </c>
      <c r="D989" t="s">
        <v>245</v>
      </c>
      <c r="E989">
        <v>28021644</v>
      </c>
      <c r="F989">
        <v>-71759994</v>
      </c>
      <c r="G989">
        <v>492215040</v>
      </c>
      <c r="H989">
        <v>-206746915</v>
      </c>
      <c r="I989">
        <v>-285527720</v>
      </c>
      <c r="J989">
        <v>-70985289</v>
      </c>
      <c r="K989">
        <v>-547021122</v>
      </c>
      <c r="L989">
        <v>-50636715</v>
      </c>
      <c r="M989">
        <v>-26873215</v>
      </c>
      <c r="N989">
        <v>-34475001</v>
      </c>
      <c r="O989">
        <v>1367849</v>
      </c>
      <c r="P989">
        <v>2399</v>
      </c>
      <c r="Q989" t="s">
        <v>2025</v>
      </c>
    </row>
    <row r="990" spans="1:17" x14ac:dyDescent="0.3">
      <c r="A990" t="s">
        <v>17</v>
      </c>
      <c r="B990" t="str">
        <f>"600360"</f>
        <v>600360</v>
      </c>
      <c r="C990" t="s">
        <v>2026</v>
      </c>
      <c r="D990" t="s">
        <v>124</v>
      </c>
      <c r="E990">
        <v>28020666</v>
      </c>
      <c r="F990">
        <v>-1185426</v>
      </c>
      <c r="G990">
        <v>-22560064</v>
      </c>
      <c r="H990">
        <v>25080008</v>
      </c>
      <c r="I990">
        <v>59565880</v>
      </c>
      <c r="J990">
        <v>72959081</v>
      </c>
      <c r="K990">
        <v>101629</v>
      </c>
      <c r="L990">
        <v>-13915159</v>
      </c>
      <c r="M990">
        <v>42473639</v>
      </c>
      <c r="N990">
        <v>1744218</v>
      </c>
      <c r="O990">
        <v>-22496990</v>
      </c>
      <c r="P990">
        <v>318</v>
      </c>
      <c r="Q990" t="s">
        <v>2027</v>
      </c>
    </row>
    <row r="991" spans="1:17" x14ac:dyDescent="0.3">
      <c r="A991" t="s">
        <v>32</v>
      </c>
      <c r="B991" t="str">
        <f>"300622"</f>
        <v>300622</v>
      </c>
      <c r="C991" t="s">
        <v>2028</v>
      </c>
      <c r="D991" t="s">
        <v>218</v>
      </c>
      <c r="E991">
        <v>27937176</v>
      </c>
      <c r="F991">
        <v>42788838</v>
      </c>
      <c r="G991">
        <v>646456</v>
      </c>
      <c r="H991">
        <v>4607682</v>
      </c>
      <c r="I991">
        <v>-2759004</v>
      </c>
      <c r="J991">
        <v>17570657</v>
      </c>
      <c r="K991">
        <v>13238754</v>
      </c>
      <c r="P991">
        <v>123</v>
      </c>
      <c r="Q991" t="s">
        <v>2029</v>
      </c>
    </row>
    <row r="992" spans="1:17" x14ac:dyDescent="0.3">
      <c r="A992" t="s">
        <v>17</v>
      </c>
      <c r="B992" t="str">
        <f>"603819"</f>
        <v>603819</v>
      </c>
      <c r="C992" t="s">
        <v>2030</v>
      </c>
      <c r="D992" t="s">
        <v>464</v>
      </c>
      <c r="E992">
        <v>27923806</v>
      </c>
      <c r="F992">
        <v>-109005093</v>
      </c>
      <c r="G992">
        <v>-33180839</v>
      </c>
      <c r="H992">
        <v>-123504825</v>
      </c>
      <c r="I992">
        <v>-28408200</v>
      </c>
      <c r="J992">
        <v>-63557314</v>
      </c>
      <c r="K992">
        <v>-23321435</v>
      </c>
      <c r="P992">
        <v>74</v>
      </c>
      <c r="Q992" t="s">
        <v>2031</v>
      </c>
    </row>
    <row r="993" spans="1:17" x14ac:dyDescent="0.3">
      <c r="A993" t="s">
        <v>32</v>
      </c>
      <c r="B993" t="str">
        <f>"002731"</f>
        <v>002731</v>
      </c>
      <c r="C993" t="s">
        <v>2032</v>
      </c>
      <c r="D993" t="s">
        <v>130</v>
      </c>
      <c r="E993">
        <v>27718888</v>
      </c>
      <c r="F993">
        <v>179009507</v>
      </c>
      <c r="G993">
        <v>102336924</v>
      </c>
      <c r="H993">
        <v>-72300274</v>
      </c>
      <c r="I993">
        <v>-137564779</v>
      </c>
      <c r="J993">
        <v>58529021</v>
      </c>
      <c r="K993">
        <v>54055827</v>
      </c>
      <c r="L993">
        <v>35561994</v>
      </c>
      <c r="M993">
        <v>44649932</v>
      </c>
      <c r="P993">
        <v>81</v>
      </c>
      <c r="Q993" t="s">
        <v>2033</v>
      </c>
    </row>
    <row r="994" spans="1:17" x14ac:dyDescent="0.3">
      <c r="A994" t="s">
        <v>32</v>
      </c>
      <c r="B994" t="str">
        <f>"002122"</f>
        <v>002122</v>
      </c>
      <c r="C994" t="s">
        <v>2034</v>
      </c>
      <c r="D994" t="s">
        <v>135</v>
      </c>
      <c r="E994">
        <v>27651155</v>
      </c>
      <c r="F994">
        <v>-11985350</v>
      </c>
      <c r="G994">
        <v>5407574</v>
      </c>
      <c r="H994">
        <v>-33554041</v>
      </c>
      <c r="I994">
        <v>-240883815</v>
      </c>
      <c r="J994">
        <v>-5044591</v>
      </c>
      <c r="K994">
        <v>102291509</v>
      </c>
      <c r="L994">
        <v>-39750834</v>
      </c>
      <c r="M994">
        <v>54683526</v>
      </c>
      <c r="N994">
        <v>-70359662</v>
      </c>
      <c r="O994">
        <v>27004128</v>
      </c>
      <c r="P994">
        <v>69</v>
      </c>
      <c r="Q994" t="s">
        <v>2035</v>
      </c>
    </row>
    <row r="995" spans="1:17" x14ac:dyDescent="0.3">
      <c r="A995" t="s">
        <v>17</v>
      </c>
      <c r="B995" t="str">
        <f>"603165"</f>
        <v>603165</v>
      </c>
      <c r="C995" t="s">
        <v>2036</v>
      </c>
      <c r="D995" t="s">
        <v>455</v>
      </c>
      <c r="E995">
        <v>27559908</v>
      </c>
      <c r="F995">
        <v>-7667665</v>
      </c>
      <c r="G995">
        <v>-31866014</v>
      </c>
      <c r="H995">
        <v>33222255</v>
      </c>
      <c r="I995">
        <v>28396561</v>
      </c>
      <c r="J995">
        <v>-49417790</v>
      </c>
      <c r="K995">
        <v>-37505120</v>
      </c>
      <c r="P995">
        <v>593</v>
      </c>
      <c r="Q995" t="s">
        <v>2037</v>
      </c>
    </row>
    <row r="996" spans="1:17" x14ac:dyDescent="0.3">
      <c r="A996" t="s">
        <v>32</v>
      </c>
      <c r="B996" t="str">
        <f>"002709"</f>
        <v>002709</v>
      </c>
      <c r="C996" t="s">
        <v>2038</v>
      </c>
      <c r="D996" t="s">
        <v>464</v>
      </c>
      <c r="E996">
        <v>27420998</v>
      </c>
      <c r="F996">
        <v>11795444</v>
      </c>
      <c r="G996">
        <v>43947934</v>
      </c>
      <c r="H996">
        <v>16347606</v>
      </c>
      <c r="I996">
        <v>-251981842</v>
      </c>
      <c r="J996">
        <v>-85924986</v>
      </c>
      <c r="K996">
        <v>-22602104</v>
      </c>
      <c r="L996">
        <v>-27129754</v>
      </c>
      <c r="M996">
        <v>-12145468</v>
      </c>
      <c r="N996">
        <v>-27838683</v>
      </c>
      <c r="P996">
        <v>1069</v>
      </c>
      <c r="Q996" t="s">
        <v>2039</v>
      </c>
    </row>
    <row r="997" spans="1:17" x14ac:dyDescent="0.3">
      <c r="A997" t="s">
        <v>17</v>
      </c>
      <c r="B997" t="str">
        <f>"600540"</f>
        <v>600540</v>
      </c>
      <c r="C997" t="s">
        <v>2040</v>
      </c>
      <c r="D997" t="s">
        <v>175</v>
      </c>
      <c r="E997">
        <v>27331062</v>
      </c>
      <c r="F997">
        <v>391310925</v>
      </c>
      <c r="G997">
        <v>110053755</v>
      </c>
      <c r="H997">
        <v>-32048868</v>
      </c>
      <c r="I997">
        <v>65351148</v>
      </c>
      <c r="J997">
        <v>-92731316</v>
      </c>
      <c r="K997">
        <v>-70479879</v>
      </c>
      <c r="L997">
        <v>-59747841</v>
      </c>
      <c r="M997">
        <v>-45603643</v>
      </c>
      <c r="N997">
        <v>-115402074</v>
      </c>
      <c r="O997">
        <v>-169428920</v>
      </c>
      <c r="P997">
        <v>97</v>
      </c>
      <c r="Q997" t="s">
        <v>2041</v>
      </c>
    </row>
    <row r="998" spans="1:17" x14ac:dyDescent="0.3">
      <c r="A998" t="s">
        <v>17</v>
      </c>
      <c r="B998" t="str">
        <f>"688356"</f>
        <v>688356</v>
      </c>
      <c r="C998" t="s">
        <v>2042</v>
      </c>
      <c r="D998" t="s">
        <v>98</v>
      </c>
      <c r="E998">
        <v>27034499</v>
      </c>
      <c r="F998">
        <v>-20024995</v>
      </c>
      <c r="G998">
        <v>-5750955</v>
      </c>
      <c r="H998">
        <v>8184101</v>
      </c>
      <c r="P998">
        <v>152</v>
      </c>
      <c r="Q998" t="s">
        <v>2043</v>
      </c>
    </row>
    <row r="999" spans="1:17" x14ac:dyDescent="0.3">
      <c r="A999" t="s">
        <v>32</v>
      </c>
      <c r="B999" t="str">
        <f>"002327"</f>
        <v>002327</v>
      </c>
      <c r="C999" t="s">
        <v>2044</v>
      </c>
      <c r="D999" t="s">
        <v>130</v>
      </c>
      <c r="E999">
        <v>27014817</v>
      </c>
      <c r="F999">
        <v>-8629412</v>
      </c>
      <c r="G999">
        <v>-213113698</v>
      </c>
      <c r="H999">
        <v>285468240</v>
      </c>
      <c r="I999">
        <v>-214063076</v>
      </c>
      <c r="J999">
        <v>-167249797</v>
      </c>
      <c r="K999">
        <v>26034605</v>
      </c>
      <c r="L999">
        <v>-49932068</v>
      </c>
      <c r="M999">
        <v>34447269</v>
      </c>
      <c r="N999">
        <v>-18733780</v>
      </c>
      <c r="O999">
        <v>-19081976</v>
      </c>
      <c r="P999">
        <v>1305</v>
      </c>
      <c r="Q999" t="s">
        <v>2045</v>
      </c>
    </row>
    <row r="1000" spans="1:17" x14ac:dyDescent="0.3">
      <c r="A1000" t="s">
        <v>17</v>
      </c>
      <c r="B1000" t="str">
        <f>"600789"</f>
        <v>600789</v>
      </c>
      <c r="C1000" t="s">
        <v>2046</v>
      </c>
      <c r="D1000" t="s">
        <v>98</v>
      </c>
      <c r="E1000">
        <v>26742596</v>
      </c>
      <c r="F1000">
        <v>-126144876</v>
      </c>
      <c r="G1000">
        <v>-195059337</v>
      </c>
      <c r="H1000">
        <v>-153556390</v>
      </c>
      <c r="I1000">
        <v>5131371</v>
      </c>
      <c r="J1000">
        <v>-83260773</v>
      </c>
      <c r="K1000">
        <v>-24090549</v>
      </c>
      <c r="L1000">
        <v>-3879986</v>
      </c>
      <c r="M1000">
        <v>1048825</v>
      </c>
      <c r="N1000">
        <v>-27616380</v>
      </c>
      <c r="O1000">
        <v>-174351443</v>
      </c>
      <c r="P1000">
        <v>245</v>
      </c>
      <c r="Q1000" t="s">
        <v>2047</v>
      </c>
    </row>
    <row r="1001" spans="1:17" x14ac:dyDescent="0.3">
      <c r="A1001" t="s">
        <v>32</v>
      </c>
      <c r="B1001" t="str">
        <f>"002783"</f>
        <v>002783</v>
      </c>
      <c r="C1001" t="s">
        <v>2048</v>
      </c>
      <c r="D1001" t="s">
        <v>144</v>
      </c>
      <c r="E1001">
        <v>26737926</v>
      </c>
      <c r="F1001">
        <v>-215986593</v>
      </c>
      <c r="G1001">
        <v>-149120067</v>
      </c>
      <c r="H1001">
        <v>-73198744</v>
      </c>
      <c r="I1001">
        <v>-78342556</v>
      </c>
      <c r="J1001">
        <v>-83470041</v>
      </c>
      <c r="K1001">
        <v>-26983979</v>
      </c>
      <c r="L1001">
        <v>1354400</v>
      </c>
      <c r="M1001">
        <v>-17192500</v>
      </c>
      <c r="P1001">
        <v>112</v>
      </c>
      <c r="Q1001" t="s">
        <v>2049</v>
      </c>
    </row>
    <row r="1002" spans="1:17" x14ac:dyDescent="0.3">
      <c r="A1002" t="s">
        <v>17</v>
      </c>
      <c r="B1002" t="str">
        <f>"600654"</f>
        <v>600654</v>
      </c>
      <c r="C1002" t="s">
        <v>2050</v>
      </c>
      <c r="D1002" t="s">
        <v>342</v>
      </c>
      <c r="E1002">
        <v>26732144</v>
      </c>
      <c r="F1002">
        <v>-69016367</v>
      </c>
      <c r="G1002">
        <v>-231896824</v>
      </c>
      <c r="H1002">
        <v>48316191</v>
      </c>
      <c r="I1002">
        <v>495789297</v>
      </c>
      <c r="J1002">
        <v>-4031652</v>
      </c>
      <c r="K1002">
        <v>-746718405</v>
      </c>
      <c r="L1002">
        <v>1186058720</v>
      </c>
      <c r="M1002">
        <v>-73282824</v>
      </c>
      <c r="N1002">
        <v>-27861247</v>
      </c>
      <c r="O1002">
        <v>-45788624</v>
      </c>
      <c r="P1002">
        <v>76</v>
      </c>
      <c r="Q1002" t="s">
        <v>2051</v>
      </c>
    </row>
    <row r="1003" spans="1:17" x14ac:dyDescent="0.3">
      <c r="A1003" t="s">
        <v>32</v>
      </c>
      <c r="B1003" t="str">
        <f>"300029"</f>
        <v>300029</v>
      </c>
      <c r="C1003" t="s">
        <v>2052</v>
      </c>
      <c r="D1003" t="s">
        <v>464</v>
      </c>
      <c r="E1003">
        <v>26374892</v>
      </c>
      <c r="F1003">
        <v>34068631</v>
      </c>
      <c r="G1003">
        <v>-1448088</v>
      </c>
      <c r="H1003">
        <v>-259629</v>
      </c>
      <c r="I1003">
        <v>-20041603</v>
      </c>
      <c r="J1003">
        <v>-32040297</v>
      </c>
      <c r="K1003">
        <v>-10343772</v>
      </c>
      <c r="L1003">
        <v>-40428076</v>
      </c>
      <c r="M1003">
        <v>9174943</v>
      </c>
      <c r="N1003">
        <v>-51931562</v>
      </c>
      <c r="O1003">
        <v>-52215543</v>
      </c>
      <c r="P1003">
        <v>66</v>
      </c>
      <c r="Q1003" t="s">
        <v>2053</v>
      </c>
    </row>
    <row r="1004" spans="1:17" x14ac:dyDescent="0.3">
      <c r="A1004" t="s">
        <v>17</v>
      </c>
      <c r="B1004" t="str">
        <f>"600235"</f>
        <v>600235</v>
      </c>
      <c r="C1004" t="s">
        <v>2054</v>
      </c>
      <c r="D1004" t="s">
        <v>455</v>
      </c>
      <c r="E1004">
        <v>26343969</v>
      </c>
      <c r="F1004">
        <v>-16220219</v>
      </c>
      <c r="G1004">
        <v>29117412</v>
      </c>
      <c r="H1004">
        <v>14773432</v>
      </c>
      <c r="I1004">
        <v>-59506659</v>
      </c>
      <c r="J1004">
        <v>-39496681</v>
      </c>
      <c r="K1004">
        <v>-14613823</v>
      </c>
      <c r="L1004">
        <v>-39697253</v>
      </c>
      <c r="M1004">
        <v>-5208630</v>
      </c>
      <c r="N1004">
        <v>-75726661</v>
      </c>
      <c r="O1004">
        <v>24684634</v>
      </c>
      <c r="P1004">
        <v>71</v>
      </c>
      <c r="Q1004" t="s">
        <v>2055</v>
      </c>
    </row>
    <row r="1005" spans="1:17" x14ac:dyDescent="0.3">
      <c r="A1005" t="s">
        <v>17</v>
      </c>
      <c r="B1005" t="str">
        <f>"688162"</f>
        <v>688162</v>
      </c>
      <c r="C1005" t="s">
        <v>2056</v>
      </c>
      <c r="D1005" t="s">
        <v>199</v>
      </c>
      <c r="E1005">
        <v>26321969</v>
      </c>
      <c r="F1005">
        <v>-13617904</v>
      </c>
      <c r="P1005">
        <v>31</v>
      </c>
      <c r="Q1005" t="s">
        <v>2057</v>
      </c>
    </row>
    <row r="1006" spans="1:17" x14ac:dyDescent="0.3">
      <c r="A1006" t="s">
        <v>32</v>
      </c>
      <c r="B1006" t="str">
        <f>"300858"</f>
        <v>300858</v>
      </c>
      <c r="C1006" t="s">
        <v>2058</v>
      </c>
      <c r="D1006" t="s">
        <v>144</v>
      </c>
      <c r="E1006">
        <v>26233256</v>
      </c>
      <c r="F1006">
        <v>10846566</v>
      </c>
      <c r="G1006">
        <v>-14307145</v>
      </c>
      <c r="H1006">
        <v>-5889046</v>
      </c>
      <c r="P1006">
        <v>77</v>
      </c>
      <c r="Q1006" t="s">
        <v>2059</v>
      </c>
    </row>
    <row r="1007" spans="1:17" x14ac:dyDescent="0.3">
      <c r="A1007" t="s">
        <v>17</v>
      </c>
      <c r="B1007" t="str">
        <f>"603408"</f>
        <v>603408</v>
      </c>
      <c r="C1007" t="s">
        <v>2060</v>
      </c>
      <c r="D1007" t="s">
        <v>455</v>
      </c>
      <c r="E1007">
        <v>26043813</v>
      </c>
      <c r="F1007">
        <v>-95574934</v>
      </c>
      <c r="G1007">
        <v>26760558</v>
      </c>
      <c r="H1007">
        <v>55916750</v>
      </c>
      <c r="P1007">
        <v>98</v>
      </c>
      <c r="Q1007" t="s">
        <v>2061</v>
      </c>
    </row>
    <row r="1008" spans="1:17" x14ac:dyDescent="0.3">
      <c r="A1008" t="s">
        <v>32</v>
      </c>
      <c r="B1008" t="str">
        <f>"002577"</f>
        <v>002577</v>
      </c>
      <c r="C1008" t="s">
        <v>2062</v>
      </c>
      <c r="D1008" t="s">
        <v>342</v>
      </c>
      <c r="E1008">
        <v>25793184</v>
      </c>
      <c r="F1008">
        <v>23503393</v>
      </c>
      <c r="G1008">
        <v>6959129</v>
      </c>
      <c r="H1008">
        <v>322131</v>
      </c>
      <c r="I1008">
        <v>24477507</v>
      </c>
      <c r="J1008">
        <v>-15093180</v>
      </c>
      <c r="K1008">
        <v>-31826665</v>
      </c>
      <c r="L1008">
        <v>11288159</v>
      </c>
      <c r="M1008">
        <v>30602113</v>
      </c>
      <c r="N1008">
        <v>9969156</v>
      </c>
      <c r="O1008">
        <v>-67906445</v>
      </c>
      <c r="P1008">
        <v>83</v>
      </c>
      <c r="Q1008" t="s">
        <v>2063</v>
      </c>
    </row>
    <row r="1009" spans="1:17" x14ac:dyDescent="0.3">
      <c r="A1009" t="s">
        <v>32</v>
      </c>
      <c r="B1009" t="str">
        <f>"002309"</f>
        <v>002309</v>
      </c>
      <c r="C1009" t="s">
        <v>2064</v>
      </c>
      <c r="D1009" t="s">
        <v>464</v>
      </c>
      <c r="E1009">
        <v>25763661</v>
      </c>
      <c r="F1009">
        <v>35119915</v>
      </c>
      <c r="G1009">
        <v>-29805699</v>
      </c>
      <c r="H1009">
        <v>140424236</v>
      </c>
      <c r="I1009">
        <v>-384706929</v>
      </c>
      <c r="J1009">
        <v>-547026892</v>
      </c>
      <c r="K1009">
        <v>-429508364</v>
      </c>
      <c r="L1009">
        <v>594527264</v>
      </c>
      <c r="M1009">
        <v>-722128910</v>
      </c>
      <c r="N1009">
        <v>-401146762</v>
      </c>
      <c r="O1009">
        <v>-594560102</v>
      </c>
      <c r="P1009">
        <v>284</v>
      </c>
      <c r="Q1009" t="s">
        <v>2065</v>
      </c>
    </row>
    <row r="1010" spans="1:17" x14ac:dyDescent="0.3">
      <c r="A1010" t="s">
        <v>17</v>
      </c>
      <c r="B1010" t="str">
        <f>"603005"</f>
        <v>603005</v>
      </c>
      <c r="C1010" t="s">
        <v>2066</v>
      </c>
      <c r="D1010" t="s">
        <v>124</v>
      </c>
      <c r="E1010">
        <v>25688140</v>
      </c>
      <c r="F1010">
        <v>92611613</v>
      </c>
      <c r="G1010">
        <v>41105737</v>
      </c>
      <c r="H1010">
        <v>30830537</v>
      </c>
      <c r="I1010">
        <v>-7468227</v>
      </c>
      <c r="J1010">
        <v>39000681</v>
      </c>
      <c r="K1010">
        <v>-4243958</v>
      </c>
      <c r="L1010">
        <v>-300402398</v>
      </c>
      <c r="M1010">
        <v>37445945</v>
      </c>
      <c r="N1010">
        <v>-7655113</v>
      </c>
      <c r="P1010">
        <v>3663</v>
      </c>
      <c r="Q1010" t="s">
        <v>2067</v>
      </c>
    </row>
    <row r="1011" spans="1:17" x14ac:dyDescent="0.3">
      <c r="A1011" t="s">
        <v>32</v>
      </c>
      <c r="B1011" t="str">
        <f>"300179"</f>
        <v>300179</v>
      </c>
      <c r="C1011" t="s">
        <v>2068</v>
      </c>
      <c r="D1011" t="s">
        <v>135</v>
      </c>
      <c r="E1011">
        <v>25657193</v>
      </c>
      <c r="F1011">
        <v>25148329</v>
      </c>
      <c r="G1011">
        <v>17560779</v>
      </c>
      <c r="H1011">
        <v>22054761</v>
      </c>
      <c r="I1011">
        <v>28306034</v>
      </c>
      <c r="J1011">
        <v>2839155</v>
      </c>
      <c r="K1011">
        <v>-6325113</v>
      </c>
      <c r="L1011">
        <v>2143505</v>
      </c>
      <c r="M1011">
        <v>-11531326</v>
      </c>
      <c r="N1011">
        <v>2322965</v>
      </c>
      <c r="O1011">
        <v>-4572014</v>
      </c>
      <c r="P1011">
        <v>167</v>
      </c>
      <c r="Q1011" t="s">
        <v>2069</v>
      </c>
    </row>
    <row r="1012" spans="1:17" x14ac:dyDescent="0.3">
      <c r="A1012" t="s">
        <v>32</v>
      </c>
      <c r="B1012" t="str">
        <f>"300968"</f>
        <v>300968</v>
      </c>
      <c r="C1012" t="s">
        <v>2070</v>
      </c>
      <c r="D1012" t="s">
        <v>124</v>
      </c>
      <c r="E1012">
        <v>25622153</v>
      </c>
      <c r="F1012">
        <v>146344602</v>
      </c>
      <c r="G1012">
        <v>173008441</v>
      </c>
      <c r="P1012">
        <v>31</v>
      </c>
      <c r="Q1012" t="s">
        <v>2071</v>
      </c>
    </row>
    <row r="1013" spans="1:17" x14ac:dyDescent="0.3">
      <c r="A1013" t="s">
        <v>17</v>
      </c>
      <c r="B1013" t="str">
        <f>"600966"</f>
        <v>600966</v>
      </c>
      <c r="C1013" t="s">
        <v>2072</v>
      </c>
      <c r="D1013" t="s">
        <v>455</v>
      </c>
      <c r="E1013">
        <v>25610946</v>
      </c>
      <c r="F1013">
        <v>1846226235</v>
      </c>
      <c r="G1013">
        <v>229784409</v>
      </c>
      <c r="H1013">
        <v>111960040</v>
      </c>
      <c r="I1013">
        <v>-56197094</v>
      </c>
      <c r="J1013">
        <v>6001498</v>
      </c>
      <c r="K1013">
        <v>123665789</v>
      </c>
      <c r="L1013">
        <v>-1946658</v>
      </c>
      <c r="M1013">
        <v>-110097724</v>
      </c>
      <c r="N1013">
        <v>-212316687</v>
      </c>
      <c r="O1013">
        <v>-163772948</v>
      </c>
      <c r="P1013">
        <v>396</v>
      </c>
      <c r="Q1013" t="s">
        <v>2073</v>
      </c>
    </row>
    <row r="1014" spans="1:17" x14ac:dyDescent="0.3">
      <c r="A1014" t="s">
        <v>17</v>
      </c>
      <c r="B1014" t="str">
        <f>"605089"</f>
        <v>605089</v>
      </c>
      <c r="C1014" t="s">
        <v>2074</v>
      </c>
      <c r="D1014" t="s">
        <v>172</v>
      </c>
      <c r="E1014">
        <v>25588620</v>
      </c>
      <c r="F1014">
        <v>24698971</v>
      </c>
      <c r="G1014">
        <v>28597777</v>
      </c>
      <c r="P1014">
        <v>132</v>
      </c>
      <c r="Q1014" t="s">
        <v>2075</v>
      </c>
    </row>
    <row r="1015" spans="1:17" x14ac:dyDescent="0.3">
      <c r="A1015" t="s">
        <v>17</v>
      </c>
      <c r="B1015" t="str">
        <f>"688125"</f>
        <v>688125</v>
      </c>
      <c r="C1015" t="s">
        <v>2076</v>
      </c>
      <c r="E1015">
        <v>25586825</v>
      </c>
      <c r="P1015">
        <v>2</v>
      </c>
      <c r="Q1015" t="s">
        <v>2077</v>
      </c>
    </row>
    <row r="1016" spans="1:17" x14ac:dyDescent="0.3">
      <c r="A1016" t="s">
        <v>32</v>
      </c>
      <c r="B1016" t="str">
        <f>"301071"</f>
        <v>301071</v>
      </c>
      <c r="C1016" t="s">
        <v>2078</v>
      </c>
      <c r="D1016" t="s">
        <v>135</v>
      </c>
      <c r="E1016">
        <v>25525743</v>
      </c>
      <c r="G1016">
        <v>-11650935</v>
      </c>
      <c r="P1016">
        <v>78</v>
      </c>
      <c r="Q1016" t="s">
        <v>2079</v>
      </c>
    </row>
    <row r="1017" spans="1:17" x14ac:dyDescent="0.3">
      <c r="A1017" t="s">
        <v>32</v>
      </c>
      <c r="B1017" t="str">
        <f>"002644"</f>
        <v>002644</v>
      </c>
      <c r="C1017" t="s">
        <v>2080</v>
      </c>
      <c r="D1017" t="s">
        <v>98</v>
      </c>
      <c r="E1017">
        <v>25361865</v>
      </c>
      <c r="F1017">
        <v>18013625</v>
      </c>
      <c r="G1017">
        <v>-4181668</v>
      </c>
      <c r="H1017">
        <v>-49843074</v>
      </c>
      <c r="I1017">
        <v>-112027291</v>
      </c>
      <c r="J1017">
        <v>-48235669</v>
      </c>
      <c r="K1017">
        <v>194156635</v>
      </c>
      <c r="L1017">
        <v>3172820</v>
      </c>
      <c r="M1017">
        <v>160194233</v>
      </c>
      <c r="N1017">
        <v>-24287146</v>
      </c>
      <c r="O1017">
        <v>-56288811</v>
      </c>
      <c r="P1017">
        <v>163</v>
      </c>
      <c r="Q1017" t="s">
        <v>2081</v>
      </c>
    </row>
    <row r="1018" spans="1:17" x14ac:dyDescent="0.3">
      <c r="A1018" t="s">
        <v>17</v>
      </c>
      <c r="B1018" t="str">
        <f>"603722"</f>
        <v>603722</v>
      </c>
      <c r="C1018" t="s">
        <v>2082</v>
      </c>
      <c r="D1018" t="s">
        <v>144</v>
      </c>
      <c r="E1018">
        <v>25278235</v>
      </c>
      <c r="F1018">
        <v>8999134</v>
      </c>
      <c r="G1018">
        <v>8210405</v>
      </c>
      <c r="H1018">
        <v>2634705</v>
      </c>
      <c r="I1018">
        <v>-41550146</v>
      </c>
      <c r="J1018">
        <v>-11751922</v>
      </c>
      <c r="P1018">
        <v>84</v>
      </c>
      <c r="Q1018" t="s">
        <v>2083</v>
      </c>
    </row>
    <row r="1019" spans="1:17" x14ac:dyDescent="0.3">
      <c r="A1019" t="s">
        <v>32</v>
      </c>
      <c r="B1019" t="str">
        <f>"002647"</f>
        <v>002647</v>
      </c>
      <c r="C1019" t="s">
        <v>2084</v>
      </c>
      <c r="D1019" t="s">
        <v>26</v>
      </c>
      <c r="E1019">
        <v>25232866</v>
      </c>
      <c r="F1019">
        <v>28320867</v>
      </c>
      <c r="G1019">
        <v>-16019822</v>
      </c>
      <c r="H1019">
        <v>64118012</v>
      </c>
      <c r="I1019">
        <v>29092445</v>
      </c>
      <c r="J1019">
        <v>5846551</v>
      </c>
      <c r="K1019">
        <v>-187480448</v>
      </c>
      <c r="L1019">
        <v>-153379324</v>
      </c>
      <c r="M1019">
        <v>-192350678</v>
      </c>
      <c r="N1019">
        <v>100270255</v>
      </c>
      <c r="O1019">
        <v>-409712322</v>
      </c>
      <c r="P1019">
        <v>180</v>
      </c>
      <c r="Q1019" t="s">
        <v>2085</v>
      </c>
    </row>
    <row r="1020" spans="1:17" x14ac:dyDescent="0.3">
      <c r="A1020" t="s">
        <v>32</v>
      </c>
      <c r="B1020" t="str">
        <f>"301119"</f>
        <v>301119</v>
      </c>
      <c r="C1020" t="s">
        <v>2086</v>
      </c>
      <c r="D1020" t="s">
        <v>199</v>
      </c>
      <c r="E1020">
        <v>25131542</v>
      </c>
      <c r="P1020">
        <v>12</v>
      </c>
      <c r="Q1020" t="s">
        <v>2087</v>
      </c>
    </row>
    <row r="1021" spans="1:17" x14ac:dyDescent="0.3">
      <c r="A1021" t="s">
        <v>32</v>
      </c>
      <c r="B1021" t="str">
        <f>"002222"</f>
        <v>002222</v>
      </c>
      <c r="C1021" t="s">
        <v>2088</v>
      </c>
      <c r="D1021" t="s">
        <v>124</v>
      </c>
      <c r="E1021">
        <v>25026538</v>
      </c>
      <c r="F1021">
        <v>9139895</v>
      </c>
      <c r="G1021">
        <v>-12450385</v>
      </c>
      <c r="H1021">
        <v>-2250620</v>
      </c>
      <c r="I1021">
        <v>-11607576</v>
      </c>
      <c r="J1021">
        <v>5398779</v>
      </c>
      <c r="K1021">
        <v>5127708</v>
      </c>
      <c r="L1021">
        <v>4618387</v>
      </c>
      <c r="M1021">
        <v>-8339215</v>
      </c>
      <c r="N1021">
        <v>-5284985</v>
      </c>
      <c r="O1021">
        <v>-2174634</v>
      </c>
      <c r="P1021">
        <v>517</v>
      </c>
      <c r="Q1021" t="s">
        <v>2089</v>
      </c>
    </row>
    <row r="1022" spans="1:17" x14ac:dyDescent="0.3">
      <c r="A1022" t="s">
        <v>32</v>
      </c>
      <c r="B1022" t="str">
        <f>"002847"</f>
        <v>002847</v>
      </c>
      <c r="C1022" t="s">
        <v>2090</v>
      </c>
      <c r="D1022" t="s">
        <v>172</v>
      </c>
      <c r="E1022">
        <v>25024506</v>
      </c>
      <c r="F1022">
        <v>-63866696</v>
      </c>
      <c r="G1022">
        <v>23846653</v>
      </c>
      <c r="H1022">
        <v>-39095175</v>
      </c>
      <c r="I1022">
        <v>-89709997</v>
      </c>
      <c r="J1022">
        <v>15477023</v>
      </c>
      <c r="K1022">
        <v>20062562</v>
      </c>
      <c r="P1022">
        <v>742</v>
      </c>
      <c r="Q1022" t="s">
        <v>2091</v>
      </c>
    </row>
    <row r="1023" spans="1:17" x14ac:dyDescent="0.3">
      <c r="A1023" t="s">
        <v>17</v>
      </c>
      <c r="B1023" t="str">
        <f>"600358"</f>
        <v>600358</v>
      </c>
      <c r="C1023" t="s">
        <v>2092</v>
      </c>
      <c r="D1023" t="s">
        <v>245</v>
      </c>
      <c r="E1023">
        <v>25021741</v>
      </c>
      <c r="F1023">
        <v>-2640377</v>
      </c>
      <c r="G1023">
        <v>1105110</v>
      </c>
      <c r="H1023">
        <v>-33771488</v>
      </c>
      <c r="I1023">
        <v>-26183589</v>
      </c>
      <c r="J1023">
        <v>-9363572</v>
      </c>
      <c r="K1023">
        <v>-15911631</v>
      </c>
      <c r="L1023">
        <v>-24134519</v>
      </c>
      <c r="M1023">
        <v>-11212161</v>
      </c>
      <c r="N1023">
        <v>34807007</v>
      </c>
      <c r="O1023">
        <v>-32585337</v>
      </c>
      <c r="P1023">
        <v>64</v>
      </c>
      <c r="Q1023" t="s">
        <v>2093</v>
      </c>
    </row>
    <row r="1024" spans="1:17" x14ac:dyDescent="0.3">
      <c r="A1024" t="s">
        <v>17</v>
      </c>
      <c r="B1024" t="str">
        <f>"600684"</f>
        <v>600684</v>
      </c>
      <c r="C1024" t="s">
        <v>2094</v>
      </c>
      <c r="D1024" t="s">
        <v>151</v>
      </c>
      <c r="E1024">
        <v>24753935</v>
      </c>
      <c r="F1024">
        <v>134183986</v>
      </c>
      <c r="G1024">
        <v>-84513192</v>
      </c>
      <c r="H1024">
        <v>-206248467</v>
      </c>
      <c r="I1024">
        <v>237938123</v>
      </c>
      <c r="J1024">
        <v>527295680</v>
      </c>
      <c r="K1024">
        <v>-638477212</v>
      </c>
      <c r="L1024">
        <v>-1510171</v>
      </c>
      <c r="M1024">
        <v>-375194064</v>
      </c>
      <c r="N1024">
        <v>933924</v>
      </c>
      <c r="O1024">
        <v>-10290259</v>
      </c>
      <c r="P1024">
        <v>124</v>
      </c>
      <c r="Q1024" t="s">
        <v>2095</v>
      </c>
    </row>
    <row r="1025" spans="1:17" x14ac:dyDescent="0.3">
      <c r="A1025" t="s">
        <v>17</v>
      </c>
      <c r="B1025" t="str">
        <f>"603669"</f>
        <v>603669</v>
      </c>
      <c r="C1025" t="s">
        <v>2096</v>
      </c>
      <c r="D1025" t="s">
        <v>98</v>
      </c>
      <c r="E1025">
        <v>24753462</v>
      </c>
      <c r="F1025">
        <v>22135399</v>
      </c>
      <c r="G1025">
        <v>-12304942</v>
      </c>
      <c r="H1025">
        <v>-32011463</v>
      </c>
      <c r="I1025">
        <v>-38253406</v>
      </c>
      <c r="J1025">
        <v>-14631841</v>
      </c>
      <c r="K1025">
        <v>25915293</v>
      </c>
      <c r="L1025">
        <v>-1410700</v>
      </c>
      <c r="M1025">
        <v>13598300</v>
      </c>
      <c r="P1025">
        <v>194</v>
      </c>
      <c r="Q1025" t="s">
        <v>2097</v>
      </c>
    </row>
    <row r="1026" spans="1:17" x14ac:dyDescent="0.3">
      <c r="A1026" t="s">
        <v>32</v>
      </c>
      <c r="B1026" t="str">
        <f>"300880"</f>
        <v>300880</v>
      </c>
      <c r="C1026" t="s">
        <v>2098</v>
      </c>
      <c r="D1026" t="s">
        <v>464</v>
      </c>
      <c r="E1026">
        <v>24672349</v>
      </c>
      <c r="F1026">
        <v>-44154565</v>
      </c>
      <c r="G1026">
        <v>-12084820</v>
      </c>
      <c r="P1026">
        <v>54</v>
      </c>
      <c r="Q1026" t="s">
        <v>2099</v>
      </c>
    </row>
    <row r="1027" spans="1:17" x14ac:dyDescent="0.3">
      <c r="A1027" t="s">
        <v>17</v>
      </c>
      <c r="B1027" t="str">
        <f>"603721"</f>
        <v>603721</v>
      </c>
      <c r="C1027" t="s">
        <v>2100</v>
      </c>
      <c r="D1027" t="s">
        <v>245</v>
      </c>
      <c r="E1027">
        <v>24615060</v>
      </c>
      <c r="F1027">
        <v>-6331149</v>
      </c>
      <c r="G1027">
        <v>-39593105</v>
      </c>
      <c r="H1027">
        <v>-73066765</v>
      </c>
      <c r="I1027">
        <v>-58865133</v>
      </c>
      <c r="J1027">
        <v>-24006200</v>
      </c>
      <c r="P1027">
        <v>89</v>
      </c>
      <c r="Q1027" t="s">
        <v>2101</v>
      </c>
    </row>
    <row r="1028" spans="1:17" x14ac:dyDescent="0.3">
      <c r="A1028" t="s">
        <v>32</v>
      </c>
      <c r="B1028" t="str">
        <f>"002281"</f>
        <v>002281</v>
      </c>
      <c r="C1028" t="s">
        <v>2102</v>
      </c>
      <c r="D1028" t="s">
        <v>57</v>
      </c>
      <c r="E1028">
        <v>24594575</v>
      </c>
      <c r="F1028">
        <v>234682697</v>
      </c>
      <c r="G1028">
        <v>221457614</v>
      </c>
      <c r="H1028">
        <v>-26027483</v>
      </c>
      <c r="I1028">
        <v>-223885033</v>
      </c>
      <c r="J1028">
        <v>-179795006</v>
      </c>
      <c r="K1028">
        <v>-104769480</v>
      </c>
      <c r="L1028">
        <v>-33144557</v>
      </c>
      <c r="M1028">
        <v>-218446021</v>
      </c>
      <c r="N1028">
        <v>-85666988</v>
      </c>
      <c r="O1028">
        <v>-7658401</v>
      </c>
      <c r="P1028">
        <v>893</v>
      </c>
      <c r="Q1028" t="s">
        <v>2103</v>
      </c>
    </row>
    <row r="1029" spans="1:17" x14ac:dyDescent="0.3">
      <c r="A1029" t="s">
        <v>17</v>
      </c>
      <c r="B1029" t="str">
        <f>"603813"</f>
        <v>603813</v>
      </c>
      <c r="C1029" t="s">
        <v>2104</v>
      </c>
      <c r="D1029" t="s">
        <v>46</v>
      </c>
      <c r="E1029">
        <v>24464907</v>
      </c>
      <c r="F1029">
        <v>29980965</v>
      </c>
      <c r="G1029">
        <v>9088822</v>
      </c>
      <c r="H1029">
        <v>16263354</v>
      </c>
      <c r="I1029">
        <v>-26842569</v>
      </c>
      <c r="J1029">
        <v>-8403463</v>
      </c>
      <c r="P1029">
        <v>59</v>
      </c>
      <c r="Q1029" t="s">
        <v>2105</v>
      </c>
    </row>
    <row r="1030" spans="1:17" x14ac:dyDescent="0.3">
      <c r="A1030" t="s">
        <v>32</v>
      </c>
      <c r="B1030" t="str">
        <f>"300199"</f>
        <v>300199</v>
      </c>
      <c r="C1030" t="s">
        <v>2106</v>
      </c>
      <c r="D1030" t="s">
        <v>98</v>
      </c>
      <c r="E1030">
        <v>24422079</v>
      </c>
      <c r="F1030">
        <v>20267901</v>
      </c>
      <c r="G1030">
        <v>-86955200</v>
      </c>
      <c r="H1030">
        <v>-68520981</v>
      </c>
      <c r="I1030">
        <v>38334357</v>
      </c>
      <c r="J1030">
        <v>-47861873</v>
      </c>
      <c r="K1030">
        <v>-111441755</v>
      </c>
      <c r="L1030">
        <v>-143965203</v>
      </c>
      <c r="M1030">
        <v>-26528561</v>
      </c>
      <c r="N1030">
        <v>-137504781</v>
      </c>
      <c r="O1030">
        <v>-56412186</v>
      </c>
      <c r="P1030">
        <v>242</v>
      </c>
      <c r="Q1030" t="s">
        <v>2107</v>
      </c>
    </row>
    <row r="1031" spans="1:17" x14ac:dyDescent="0.3">
      <c r="A1031" t="s">
        <v>32</v>
      </c>
      <c r="B1031" t="str">
        <f>"002857"</f>
        <v>002857</v>
      </c>
      <c r="C1031" t="s">
        <v>2108</v>
      </c>
      <c r="D1031" t="s">
        <v>464</v>
      </c>
      <c r="E1031">
        <v>24357779</v>
      </c>
      <c r="F1031">
        <v>-10156430</v>
      </c>
      <c r="G1031">
        <v>23629220</v>
      </c>
      <c r="H1031">
        <v>-22521886</v>
      </c>
      <c r="I1031">
        <v>-3165894</v>
      </c>
      <c r="J1031">
        <v>-29677218</v>
      </c>
      <c r="K1031">
        <v>-18267612</v>
      </c>
      <c r="P1031">
        <v>45</v>
      </c>
      <c r="Q1031" t="s">
        <v>2109</v>
      </c>
    </row>
    <row r="1032" spans="1:17" x14ac:dyDescent="0.3">
      <c r="A1032" t="s">
        <v>17</v>
      </c>
      <c r="B1032" t="str">
        <f>"603181"</f>
        <v>603181</v>
      </c>
      <c r="C1032" t="s">
        <v>2110</v>
      </c>
      <c r="D1032" t="s">
        <v>144</v>
      </c>
      <c r="E1032">
        <v>24056653</v>
      </c>
      <c r="F1032">
        <v>-104347747</v>
      </c>
      <c r="G1032">
        <v>45868939</v>
      </c>
      <c r="H1032">
        <v>25612424</v>
      </c>
      <c r="I1032">
        <v>-53920563</v>
      </c>
      <c r="J1032">
        <v>6396702</v>
      </c>
      <c r="P1032">
        <v>162</v>
      </c>
      <c r="Q1032" t="s">
        <v>2111</v>
      </c>
    </row>
    <row r="1033" spans="1:17" x14ac:dyDescent="0.3">
      <c r="A1033" t="s">
        <v>32</v>
      </c>
      <c r="B1033" t="str">
        <f>"300414"</f>
        <v>300414</v>
      </c>
      <c r="C1033" t="s">
        <v>2112</v>
      </c>
      <c r="D1033" t="s">
        <v>57</v>
      </c>
      <c r="E1033">
        <v>23983666</v>
      </c>
      <c r="F1033">
        <v>-11605506</v>
      </c>
      <c r="G1033">
        <v>1400928</v>
      </c>
      <c r="H1033">
        <v>2967693</v>
      </c>
      <c r="I1033">
        <v>10197705</v>
      </c>
      <c r="J1033">
        <v>-7650887</v>
      </c>
      <c r="K1033">
        <v>12171598</v>
      </c>
      <c r="L1033">
        <v>9758829</v>
      </c>
      <c r="M1033">
        <v>7966883</v>
      </c>
      <c r="P1033">
        <v>219</v>
      </c>
      <c r="Q1033" t="s">
        <v>2113</v>
      </c>
    </row>
    <row r="1034" spans="1:17" x14ac:dyDescent="0.3">
      <c r="A1034" t="s">
        <v>32</v>
      </c>
      <c r="B1034" t="str">
        <f>"002652"</f>
        <v>002652</v>
      </c>
      <c r="C1034" t="s">
        <v>2114</v>
      </c>
      <c r="D1034" t="s">
        <v>400</v>
      </c>
      <c r="E1034">
        <v>23945076</v>
      </c>
      <c r="F1034">
        <v>82901670</v>
      </c>
      <c r="G1034">
        <v>-28463017</v>
      </c>
      <c r="H1034">
        <v>-164882711</v>
      </c>
      <c r="I1034">
        <v>97221018</v>
      </c>
      <c r="J1034">
        <v>-33223851</v>
      </c>
      <c r="K1034">
        <v>-16111542</v>
      </c>
      <c r="L1034">
        <v>29895819</v>
      </c>
      <c r="M1034">
        <v>-25727961</v>
      </c>
      <c r="N1034">
        <v>25910457</v>
      </c>
      <c r="O1034">
        <v>-224897092</v>
      </c>
      <c r="P1034">
        <v>58</v>
      </c>
      <c r="Q1034" t="s">
        <v>2115</v>
      </c>
    </row>
    <row r="1035" spans="1:17" x14ac:dyDescent="0.3">
      <c r="A1035" t="s">
        <v>32</v>
      </c>
      <c r="B1035" t="str">
        <f>"300143"</f>
        <v>300143</v>
      </c>
      <c r="C1035" t="s">
        <v>2116</v>
      </c>
      <c r="D1035" t="s">
        <v>98</v>
      </c>
      <c r="E1035">
        <v>23871425</v>
      </c>
      <c r="F1035">
        <v>35380813</v>
      </c>
      <c r="G1035">
        <v>29114345</v>
      </c>
      <c r="H1035">
        <v>-23287235</v>
      </c>
      <c r="I1035">
        <v>-19226623</v>
      </c>
      <c r="J1035">
        <v>1649075</v>
      </c>
      <c r="K1035">
        <v>-15861750</v>
      </c>
      <c r="L1035">
        <v>-2588937</v>
      </c>
      <c r="M1035">
        <v>-9882936</v>
      </c>
      <c r="N1035">
        <v>-71194083</v>
      </c>
      <c r="O1035">
        <v>-105456558</v>
      </c>
      <c r="P1035">
        <v>150</v>
      </c>
      <c r="Q1035" t="s">
        <v>2117</v>
      </c>
    </row>
    <row r="1036" spans="1:17" x14ac:dyDescent="0.3">
      <c r="A1036" t="s">
        <v>17</v>
      </c>
      <c r="B1036" t="str">
        <f>"603536"</f>
        <v>603536</v>
      </c>
      <c r="C1036" t="s">
        <v>2118</v>
      </c>
      <c r="D1036" t="s">
        <v>172</v>
      </c>
      <c r="E1036">
        <v>23678120</v>
      </c>
      <c r="F1036">
        <v>-58522633</v>
      </c>
      <c r="G1036">
        <v>-17311734</v>
      </c>
      <c r="H1036">
        <v>21376117</v>
      </c>
      <c r="I1036">
        <v>30953349</v>
      </c>
      <c r="J1036">
        <v>-3408907</v>
      </c>
      <c r="P1036">
        <v>126</v>
      </c>
      <c r="Q1036" t="s">
        <v>2119</v>
      </c>
    </row>
    <row r="1037" spans="1:17" x14ac:dyDescent="0.3">
      <c r="A1037" t="s">
        <v>32</v>
      </c>
      <c r="B1037" t="str">
        <f>"003010"</f>
        <v>003010</v>
      </c>
      <c r="C1037" t="s">
        <v>2120</v>
      </c>
      <c r="D1037" t="s">
        <v>218</v>
      </c>
      <c r="E1037">
        <v>23657183</v>
      </c>
      <c r="F1037">
        <v>-55911793</v>
      </c>
      <c r="G1037">
        <v>-3566758</v>
      </c>
      <c r="I1037">
        <v>8135400</v>
      </c>
      <c r="J1037">
        <v>16953866</v>
      </c>
      <c r="P1037">
        <v>58</v>
      </c>
      <c r="Q1037" t="s">
        <v>2121</v>
      </c>
    </row>
    <row r="1038" spans="1:17" x14ac:dyDescent="0.3">
      <c r="A1038" t="s">
        <v>17</v>
      </c>
      <c r="B1038" t="str">
        <f>"688639"</f>
        <v>688639</v>
      </c>
      <c r="C1038" t="s">
        <v>2122</v>
      </c>
      <c r="D1038" t="s">
        <v>144</v>
      </c>
      <c r="E1038">
        <v>23644260</v>
      </c>
      <c r="F1038">
        <v>-18153266</v>
      </c>
      <c r="G1038">
        <v>-30854403</v>
      </c>
      <c r="P1038">
        <v>58</v>
      </c>
      <c r="Q1038" t="s">
        <v>2123</v>
      </c>
    </row>
    <row r="1039" spans="1:17" x14ac:dyDescent="0.3">
      <c r="A1039" t="s">
        <v>32</v>
      </c>
      <c r="B1039" t="str">
        <f>"002136"</f>
        <v>002136</v>
      </c>
      <c r="C1039" t="s">
        <v>2124</v>
      </c>
      <c r="D1039" t="s">
        <v>144</v>
      </c>
      <c r="E1039">
        <v>23628251</v>
      </c>
      <c r="F1039">
        <v>-29903751</v>
      </c>
      <c r="G1039">
        <v>-30830046</v>
      </c>
      <c r="H1039">
        <v>-1640034</v>
      </c>
      <c r="I1039">
        <v>33779385</v>
      </c>
      <c r="J1039">
        <v>24975055</v>
      </c>
      <c r="K1039">
        <v>-11490533</v>
      </c>
      <c r="L1039">
        <v>-14450017</v>
      </c>
      <c r="M1039">
        <v>-40233349</v>
      </c>
      <c r="N1039">
        <v>-69257628</v>
      </c>
      <c r="O1039">
        <v>-33066430</v>
      </c>
      <c r="P1039">
        <v>131</v>
      </c>
      <c r="Q1039" t="s">
        <v>2125</v>
      </c>
    </row>
    <row r="1040" spans="1:17" x14ac:dyDescent="0.3">
      <c r="A1040" t="s">
        <v>17</v>
      </c>
      <c r="B1040" t="str">
        <f>"600355"</f>
        <v>600355</v>
      </c>
      <c r="C1040" t="s">
        <v>2126</v>
      </c>
      <c r="D1040" t="s">
        <v>57</v>
      </c>
      <c r="E1040">
        <v>23543424</v>
      </c>
      <c r="F1040">
        <v>10277109</v>
      </c>
      <c r="G1040">
        <v>-24302123</v>
      </c>
      <c r="H1040">
        <v>9113046</v>
      </c>
      <c r="I1040">
        <v>-29868725</v>
      </c>
      <c r="J1040">
        <v>-13699268</v>
      </c>
      <c r="K1040">
        <v>-22708862</v>
      </c>
      <c r="L1040">
        <v>37521514</v>
      </c>
      <c r="M1040">
        <v>-24307282</v>
      </c>
      <c r="N1040">
        <v>-23481448</v>
      </c>
      <c r="O1040">
        <v>-36209816</v>
      </c>
      <c r="P1040">
        <v>109</v>
      </c>
      <c r="Q1040" t="s">
        <v>2127</v>
      </c>
    </row>
    <row r="1041" spans="1:17" x14ac:dyDescent="0.3">
      <c r="A1041" t="s">
        <v>32</v>
      </c>
      <c r="B1041" t="str">
        <f>"002166"</f>
        <v>002166</v>
      </c>
      <c r="C1041" t="s">
        <v>2128</v>
      </c>
      <c r="D1041" t="s">
        <v>98</v>
      </c>
      <c r="E1041">
        <v>23404883</v>
      </c>
      <c r="F1041">
        <v>-56468290</v>
      </c>
      <c r="G1041">
        <v>46168117</v>
      </c>
      <c r="H1041">
        <v>-104085583</v>
      </c>
      <c r="I1041">
        <v>-31576041</v>
      </c>
      <c r="J1041">
        <v>-167496342</v>
      </c>
      <c r="K1041">
        <v>-39112464</v>
      </c>
      <c r="L1041">
        <v>70945623</v>
      </c>
      <c r="M1041">
        <v>68608664</v>
      </c>
      <c r="N1041">
        <v>-92617395</v>
      </c>
      <c r="O1041">
        <v>38992622</v>
      </c>
      <c r="P1041">
        <v>201</v>
      </c>
      <c r="Q1041" t="s">
        <v>2129</v>
      </c>
    </row>
    <row r="1042" spans="1:17" x14ac:dyDescent="0.3">
      <c r="A1042" t="s">
        <v>17</v>
      </c>
      <c r="B1042" t="str">
        <f>"600590"</f>
        <v>600590</v>
      </c>
      <c r="C1042" t="s">
        <v>2130</v>
      </c>
      <c r="D1042" t="s">
        <v>464</v>
      </c>
      <c r="E1042">
        <v>23341538</v>
      </c>
      <c r="F1042">
        <v>42283891</v>
      </c>
      <c r="G1042">
        <v>550943818</v>
      </c>
      <c r="H1042">
        <v>983754278</v>
      </c>
      <c r="I1042">
        <v>-237874106</v>
      </c>
      <c r="J1042">
        <v>-375574404</v>
      </c>
      <c r="K1042">
        <v>-38449828</v>
      </c>
      <c r="L1042">
        <v>-288908134</v>
      </c>
      <c r="M1042">
        <v>-395862194</v>
      </c>
      <c r="N1042">
        <v>-133596523</v>
      </c>
      <c r="O1042">
        <v>-152763304</v>
      </c>
      <c r="P1042">
        <v>168</v>
      </c>
      <c r="Q1042" t="s">
        <v>2131</v>
      </c>
    </row>
    <row r="1043" spans="1:17" x14ac:dyDescent="0.3">
      <c r="A1043" t="s">
        <v>32</v>
      </c>
      <c r="B1043" t="str">
        <f>"300254"</f>
        <v>300254</v>
      </c>
      <c r="C1043" t="s">
        <v>2132</v>
      </c>
      <c r="D1043" t="s">
        <v>98</v>
      </c>
      <c r="E1043">
        <v>23284643</v>
      </c>
      <c r="F1043">
        <v>6334359</v>
      </c>
      <c r="G1043">
        <v>-19764076</v>
      </c>
      <c r="H1043">
        <v>5483745</v>
      </c>
      <c r="I1043">
        <v>-9806684</v>
      </c>
      <c r="J1043">
        <v>-13644549</v>
      </c>
      <c r="K1043">
        <v>-11981684</v>
      </c>
      <c r="L1043">
        <v>-15529100</v>
      </c>
      <c r="M1043">
        <v>9740756</v>
      </c>
      <c r="N1043">
        <v>22467129</v>
      </c>
      <c r="O1043">
        <v>2046322</v>
      </c>
      <c r="P1043">
        <v>82</v>
      </c>
      <c r="Q1043" t="s">
        <v>2133</v>
      </c>
    </row>
    <row r="1044" spans="1:17" x14ac:dyDescent="0.3">
      <c r="A1044" t="s">
        <v>17</v>
      </c>
      <c r="B1044" t="str">
        <f>"603685"</f>
        <v>603685</v>
      </c>
      <c r="C1044" t="s">
        <v>2134</v>
      </c>
      <c r="D1044" t="s">
        <v>124</v>
      </c>
      <c r="E1044">
        <v>23247303</v>
      </c>
      <c r="F1044">
        <v>-9118732</v>
      </c>
      <c r="G1044">
        <v>-35357830</v>
      </c>
      <c r="H1044">
        <v>-13724939</v>
      </c>
      <c r="I1044">
        <v>-2508328</v>
      </c>
      <c r="J1044">
        <v>-137466</v>
      </c>
      <c r="P1044">
        <v>102</v>
      </c>
      <c r="Q1044" t="s">
        <v>2135</v>
      </c>
    </row>
    <row r="1045" spans="1:17" x14ac:dyDescent="0.3">
      <c r="A1045" t="s">
        <v>17</v>
      </c>
      <c r="B1045" t="str">
        <f>"605086"</f>
        <v>605086</v>
      </c>
      <c r="C1045" t="s">
        <v>2136</v>
      </c>
      <c r="D1045" t="s">
        <v>144</v>
      </c>
      <c r="E1045">
        <v>23090546</v>
      </c>
      <c r="F1045">
        <v>25033411</v>
      </c>
      <c r="G1045">
        <v>8726547</v>
      </c>
      <c r="P1045">
        <v>29</v>
      </c>
      <c r="Q1045" t="s">
        <v>2137</v>
      </c>
    </row>
    <row r="1046" spans="1:17" x14ac:dyDescent="0.3">
      <c r="A1046" t="s">
        <v>17</v>
      </c>
      <c r="B1046" t="str">
        <f>"688032"</f>
        <v>688032</v>
      </c>
      <c r="C1046" t="s">
        <v>2138</v>
      </c>
      <c r="D1046" t="s">
        <v>464</v>
      </c>
      <c r="E1046">
        <v>22853711</v>
      </c>
      <c r="P1046">
        <v>31</v>
      </c>
      <c r="Q1046" t="s">
        <v>2139</v>
      </c>
    </row>
    <row r="1047" spans="1:17" x14ac:dyDescent="0.3">
      <c r="A1047" t="s">
        <v>32</v>
      </c>
      <c r="B1047" t="str">
        <f>"002089"</f>
        <v>002089</v>
      </c>
      <c r="C1047" t="s">
        <v>2140</v>
      </c>
      <c r="D1047" t="s">
        <v>57</v>
      </c>
      <c r="E1047">
        <v>22838299</v>
      </c>
      <c r="F1047">
        <v>-138567329</v>
      </c>
      <c r="G1047">
        <v>-3447423</v>
      </c>
      <c r="H1047">
        <v>-51171953</v>
      </c>
      <c r="I1047">
        <v>-10256609</v>
      </c>
      <c r="J1047">
        <v>-69410528</v>
      </c>
      <c r="K1047">
        <v>-264208161</v>
      </c>
      <c r="L1047">
        <v>17067465</v>
      </c>
      <c r="M1047">
        <v>33752028</v>
      </c>
      <c r="N1047">
        <v>36718284</v>
      </c>
      <c r="O1047">
        <v>-5945477</v>
      </c>
      <c r="P1047">
        <v>175</v>
      </c>
      <c r="Q1047" t="s">
        <v>2141</v>
      </c>
    </row>
    <row r="1048" spans="1:17" x14ac:dyDescent="0.3">
      <c r="A1048" t="s">
        <v>32</v>
      </c>
      <c r="B1048" t="str">
        <f>"000735"</f>
        <v>000735</v>
      </c>
      <c r="C1048" t="s">
        <v>2142</v>
      </c>
      <c r="D1048" t="s">
        <v>175</v>
      </c>
      <c r="E1048">
        <v>22815016</v>
      </c>
      <c r="F1048">
        <v>-246725493</v>
      </c>
      <c r="G1048">
        <v>-181214913</v>
      </c>
      <c r="H1048">
        <v>-78103391</v>
      </c>
      <c r="I1048">
        <v>-107226810</v>
      </c>
      <c r="J1048">
        <v>-67700663</v>
      </c>
      <c r="K1048">
        <v>-87646724</v>
      </c>
      <c r="L1048">
        <v>-128438100</v>
      </c>
      <c r="M1048">
        <v>-65193095</v>
      </c>
      <c r="N1048">
        <v>-106246392</v>
      </c>
      <c r="O1048">
        <v>-59558810</v>
      </c>
      <c r="P1048">
        <v>290</v>
      </c>
      <c r="Q1048" t="s">
        <v>2143</v>
      </c>
    </row>
    <row r="1049" spans="1:17" x14ac:dyDescent="0.3">
      <c r="A1049" t="s">
        <v>32</v>
      </c>
      <c r="B1049" t="str">
        <f>"002406"</f>
        <v>002406</v>
      </c>
      <c r="C1049" t="s">
        <v>2144</v>
      </c>
      <c r="D1049" t="s">
        <v>199</v>
      </c>
      <c r="E1049">
        <v>22706258</v>
      </c>
      <c r="F1049">
        <v>7999722</v>
      </c>
      <c r="G1049">
        <v>51714798</v>
      </c>
      <c r="H1049">
        <v>81852774</v>
      </c>
      <c r="I1049">
        <v>4006673</v>
      </c>
      <c r="J1049">
        <v>-16381586</v>
      </c>
      <c r="K1049">
        <v>-44649584</v>
      </c>
      <c r="L1049">
        <v>-16811056</v>
      </c>
      <c r="M1049">
        <v>-17874074</v>
      </c>
      <c r="N1049">
        <v>10767293</v>
      </c>
      <c r="O1049">
        <v>-11933782</v>
      </c>
      <c r="P1049">
        <v>272</v>
      </c>
      <c r="Q1049" t="s">
        <v>2145</v>
      </c>
    </row>
    <row r="1050" spans="1:17" x14ac:dyDescent="0.3">
      <c r="A1050" t="s">
        <v>17</v>
      </c>
      <c r="B1050" t="str">
        <f>"600751"</f>
        <v>600751</v>
      </c>
      <c r="C1050" t="s">
        <v>2146</v>
      </c>
      <c r="D1050" t="s">
        <v>124</v>
      </c>
      <c r="E1050">
        <v>22668000</v>
      </c>
      <c r="F1050">
        <v>-6491266000</v>
      </c>
      <c r="G1050">
        <v>5429860000</v>
      </c>
      <c r="H1050">
        <v>5610867000</v>
      </c>
      <c r="I1050">
        <v>1572939000</v>
      </c>
      <c r="J1050">
        <v>-3297347000</v>
      </c>
      <c r="K1050">
        <v>-557840415</v>
      </c>
      <c r="L1050">
        <v>-12298644</v>
      </c>
      <c r="M1050">
        <v>90730494</v>
      </c>
      <c r="N1050">
        <v>-34728282</v>
      </c>
      <c r="O1050">
        <v>7019216</v>
      </c>
      <c r="P1050">
        <v>226</v>
      </c>
      <c r="Q1050" t="s">
        <v>2147</v>
      </c>
    </row>
    <row r="1051" spans="1:17" x14ac:dyDescent="0.3">
      <c r="A1051" t="s">
        <v>32</v>
      </c>
      <c r="B1051" t="str">
        <f>"300357"</f>
        <v>300357</v>
      </c>
      <c r="C1051" t="s">
        <v>2148</v>
      </c>
      <c r="D1051" t="s">
        <v>98</v>
      </c>
      <c r="E1051">
        <v>22632384</v>
      </c>
      <c r="F1051">
        <v>76267077</v>
      </c>
      <c r="G1051">
        <v>43976652</v>
      </c>
      <c r="H1051">
        <v>30792956</v>
      </c>
      <c r="I1051">
        <v>51617678</v>
      </c>
      <c r="J1051">
        <v>26294134</v>
      </c>
      <c r="K1051">
        <v>24425813</v>
      </c>
      <c r="L1051">
        <v>19431882</v>
      </c>
      <c r="M1051">
        <v>6892312</v>
      </c>
      <c r="N1051">
        <v>6908922</v>
      </c>
      <c r="P1051">
        <v>31282</v>
      </c>
      <c r="Q1051" t="s">
        <v>2149</v>
      </c>
    </row>
    <row r="1052" spans="1:17" x14ac:dyDescent="0.3">
      <c r="A1052" t="s">
        <v>17</v>
      </c>
      <c r="B1052" t="str">
        <f>"603929"</f>
        <v>603929</v>
      </c>
      <c r="C1052" t="s">
        <v>2150</v>
      </c>
      <c r="D1052" t="s">
        <v>645</v>
      </c>
      <c r="E1052">
        <v>22493677</v>
      </c>
      <c r="F1052">
        <v>-33139488</v>
      </c>
      <c r="G1052">
        <v>-198690042</v>
      </c>
      <c r="H1052">
        <v>-165928690</v>
      </c>
      <c r="I1052">
        <v>85935721</v>
      </c>
      <c r="J1052">
        <v>-185434728</v>
      </c>
      <c r="K1052">
        <v>317836835</v>
      </c>
      <c r="P1052">
        <v>109</v>
      </c>
      <c r="Q1052" t="s">
        <v>2151</v>
      </c>
    </row>
    <row r="1053" spans="1:17" x14ac:dyDescent="0.3">
      <c r="A1053" t="s">
        <v>32</v>
      </c>
      <c r="B1053" t="str">
        <f>"300971"</f>
        <v>300971</v>
      </c>
      <c r="C1053" t="s">
        <v>2152</v>
      </c>
      <c r="D1053" t="s">
        <v>135</v>
      </c>
      <c r="E1053">
        <v>22442206</v>
      </c>
      <c r="F1053">
        <v>-22566787</v>
      </c>
      <c r="G1053">
        <v>-8544334</v>
      </c>
      <c r="P1053">
        <v>39</v>
      </c>
      <c r="Q1053" t="s">
        <v>2153</v>
      </c>
    </row>
    <row r="1054" spans="1:17" x14ac:dyDescent="0.3">
      <c r="A1054" t="s">
        <v>32</v>
      </c>
      <c r="B1054" t="str">
        <f>"300238"</f>
        <v>300238</v>
      </c>
      <c r="C1054" t="s">
        <v>2154</v>
      </c>
      <c r="D1054" t="s">
        <v>98</v>
      </c>
      <c r="E1054">
        <v>22320561</v>
      </c>
      <c r="F1054">
        <v>31600713</v>
      </c>
      <c r="G1054">
        <v>-17599387</v>
      </c>
      <c r="H1054">
        <v>-26699470</v>
      </c>
      <c r="I1054">
        <v>9436722</v>
      </c>
      <c r="J1054">
        <v>-1645703</v>
      </c>
      <c r="K1054">
        <v>-1509495</v>
      </c>
      <c r="L1054">
        <v>4975252</v>
      </c>
      <c r="M1054">
        <v>-631134</v>
      </c>
      <c r="N1054">
        <v>-14286564</v>
      </c>
      <c r="O1054">
        <v>6537566</v>
      </c>
      <c r="P1054">
        <v>196</v>
      </c>
      <c r="Q1054" t="s">
        <v>2155</v>
      </c>
    </row>
    <row r="1055" spans="1:17" x14ac:dyDescent="0.3">
      <c r="A1055" t="s">
        <v>17</v>
      </c>
      <c r="B1055" t="str">
        <f>"603949"</f>
        <v>603949</v>
      </c>
      <c r="C1055" t="s">
        <v>2156</v>
      </c>
      <c r="D1055" t="s">
        <v>199</v>
      </c>
      <c r="E1055">
        <v>22314548</v>
      </c>
      <c r="F1055">
        <v>6961007</v>
      </c>
      <c r="G1055">
        <v>-13809045</v>
      </c>
      <c r="H1055">
        <v>-9045870</v>
      </c>
      <c r="P1055">
        <v>158</v>
      </c>
      <c r="Q1055" t="s">
        <v>2157</v>
      </c>
    </row>
    <row r="1056" spans="1:17" x14ac:dyDescent="0.3">
      <c r="A1056" t="s">
        <v>17</v>
      </c>
      <c r="B1056" t="str">
        <f>"603367"</f>
        <v>603367</v>
      </c>
      <c r="C1056" t="s">
        <v>2158</v>
      </c>
      <c r="D1056" t="s">
        <v>98</v>
      </c>
      <c r="E1056">
        <v>22184135</v>
      </c>
      <c r="F1056">
        <v>-34773062</v>
      </c>
      <c r="G1056">
        <v>16083996</v>
      </c>
      <c r="H1056">
        <v>-11714680</v>
      </c>
      <c r="I1056">
        <v>79385037</v>
      </c>
      <c r="J1056">
        <v>108248817</v>
      </c>
      <c r="P1056">
        <v>245</v>
      </c>
      <c r="Q1056" t="s">
        <v>2159</v>
      </c>
    </row>
    <row r="1057" spans="1:17" x14ac:dyDescent="0.3">
      <c r="A1057" t="s">
        <v>32</v>
      </c>
      <c r="B1057" t="str">
        <f>"300399"</f>
        <v>300399</v>
      </c>
      <c r="C1057" t="s">
        <v>2160</v>
      </c>
      <c r="D1057" t="s">
        <v>342</v>
      </c>
      <c r="E1057">
        <v>22014886</v>
      </c>
      <c r="F1057">
        <v>5601261</v>
      </c>
      <c r="G1057">
        <v>-7121854</v>
      </c>
      <c r="H1057">
        <v>-20345916</v>
      </c>
      <c r="I1057">
        <v>-31251518</v>
      </c>
      <c r="J1057">
        <v>-19081719</v>
      </c>
      <c r="K1057">
        <v>-18976779</v>
      </c>
      <c r="L1057">
        <v>5828663</v>
      </c>
      <c r="M1057">
        <v>-17273253</v>
      </c>
      <c r="P1057">
        <v>80</v>
      </c>
      <c r="Q1057" t="s">
        <v>2161</v>
      </c>
    </row>
    <row r="1058" spans="1:17" x14ac:dyDescent="0.3">
      <c r="A1058" t="s">
        <v>17</v>
      </c>
      <c r="B1058" t="str">
        <f>"600633"</f>
        <v>600633</v>
      </c>
      <c r="C1058" t="s">
        <v>2162</v>
      </c>
      <c r="D1058" t="s">
        <v>245</v>
      </c>
      <c r="E1058">
        <v>21817405</v>
      </c>
      <c r="F1058">
        <v>-13028176</v>
      </c>
      <c r="G1058">
        <v>88475729</v>
      </c>
      <c r="H1058">
        <v>21782599</v>
      </c>
      <c r="I1058">
        <v>-188794559</v>
      </c>
      <c r="J1058">
        <v>-220036570</v>
      </c>
      <c r="K1058">
        <v>-222891089</v>
      </c>
      <c r="L1058">
        <v>-103228001</v>
      </c>
      <c r="M1058">
        <v>-135619658</v>
      </c>
      <c r="N1058">
        <v>-58405084</v>
      </c>
      <c r="O1058">
        <v>-172836856</v>
      </c>
      <c r="P1058">
        <v>325</v>
      </c>
      <c r="Q1058" t="s">
        <v>2163</v>
      </c>
    </row>
    <row r="1059" spans="1:17" x14ac:dyDescent="0.3">
      <c r="A1059" t="s">
        <v>17</v>
      </c>
      <c r="B1059" t="str">
        <f>"600836"</f>
        <v>600836</v>
      </c>
      <c r="C1059" t="s">
        <v>2164</v>
      </c>
      <c r="D1059" t="s">
        <v>455</v>
      </c>
      <c r="E1059">
        <v>21683035</v>
      </c>
      <c r="F1059">
        <v>-73195129</v>
      </c>
      <c r="G1059">
        <v>-91692048</v>
      </c>
      <c r="H1059">
        <v>28080977</v>
      </c>
      <c r="I1059">
        <v>-102341352</v>
      </c>
      <c r="J1059">
        <v>14112822</v>
      </c>
      <c r="K1059">
        <v>4171641</v>
      </c>
      <c r="L1059">
        <v>-328758716</v>
      </c>
      <c r="M1059">
        <v>-179262189</v>
      </c>
      <c r="N1059">
        <v>73635512</v>
      </c>
      <c r="O1059">
        <v>-12919261</v>
      </c>
      <c r="P1059">
        <v>70</v>
      </c>
      <c r="Q1059" t="s">
        <v>2165</v>
      </c>
    </row>
    <row r="1060" spans="1:17" x14ac:dyDescent="0.3">
      <c r="A1060" t="s">
        <v>32</v>
      </c>
      <c r="B1060" t="str">
        <f>"300822"</f>
        <v>300822</v>
      </c>
      <c r="C1060" t="s">
        <v>2166</v>
      </c>
      <c r="D1060" t="s">
        <v>124</v>
      </c>
      <c r="E1060">
        <v>21586067</v>
      </c>
      <c r="F1060">
        <v>-165123301</v>
      </c>
      <c r="G1060">
        <v>8680666</v>
      </c>
      <c r="H1060">
        <v>-34521365</v>
      </c>
      <c r="P1060">
        <v>131</v>
      </c>
      <c r="Q1060" t="s">
        <v>2167</v>
      </c>
    </row>
    <row r="1061" spans="1:17" x14ac:dyDescent="0.3">
      <c r="A1061" t="s">
        <v>17</v>
      </c>
      <c r="B1061" t="str">
        <f>"603222"</f>
        <v>603222</v>
      </c>
      <c r="C1061" t="s">
        <v>2168</v>
      </c>
      <c r="D1061" t="s">
        <v>98</v>
      </c>
      <c r="E1061">
        <v>21389685</v>
      </c>
      <c r="F1061">
        <v>-58528106</v>
      </c>
      <c r="G1061">
        <v>-52978077</v>
      </c>
      <c r="H1061">
        <v>-60627765</v>
      </c>
      <c r="I1061">
        <v>-89234543</v>
      </c>
      <c r="J1061">
        <v>-87152018</v>
      </c>
      <c r="K1061">
        <v>-31936132</v>
      </c>
      <c r="L1061">
        <v>-20601453</v>
      </c>
      <c r="M1061">
        <v>-16308345</v>
      </c>
      <c r="P1061">
        <v>172</v>
      </c>
      <c r="Q1061" t="s">
        <v>2169</v>
      </c>
    </row>
    <row r="1062" spans="1:17" x14ac:dyDescent="0.3">
      <c r="A1062" t="s">
        <v>32</v>
      </c>
      <c r="B1062" t="str">
        <f>"300962"</f>
        <v>300962</v>
      </c>
      <c r="C1062" t="s">
        <v>2170</v>
      </c>
      <c r="D1062" t="s">
        <v>497</v>
      </c>
      <c r="E1062">
        <v>21363452</v>
      </c>
      <c r="F1062">
        <v>13436906</v>
      </c>
      <c r="G1062">
        <v>-5705618</v>
      </c>
      <c r="P1062">
        <v>32</v>
      </c>
      <c r="Q1062" t="s">
        <v>2171</v>
      </c>
    </row>
    <row r="1063" spans="1:17" x14ac:dyDescent="0.3">
      <c r="A1063" t="s">
        <v>32</v>
      </c>
      <c r="B1063" t="str">
        <f>"300694"</f>
        <v>300694</v>
      </c>
      <c r="C1063" t="s">
        <v>2172</v>
      </c>
      <c r="D1063" t="s">
        <v>199</v>
      </c>
      <c r="E1063">
        <v>21127479</v>
      </c>
      <c r="F1063">
        <v>-15666072</v>
      </c>
      <c r="G1063">
        <v>33991643</v>
      </c>
      <c r="H1063">
        <v>-57777793</v>
      </c>
      <c r="I1063">
        <v>-25584225</v>
      </c>
      <c r="P1063">
        <v>74</v>
      </c>
      <c r="Q1063" t="s">
        <v>2173</v>
      </c>
    </row>
    <row r="1064" spans="1:17" x14ac:dyDescent="0.3">
      <c r="A1064" t="s">
        <v>32</v>
      </c>
      <c r="B1064" t="str">
        <f>"002191"</f>
        <v>002191</v>
      </c>
      <c r="C1064" t="s">
        <v>2174</v>
      </c>
      <c r="D1064" t="s">
        <v>455</v>
      </c>
      <c r="E1064">
        <v>21075331</v>
      </c>
      <c r="F1064">
        <v>3040726</v>
      </c>
      <c r="G1064">
        <v>16527198</v>
      </c>
      <c r="H1064">
        <v>-55034012</v>
      </c>
      <c r="I1064">
        <v>130675790</v>
      </c>
      <c r="J1064">
        <v>3526380</v>
      </c>
      <c r="K1064">
        <v>71657036</v>
      </c>
      <c r="L1064">
        <v>192001952</v>
      </c>
      <c r="M1064">
        <v>105813728</v>
      </c>
      <c r="N1064">
        <v>111524635</v>
      </c>
      <c r="O1064">
        <v>135386862</v>
      </c>
      <c r="P1064">
        <v>6346</v>
      </c>
      <c r="Q1064" t="s">
        <v>2175</v>
      </c>
    </row>
    <row r="1065" spans="1:17" x14ac:dyDescent="0.3">
      <c r="A1065" t="s">
        <v>32</v>
      </c>
      <c r="B1065" t="str">
        <f>"300902"</f>
        <v>300902</v>
      </c>
      <c r="C1065" t="s">
        <v>2176</v>
      </c>
      <c r="D1065" t="s">
        <v>135</v>
      </c>
      <c r="E1065">
        <v>21005788</v>
      </c>
      <c r="F1065">
        <v>-32320995</v>
      </c>
      <c r="P1065">
        <v>40</v>
      </c>
      <c r="Q1065" t="s">
        <v>2177</v>
      </c>
    </row>
    <row r="1066" spans="1:17" x14ac:dyDescent="0.3">
      <c r="A1066" t="s">
        <v>32</v>
      </c>
      <c r="B1066" t="str">
        <f>"002448"</f>
        <v>002448</v>
      </c>
      <c r="C1066" t="s">
        <v>2178</v>
      </c>
      <c r="D1066" t="s">
        <v>199</v>
      </c>
      <c r="E1066">
        <v>20989011</v>
      </c>
      <c r="F1066">
        <v>28156459</v>
      </c>
      <c r="G1066">
        <v>30218001</v>
      </c>
      <c r="H1066">
        <v>-25592656</v>
      </c>
      <c r="I1066">
        <v>-11565617</v>
      </c>
      <c r="J1066">
        <v>-115454821</v>
      </c>
      <c r="K1066">
        <v>41700280</v>
      </c>
      <c r="L1066">
        <v>-9510980</v>
      </c>
      <c r="M1066">
        <v>-102771473</v>
      </c>
      <c r="N1066">
        <v>-47237696</v>
      </c>
      <c r="O1066">
        <v>-39650073</v>
      </c>
      <c r="P1066">
        <v>194</v>
      </c>
      <c r="Q1066" t="s">
        <v>2179</v>
      </c>
    </row>
    <row r="1067" spans="1:17" x14ac:dyDescent="0.3">
      <c r="A1067" t="s">
        <v>17</v>
      </c>
      <c r="B1067" t="str">
        <f>"603519"</f>
        <v>603519</v>
      </c>
      <c r="C1067" t="s">
        <v>2180</v>
      </c>
      <c r="D1067" t="s">
        <v>127</v>
      </c>
      <c r="E1067">
        <v>20945092</v>
      </c>
      <c r="F1067">
        <v>-57219671</v>
      </c>
      <c r="G1067">
        <v>20817330</v>
      </c>
      <c r="H1067">
        <v>9972833</v>
      </c>
      <c r="I1067">
        <v>19410159</v>
      </c>
      <c r="J1067">
        <v>-9594380</v>
      </c>
      <c r="K1067">
        <v>35414521</v>
      </c>
      <c r="L1067">
        <v>508685</v>
      </c>
      <c r="M1067">
        <v>-28650930</v>
      </c>
      <c r="P1067">
        <v>148</v>
      </c>
      <c r="Q1067" t="s">
        <v>2181</v>
      </c>
    </row>
    <row r="1068" spans="1:17" x14ac:dyDescent="0.3">
      <c r="A1068" t="s">
        <v>17</v>
      </c>
      <c r="B1068" t="str">
        <f>"603040"</f>
        <v>603040</v>
      </c>
      <c r="C1068" t="s">
        <v>2182</v>
      </c>
      <c r="D1068" t="s">
        <v>199</v>
      </c>
      <c r="E1068">
        <v>20905286</v>
      </c>
      <c r="F1068">
        <v>-13279945</v>
      </c>
      <c r="G1068">
        <v>25286806</v>
      </c>
      <c r="H1068">
        <v>4381612</v>
      </c>
      <c r="I1068">
        <v>-4858681</v>
      </c>
      <c r="J1068">
        <v>9405863</v>
      </c>
      <c r="K1068">
        <v>-1497549</v>
      </c>
      <c r="P1068">
        <v>616</v>
      </c>
      <c r="Q1068" t="s">
        <v>2183</v>
      </c>
    </row>
    <row r="1069" spans="1:17" x14ac:dyDescent="0.3">
      <c r="A1069" t="s">
        <v>32</v>
      </c>
      <c r="B1069" t="str">
        <f>"002005"</f>
        <v>002005</v>
      </c>
      <c r="C1069" t="s">
        <v>2184</v>
      </c>
      <c r="D1069" t="s">
        <v>127</v>
      </c>
      <c r="E1069">
        <v>20803990</v>
      </c>
      <c r="F1069">
        <v>-101825788</v>
      </c>
      <c r="G1069">
        <v>-103526419</v>
      </c>
      <c r="H1069">
        <v>150402517</v>
      </c>
      <c r="I1069">
        <v>-205402336</v>
      </c>
      <c r="J1069">
        <v>-82207230</v>
      </c>
      <c r="K1069">
        <v>-28798687</v>
      </c>
      <c r="L1069">
        <v>-215274251</v>
      </c>
      <c r="M1069">
        <v>-14056803</v>
      </c>
      <c r="N1069">
        <v>-189030927</v>
      </c>
      <c r="O1069">
        <v>-182174068</v>
      </c>
      <c r="P1069">
        <v>74</v>
      </c>
      <c r="Q1069" t="s">
        <v>2185</v>
      </c>
    </row>
    <row r="1070" spans="1:17" x14ac:dyDescent="0.3">
      <c r="A1070" t="s">
        <v>17</v>
      </c>
      <c r="B1070" t="str">
        <f>"605028"</f>
        <v>605028</v>
      </c>
      <c r="C1070" t="s">
        <v>2186</v>
      </c>
      <c r="D1070" t="s">
        <v>158</v>
      </c>
      <c r="E1070">
        <v>20746687</v>
      </c>
      <c r="F1070">
        <v>41105689</v>
      </c>
      <c r="G1070">
        <v>-3076187</v>
      </c>
      <c r="P1070">
        <v>46</v>
      </c>
      <c r="Q1070" t="s">
        <v>2187</v>
      </c>
    </row>
    <row r="1071" spans="1:17" x14ac:dyDescent="0.3">
      <c r="A1071" t="s">
        <v>32</v>
      </c>
      <c r="B1071" t="str">
        <f>"300375"</f>
        <v>300375</v>
      </c>
      <c r="C1071" t="s">
        <v>2188</v>
      </c>
      <c r="D1071" t="s">
        <v>199</v>
      </c>
      <c r="E1071">
        <v>20531712</v>
      </c>
      <c r="F1071">
        <v>40651289</v>
      </c>
      <c r="G1071">
        <v>42316645</v>
      </c>
      <c r="H1071">
        <v>53143771</v>
      </c>
      <c r="I1071">
        <v>-25708075</v>
      </c>
      <c r="J1071">
        <v>-45724480</v>
      </c>
      <c r="K1071">
        <v>17717108</v>
      </c>
      <c r="L1071">
        <v>-19070482</v>
      </c>
      <c r="M1071">
        <v>-18046054</v>
      </c>
      <c r="N1071">
        <v>-14975718</v>
      </c>
      <c r="P1071">
        <v>99</v>
      </c>
      <c r="Q1071" t="s">
        <v>2189</v>
      </c>
    </row>
    <row r="1072" spans="1:17" x14ac:dyDescent="0.3">
      <c r="A1072" t="s">
        <v>32</v>
      </c>
      <c r="B1072" t="str">
        <f>"002681"</f>
        <v>002681</v>
      </c>
      <c r="C1072" t="s">
        <v>2190</v>
      </c>
      <c r="D1072" t="s">
        <v>124</v>
      </c>
      <c r="E1072">
        <v>20508062</v>
      </c>
      <c r="F1072">
        <v>-19813149</v>
      </c>
      <c r="G1072">
        <v>217330579</v>
      </c>
      <c r="H1072">
        <v>39270656</v>
      </c>
      <c r="I1072">
        <v>330212331</v>
      </c>
      <c r="J1072">
        <v>-81387615</v>
      </c>
      <c r="K1072">
        <v>-33908323</v>
      </c>
      <c r="L1072">
        <v>-20497650</v>
      </c>
      <c r="M1072">
        <v>8242159</v>
      </c>
      <c r="N1072">
        <v>18831938</v>
      </c>
      <c r="O1072">
        <v>-39393454</v>
      </c>
      <c r="P1072">
        <v>216</v>
      </c>
      <c r="Q1072" t="s">
        <v>2191</v>
      </c>
    </row>
    <row r="1073" spans="1:17" x14ac:dyDescent="0.3">
      <c r="A1073" t="s">
        <v>32</v>
      </c>
      <c r="B1073" t="str">
        <f>"000929"</f>
        <v>000929</v>
      </c>
      <c r="C1073" t="s">
        <v>2192</v>
      </c>
      <c r="D1073" t="s">
        <v>172</v>
      </c>
      <c r="E1073">
        <v>20434905</v>
      </c>
      <c r="F1073">
        <v>44267081</v>
      </c>
      <c r="G1073">
        <v>-8367592</v>
      </c>
      <c r="H1073">
        <v>31055394</v>
      </c>
      <c r="I1073">
        <v>56012699</v>
      </c>
      <c r="J1073">
        <v>33423344</v>
      </c>
      <c r="K1073">
        <v>46359165</v>
      </c>
      <c r="L1073">
        <v>14922095</v>
      </c>
      <c r="M1073">
        <v>85507316</v>
      </c>
      <c r="N1073">
        <v>63206393</v>
      </c>
      <c r="O1073">
        <v>24099596</v>
      </c>
      <c r="P1073">
        <v>144</v>
      </c>
      <c r="Q1073" t="s">
        <v>2193</v>
      </c>
    </row>
    <row r="1074" spans="1:17" x14ac:dyDescent="0.3">
      <c r="A1074" t="s">
        <v>32</v>
      </c>
      <c r="B1074" t="str">
        <f>"000856"</f>
        <v>000856</v>
      </c>
      <c r="C1074" t="s">
        <v>2194</v>
      </c>
      <c r="D1074" t="s">
        <v>135</v>
      </c>
      <c r="E1074">
        <v>20181719</v>
      </c>
      <c r="F1074">
        <v>-61232958</v>
      </c>
      <c r="G1074">
        <v>-9976140</v>
      </c>
      <c r="H1074">
        <v>-109884041</v>
      </c>
      <c r="I1074">
        <v>-107612618</v>
      </c>
      <c r="J1074">
        <v>-48574587</v>
      </c>
      <c r="K1074">
        <v>18461035</v>
      </c>
      <c r="L1074">
        <v>-15015129</v>
      </c>
      <c r="M1074">
        <v>-34925836</v>
      </c>
      <c r="N1074">
        <v>-33255839</v>
      </c>
      <c r="O1074">
        <v>-18734658</v>
      </c>
      <c r="P1074">
        <v>101</v>
      </c>
      <c r="Q1074" t="s">
        <v>2195</v>
      </c>
    </row>
    <row r="1075" spans="1:17" x14ac:dyDescent="0.3">
      <c r="A1075" t="s">
        <v>32</v>
      </c>
      <c r="B1075" t="str">
        <f>"002612"</f>
        <v>002612</v>
      </c>
      <c r="C1075" t="s">
        <v>2196</v>
      </c>
      <c r="D1075" t="s">
        <v>130</v>
      </c>
      <c r="E1075">
        <v>20149350</v>
      </c>
      <c r="F1075">
        <v>137998485</v>
      </c>
      <c r="G1075">
        <v>192696617</v>
      </c>
      <c r="H1075">
        <v>144804951</v>
      </c>
      <c r="I1075">
        <v>69742263</v>
      </c>
      <c r="J1075">
        <v>44648564</v>
      </c>
      <c r="K1075">
        <v>62748117</v>
      </c>
      <c r="L1075">
        <v>118482676</v>
      </c>
      <c r="M1075">
        <v>43239834</v>
      </c>
      <c r="N1075">
        <v>26402979</v>
      </c>
      <c r="O1075">
        <v>40356617</v>
      </c>
      <c r="P1075">
        <v>370</v>
      </c>
      <c r="Q1075" t="s">
        <v>2197</v>
      </c>
    </row>
    <row r="1076" spans="1:17" x14ac:dyDescent="0.3">
      <c r="A1076" t="s">
        <v>32</v>
      </c>
      <c r="B1076" t="str">
        <f>"002358"</f>
        <v>002358</v>
      </c>
      <c r="C1076" t="s">
        <v>2198</v>
      </c>
      <c r="D1076" t="s">
        <v>464</v>
      </c>
      <c r="E1076">
        <v>19973789</v>
      </c>
      <c r="F1076">
        <v>4682492</v>
      </c>
      <c r="G1076">
        <v>-119989097</v>
      </c>
      <c r="H1076">
        <v>397463023</v>
      </c>
      <c r="I1076">
        <v>-405020288</v>
      </c>
      <c r="J1076">
        <v>-342561411</v>
      </c>
      <c r="K1076">
        <v>-220432447</v>
      </c>
      <c r="L1076">
        <v>-261610577</v>
      </c>
      <c r="M1076">
        <v>-121802557</v>
      </c>
      <c r="N1076">
        <v>-105408204</v>
      </c>
      <c r="O1076">
        <v>-127797149</v>
      </c>
      <c r="P1076">
        <v>142</v>
      </c>
      <c r="Q1076" t="s">
        <v>2199</v>
      </c>
    </row>
    <row r="1077" spans="1:17" x14ac:dyDescent="0.3">
      <c r="A1077" t="s">
        <v>17</v>
      </c>
      <c r="B1077" t="str">
        <f>"603398"</f>
        <v>603398</v>
      </c>
      <c r="C1077" t="s">
        <v>2200</v>
      </c>
      <c r="D1077" t="s">
        <v>455</v>
      </c>
      <c r="E1077">
        <v>19968761</v>
      </c>
      <c r="F1077">
        <v>4580034</v>
      </c>
      <c r="G1077">
        <v>-13791195</v>
      </c>
      <c r="H1077">
        <v>1933973</v>
      </c>
      <c r="I1077">
        <v>-10369386</v>
      </c>
      <c r="J1077">
        <v>-49008293</v>
      </c>
      <c r="K1077">
        <v>4675845</v>
      </c>
      <c r="L1077">
        <v>15451046</v>
      </c>
      <c r="M1077">
        <v>11759728</v>
      </c>
      <c r="P1077">
        <v>89</v>
      </c>
      <c r="Q1077" t="s">
        <v>2201</v>
      </c>
    </row>
    <row r="1078" spans="1:17" x14ac:dyDescent="0.3">
      <c r="A1078" t="s">
        <v>17</v>
      </c>
      <c r="B1078" t="str">
        <f>"603615"</f>
        <v>603615</v>
      </c>
      <c r="C1078" t="s">
        <v>2202</v>
      </c>
      <c r="D1078" t="s">
        <v>455</v>
      </c>
      <c r="E1078">
        <v>19850038</v>
      </c>
      <c r="F1078">
        <v>-49706479</v>
      </c>
      <c r="G1078">
        <v>-54736603</v>
      </c>
      <c r="H1078">
        <v>-20372197</v>
      </c>
      <c r="I1078">
        <v>540587</v>
      </c>
      <c r="J1078">
        <v>393224</v>
      </c>
      <c r="K1078">
        <v>-7135067</v>
      </c>
      <c r="P1078">
        <v>107</v>
      </c>
      <c r="Q1078" t="s">
        <v>2203</v>
      </c>
    </row>
    <row r="1079" spans="1:17" x14ac:dyDescent="0.3">
      <c r="A1079" t="s">
        <v>32</v>
      </c>
      <c r="B1079" t="str">
        <f>"002864"</f>
        <v>002864</v>
      </c>
      <c r="C1079" t="s">
        <v>2204</v>
      </c>
      <c r="D1079" t="s">
        <v>98</v>
      </c>
      <c r="E1079">
        <v>19822867</v>
      </c>
      <c r="F1079">
        <v>-13176491</v>
      </c>
      <c r="G1079">
        <v>9582702</v>
      </c>
      <c r="H1079">
        <v>6287204</v>
      </c>
      <c r="I1079">
        <v>5773</v>
      </c>
      <c r="J1079">
        <v>-13752929</v>
      </c>
      <c r="P1079">
        <v>184</v>
      </c>
      <c r="Q1079" t="s">
        <v>2205</v>
      </c>
    </row>
    <row r="1080" spans="1:17" x14ac:dyDescent="0.3">
      <c r="A1080" t="s">
        <v>32</v>
      </c>
      <c r="B1080" t="str">
        <f>"002907"</f>
        <v>002907</v>
      </c>
      <c r="C1080" t="s">
        <v>2206</v>
      </c>
      <c r="D1080" t="s">
        <v>98</v>
      </c>
      <c r="E1080">
        <v>19752065</v>
      </c>
      <c r="F1080">
        <v>13154913</v>
      </c>
      <c r="G1080">
        <v>1243127</v>
      </c>
      <c r="H1080">
        <v>-50229681</v>
      </c>
      <c r="I1080">
        <v>-2774046</v>
      </c>
      <c r="J1080">
        <v>19541269</v>
      </c>
      <c r="P1080">
        <v>286</v>
      </c>
      <c r="Q1080" t="s">
        <v>2207</v>
      </c>
    </row>
    <row r="1081" spans="1:17" x14ac:dyDescent="0.3">
      <c r="A1081" t="s">
        <v>32</v>
      </c>
      <c r="B1081" t="str">
        <f>"002393"</f>
        <v>002393</v>
      </c>
      <c r="C1081" t="s">
        <v>2208</v>
      </c>
      <c r="D1081" t="s">
        <v>98</v>
      </c>
      <c r="E1081">
        <v>19591476</v>
      </c>
      <c r="F1081">
        <v>-540654</v>
      </c>
      <c r="G1081">
        <v>68861781</v>
      </c>
      <c r="H1081">
        <v>42530517</v>
      </c>
      <c r="I1081">
        <v>35032261</v>
      </c>
      <c r="J1081">
        <v>-31226623</v>
      </c>
      <c r="K1081">
        <v>-51717431</v>
      </c>
      <c r="L1081">
        <v>-22046115</v>
      </c>
      <c r="M1081">
        <v>-54236591</v>
      </c>
      <c r="N1081">
        <v>-3792779</v>
      </c>
      <c r="O1081">
        <v>-41324040</v>
      </c>
      <c r="P1081">
        <v>153</v>
      </c>
      <c r="Q1081" t="s">
        <v>2209</v>
      </c>
    </row>
    <row r="1082" spans="1:17" x14ac:dyDescent="0.3">
      <c r="A1082" t="s">
        <v>32</v>
      </c>
      <c r="B1082" t="str">
        <f>"300074"</f>
        <v>300074</v>
      </c>
      <c r="C1082" t="s">
        <v>2210</v>
      </c>
      <c r="D1082" t="s">
        <v>342</v>
      </c>
      <c r="E1082">
        <v>19537675</v>
      </c>
      <c r="F1082">
        <v>-47395061</v>
      </c>
      <c r="G1082">
        <v>-34762959</v>
      </c>
      <c r="H1082">
        <v>-28024036</v>
      </c>
      <c r="I1082">
        <v>-74495627</v>
      </c>
      <c r="J1082">
        <v>-77638202</v>
      </c>
      <c r="K1082">
        <v>-48430505</v>
      </c>
      <c r="L1082">
        <v>-41662565</v>
      </c>
      <c r="M1082">
        <v>-14860071</v>
      </c>
      <c r="N1082">
        <v>-63822461</v>
      </c>
      <c r="O1082">
        <v>-32874321</v>
      </c>
      <c r="P1082">
        <v>162</v>
      </c>
      <c r="Q1082" t="s">
        <v>2211</v>
      </c>
    </row>
    <row r="1083" spans="1:17" x14ac:dyDescent="0.3">
      <c r="A1083" t="s">
        <v>17</v>
      </c>
      <c r="B1083" t="str">
        <f>"600228"</f>
        <v>600228</v>
      </c>
      <c r="C1083" t="s">
        <v>2212</v>
      </c>
      <c r="D1083" t="s">
        <v>245</v>
      </c>
      <c r="E1083">
        <v>19450450</v>
      </c>
      <c r="F1083">
        <v>7192118</v>
      </c>
      <c r="G1083">
        <v>23959694</v>
      </c>
      <c r="H1083">
        <v>-5564633</v>
      </c>
      <c r="I1083">
        <v>-6061839</v>
      </c>
      <c r="J1083">
        <v>820887</v>
      </c>
      <c r="K1083">
        <v>13506958</v>
      </c>
      <c r="L1083">
        <v>31733619</v>
      </c>
      <c r="M1083">
        <v>-3010355</v>
      </c>
      <c r="N1083">
        <v>21200813</v>
      </c>
      <c r="O1083">
        <v>-21204480</v>
      </c>
      <c r="P1083">
        <v>68</v>
      </c>
      <c r="Q1083" t="s">
        <v>2213</v>
      </c>
    </row>
    <row r="1084" spans="1:17" x14ac:dyDescent="0.3">
      <c r="A1084" t="s">
        <v>32</v>
      </c>
      <c r="B1084" t="str">
        <f>"301001"</f>
        <v>301001</v>
      </c>
      <c r="C1084" t="s">
        <v>2214</v>
      </c>
      <c r="D1084" t="s">
        <v>218</v>
      </c>
      <c r="E1084">
        <v>19446672</v>
      </c>
      <c r="F1084">
        <v>2258538</v>
      </c>
      <c r="G1084">
        <v>35149611</v>
      </c>
      <c r="P1084">
        <v>23</v>
      </c>
      <c r="Q1084" t="s">
        <v>2215</v>
      </c>
    </row>
    <row r="1085" spans="1:17" x14ac:dyDescent="0.3">
      <c r="A1085" t="s">
        <v>32</v>
      </c>
      <c r="B1085" t="str">
        <f>"001219"</f>
        <v>001219</v>
      </c>
      <c r="C1085" t="s">
        <v>2216</v>
      </c>
      <c r="D1085" t="s">
        <v>172</v>
      </c>
      <c r="E1085">
        <v>19416837</v>
      </c>
      <c r="F1085">
        <v>-9286488</v>
      </c>
      <c r="P1085">
        <v>33</v>
      </c>
      <c r="Q1085" t="s">
        <v>2217</v>
      </c>
    </row>
    <row r="1086" spans="1:17" x14ac:dyDescent="0.3">
      <c r="A1086" t="s">
        <v>32</v>
      </c>
      <c r="B1086" t="str">
        <f>"002956"</f>
        <v>002956</v>
      </c>
      <c r="C1086" t="s">
        <v>2218</v>
      </c>
      <c r="D1086" t="s">
        <v>172</v>
      </c>
      <c r="E1086">
        <v>19383609</v>
      </c>
      <c r="F1086">
        <v>-3514512</v>
      </c>
      <c r="G1086">
        <v>-7819997</v>
      </c>
      <c r="H1086">
        <v>38792147</v>
      </c>
      <c r="I1086">
        <v>21391857</v>
      </c>
      <c r="P1086">
        <v>281</v>
      </c>
      <c r="Q1086" t="s">
        <v>2219</v>
      </c>
    </row>
    <row r="1087" spans="1:17" x14ac:dyDescent="0.3">
      <c r="A1087" t="s">
        <v>17</v>
      </c>
      <c r="B1087" t="str">
        <f>"600714"</f>
        <v>600714</v>
      </c>
      <c r="C1087" t="s">
        <v>2220</v>
      </c>
      <c r="D1087" t="s">
        <v>144</v>
      </c>
      <c r="E1087">
        <v>19383041</v>
      </c>
      <c r="F1087">
        <v>-7841310</v>
      </c>
      <c r="G1087">
        <v>-9068546</v>
      </c>
      <c r="H1087">
        <v>34347537</v>
      </c>
      <c r="I1087">
        <v>-13011259</v>
      </c>
      <c r="J1087">
        <v>-5526592</v>
      </c>
      <c r="K1087">
        <v>-56799445</v>
      </c>
      <c r="L1087">
        <v>70947668</v>
      </c>
      <c r="M1087">
        <v>-82487651</v>
      </c>
      <c r="N1087">
        <v>-71636320</v>
      </c>
      <c r="O1087">
        <v>-68546455</v>
      </c>
      <c r="P1087">
        <v>68</v>
      </c>
      <c r="Q1087" t="s">
        <v>2221</v>
      </c>
    </row>
    <row r="1088" spans="1:17" x14ac:dyDescent="0.3">
      <c r="A1088" t="s">
        <v>32</v>
      </c>
      <c r="B1088" t="str">
        <f>"002835"</f>
        <v>002835</v>
      </c>
      <c r="C1088" t="s">
        <v>2222</v>
      </c>
      <c r="D1088" t="s">
        <v>342</v>
      </c>
      <c r="E1088">
        <v>19096224</v>
      </c>
      <c r="F1088">
        <v>24866121</v>
      </c>
      <c r="G1088">
        <v>-76380409</v>
      </c>
      <c r="H1088">
        <v>3564375</v>
      </c>
      <c r="I1088">
        <v>242016</v>
      </c>
      <c r="J1088">
        <v>-21896874</v>
      </c>
      <c r="K1088">
        <v>-5344999</v>
      </c>
      <c r="P1088">
        <v>94</v>
      </c>
      <c r="Q1088" t="s">
        <v>2223</v>
      </c>
    </row>
    <row r="1089" spans="1:17" x14ac:dyDescent="0.3">
      <c r="A1089" t="s">
        <v>17</v>
      </c>
      <c r="B1089" t="str">
        <f>"900906"</f>
        <v>900906</v>
      </c>
      <c r="C1089" t="s">
        <v>2224</v>
      </c>
      <c r="E1089">
        <v>19060797.456</v>
      </c>
      <c r="F1089">
        <v>204889.1508</v>
      </c>
      <c r="G1089">
        <v>6476334.3757999996</v>
      </c>
      <c r="H1089">
        <v>147.51</v>
      </c>
      <c r="I1089">
        <v>-348095.80719999998</v>
      </c>
      <c r="J1089">
        <v>-12551048.07</v>
      </c>
      <c r="K1089">
        <v>-915292.94720000005</v>
      </c>
      <c r="L1089">
        <v>-2574060.4021000001</v>
      </c>
      <c r="M1089">
        <v>-1847886.9072</v>
      </c>
      <c r="N1089">
        <v>-2040864.175</v>
      </c>
      <c r="O1089">
        <v>-4190083.4608</v>
      </c>
      <c r="P1089">
        <v>4</v>
      </c>
      <c r="Q1089" t="s">
        <v>2225</v>
      </c>
    </row>
    <row r="1090" spans="1:17" x14ac:dyDescent="0.3">
      <c r="A1090" t="s">
        <v>32</v>
      </c>
      <c r="B1090" t="str">
        <f>"300322"</f>
        <v>300322</v>
      </c>
      <c r="C1090" t="s">
        <v>2226</v>
      </c>
      <c r="D1090" t="s">
        <v>124</v>
      </c>
      <c r="E1090">
        <v>18972339</v>
      </c>
      <c r="F1090">
        <v>-148029643</v>
      </c>
      <c r="G1090">
        <v>79554373</v>
      </c>
      <c r="H1090">
        <v>4552740</v>
      </c>
      <c r="I1090">
        <v>110010966</v>
      </c>
      <c r="J1090">
        <v>6294788</v>
      </c>
      <c r="K1090">
        <v>33298313</v>
      </c>
      <c r="L1090">
        <v>-1125449</v>
      </c>
      <c r="M1090">
        <v>-27964438</v>
      </c>
      <c r="N1090">
        <v>-5599573</v>
      </c>
      <c r="O1090">
        <v>-19548702</v>
      </c>
      <c r="P1090">
        <v>387</v>
      </c>
      <c r="Q1090" t="s">
        <v>2227</v>
      </c>
    </row>
    <row r="1091" spans="1:17" x14ac:dyDescent="0.3">
      <c r="A1091" t="s">
        <v>32</v>
      </c>
      <c r="B1091" t="str">
        <f>"300309"</f>
        <v>300309</v>
      </c>
      <c r="C1091" t="s">
        <v>2228</v>
      </c>
      <c r="D1091" t="s">
        <v>26</v>
      </c>
      <c r="E1091">
        <v>18926869</v>
      </c>
      <c r="F1091">
        <v>-14691989</v>
      </c>
      <c r="G1091">
        <v>-36442374</v>
      </c>
      <c r="H1091">
        <v>131332896</v>
      </c>
      <c r="I1091">
        <v>67763614</v>
      </c>
      <c r="J1091">
        <v>32427624</v>
      </c>
      <c r="K1091">
        <v>-149119204</v>
      </c>
      <c r="L1091">
        <v>14293191</v>
      </c>
      <c r="M1091">
        <v>-45608405</v>
      </c>
      <c r="N1091">
        <v>-19072437</v>
      </c>
      <c r="O1091">
        <v>-39582924</v>
      </c>
      <c r="P1091">
        <v>108</v>
      </c>
      <c r="Q1091" t="s">
        <v>2229</v>
      </c>
    </row>
    <row r="1092" spans="1:17" x14ac:dyDescent="0.3">
      <c r="A1092" t="s">
        <v>32</v>
      </c>
      <c r="B1092" t="str">
        <f>"300833"</f>
        <v>300833</v>
      </c>
      <c r="C1092" t="s">
        <v>2230</v>
      </c>
      <c r="D1092" t="s">
        <v>135</v>
      </c>
      <c r="E1092">
        <v>18689437</v>
      </c>
      <c r="F1092">
        <v>1621308</v>
      </c>
      <c r="G1092">
        <v>13951249</v>
      </c>
      <c r="H1092">
        <v>-2617329</v>
      </c>
      <c r="P1092">
        <v>89</v>
      </c>
      <c r="Q1092" t="s">
        <v>2231</v>
      </c>
    </row>
    <row r="1093" spans="1:17" x14ac:dyDescent="0.3">
      <c r="A1093" t="s">
        <v>17</v>
      </c>
      <c r="B1093" t="str">
        <f>"600470"</f>
        <v>600470</v>
      </c>
      <c r="C1093" t="s">
        <v>2232</v>
      </c>
      <c r="D1093" t="s">
        <v>144</v>
      </c>
      <c r="E1093">
        <v>18673845</v>
      </c>
      <c r="F1093">
        <v>-14498657</v>
      </c>
      <c r="G1093">
        <v>76503703</v>
      </c>
      <c r="H1093">
        <v>-18667569</v>
      </c>
      <c r="I1093">
        <v>-164549045</v>
      </c>
      <c r="J1093">
        <v>-222115628</v>
      </c>
      <c r="K1093">
        <v>-12105885</v>
      </c>
      <c r="L1093">
        <v>-64574552</v>
      </c>
      <c r="M1093">
        <v>-52990317</v>
      </c>
      <c r="N1093">
        <v>-508725049</v>
      </c>
      <c r="O1093">
        <v>-288065228</v>
      </c>
      <c r="P1093">
        <v>90</v>
      </c>
      <c r="Q1093" t="s">
        <v>2233</v>
      </c>
    </row>
    <row r="1094" spans="1:17" x14ac:dyDescent="0.3">
      <c r="A1094" t="s">
        <v>32</v>
      </c>
      <c r="B1094" t="str">
        <f>"300840"</f>
        <v>300840</v>
      </c>
      <c r="C1094" t="s">
        <v>2234</v>
      </c>
      <c r="D1094" t="s">
        <v>130</v>
      </c>
      <c r="E1094">
        <v>18569029</v>
      </c>
      <c r="F1094">
        <v>-801418</v>
      </c>
      <c r="G1094">
        <v>-13438350</v>
      </c>
      <c r="P1094">
        <v>64</v>
      </c>
      <c r="Q1094" t="s">
        <v>2235</v>
      </c>
    </row>
    <row r="1095" spans="1:17" x14ac:dyDescent="0.3">
      <c r="A1095" t="s">
        <v>17</v>
      </c>
      <c r="B1095" t="str">
        <f>"600784"</f>
        <v>600784</v>
      </c>
      <c r="C1095" t="s">
        <v>2236</v>
      </c>
      <c r="D1095" t="s">
        <v>345</v>
      </c>
      <c r="E1095">
        <v>18478007</v>
      </c>
      <c r="F1095">
        <v>3344368</v>
      </c>
      <c r="G1095">
        <v>-9883212</v>
      </c>
      <c r="H1095">
        <v>-91770661</v>
      </c>
      <c r="I1095">
        <v>429752304</v>
      </c>
      <c r="J1095">
        <v>32918942</v>
      </c>
      <c r="K1095">
        <v>60397070</v>
      </c>
      <c r="L1095">
        <v>-1729650</v>
      </c>
      <c r="M1095">
        <v>-85213077</v>
      </c>
      <c r="N1095">
        <v>-421879724</v>
      </c>
      <c r="O1095">
        <v>23255388</v>
      </c>
      <c r="P1095">
        <v>75</v>
      </c>
      <c r="Q1095" t="s">
        <v>2237</v>
      </c>
    </row>
    <row r="1096" spans="1:17" x14ac:dyDescent="0.3">
      <c r="A1096" t="s">
        <v>17</v>
      </c>
      <c r="B1096" t="str">
        <f>"600290"</f>
        <v>600290</v>
      </c>
      <c r="C1096" t="s">
        <v>2238</v>
      </c>
      <c r="D1096" t="s">
        <v>464</v>
      </c>
      <c r="E1096">
        <v>18428022</v>
      </c>
      <c r="F1096">
        <v>-17018108</v>
      </c>
      <c r="G1096">
        <v>-117615271</v>
      </c>
      <c r="H1096">
        <v>137397021</v>
      </c>
      <c r="I1096">
        <v>-70301920</v>
      </c>
      <c r="J1096">
        <v>-70884712</v>
      </c>
      <c r="K1096">
        <v>-320011881</v>
      </c>
      <c r="L1096">
        <v>-138913920</v>
      </c>
      <c r="M1096">
        <v>-145888352</v>
      </c>
      <c r="N1096">
        <v>120864731</v>
      </c>
      <c r="O1096">
        <v>-51350887</v>
      </c>
      <c r="P1096">
        <v>68</v>
      </c>
      <c r="Q1096" t="s">
        <v>2239</v>
      </c>
    </row>
    <row r="1097" spans="1:17" x14ac:dyDescent="0.3">
      <c r="A1097" t="s">
        <v>17</v>
      </c>
      <c r="B1097" t="str">
        <f>"603227"</f>
        <v>603227</v>
      </c>
      <c r="C1097" t="s">
        <v>2240</v>
      </c>
      <c r="D1097" t="s">
        <v>144</v>
      </c>
      <c r="E1097">
        <v>18387057</v>
      </c>
      <c r="F1097">
        <v>-53621847</v>
      </c>
      <c r="G1097">
        <v>-79091654</v>
      </c>
      <c r="H1097">
        <v>-86945689</v>
      </c>
      <c r="I1097">
        <v>-99052031</v>
      </c>
      <c r="J1097">
        <v>-91787085</v>
      </c>
      <c r="K1097">
        <v>-84717654</v>
      </c>
      <c r="L1097">
        <v>-40066089</v>
      </c>
      <c r="M1097">
        <v>-109307551</v>
      </c>
      <c r="P1097">
        <v>80</v>
      </c>
      <c r="Q1097" t="s">
        <v>2241</v>
      </c>
    </row>
    <row r="1098" spans="1:17" x14ac:dyDescent="0.3">
      <c r="A1098" t="s">
        <v>32</v>
      </c>
      <c r="B1098" t="str">
        <f>"002848"</f>
        <v>002848</v>
      </c>
      <c r="C1098" t="s">
        <v>2242</v>
      </c>
      <c r="D1098" t="s">
        <v>127</v>
      </c>
      <c r="E1098">
        <v>18324204</v>
      </c>
      <c r="F1098">
        <v>-36464375</v>
      </c>
      <c r="G1098">
        <v>-9524170</v>
      </c>
      <c r="H1098">
        <v>-4026368</v>
      </c>
      <c r="I1098">
        <v>-49908950</v>
      </c>
      <c r="J1098">
        <v>-68353126</v>
      </c>
      <c r="K1098">
        <v>-90066199</v>
      </c>
      <c r="P1098">
        <v>189</v>
      </c>
      <c r="Q1098" t="s">
        <v>2243</v>
      </c>
    </row>
    <row r="1099" spans="1:17" x14ac:dyDescent="0.3">
      <c r="A1099" t="s">
        <v>17</v>
      </c>
      <c r="B1099" t="str">
        <f>"688569"</f>
        <v>688569</v>
      </c>
      <c r="C1099" t="s">
        <v>2244</v>
      </c>
      <c r="D1099" t="s">
        <v>135</v>
      </c>
      <c r="E1099">
        <v>18159811</v>
      </c>
      <c r="F1099">
        <v>-67981324</v>
      </c>
      <c r="G1099">
        <v>54495100</v>
      </c>
      <c r="H1099">
        <v>-27676500</v>
      </c>
      <c r="P1099">
        <v>31</v>
      </c>
      <c r="Q1099" t="s">
        <v>2245</v>
      </c>
    </row>
    <row r="1100" spans="1:17" x14ac:dyDescent="0.3">
      <c r="A1100" t="s">
        <v>32</v>
      </c>
      <c r="B1100" t="str">
        <f>"002799"</f>
        <v>002799</v>
      </c>
      <c r="C1100" t="s">
        <v>2246</v>
      </c>
      <c r="D1100" t="s">
        <v>455</v>
      </c>
      <c r="E1100">
        <v>18027888</v>
      </c>
      <c r="F1100">
        <v>-58851291</v>
      </c>
      <c r="G1100">
        <v>-67622624</v>
      </c>
      <c r="H1100">
        <v>9681614</v>
      </c>
      <c r="I1100">
        <v>30184329</v>
      </c>
      <c r="J1100">
        <v>-15788398</v>
      </c>
      <c r="K1100">
        <v>4527366</v>
      </c>
      <c r="P1100">
        <v>109</v>
      </c>
      <c r="Q1100" t="s">
        <v>2247</v>
      </c>
    </row>
    <row r="1101" spans="1:17" x14ac:dyDescent="0.3">
      <c r="A1101" t="s">
        <v>32</v>
      </c>
      <c r="B1101" t="str">
        <f>"002816"</f>
        <v>002816</v>
      </c>
      <c r="C1101" t="s">
        <v>2248</v>
      </c>
      <c r="D1101" t="s">
        <v>135</v>
      </c>
      <c r="E1101">
        <v>17955773</v>
      </c>
      <c r="F1101">
        <v>10673824</v>
      </c>
      <c r="G1101">
        <v>2230442</v>
      </c>
      <c r="H1101">
        <v>-5022832</v>
      </c>
      <c r="I1101">
        <v>-1153199</v>
      </c>
      <c r="J1101">
        <v>-13154248</v>
      </c>
      <c r="K1101">
        <v>-21689650</v>
      </c>
      <c r="P1101">
        <v>46</v>
      </c>
      <c r="Q1101" t="s">
        <v>2249</v>
      </c>
    </row>
    <row r="1102" spans="1:17" x14ac:dyDescent="0.3">
      <c r="A1102" t="s">
        <v>32</v>
      </c>
      <c r="B1102" t="str">
        <f>"002249"</f>
        <v>002249</v>
      </c>
      <c r="C1102" t="s">
        <v>2250</v>
      </c>
      <c r="D1102" t="s">
        <v>464</v>
      </c>
      <c r="E1102">
        <v>17621381</v>
      </c>
      <c r="F1102">
        <v>41045174</v>
      </c>
      <c r="G1102">
        <v>-176671825</v>
      </c>
      <c r="H1102">
        <v>181776100</v>
      </c>
      <c r="I1102">
        <v>-202760726</v>
      </c>
      <c r="J1102">
        <v>-215822627</v>
      </c>
      <c r="K1102">
        <v>-38616794</v>
      </c>
      <c r="L1102">
        <v>-190962084</v>
      </c>
      <c r="M1102">
        <v>-123608313</v>
      </c>
      <c r="N1102">
        <v>-30918264</v>
      </c>
      <c r="O1102">
        <v>-94005107</v>
      </c>
      <c r="P1102">
        <v>338</v>
      </c>
      <c r="Q1102" t="s">
        <v>2251</v>
      </c>
    </row>
    <row r="1103" spans="1:17" x14ac:dyDescent="0.3">
      <c r="A1103" t="s">
        <v>32</v>
      </c>
      <c r="B1103" t="str">
        <f>"300494"</f>
        <v>300494</v>
      </c>
      <c r="C1103" t="s">
        <v>2252</v>
      </c>
      <c r="D1103" t="s">
        <v>245</v>
      </c>
      <c r="E1103">
        <v>17357957</v>
      </c>
      <c r="F1103">
        <v>1409389</v>
      </c>
      <c r="G1103">
        <v>-16459685</v>
      </c>
      <c r="H1103">
        <v>-7581827</v>
      </c>
      <c r="I1103">
        <v>-47331058</v>
      </c>
      <c r="J1103">
        <v>-3372251</v>
      </c>
      <c r="K1103">
        <v>-6908760</v>
      </c>
      <c r="L1103">
        <v>20516402</v>
      </c>
      <c r="M1103">
        <v>22399541</v>
      </c>
      <c r="P1103">
        <v>134</v>
      </c>
      <c r="Q1103" t="s">
        <v>2253</v>
      </c>
    </row>
    <row r="1104" spans="1:17" x14ac:dyDescent="0.3">
      <c r="A1104" t="s">
        <v>32</v>
      </c>
      <c r="B1104" t="str">
        <f>"002817"</f>
        <v>002817</v>
      </c>
      <c r="C1104" t="s">
        <v>2254</v>
      </c>
      <c r="D1104" t="s">
        <v>98</v>
      </c>
      <c r="E1104">
        <v>17351064</v>
      </c>
      <c r="F1104">
        <v>-22332992</v>
      </c>
      <c r="G1104">
        <v>15889911</v>
      </c>
      <c r="H1104">
        <v>-925037</v>
      </c>
      <c r="I1104">
        <v>-10747507</v>
      </c>
      <c r="J1104">
        <v>-15500413</v>
      </c>
      <c r="K1104">
        <v>-8611160</v>
      </c>
      <c r="P1104">
        <v>126</v>
      </c>
      <c r="Q1104" t="s">
        <v>2255</v>
      </c>
    </row>
    <row r="1105" spans="1:17" x14ac:dyDescent="0.3">
      <c r="A1105" t="s">
        <v>32</v>
      </c>
      <c r="B1105" t="str">
        <f>"300403"</f>
        <v>300403</v>
      </c>
      <c r="C1105" t="s">
        <v>2256</v>
      </c>
      <c r="D1105" t="s">
        <v>127</v>
      </c>
      <c r="E1105">
        <v>17318083</v>
      </c>
      <c r="F1105">
        <v>6061193</v>
      </c>
      <c r="G1105">
        <v>1961984</v>
      </c>
      <c r="H1105">
        <v>17862014</v>
      </c>
      <c r="I1105">
        <v>-48475215</v>
      </c>
      <c r="J1105">
        <v>-1069267</v>
      </c>
      <c r="K1105">
        <v>36224404</v>
      </c>
      <c r="L1105">
        <v>20846107</v>
      </c>
      <c r="M1105">
        <v>-2629312</v>
      </c>
      <c r="P1105">
        <v>253</v>
      </c>
      <c r="Q1105" t="s">
        <v>2257</v>
      </c>
    </row>
    <row r="1106" spans="1:17" x14ac:dyDescent="0.3">
      <c r="A1106" t="s">
        <v>32</v>
      </c>
      <c r="B1106" t="str">
        <f>"002865"</f>
        <v>002865</v>
      </c>
      <c r="C1106" t="s">
        <v>2258</v>
      </c>
      <c r="D1106" t="s">
        <v>199</v>
      </c>
      <c r="E1106">
        <v>17310558</v>
      </c>
      <c r="F1106">
        <v>-83470023</v>
      </c>
      <c r="G1106">
        <v>-43362851</v>
      </c>
      <c r="H1106">
        <v>-97122819</v>
      </c>
      <c r="I1106">
        <v>-87268373</v>
      </c>
      <c r="J1106">
        <v>-9046822</v>
      </c>
      <c r="K1106">
        <v>17959525</v>
      </c>
      <c r="P1106">
        <v>111</v>
      </c>
      <c r="Q1106" t="s">
        <v>2259</v>
      </c>
    </row>
    <row r="1107" spans="1:17" x14ac:dyDescent="0.3">
      <c r="A1107" t="s">
        <v>32</v>
      </c>
      <c r="B1107" t="str">
        <f>"002570"</f>
        <v>002570</v>
      </c>
      <c r="C1107" t="s">
        <v>2260</v>
      </c>
      <c r="D1107" t="s">
        <v>172</v>
      </c>
      <c r="E1107">
        <v>17196055</v>
      </c>
      <c r="F1107">
        <v>-14544243</v>
      </c>
      <c r="G1107">
        <v>-18492310</v>
      </c>
      <c r="H1107">
        <v>-73378491</v>
      </c>
      <c r="I1107">
        <v>-23046603</v>
      </c>
      <c r="J1107">
        <v>109882161</v>
      </c>
      <c r="K1107">
        <v>-62316935</v>
      </c>
      <c r="L1107">
        <v>-337307693</v>
      </c>
      <c r="M1107">
        <v>-341252483</v>
      </c>
      <c r="N1107">
        <v>387184416</v>
      </c>
      <c r="O1107">
        <v>302520191</v>
      </c>
      <c r="P1107">
        <v>261</v>
      </c>
      <c r="Q1107" t="s">
        <v>2261</v>
      </c>
    </row>
    <row r="1108" spans="1:17" x14ac:dyDescent="0.3">
      <c r="A1108" t="s">
        <v>17</v>
      </c>
      <c r="B1108" t="str">
        <f>"600193"</f>
        <v>600193</v>
      </c>
      <c r="C1108" t="s">
        <v>2262</v>
      </c>
      <c r="D1108" t="s">
        <v>645</v>
      </c>
      <c r="E1108">
        <v>17111966</v>
      </c>
      <c r="F1108">
        <v>-4264608</v>
      </c>
      <c r="G1108">
        <v>-90050111</v>
      </c>
      <c r="H1108">
        <v>-54528050</v>
      </c>
      <c r="I1108">
        <v>-8935351</v>
      </c>
      <c r="J1108">
        <v>20635471</v>
      </c>
      <c r="K1108">
        <v>-14424478</v>
      </c>
      <c r="L1108">
        <v>-26609547</v>
      </c>
      <c r="M1108">
        <v>16467663</v>
      </c>
      <c r="N1108">
        <v>-30682130</v>
      </c>
      <c r="O1108">
        <v>-28506880</v>
      </c>
      <c r="P1108">
        <v>57</v>
      </c>
      <c r="Q1108" t="s">
        <v>2263</v>
      </c>
    </row>
    <row r="1109" spans="1:17" x14ac:dyDescent="0.3">
      <c r="A1109" t="s">
        <v>32</v>
      </c>
      <c r="B1109" t="str">
        <f>"000887"</f>
        <v>000887</v>
      </c>
      <c r="C1109" t="s">
        <v>2264</v>
      </c>
      <c r="D1109" t="s">
        <v>199</v>
      </c>
      <c r="E1109">
        <v>17096004</v>
      </c>
      <c r="F1109">
        <v>112701195</v>
      </c>
      <c r="G1109">
        <v>3657681</v>
      </c>
      <c r="H1109">
        <v>-23121972</v>
      </c>
      <c r="I1109">
        <v>-75783226</v>
      </c>
      <c r="J1109">
        <v>16286319</v>
      </c>
      <c r="K1109">
        <v>33613813</v>
      </c>
      <c r="L1109">
        <v>28228402</v>
      </c>
      <c r="M1109">
        <v>52348815</v>
      </c>
      <c r="N1109">
        <v>-183971105</v>
      </c>
      <c r="O1109">
        <v>-10730983</v>
      </c>
      <c r="P1109">
        <v>7119</v>
      </c>
      <c r="Q1109" t="s">
        <v>2265</v>
      </c>
    </row>
    <row r="1110" spans="1:17" x14ac:dyDescent="0.3">
      <c r="A1110" t="s">
        <v>32</v>
      </c>
      <c r="B1110" t="str">
        <f>"300686"</f>
        <v>300686</v>
      </c>
      <c r="C1110" t="s">
        <v>2266</v>
      </c>
      <c r="D1110" t="s">
        <v>124</v>
      </c>
      <c r="E1110">
        <v>17071328</v>
      </c>
      <c r="F1110">
        <v>58146632</v>
      </c>
      <c r="G1110">
        <v>92855746</v>
      </c>
      <c r="H1110">
        <v>-48035</v>
      </c>
      <c r="I1110">
        <v>-37443043</v>
      </c>
      <c r="J1110">
        <v>3102512</v>
      </c>
      <c r="K1110">
        <v>-23526976</v>
      </c>
      <c r="P1110">
        <v>192</v>
      </c>
      <c r="Q1110" t="s">
        <v>2267</v>
      </c>
    </row>
    <row r="1111" spans="1:17" x14ac:dyDescent="0.3">
      <c r="A1111" t="s">
        <v>17</v>
      </c>
      <c r="B1111" t="str">
        <f>"688117"</f>
        <v>688117</v>
      </c>
      <c r="C1111" t="s">
        <v>2268</v>
      </c>
      <c r="D1111" t="s">
        <v>98</v>
      </c>
      <c r="E1111">
        <v>17015345</v>
      </c>
      <c r="F1111">
        <v>7259129</v>
      </c>
      <c r="G1111">
        <v>20672030</v>
      </c>
      <c r="P1111">
        <v>29</v>
      </c>
      <c r="Q1111" t="s">
        <v>2269</v>
      </c>
    </row>
    <row r="1112" spans="1:17" x14ac:dyDescent="0.3">
      <c r="A1112" t="s">
        <v>32</v>
      </c>
      <c r="B1112" t="str">
        <f>"300049"</f>
        <v>300049</v>
      </c>
      <c r="C1112" t="s">
        <v>2270</v>
      </c>
      <c r="D1112" t="s">
        <v>98</v>
      </c>
      <c r="E1112">
        <v>17010480</v>
      </c>
      <c r="F1112">
        <v>25985812</v>
      </c>
      <c r="G1112">
        <v>56105372</v>
      </c>
      <c r="H1112">
        <v>32618383</v>
      </c>
      <c r="I1112">
        <v>-6659346</v>
      </c>
      <c r="J1112">
        <v>-6065202</v>
      </c>
      <c r="K1112">
        <v>24862297</v>
      </c>
      <c r="L1112">
        <v>-1841178</v>
      </c>
      <c r="M1112">
        <v>-7966628</v>
      </c>
      <c r="N1112">
        <v>-39363822</v>
      </c>
      <c r="O1112">
        <v>30358323</v>
      </c>
      <c r="P1112">
        <v>145</v>
      </c>
      <c r="Q1112" t="s">
        <v>2271</v>
      </c>
    </row>
    <row r="1113" spans="1:17" x14ac:dyDescent="0.3">
      <c r="A1113" t="s">
        <v>32</v>
      </c>
      <c r="B1113" t="str">
        <f>"002263"</f>
        <v>002263</v>
      </c>
      <c r="C1113" t="s">
        <v>2272</v>
      </c>
      <c r="D1113" t="s">
        <v>144</v>
      </c>
      <c r="E1113">
        <v>16969308</v>
      </c>
      <c r="F1113">
        <v>-7435183</v>
      </c>
      <c r="G1113">
        <v>-11291004</v>
      </c>
      <c r="H1113">
        <v>59681837</v>
      </c>
      <c r="I1113">
        <v>-30793791</v>
      </c>
      <c r="J1113">
        <v>-44482130</v>
      </c>
      <c r="K1113">
        <v>-42164093</v>
      </c>
      <c r="L1113">
        <v>48446469</v>
      </c>
      <c r="M1113">
        <v>-100605714</v>
      </c>
      <c r="N1113">
        <v>-121843806</v>
      </c>
      <c r="O1113">
        <v>-155252113</v>
      </c>
      <c r="P1113">
        <v>126</v>
      </c>
      <c r="Q1113" t="s">
        <v>2273</v>
      </c>
    </row>
    <row r="1114" spans="1:17" x14ac:dyDescent="0.3">
      <c r="A1114" t="s">
        <v>32</v>
      </c>
      <c r="B1114" t="str">
        <f>"002374"</f>
        <v>002374</v>
      </c>
      <c r="C1114" t="s">
        <v>2274</v>
      </c>
      <c r="D1114" t="s">
        <v>455</v>
      </c>
      <c r="E1114">
        <v>16942910</v>
      </c>
      <c r="F1114">
        <v>183387234</v>
      </c>
      <c r="G1114">
        <v>-63184851</v>
      </c>
      <c r="H1114">
        <v>-38037279</v>
      </c>
      <c r="I1114">
        <v>-276990760</v>
      </c>
      <c r="J1114">
        <v>-178935395</v>
      </c>
      <c r="K1114">
        <v>-166416176</v>
      </c>
      <c r="L1114">
        <v>-23255529</v>
      </c>
      <c r="M1114">
        <v>-10075535</v>
      </c>
      <c r="N1114">
        <v>-42180139</v>
      </c>
      <c r="O1114">
        <v>-5850102</v>
      </c>
      <c r="P1114">
        <v>92</v>
      </c>
      <c r="Q1114" t="s">
        <v>2275</v>
      </c>
    </row>
    <row r="1115" spans="1:17" x14ac:dyDescent="0.3">
      <c r="A1115" t="s">
        <v>32</v>
      </c>
      <c r="B1115" t="str">
        <f>"300200"</f>
        <v>300200</v>
      </c>
      <c r="C1115" t="s">
        <v>2276</v>
      </c>
      <c r="D1115" t="s">
        <v>144</v>
      </c>
      <c r="E1115">
        <v>16828211</v>
      </c>
      <c r="F1115">
        <v>29766598</v>
      </c>
      <c r="G1115">
        <v>30880056</v>
      </c>
      <c r="H1115">
        <v>66738837</v>
      </c>
      <c r="I1115">
        <v>6882947</v>
      </c>
      <c r="J1115">
        <v>-21426930</v>
      </c>
      <c r="K1115">
        <v>9458094</v>
      </c>
      <c r="L1115">
        <v>-8317365</v>
      </c>
      <c r="M1115">
        <v>-11516956</v>
      </c>
      <c r="N1115">
        <v>-26345704</v>
      </c>
      <c r="O1115">
        <v>-25902483</v>
      </c>
      <c r="P1115">
        <v>160</v>
      </c>
      <c r="Q1115" t="s">
        <v>2277</v>
      </c>
    </row>
    <row r="1116" spans="1:17" x14ac:dyDescent="0.3">
      <c r="A1116" t="s">
        <v>32</v>
      </c>
      <c r="B1116" t="str">
        <f>"002547"</f>
        <v>002547</v>
      </c>
      <c r="C1116" t="s">
        <v>2278</v>
      </c>
      <c r="D1116" t="s">
        <v>124</v>
      </c>
      <c r="E1116">
        <v>16811023</v>
      </c>
      <c r="F1116">
        <v>26739408</v>
      </c>
      <c r="G1116">
        <v>-54554793</v>
      </c>
      <c r="H1116">
        <v>-8979954</v>
      </c>
      <c r="I1116">
        <v>-35623178</v>
      </c>
      <c r="J1116">
        <v>-431752311</v>
      </c>
      <c r="K1116">
        <v>-57947270</v>
      </c>
      <c r="L1116">
        <v>-88616828</v>
      </c>
      <c r="M1116">
        <v>-60844216</v>
      </c>
      <c r="N1116">
        <v>-88830828</v>
      </c>
      <c r="O1116">
        <v>-42857681</v>
      </c>
      <c r="P1116">
        <v>306</v>
      </c>
      <c r="Q1116" t="s">
        <v>2279</v>
      </c>
    </row>
    <row r="1117" spans="1:17" x14ac:dyDescent="0.3">
      <c r="A1117" t="s">
        <v>17</v>
      </c>
      <c r="B1117" t="str">
        <f>"688182"</f>
        <v>688182</v>
      </c>
      <c r="C1117" t="s">
        <v>2280</v>
      </c>
      <c r="D1117" t="s">
        <v>57</v>
      </c>
      <c r="E1117">
        <v>16718246</v>
      </c>
      <c r="F1117">
        <v>-31213074</v>
      </c>
      <c r="G1117">
        <v>99926522</v>
      </c>
      <c r="P1117">
        <v>17</v>
      </c>
      <c r="Q1117" t="s">
        <v>2281</v>
      </c>
    </row>
    <row r="1118" spans="1:17" x14ac:dyDescent="0.3">
      <c r="A1118" t="s">
        <v>32</v>
      </c>
      <c r="B1118" t="str">
        <f>"002144"</f>
        <v>002144</v>
      </c>
      <c r="C1118" t="s">
        <v>2282</v>
      </c>
      <c r="D1118" t="s">
        <v>130</v>
      </c>
      <c r="E1118">
        <v>16646622</v>
      </c>
      <c r="F1118">
        <v>4576139</v>
      </c>
      <c r="G1118">
        <v>2228503</v>
      </c>
      <c r="H1118">
        <v>3773267</v>
      </c>
      <c r="I1118">
        <v>-39700710</v>
      </c>
      <c r="J1118">
        <v>19107498</v>
      </c>
      <c r="K1118">
        <v>18582233</v>
      </c>
      <c r="L1118">
        <v>4161535</v>
      </c>
      <c r="M1118">
        <v>-12927707</v>
      </c>
      <c r="N1118">
        <v>-11966752</v>
      </c>
      <c r="O1118">
        <v>28896065</v>
      </c>
      <c r="P1118">
        <v>115</v>
      </c>
      <c r="Q1118" t="s">
        <v>2283</v>
      </c>
    </row>
    <row r="1119" spans="1:17" x14ac:dyDescent="0.3">
      <c r="A1119" t="s">
        <v>17</v>
      </c>
      <c r="B1119" t="str">
        <f>"600689"</f>
        <v>600689</v>
      </c>
      <c r="C1119" t="s">
        <v>2284</v>
      </c>
      <c r="D1119" t="s">
        <v>130</v>
      </c>
      <c r="E1119">
        <v>16561415</v>
      </c>
      <c r="F1119">
        <v>20234092</v>
      </c>
      <c r="G1119">
        <v>19219676</v>
      </c>
      <c r="H1119">
        <v>-39971666</v>
      </c>
      <c r="I1119">
        <v>-48781681</v>
      </c>
      <c r="J1119">
        <v>547470</v>
      </c>
      <c r="K1119">
        <v>46881626</v>
      </c>
      <c r="L1119">
        <v>3576907</v>
      </c>
      <c r="M1119">
        <v>-13835929</v>
      </c>
      <c r="N1119">
        <v>-110806416</v>
      </c>
      <c r="O1119">
        <v>-115615385</v>
      </c>
      <c r="P1119">
        <v>74</v>
      </c>
      <c r="Q1119" t="s">
        <v>2285</v>
      </c>
    </row>
    <row r="1120" spans="1:17" x14ac:dyDescent="0.3">
      <c r="A1120" t="s">
        <v>17</v>
      </c>
      <c r="B1120" t="str">
        <f>"603085"</f>
        <v>603085</v>
      </c>
      <c r="C1120" t="s">
        <v>2286</v>
      </c>
      <c r="D1120" t="s">
        <v>199</v>
      </c>
      <c r="E1120">
        <v>16556951</v>
      </c>
      <c r="F1120">
        <v>-20009025</v>
      </c>
      <c r="G1120">
        <v>-80611274</v>
      </c>
      <c r="H1120">
        <v>-26807028</v>
      </c>
      <c r="I1120">
        <v>-121229963</v>
      </c>
      <c r="J1120">
        <v>-59650999</v>
      </c>
      <c r="K1120">
        <v>-21512149</v>
      </c>
      <c r="L1120">
        <v>-5107231</v>
      </c>
      <c r="P1120">
        <v>81</v>
      </c>
      <c r="Q1120" t="s">
        <v>2287</v>
      </c>
    </row>
    <row r="1121" spans="1:17" x14ac:dyDescent="0.3">
      <c r="A1121" t="s">
        <v>17</v>
      </c>
      <c r="B1121" t="str">
        <f>"603626"</f>
        <v>603626</v>
      </c>
      <c r="C1121" t="s">
        <v>2288</v>
      </c>
      <c r="D1121" t="s">
        <v>124</v>
      </c>
      <c r="E1121">
        <v>16504944</v>
      </c>
      <c r="F1121">
        <v>-237192724</v>
      </c>
      <c r="G1121">
        <v>-65048748</v>
      </c>
      <c r="H1121">
        <v>-44978728</v>
      </c>
      <c r="I1121">
        <v>-236035333</v>
      </c>
      <c r="J1121">
        <v>-175339698</v>
      </c>
      <c r="K1121">
        <v>78009302</v>
      </c>
      <c r="P1121">
        <v>173</v>
      </c>
      <c r="Q1121" t="s">
        <v>2289</v>
      </c>
    </row>
    <row r="1122" spans="1:17" x14ac:dyDescent="0.3">
      <c r="A1122" t="s">
        <v>32</v>
      </c>
      <c r="B1122" t="str">
        <f>"300270"</f>
        <v>300270</v>
      </c>
      <c r="C1122" t="s">
        <v>2290</v>
      </c>
      <c r="D1122" t="s">
        <v>342</v>
      </c>
      <c r="E1122">
        <v>16279648</v>
      </c>
      <c r="F1122">
        <v>1063790</v>
      </c>
      <c r="G1122">
        <v>35655263</v>
      </c>
      <c r="H1122">
        <v>-44291297</v>
      </c>
      <c r="I1122">
        <v>-91004511</v>
      </c>
      <c r="J1122">
        <v>-81019577</v>
      </c>
      <c r="K1122">
        <v>-33714405</v>
      </c>
      <c r="L1122">
        <v>-15779049</v>
      </c>
      <c r="M1122">
        <v>-21020058</v>
      </c>
      <c r="N1122">
        <v>-4247041</v>
      </c>
      <c r="O1122">
        <v>-21272729</v>
      </c>
      <c r="P1122">
        <v>136</v>
      </c>
      <c r="Q1122" t="s">
        <v>2291</v>
      </c>
    </row>
    <row r="1123" spans="1:17" x14ac:dyDescent="0.3">
      <c r="A1123" t="s">
        <v>17</v>
      </c>
      <c r="B1123" t="str">
        <f>"600844"</f>
        <v>600844</v>
      </c>
      <c r="C1123" t="s">
        <v>2292</v>
      </c>
      <c r="D1123" t="s">
        <v>144</v>
      </c>
      <c r="E1123">
        <v>16264523</v>
      </c>
      <c r="F1123">
        <v>-13857094</v>
      </c>
      <c r="G1123">
        <v>67987457</v>
      </c>
      <c r="H1123">
        <v>-43294029</v>
      </c>
      <c r="I1123">
        <v>59932440</v>
      </c>
      <c r="J1123">
        <v>64498534</v>
      </c>
      <c r="K1123">
        <v>-67520316</v>
      </c>
      <c r="L1123">
        <v>-10234427</v>
      </c>
      <c r="M1123">
        <v>80461135</v>
      </c>
      <c r="N1123">
        <v>-58468298</v>
      </c>
      <c r="O1123">
        <v>313137711</v>
      </c>
      <c r="P1123">
        <v>106</v>
      </c>
      <c r="Q1123" t="s">
        <v>2293</v>
      </c>
    </row>
    <row r="1124" spans="1:17" x14ac:dyDescent="0.3">
      <c r="A1124" t="s">
        <v>32</v>
      </c>
      <c r="B1124" t="str">
        <f>"301216"</f>
        <v>301216</v>
      </c>
      <c r="C1124" t="s">
        <v>2294</v>
      </c>
      <c r="E1124">
        <v>16257490</v>
      </c>
      <c r="P1124">
        <v>6</v>
      </c>
      <c r="Q1124" t="s">
        <v>2295</v>
      </c>
    </row>
    <row r="1125" spans="1:17" x14ac:dyDescent="0.3">
      <c r="A1125" t="s">
        <v>17</v>
      </c>
      <c r="B1125" t="str">
        <f>"600488"</f>
        <v>600488</v>
      </c>
      <c r="C1125" t="s">
        <v>2296</v>
      </c>
      <c r="D1125" t="s">
        <v>98</v>
      </c>
      <c r="E1125">
        <v>16178939</v>
      </c>
      <c r="F1125">
        <v>15741861</v>
      </c>
      <c r="G1125">
        <v>-29747980</v>
      </c>
      <c r="H1125">
        <v>94005965</v>
      </c>
      <c r="I1125">
        <v>117837665</v>
      </c>
      <c r="J1125">
        <v>21118789</v>
      </c>
      <c r="K1125">
        <v>-44722695</v>
      </c>
      <c r="L1125">
        <v>34188075</v>
      </c>
      <c r="M1125">
        <v>40267138</v>
      </c>
      <c r="N1125">
        <v>-26418918</v>
      </c>
      <c r="O1125">
        <v>-17873906</v>
      </c>
      <c r="P1125">
        <v>98</v>
      </c>
      <c r="Q1125" t="s">
        <v>2297</v>
      </c>
    </row>
    <row r="1126" spans="1:17" x14ac:dyDescent="0.3">
      <c r="A1126" t="s">
        <v>17</v>
      </c>
      <c r="B1126" t="str">
        <f>"603896"</f>
        <v>603896</v>
      </c>
      <c r="C1126" t="s">
        <v>2298</v>
      </c>
      <c r="D1126" t="s">
        <v>98</v>
      </c>
      <c r="E1126">
        <v>16164252</v>
      </c>
      <c r="F1126">
        <v>28475678</v>
      </c>
      <c r="G1126">
        <v>27714222</v>
      </c>
      <c r="H1126">
        <v>47927152</v>
      </c>
      <c r="I1126">
        <v>6574902</v>
      </c>
      <c r="J1126">
        <v>26883802</v>
      </c>
      <c r="K1126">
        <v>17860411</v>
      </c>
      <c r="P1126">
        <v>232</v>
      </c>
      <c r="Q1126" t="s">
        <v>2299</v>
      </c>
    </row>
    <row r="1127" spans="1:17" x14ac:dyDescent="0.3">
      <c r="A1127" t="s">
        <v>32</v>
      </c>
      <c r="B1127" t="str">
        <f>"002293"</f>
        <v>002293</v>
      </c>
      <c r="C1127" t="s">
        <v>2300</v>
      </c>
      <c r="D1127" t="s">
        <v>130</v>
      </c>
      <c r="E1127">
        <v>16087765</v>
      </c>
      <c r="F1127">
        <v>-16175089</v>
      </c>
      <c r="G1127">
        <v>-154933120</v>
      </c>
      <c r="H1127">
        <v>56280470</v>
      </c>
      <c r="I1127">
        <v>-39658040</v>
      </c>
      <c r="J1127">
        <v>79021075</v>
      </c>
      <c r="K1127">
        <v>67640100</v>
      </c>
      <c r="L1127">
        <v>129031424</v>
      </c>
      <c r="M1127">
        <v>153510706</v>
      </c>
      <c r="N1127">
        <v>27786125</v>
      </c>
      <c r="O1127">
        <v>7067951</v>
      </c>
      <c r="P1127">
        <v>4959</v>
      </c>
      <c r="Q1127" t="s">
        <v>2301</v>
      </c>
    </row>
    <row r="1128" spans="1:17" x14ac:dyDescent="0.3">
      <c r="A1128" t="s">
        <v>32</v>
      </c>
      <c r="B1128" t="str">
        <f>"300408"</f>
        <v>300408</v>
      </c>
      <c r="C1128" t="s">
        <v>2302</v>
      </c>
      <c r="D1128" t="s">
        <v>124</v>
      </c>
      <c r="E1128">
        <v>16059916</v>
      </c>
      <c r="F1128">
        <v>-131227898</v>
      </c>
      <c r="G1128">
        <v>152158275</v>
      </c>
      <c r="H1128">
        <v>573193654</v>
      </c>
      <c r="I1128">
        <v>99609702</v>
      </c>
      <c r="J1128">
        <v>297285235</v>
      </c>
      <c r="K1128">
        <v>311831910</v>
      </c>
      <c r="L1128">
        <v>51508290</v>
      </c>
      <c r="M1128">
        <v>176917003</v>
      </c>
      <c r="P1128">
        <v>1510</v>
      </c>
      <c r="Q1128" t="s">
        <v>2303</v>
      </c>
    </row>
    <row r="1129" spans="1:17" x14ac:dyDescent="0.3">
      <c r="A1129" t="s">
        <v>17</v>
      </c>
      <c r="B1129" t="str">
        <f>"601038"</f>
        <v>601038</v>
      </c>
      <c r="C1129" t="s">
        <v>2304</v>
      </c>
      <c r="D1129" t="s">
        <v>135</v>
      </c>
      <c r="E1129">
        <v>16001481</v>
      </c>
      <c r="F1129">
        <v>154150909</v>
      </c>
      <c r="G1129">
        <v>-79039266</v>
      </c>
      <c r="H1129">
        <v>165107313</v>
      </c>
      <c r="I1129">
        <v>-709504096</v>
      </c>
      <c r="J1129">
        <v>-370355044</v>
      </c>
      <c r="K1129">
        <v>215383352</v>
      </c>
      <c r="L1129">
        <v>-375485424</v>
      </c>
      <c r="M1129">
        <v>-530745541</v>
      </c>
      <c r="N1129">
        <v>-459756223</v>
      </c>
      <c r="O1129">
        <v>-334367929</v>
      </c>
      <c r="P1129">
        <v>179</v>
      </c>
      <c r="Q1129" t="s">
        <v>2305</v>
      </c>
    </row>
    <row r="1130" spans="1:17" x14ac:dyDescent="0.3">
      <c r="A1130" t="s">
        <v>32</v>
      </c>
      <c r="B1130" t="str">
        <f>"002836"</f>
        <v>002836</v>
      </c>
      <c r="C1130" t="s">
        <v>2306</v>
      </c>
      <c r="D1130" t="s">
        <v>455</v>
      </c>
      <c r="E1130">
        <v>15953893</v>
      </c>
      <c r="F1130">
        <v>5942924</v>
      </c>
      <c r="G1130">
        <v>7304899</v>
      </c>
      <c r="H1130">
        <v>-8118852</v>
      </c>
      <c r="I1130">
        <v>11057840</v>
      </c>
      <c r="J1130">
        <v>-31519668</v>
      </c>
      <c r="K1130">
        <v>16212502</v>
      </c>
      <c r="P1130">
        <v>63</v>
      </c>
      <c r="Q1130" t="s">
        <v>2307</v>
      </c>
    </row>
    <row r="1131" spans="1:17" x14ac:dyDescent="0.3">
      <c r="A1131" t="s">
        <v>17</v>
      </c>
      <c r="B1131" t="str">
        <f>"600851"</f>
        <v>600851</v>
      </c>
      <c r="C1131" t="s">
        <v>2308</v>
      </c>
      <c r="D1131" t="s">
        <v>98</v>
      </c>
      <c r="E1131">
        <v>15944847</v>
      </c>
      <c r="F1131">
        <v>29538191</v>
      </c>
      <c r="G1131">
        <v>-21817837</v>
      </c>
      <c r="H1131">
        <v>-32889050</v>
      </c>
      <c r="I1131">
        <v>-40615391</v>
      </c>
      <c r="J1131">
        <v>-61276081</v>
      </c>
      <c r="K1131">
        <v>-52878888</v>
      </c>
      <c r="L1131">
        <v>-60685821</v>
      </c>
      <c r="M1131">
        <v>-55923204</v>
      </c>
      <c r="N1131">
        <v>-43391448</v>
      </c>
      <c r="O1131">
        <v>-37656120</v>
      </c>
      <c r="P1131">
        <v>98</v>
      </c>
      <c r="Q1131" t="s">
        <v>2309</v>
      </c>
    </row>
    <row r="1132" spans="1:17" x14ac:dyDescent="0.3">
      <c r="A1132" t="s">
        <v>17</v>
      </c>
      <c r="B1132" t="str">
        <f>"603416"</f>
        <v>603416</v>
      </c>
      <c r="C1132" t="s">
        <v>2310</v>
      </c>
      <c r="D1132" t="s">
        <v>135</v>
      </c>
      <c r="E1132">
        <v>15910133</v>
      </c>
      <c r="F1132">
        <v>-51273252</v>
      </c>
      <c r="G1132">
        <v>5904153</v>
      </c>
      <c r="H1132">
        <v>18812177</v>
      </c>
      <c r="I1132">
        <v>-15341453</v>
      </c>
      <c r="J1132">
        <v>-30448060</v>
      </c>
      <c r="K1132">
        <v>1969085</v>
      </c>
      <c r="P1132">
        <v>325</v>
      </c>
      <c r="Q1132" t="s">
        <v>2311</v>
      </c>
    </row>
    <row r="1133" spans="1:17" x14ac:dyDescent="0.3">
      <c r="A1133" t="s">
        <v>32</v>
      </c>
      <c r="B1133" t="str">
        <f>"000757"</f>
        <v>000757</v>
      </c>
      <c r="C1133" t="s">
        <v>2312</v>
      </c>
      <c r="D1133" t="s">
        <v>199</v>
      </c>
      <c r="E1133">
        <v>15863959</v>
      </c>
      <c r="F1133">
        <v>-66298889</v>
      </c>
      <c r="G1133">
        <v>-35563079</v>
      </c>
      <c r="H1133">
        <v>42433903</v>
      </c>
      <c r="I1133">
        <v>-53666911</v>
      </c>
      <c r="J1133">
        <v>-7589131</v>
      </c>
      <c r="K1133">
        <v>-16614618</v>
      </c>
      <c r="L1133">
        <v>-15590943</v>
      </c>
      <c r="M1133">
        <v>-11928315</v>
      </c>
      <c r="N1133">
        <v>-11741739</v>
      </c>
      <c r="O1133">
        <v>3006315</v>
      </c>
      <c r="P1133">
        <v>88</v>
      </c>
      <c r="Q1133" t="s">
        <v>2313</v>
      </c>
    </row>
    <row r="1134" spans="1:17" x14ac:dyDescent="0.3">
      <c r="A1134" t="s">
        <v>32</v>
      </c>
      <c r="B1134" t="str">
        <f>"301120"</f>
        <v>301120</v>
      </c>
      <c r="C1134" t="s">
        <v>2314</v>
      </c>
      <c r="E1134">
        <v>15824392</v>
      </c>
      <c r="F1134">
        <v>1448395</v>
      </c>
      <c r="P1134">
        <v>7</v>
      </c>
      <c r="Q1134" t="s">
        <v>2315</v>
      </c>
    </row>
    <row r="1135" spans="1:17" x14ac:dyDescent="0.3">
      <c r="A1135" t="s">
        <v>32</v>
      </c>
      <c r="B1135" t="str">
        <f>"300206"</f>
        <v>300206</v>
      </c>
      <c r="C1135" t="s">
        <v>2316</v>
      </c>
      <c r="D1135" t="s">
        <v>98</v>
      </c>
      <c r="E1135">
        <v>15625076</v>
      </c>
      <c r="F1135">
        <v>61721736</v>
      </c>
      <c r="G1135">
        <v>70544856</v>
      </c>
      <c r="H1135">
        <v>42719544</v>
      </c>
      <c r="I1135">
        <v>34424316</v>
      </c>
      <c r="J1135">
        <v>36850837</v>
      </c>
      <c r="K1135">
        <v>-35399891</v>
      </c>
      <c r="L1135">
        <v>-56828380</v>
      </c>
      <c r="M1135">
        <v>-19781312</v>
      </c>
      <c r="N1135">
        <v>-11619195</v>
      </c>
      <c r="O1135">
        <v>24185542</v>
      </c>
      <c r="P1135">
        <v>428</v>
      </c>
      <c r="Q1135" t="s">
        <v>2317</v>
      </c>
    </row>
    <row r="1136" spans="1:17" x14ac:dyDescent="0.3">
      <c r="A1136" t="s">
        <v>32</v>
      </c>
      <c r="B1136" t="str">
        <f>"300275"</f>
        <v>300275</v>
      </c>
      <c r="C1136" t="s">
        <v>2318</v>
      </c>
      <c r="D1136" t="s">
        <v>135</v>
      </c>
      <c r="E1136">
        <v>15568058</v>
      </c>
      <c r="F1136">
        <v>-9563091</v>
      </c>
      <c r="G1136">
        <v>-801701</v>
      </c>
      <c r="H1136">
        <v>9733744</v>
      </c>
      <c r="I1136">
        <v>-697250</v>
      </c>
      <c r="J1136">
        <v>8980719</v>
      </c>
      <c r="K1136">
        <v>-8848124</v>
      </c>
      <c r="L1136">
        <v>-59194746</v>
      </c>
      <c r="M1136">
        <v>-25630094</v>
      </c>
      <c r="N1136">
        <v>-24857783</v>
      </c>
      <c r="O1136">
        <v>-19999446</v>
      </c>
      <c r="P1136">
        <v>89</v>
      </c>
      <c r="Q1136" t="s">
        <v>2319</v>
      </c>
    </row>
    <row r="1137" spans="1:17" x14ac:dyDescent="0.3">
      <c r="A1137" t="s">
        <v>32</v>
      </c>
      <c r="B1137" t="str">
        <f>"002553"</f>
        <v>002553</v>
      </c>
      <c r="C1137" t="s">
        <v>2320</v>
      </c>
      <c r="D1137" t="s">
        <v>199</v>
      </c>
      <c r="E1137">
        <v>15495231</v>
      </c>
      <c r="F1137">
        <v>13252792</v>
      </c>
      <c r="G1137">
        <v>9333660</v>
      </c>
      <c r="H1137">
        <v>4030401</v>
      </c>
      <c r="I1137">
        <v>1683739</v>
      </c>
      <c r="J1137">
        <v>11659263</v>
      </c>
      <c r="K1137">
        <v>15638016</v>
      </c>
      <c r="L1137">
        <v>9601745</v>
      </c>
      <c r="M1137">
        <v>6671556</v>
      </c>
      <c r="N1137">
        <v>15262140</v>
      </c>
      <c r="O1137">
        <v>15244761</v>
      </c>
      <c r="P1137">
        <v>140</v>
      </c>
      <c r="Q1137" t="s">
        <v>2321</v>
      </c>
    </row>
    <row r="1138" spans="1:17" x14ac:dyDescent="0.3">
      <c r="A1138" t="s">
        <v>32</v>
      </c>
      <c r="B1138" t="str">
        <f>"300485"</f>
        <v>300485</v>
      </c>
      <c r="C1138" t="s">
        <v>2322</v>
      </c>
      <c r="D1138" t="s">
        <v>98</v>
      </c>
      <c r="E1138">
        <v>15363047</v>
      </c>
      <c r="F1138">
        <v>20885517</v>
      </c>
      <c r="G1138">
        <v>21100596</v>
      </c>
      <c r="H1138">
        <v>-22436277</v>
      </c>
      <c r="I1138">
        <v>6948029</v>
      </c>
      <c r="J1138">
        <v>-48487247</v>
      </c>
      <c r="K1138">
        <v>15118855</v>
      </c>
      <c r="L1138">
        <v>-10088400</v>
      </c>
      <c r="M1138">
        <v>18468500</v>
      </c>
      <c r="P1138">
        <v>196</v>
      </c>
      <c r="Q1138" t="s">
        <v>2323</v>
      </c>
    </row>
    <row r="1139" spans="1:17" x14ac:dyDescent="0.3">
      <c r="A1139" t="s">
        <v>32</v>
      </c>
      <c r="B1139" t="str">
        <f>"000428"</f>
        <v>000428</v>
      </c>
      <c r="C1139" t="s">
        <v>2324</v>
      </c>
      <c r="D1139" t="s">
        <v>497</v>
      </c>
      <c r="E1139">
        <v>15350686</v>
      </c>
      <c r="F1139">
        <v>-62377316</v>
      </c>
      <c r="G1139">
        <v>-63123066</v>
      </c>
      <c r="H1139">
        <v>-42140603</v>
      </c>
      <c r="I1139">
        <v>-95230731</v>
      </c>
      <c r="J1139">
        <v>23425536</v>
      </c>
      <c r="K1139">
        <v>-157382652</v>
      </c>
      <c r="L1139">
        <v>-250140976</v>
      </c>
      <c r="M1139">
        <v>-157324602</v>
      </c>
      <c r="N1139">
        <v>-373878841</v>
      </c>
      <c r="O1139">
        <v>-168316200</v>
      </c>
      <c r="P1139">
        <v>104</v>
      </c>
      <c r="Q1139" t="s">
        <v>2325</v>
      </c>
    </row>
    <row r="1140" spans="1:17" x14ac:dyDescent="0.3">
      <c r="A1140" t="s">
        <v>32</v>
      </c>
      <c r="B1140" t="str">
        <f>"300169"</f>
        <v>300169</v>
      </c>
      <c r="C1140" t="s">
        <v>2326</v>
      </c>
      <c r="D1140" t="s">
        <v>144</v>
      </c>
      <c r="E1140">
        <v>15339813</v>
      </c>
      <c r="F1140">
        <v>31818873</v>
      </c>
      <c r="G1140">
        <v>-67247537</v>
      </c>
      <c r="H1140">
        <v>-31594711</v>
      </c>
      <c r="I1140">
        <v>-92655193</v>
      </c>
      <c r="J1140">
        <v>-94800040</v>
      </c>
      <c r="K1140">
        <v>-29683210</v>
      </c>
      <c r="L1140">
        <v>-69429180</v>
      </c>
      <c r="M1140">
        <v>-34043820</v>
      </c>
      <c r="N1140">
        <v>-43533609</v>
      </c>
      <c r="O1140">
        <v>-75777871</v>
      </c>
      <c r="P1140">
        <v>68</v>
      </c>
      <c r="Q1140" t="s">
        <v>2327</v>
      </c>
    </row>
    <row r="1141" spans="1:17" x14ac:dyDescent="0.3">
      <c r="A1141" t="s">
        <v>32</v>
      </c>
      <c r="B1141" t="str">
        <f>"002206"</f>
        <v>002206</v>
      </c>
      <c r="C1141" t="s">
        <v>2328</v>
      </c>
      <c r="D1141" t="s">
        <v>144</v>
      </c>
      <c r="E1141">
        <v>15324276</v>
      </c>
      <c r="F1141">
        <v>-9156634</v>
      </c>
      <c r="G1141">
        <v>-353122017</v>
      </c>
      <c r="H1141">
        <v>-27211629</v>
      </c>
      <c r="I1141">
        <v>-49273386</v>
      </c>
      <c r="J1141">
        <v>-49817513</v>
      </c>
      <c r="K1141">
        <v>29996647</v>
      </c>
      <c r="L1141">
        <v>-13997574</v>
      </c>
      <c r="M1141">
        <v>-10689151</v>
      </c>
      <c r="N1141">
        <v>-92378024</v>
      </c>
      <c r="O1141">
        <v>-58287201</v>
      </c>
      <c r="P1141">
        <v>369</v>
      </c>
      <c r="Q1141" t="s">
        <v>2329</v>
      </c>
    </row>
    <row r="1142" spans="1:17" x14ac:dyDescent="0.3">
      <c r="A1142" t="s">
        <v>32</v>
      </c>
      <c r="B1142" t="str">
        <f>"000558"</f>
        <v>000558</v>
      </c>
      <c r="C1142" t="s">
        <v>2330</v>
      </c>
      <c r="D1142" t="s">
        <v>151</v>
      </c>
      <c r="E1142">
        <v>15173598</v>
      </c>
      <c r="F1142">
        <v>-34920358</v>
      </c>
      <c r="G1142">
        <v>-55335283</v>
      </c>
      <c r="H1142">
        <v>-94064524</v>
      </c>
      <c r="I1142">
        <v>-54391227</v>
      </c>
      <c r="J1142">
        <v>-117030550</v>
      </c>
      <c r="K1142">
        <v>106145021</v>
      </c>
      <c r="L1142">
        <v>-8347323</v>
      </c>
      <c r="M1142">
        <v>-64301020</v>
      </c>
      <c r="N1142">
        <v>223747216</v>
      </c>
      <c r="O1142">
        <v>72713726</v>
      </c>
      <c r="P1142">
        <v>118</v>
      </c>
      <c r="Q1142" t="s">
        <v>2331</v>
      </c>
    </row>
    <row r="1143" spans="1:17" x14ac:dyDescent="0.3">
      <c r="A1143" t="s">
        <v>32</v>
      </c>
      <c r="B1143" t="str">
        <f>"000980"</f>
        <v>000980</v>
      </c>
      <c r="C1143" t="s">
        <v>2332</v>
      </c>
      <c r="D1143" t="s">
        <v>199</v>
      </c>
      <c r="E1143">
        <v>14993157</v>
      </c>
      <c r="F1143">
        <v>20899379</v>
      </c>
      <c r="G1143">
        <v>-964041394</v>
      </c>
      <c r="H1143">
        <v>-1241244537</v>
      </c>
      <c r="I1143">
        <v>-655328340</v>
      </c>
      <c r="J1143">
        <v>-120832630</v>
      </c>
      <c r="K1143">
        <v>82983816</v>
      </c>
      <c r="L1143">
        <v>-2908121</v>
      </c>
      <c r="M1143">
        <v>140859381</v>
      </c>
      <c r="N1143">
        <v>-22068190</v>
      </c>
      <c r="O1143">
        <v>62176285</v>
      </c>
      <c r="P1143">
        <v>161</v>
      </c>
      <c r="Q1143" t="s">
        <v>2333</v>
      </c>
    </row>
    <row r="1144" spans="1:17" x14ac:dyDescent="0.3">
      <c r="A1144" t="s">
        <v>32</v>
      </c>
      <c r="B1144" t="str">
        <f>"301080"</f>
        <v>301080</v>
      </c>
      <c r="C1144" t="s">
        <v>2334</v>
      </c>
      <c r="D1144" t="s">
        <v>98</v>
      </c>
      <c r="E1144">
        <v>14941080</v>
      </c>
      <c r="F1144">
        <v>6485712</v>
      </c>
      <c r="P1144">
        <v>52</v>
      </c>
      <c r="Q1144" t="s">
        <v>2335</v>
      </c>
    </row>
    <row r="1145" spans="1:17" x14ac:dyDescent="0.3">
      <c r="A1145" t="s">
        <v>32</v>
      </c>
      <c r="B1145" t="str">
        <f>"300071"</f>
        <v>300071</v>
      </c>
      <c r="C1145" t="s">
        <v>2336</v>
      </c>
      <c r="D1145" t="s">
        <v>245</v>
      </c>
      <c r="E1145">
        <v>14765018</v>
      </c>
      <c r="F1145">
        <v>6409057</v>
      </c>
      <c r="G1145">
        <v>-25855595</v>
      </c>
      <c r="H1145">
        <v>34977468</v>
      </c>
      <c r="I1145">
        <v>26775813</v>
      </c>
      <c r="J1145">
        <v>-14026691</v>
      </c>
      <c r="K1145">
        <v>-40041004</v>
      </c>
      <c r="L1145">
        <v>-58760400</v>
      </c>
      <c r="M1145">
        <v>155972096</v>
      </c>
      <c r="N1145">
        <v>-81276260</v>
      </c>
      <c r="O1145">
        <v>-17220438</v>
      </c>
      <c r="P1145">
        <v>84</v>
      </c>
      <c r="Q1145" t="s">
        <v>2337</v>
      </c>
    </row>
    <row r="1146" spans="1:17" x14ac:dyDescent="0.3">
      <c r="A1146" t="s">
        <v>17</v>
      </c>
      <c r="B1146" t="str">
        <f>"600301"</f>
        <v>600301</v>
      </c>
      <c r="C1146" t="s">
        <v>2338</v>
      </c>
      <c r="D1146" t="s">
        <v>218</v>
      </c>
      <c r="E1146">
        <v>14761774</v>
      </c>
      <c r="F1146">
        <v>-267951702</v>
      </c>
      <c r="G1146">
        <v>-2235610</v>
      </c>
      <c r="H1146">
        <v>2558242</v>
      </c>
      <c r="I1146">
        <v>-25502464</v>
      </c>
      <c r="J1146">
        <v>-51040239</v>
      </c>
      <c r="K1146">
        <v>-85697541</v>
      </c>
      <c r="L1146">
        <v>-33794716</v>
      </c>
      <c r="M1146">
        <v>-157051993</v>
      </c>
      <c r="N1146">
        <v>-92505706</v>
      </c>
      <c r="O1146">
        <v>-66995588</v>
      </c>
      <c r="P1146">
        <v>53</v>
      </c>
      <c r="Q1146" t="s">
        <v>2339</v>
      </c>
    </row>
    <row r="1147" spans="1:17" x14ac:dyDescent="0.3">
      <c r="A1147" t="s">
        <v>32</v>
      </c>
      <c r="B1147" t="str">
        <f>"002871"</f>
        <v>002871</v>
      </c>
      <c r="C1147" t="s">
        <v>2340</v>
      </c>
      <c r="D1147" t="s">
        <v>135</v>
      </c>
      <c r="E1147">
        <v>14747637</v>
      </c>
      <c r="F1147">
        <v>-12573939</v>
      </c>
      <c r="G1147">
        <v>15239137</v>
      </c>
      <c r="H1147">
        <v>3563019</v>
      </c>
      <c r="I1147">
        <v>-8398508</v>
      </c>
      <c r="J1147">
        <v>21875925</v>
      </c>
      <c r="K1147">
        <v>13716282</v>
      </c>
      <c r="P1147">
        <v>66</v>
      </c>
      <c r="Q1147" t="s">
        <v>2341</v>
      </c>
    </row>
    <row r="1148" spans="1:17" x14ac:dyDescent="0.3">
      <c r="A1148" t="s">
        <v>32</v>
      </c>
      <c r="B1148" t="str">
        <f>"300685"</f>
        <v>300685</v>
      </c>
      <c r="C1148" t="s">
        <v>2342</v>
      </c>
      <c r="D1148" t="s">
        <v>98</v>
      </c>
      <c r="E1148">
        <v>14686242</v>
      </c>
      <c r="F1148">
        <v>20520032</v>
      </c>
      <c r="G1148">
        <v>40192998</v>
      </c>
      <c r="H1148">
        <v>25094051</v>
      </c>
      <c r="I1148">
        <v>13923574</v>
      </c>
      <c r="J1148">
        <v>10525898</v>
      </c>
      <c r="P1148">
        <v>977</v>
      </c>
      <c r="Q1148" t="s">
        <v>2343</v>
      </c>
    </row>
    <row r="1149" spans="1:17" x14ac:dyDescent="0.3">
      <c r="A1149" t="s">
        <v>17</v>
      </c>
      <c r="B1149" t="str">
        <f>"600666"</f>
        <v>600666</v>
      </c>
      <c r="C1149" t="s">
        <v>2344</v>
      </c>
      <c r="D1149" t="s">
        <v>124</v>
      </c>
      <c r="E1149">
        <v>14682885</v>
      </c>
      <c r="F1149">
        <v>22632060</v>
      </c>
      <c r="G1149">
        <v>-49108203</v>
      </c>
      <c r="H1149">
        <v>32391669</v>
      </c>
      <c r="I1149">
        <v>29364292</v>
      </c>
      <c r="J1149">
        <v>25135655</v>
      </c>
      <c r="K1149">
        <v>-410525680</v>
      </c>
      <c r="L1149">
        <v>100343614</v>
      </c>
      <c r="M1149">
        <v>46979983</v>
      </c>
      <c r="N1149">
        <v>45065990</v>
      </c>
      <c r="O1149">
        <v>29922396</v>
      </c>
      <c r="P1149">
        <v>75</v>
      </c>
      <c r="Q1149" t="s">
        <v>2345</v>
      </c>
    </row>
    <row r="1150" spans="1:17" x14ac:dyDescent="0.3">
      <c r="A1150" t="s">
        <v>32</v>
      </c>
      <c r="B1150" t="str">
        <f>"300669"</f>
        <v>300669</v>
      </c>
      <c r="C1150" t="s">
        <v>2346</v>
      </c>
      <c r="D1150" t="s">
        <v>135</v>
      </c>
      <c r="E1150">
        <v>14680264</v>
      </c>
      <c r="F1150">
        <v>-5495981</v>
      </c>
      <c r="G1150">
        <v>24178942</v>
      </c>
      <c r="H1150">
        <v>918582</v>
      </c>
      <c r="I1150">
        <v>2111265</v>
      </c>
      <c r="J1150">
        <v>15358241</v>
      </c>
      <c r="K1150">
        <v>17435986</v>
      </c>
      <c r="P1150">
        <v>102</v>
      </c>
      <c r="Q1150" t="s">
        <v>2347</v>
      </c>
    </row>
    <row r="1151" spans="1:17" x14ac:dyDescent="0.3">
      <c r="A1151" t="s">
        <v>17</v>
      </c>
      <c r="B1151" t="str">
        <f>"688195"</f>
        <v>688195</v>
      </c>
      <c r="C1151" t="s">
        <v>2348</v>
      </c>
      <c r="D1151" t="s">
        <v>124</v>
      </c>
      <c r="E1151">
        <v>14432554</v>
      </c>
      <c r="F1151">
        <v>-14533531</v>
      </c>
      <c r="G1151">
        <v>-20345786</v>
      </c>
      <c r="P1151">
        <v>42</v>
      </c>
      <c r="Q1151" t="s">
        <v>2349</v>
      </c>
    </row>
    <row r="1152" spans="1:17" x14ac:dyDescent="0.3">
      <c r="A1152" t="s">
        <v>32</v>
      </c>
      <c r="B1152" t="str">
        <f>"002996"</f>
        <v>002996</v>
      </c>
      <c r="C1152" t="s">
        <v>2350</v>
      </c>
      <c r="D1152" t="s">
        <v>121</v>
      </c>
      <c r="E1152">
        <v>14389691</v>
      </c>
      <c r="F1152">
        <v>-274396471</v>
      </c>
      <c r="G1152">
        <v>275908</v>
      </c>
      <c r="P1152">
        <v>73</v>
      </c>
      <c r="Q1152" t="s">
        <v>2351</v>
      </c>
    </row>
    <row r="1153" spans="1:17" x14ac:dyDescent="0.3">
      <c r="A1153" t="s">
        <v>32</v>
      </c>
      <c r="B1153" t="str">
        <f>"002595"</f>
        <v>002595</v>
      </c>
      <c r="C1153" t="s">
        <v>2352</v>
      </c>
      <c r="D1153" t="s">
        <v>135</v>
      </c>
      <c r="E1153">
        <v>14388878</v>
      </c>
      <c r="F1153">
        <v>-344748927</v>
      </c>
      <c r="G1153">
        <v>44221284</v>
      </c>
      <c r="H1153">
        <v>-166414576</v>
      </c>
      <c r="I1153">
        <v>42414376</v>
      </c>
      <c r="J1153">
        <v>165811723</v>
      </c>
      <c r="K1153">
        <v>159085455</v>
      </c>
      <c r="L1153">
        <v>127138246</v>
      </c>
      <c r="M1153">
        <v>-52303042</v>
      </c>
      <c r="N1153">
        <v>11086785</v>
      </c>
      <c r="O1153">
        <v>2332234</v>
      </c>
      <c r="P1153">
        <v>4168</v>
      </c>
      <c r="Q1153" t="s">
        <v>2353</v>
      </c>
    </row>
    <row r="1154" spans="1:17" x14ac:dyDescent="0.3">
      <c r="A1154" t="s">
        <v>32</v>
      </c>
      <c r="B1154" t="str">
        <f>"301065"</f>
        <v>301065</v>
      </c>
      <c r="C1154" t="s">
        <v>2354</v>
      </c>
      <c r="D1154" t="s">
        <v>144</v>
      </c>
      <c r="E1154">
        <v>14190366</v>
      </c>
      <c r="P1154">
        <v>12</v>
      </c>
      <c r="Q1154" t="s">
        <v>2355</v>
      </c>
    </row>
    <row r="1155" spans="1:17" x14ac:dyDescent="0.3">
      <c r="A1155" t="s">
        <v>32</v>
      </c>
      <c r="B1155" t="str">
        <f>"301130"</f>
        <v>301130</v>
      </c>
      <c r="C1155" t="s">
        <v>2356</v>
      </c>
      <c r="E1155">
        <v>14173136</v>
      </c>
      <c r="P1155">
        <v>7</v>
      </c>
      <c r="Q1155" t="s">
        <v>2357</v>
      </c>
    </row>
    <row r="1156" spans="1:17" x14ac:dyDescent="0.3">
      <c r="A1156" t="s">
        <v>17</v>
      </c>
      <c r="B1156" t="str">
        <f>"603677"</f>
        <v>603677</v>
      </c>
      <c r="C1156" t="s">
        <v>2358</v>
      </c>
      <c r="D1156" t="s">
        <v>127</v>
      </c>
      <c r="E1156">
        <v>14138175</v>
      </c>
      <c r="F1156">
        <v>-32046004</v>
      </c>
      <c r="G1156">
        <v>24627011</v>
      </c>
      <c r="H1156">
        <v>-21780105</v>
      </c>
      <c r="I1156">
        <v>-68952448</v>
      </c>
      <c r="J1156">
        <v>-87448458</v>
      </c>
      <c r="K1156">
        <v>42255823</v>
      </c>
      <c r="P1156">
        <v>124</v>
      </c>
      <c r="Q1156" t="s">
        <v>2359</v>
      </c>
    </row>
    <row r="1157" spans="1:17" x14ac:dyDescent="0.3">
      <c r="A1157" t="s">
        <v>17</v>
      </c>
      <c r="B1157" t="str">
        <f>"600586"</f>
        <v>600586</v>
      </c>
      <c r="C1157" t="s">
        <v>2360</v>
      </c>
      <c r="D1157" t="s">
        <v>400</v>
      </c>
      <c r="E1157">
        <v>14117910</v>
      </c>
      <c r="F1157">
        <v>5823849</v>
      </c>
      <c r="G1157">
        <v>112111345</v>
      </c>
      <c r="H1157">
        <v>-60507281</v>
      </c>
      <c r="I1157">
        <v>-35995825</v>
      </c>
      <c r="J1157">
        <v>-114206266</v>
      </c>
      <c r="K1157">
        <v>34197295</v>
      </c>
      <c r="L1157">
        <v>137802340</v>
      </c>
      <c r="M1157">
        <v>14892574</v>
      </c>
      <c r="N1157">
        <v>-19051663</v>
      </c>
      <c r="O1157">
        <v>-131460345</v>
      </c>
      <c r="P1157">
        <v>245</v>
      </c>
      <c r="Q1157" t="s">
        <v>2361</v>
      </c>
    </row>
    <row r="1158" spans="1:17" x14ac:dyDescent="0.3">
      <c r="A1158" t="s">
        <v>32</v>
      </c>
      <c r="B1158" t="str">
        <f>"002369"</f>
        <v>002369</v>
      </c>
      <c r="C1158" t="s">
        <v>2362</v>
      </c>
      <c r="D1158" t="s">
        <v>124</v>
      </c>
      <c r="E1158">
        <v>14094664</v>
      </c>
      <c r="F1158">
        <v>-133004144</v>
      </c>
      <c r="G1158">
        <v>136565757</v>
      </c>
      <c r="H1158">
        <v>208403939</v>
      </c>
      <c r="I1158">
        <v>-74792825</v>
      </c>
      <c r="J1158">
        <v>-36455007</v>
      </c>
      <c r="K1158">
        <v>80182138</v>
      </c>
      <c r="L1158">
        <v>108408456</v>
      </c>
      <c r="M1158">
        <v>32210154</v>
      </c>
      <c r="N1158">
        <v>-124451081</v>
      </c>
      <c r="O1158">
        <v>-64274880</v>
      </c>
      <c r="P1158">
        <v>179</v>
      </c>
      <c r="Q1158" t="s">
        <v>2363</v>
      </c>
    </row>
    <row r="1159" spans="1:17" x14ac:dyDescent="0.3">
      <c r="A1159" t="s">
        <v>32</v>
      </c>
      <c r="B1159" t="str">
        <f>"001228"</f>
        <v>001228</v>
      </c>
      <c r="C1159" t="s">
        <v>2364</v>
      </c>
      <c r="E1159">
        <v>14035658</v>
      </c>
      <c r="P1159">
        <v>2</v>
      </c>
      <c r="Q1159" t="s">
        <v>2365</v>
      </c>
    </row>
    <row r="1160" spans="1:17" x14ac:dyDescent="0.3">
      <c r="A1160" t="s">
        <v>32</v>
      </c>
      <c r="B1160" t="str">
        <f>"300336"</f>
        <v>300336</v>
      </c>
      <c r="C1160" t="s">
        <v>2366</v>
      </c>
      <c r="D1160" t="s">
        <v>245</v>
      </c>
      <c r="E1160">
        <v>13958630</v>
      </c>
      <c r="F1160">
        <v>46410488</v>
      </c>
      <c r="G1160">
        <v>3300734</v>
      </c>
      <c r="H1160">
        <v>-2105442</v>
      </c>
      <c r="I1160">
        <v>-17079189</v>
      </c>
      <c r="J1160">
        <v>-49146284</v>
      </c>
      <c r="K1160">
        <v>7016419</v>
      </c>
      <c r="L1160">
        <v>-103395268</v>
      </c>
      <c r="M1160">
        <v>-29246923</v>
      </c>
      <c r="N1160">
        <v>-78704310</v>
      </c>
      <c r="O1160">
        <v>-35576797</v>
      </c>
      <c r="P1160">
        <v>98</v>
      </c>
      <c r="Q1160" t="s">
        <v>2367</v>
      </c>
    </row>
    <row r="1161" spans="1:17" x14ac:dyDescent="0.3">
      <c r="A1161" t="s">
        <v>32</v>
      </c>
      <c r="B1161" t="str">
        <f>"301118"</f>
        <v>301118</v>
      </c>
      <c r="C1161" t="s">
        <v>2368</v>
      </c>
      <c r="D1161" t="s">
        <v>144</v>
      </c>
      <c r="E1161">
        <v>13956422</v>
      </c>
      <c r="P1161">
        <v>16</v>
      </c>
      <c r="Q1161" t="s">
        <v>2369</v>
      </c>
    </row>
    <row r="1162" spans="1:17" x14ac:dyDescent="0.3">
      <c r="A1162" t="s">
        <v>32</v>
      </c>
      <c r="B1162" t="str">
        <f>"300801"</f>
        <v>300801</v>
      </c>
      <c r="C1162" t="s">
        <v>2370</v>
      </c>
      <c r="D1162" t="s">
        <v>144</v>
      </c>
      <c r="E1162">
        <v>13847306</v>
      </c>
      <c r="F1162">
        <v>-34473626</v>
      </c>
      <c r="G1162">
        <v>-27146337</v>
      </c>
      <c r="H1162">
        <v>-26109132</v>
      </c>
      <c r="P1162">
        <v>113</v>
      </c>
      <c r="Q1162" t="s">
        <v>2371</v>
      </c>
    </row>
    <row r="1163" spans="1:17" x14ac:dyDescent="0.3">
      <c r="A1163" t="s">
        <v>32</v>
      </c>
      <c r="B1163" t="str">
        <f>"002094"</f>
        <v>002094</v>
      </c>
      <c r="C1163" t="s">
        <v>2372</v>
      </c>
      <c r="D1163" t="s">
        <v>544</v>
      </c>
      <c r="E1163">
        <v>13826670</v>
      </c>
      <c r="F1163">
        <v>-282519702</v>
      </c>
      <c r="G1163">
        <v>-236273293</v>
      </c>
      <c r="H1163">
        <v>-355993498</v>
      </c>
      <c r="I1163">
        <v>-274266177</v>
      </c>
      <c r="J1163">
        <v>-159521706</v>
      </c>
      <c r="K1163">
        <v>-106635888</v>
      </c>
      <c r="L1163">
        <v>7784641</v>
      </c>
      <c r="M1163">
        <v>251442</v>
      </c>
      <c r="N1163">
        <v>-111713137</v>
      </c>
      <c r="O1163">
        <v>-68209353</v>
      </c>
      <c r="P1163">
        <v>183</v>
      </c>
      <c r="Q1163" t="s">
        <v>2373</v>
      </c>
    </row>
    <row r="1164" spans="1:17" x14ac:dyDescent="0.3">
      <c r="A1164" t="s">
        <v>17</v>
      </c>
      <c r="B1164" t="str">
        <f>"603016"</f>
        <v>603016</v>
      </c>
      <c r="C1164" t="s">
        <v>2374</v>
      </c>
      <c r="D1164" t="s">
        <v>464</v>
      </c>
      <c r="E1164">
        <v>13791735</v>
      </c>
      <c r="F1164">
        <v>-8080074</v>
      </c>
      <c r="G1164">
        <v>24748284</v>
      </c>
      <c r="H1164">
        <v>2059667</v>
      </c>
      <c r="I1164">
        <v>-1872510</v>
      </c>
      <c r="J1164">
        <v>11006959</v>
      </c>
      <c r="K1164">
        <v>-38439818</v>
      </c>
      <c r="L1164">
        <v>6511558</v>
      </c>
      <c r="P1164">
        <v>93</v>
      </c>
      <c r="Q1164" t="s">
        <v>2375</v>
      </c>
    </row>
    <row r="1165" spans="1:17" x14ac:dyDescent="0.3">
      <c r="A1165" t="s">
        <v>17</v>
      </c>
      <c r="B1165" t="str">
        <f>"605151"</f>
        <v>605151</v>
      </c>
      <c r="C1165" t="s">
        <v>2376</v>
      </c>
      <c r="D1165" t="s">
        <v>199</v>
      </c>
      <c r="E1165">
        <v>13790914</v>
      </c>
      <c r="F1165">
        <v>36051173</v>
      </c>
      <c r="G1165">
        <v>11960730</v>
      </c>
      <c r="P1165">
        <v>55</v>
      </c>
      <c r="Q1165" t="s">
        <v>2377</v>
      </c>
    </row>
    <row r="1166" spans="1:17" x14ac:dyDescent="0.3">
      <c r="A1166" t="s">
        <v>32</v>
      </c>
      <c r="B1166" t="str">
        <f>"000687"</f>
        <v>000687</v>
      </c>
      <c r="C1166" t="s">
        <v>2378</v>
      </c>
      <c r="D1166" t="s">
        <v>188</v>
      </c>
      <c r="E1166">
        <v>13773494</v>
      </c>
      <c r="F1166">
        <v>-7673005</v>
      </c>
      <c r="G1166">
        <v>12960927</v>
      </c>
      <c r="H1166">
        <v>-27714332</v>
      </c>
      <c r="I1166">
        <v>-288689797</v>
      </c>
      <c r="J1166">
        <v>-98348833</v>
      </c>
      <c r="K1166">
        <v>-99242101</v>
      </c>
      <c r="L1166">
        <v>-40590256</v>
      </c>
      <c r="M1166">
        <v>-42540798</v>
      </c>
      <c r="N1166">
        <v>-86626686</v>
      </c>
      <c r="O1166">
        <v>-39228502</v>
      </c>
      <c r="P1166">
        <v>86</v>
      </c>
      <c r="Q1166" t="s">
        <v>2379</v>
      </c>
    </row>
    <row r="1167" spans="1:17" x14ac:dyDescent="0.3">
      <c r="A1167" t="s">
        <v>32</v>
      </c>
      <c r="B1167" t="str">
        <f>"300995"</f>
        <v>300995</v>
      </c>
      <c r="C1167" t="s">
        <v>2380</v>
      </c>
      <c r="D1167" t="s">
        <v>144</v>
      </c>
      <c r="E1167">
        <v>13661943</v>
      </c>
      <c r="F1167">
        <v>-13383917</v>
      </c>
      <c r="G1167">
        <v>4710838</v>
      </c>
      <c r="P1167">
        <v>26</v>
      </c>
      <c r="Q1167" t="s">
        <v>2381</v>
      </c>
    </row>
    <row r="1168" spans="1:17" x14ac:dyDescent="0.3">
      <c r="A1168" t="s">
        <v>32</v>
      </c>
      <c r="B1168" t="str">
        <f>"000959"</f>
        <v>000959</v>
      </c>
      <c r="C1168" t="s">
        <v>2382</v>
      </c>
      <c r="D1168" t="s">
        <v>163</v>
      </c>
      <c r="E1168">
        <v>13583466</v>
      </c>
      <c r="F1168">
        <v>1122243439</v>
      </c>
      <c r="G1168">
        <v>-844047228</v>
      </c>
      <c r="H1168">
        <v>780697345</v>
      </c>
      <c r="I1168">
        <v>972705779</v>
      </c>
      <c r="J1168">
        <v>440916487</v>
      </c>
      <c r="K1168">
        <v>47621957</v>
      </c>
      <c r="L1168">
        <v>93070949</v>
      </c>
      <c r="M1168">
        <v>-262347294</v>
      </c>
      <c r="N1168">
        <v>137369684</v>
      </c>
      <c r="O1168">
        <v>-236493926</v>
      </c>
      <c r="P1168">
        <v>254</v>
      </c>
      <c r="Q1168" t="s">
        <v>2383</v>
      </c>
    </row>
    <row r="1169" spans="1:17" x14ac:dyDescent="0.3">
      <c r="A1169" t="s">
        <v>32</v>
      </c>
      <c r="B1169" t="str">
        <f>"300313"</f>
        <v>300313</v>
      </c>
      <c r="C1169" t="s">
        <v>2384</v>
      </c>
      <c r="D1169" t="s">
        <v>175</v>
      </c>
      <c r="E1169">
        <v>13566460</v>
      </c>
      <c r="F1169">
        <v>159677087</v>
      </c>
      <c r="G1169">
        <v>-17171457</v>
      </c>
      <c r="H1169">
        <v>-48425878</v>
      </c>
      <c r="I1169">
        <v>-8250444</v>
      </c>
      <c r="J1169">
        <v>10547293</v>
      </c>
      <c r="K1169">
        <v>15734704</v>
      </c>
      <c r="L1169">
        <v>-93330029</v>
      </c>
      <c r="M1169">
        <v>2986071</v>
      </c>
      <c r="N1169">
        <v>-15600595</v>
      </c>
      <c r="O1169">
        <v>-6676710</v>
      </c>
      <c r="P1169">
        <v>85</v>
      </c>
      <c r="Q1169" t="s">
        <v>2385</v>
      </c>
    </row>
    <row r="1170" spans="1:17" x14ac:dyDescent="0.3">
      <c r="A1170" t="s">
        <v>17</v>
      </c>
      <c r="B1170" t="str">
        <f>"603713"</f>
        <v>603713</v>
      </c>
      <c r="C1170" t="s">
        <v>2386</v>
      </c>
      <c r="D1170" t="s">
        <v>46</v>
      </c>
      <c r="E1170">
        <v>13548656</v>
      </c>
      <c r="F1170">
        <v>58797854</v>
      </c>
      <c r="G1170">
        <v>-15183671</v>
      </c>
      <c r="H1170">
        <v>-55497471</v>
      </c>
      <c r="I1170">
        <v>-56209069</v>
      </c>
      <c r="J1170">
        <v>-22597205</v>
      </c>
      <c r="P1170">
        <v>457</v>
      </c>
      <c r="Q1170" t="s">
        <v>2387</v>
      </c>
    </row>
    <row r="1171" spans="1:17" x14ac:dyDescent="0.3">
      <c r="A1171" t="s">
        <v>17</v>
      </c>
      <c r="B1171" t="str">
        <f>"605162"</f>
        <v>605162</v>
      </c>
      <c r="C1171" t="s">
        <v>2388</v>
      </c>
      <c r="D1171" t="s">
        <v>158</v>
      </c>
      <c r="E1171">
        <v>13520896</v>
      </c>
      <c r="F1171">
        <v>-28070044</v>
      </c>
      <c r="P1171">
        <v>27</v>
      </c>
      <c r="Q1171" t="s">
        <v>2389</v>
      </c>
    </row>
    <row r="1172" spans="1:17" x14ac:dyDescent="0.3">
      <c r="A1172" t="s">
        <v>32</v>
      </c>
      <c r="B1172" t="str">
        <f>"002365"</f>
        <v>002365</v>
      </c>
      <c r="C1172" t="s">
        <v>2390</v>
      </c>
      <c r="D1172" t="s">
        <v>98</v>
      </c>
      <c r="E1172">
        <v>13267504</v>
      </c>
      <c r="F1172">
        <v>-53897652</v>
      </c>
      <c r="G1172">
        <v>-51585510</v>
      </c>
      <c r="H1172">
        <v>-83671126</v>
      </c>
      <c r="I1172">
        <v>-63239354</v>
      </c>
      <c r="J1172">
        <v>-30895145</v>
      </c>
      <c r="K1172">
        <v>-10282623</v>
      </c>
      <c r="L1172">
        <v>-9172890</v>
      </c>
      <c r="M1172">
        <v>-37038676</v>
      </c>
      <c r="N1172">
        <v>-25749572</v>
      </c>
      <c r="O1172">
        <v>-4397723</v>
      </c>
      <c r="P1172">
        <v>195</v>
      </c>
      <c r="Q1172" t="s">
        <v>2391</v>
      </c>
    </row>
    <row r="1173" spans="1:17" x14ac:dyDescent="0.3">
      <c r="A1173" t="s">
        <v>32</v>
      </c>
      <c r="B1173" t="str">
        <f>"000554"</f>
        <v>000554</v>
      </c>
      <c r="C1173" t="s">
        <v>2392</v>
      </c>
      <c r="D1173" t="s">
        <v>64</v>
      </c>
      <c r="E1173">
        <v>13106954</v>
      </c>
      <c r="F1173">
        <v>-57999648</v>
      </c>
      <c r="G1173">
        <v>192787689</v>
      </c>
      <c r="H1173">
        <v>155118673</v>
      </c>
      <c r="I1173">
        <v>-49318470</v>
      </c>
      <c r="J1173">
        <v>48310042</v>
      </c>
      <c r="K1173">
        <v>-15079820</v>
      </c>
      <c r="L1173">
        <v>41078230</v>
      </c>
      <c r="M1173">
        <v>-21695114</v>
      </c>
      <c r="N1173">
        <v>-18357241</v>
      </c>
      <c r="O1173">
        <v>37038556</v>
      </c>
      <c r="P1173">
        <v>112</v>
      </c>
      <c r="Q1173" t="s">
        <v>2393</v>
      </c>
    </row>
    <row r="1174" spans="1:17" x14ac:dyDescent="0.3">
      <c r="A1174" t="s">
        <v>32</v>
      </c>
      <c r="B1174" t="str">
        <f>"300656"</f>
        <v>300656</v>
      </c>
      <c r="C1174" t="s">
        <v>2394</v>
      </c>
      <c r="D1174" t="s">
        <v>124</v>
      </c>
      <c r="E1174">
        <v>13095866</v>
      </c>
      <c r="F1174">
        <v>-344815</v>
      </c>
      <c r="G1174">
        <v>-4186456</v>
      </c>
      <c r="H1174">
        <v>1945748</v>
      </c>
      <c r="I1174">
        <v>-26031946</v>
      </c>
      <c r="J1174">
        <v>-4290168</v>
      </c>
      <c r="K1174">
        <v>2114002</v>
      </c>
      <c r="P1174">
        <v>81</v>
      </c>
      <c r="Q1174" t="s">
        <v>2395</v>
      </c>
    </row>
    <row r="1175" spans="1:17" x14ac:dyDescent="0.3">
      <c r="A1175" t="s">
        <v>17</v>
      </c>
      <c r="B1175" t="str">
        <f>"603178"</f>
        <v>603178</v>
      </c>
      <c r="C1175" t="s">
        <v>2396</v>
      </c>
      <c r="D1175" t="s">
        <v>199</v>
      </c>
      <c r="E1175">
        <v>13086311</v>
      </c>
      <c r="F1175">
        <v>56231695</v>
      </c>
      <c r="G1175">
        <v>46923541</v>
      </c>
      <c r="H1175">
        <v>-62886093</v>
      </c>
      <c r="I1175">
        <v>33925793</v>
      </c>
      <c r="J1175">
        <v>-8193541</v>
      </c>
      <c r="K1175">
        <v>30829620</v>
      </c>
      <c r="P1175">
        <v>80</v>
      </c>
      <c r="Q1175" t="s">
        <v>2397</v>
      </c>
    </row>
    <row r="1176" spans="1:17" x14ac:dyDescent="0.3">
      <c r="A1176" t="s">
        <v>32</v>
      </c>
      <c r="B1176" t="str">
        <f>"000592"</f>
        <v>000592</v>
      </c>
      <c r="C1176" t="s">
        <v>2398</v>
      </c>
      <c r="D1176" t="s">
        <v>175</v>
      </c>
      <c r="E1176">
        <v>13056983</v>
      </c>
      <c r="F1176">
        <v>-81818449</v>
      </c>
      <c r="G1176">
        <v>-202965476</v>
      </c>
      <c r="H1176">
        <v>-56235382</v>
      </c>
      <c r="I1176">
        <v>-74905822</v>
      </c>
      <c r="J1176">
        <v>-181914056</v>
      </c>
      <c r="K1176">
        <v>-86838495</v>
      </c>
      <c r="L1176">
        <v>-131818450</v>
      </c>
      <c r="M1176">
        <v>-11665522</v>
      </c>
      <c r="N1176">
        <v>-107920642</v>
      </c>
      <c r="O1176">
        <v>11941266</v>
      </c>
      <c r="P1176">
        <v>150</v>
      </c>
      <c r="Q1176" t="s">
        <v>2399</v>
      </c>
    </row>
    <row r="1177" spans="1:17" x14ac:dyDescent="0.3">
      <c r="A1177" t="s">
        <v>32</v>
      </c>
      <c r="B1177" t="str">
        <f>"300969"</f>
        <v>300969</v>
      </c>
      <c r="C1177" t="s">
        <v>2400</v>
      </c>
      <c r="D1177" t="s">
        <v>199</v>
      </c>
      <c r="E1177">
        <v>13005536</v>
      </c>
      <c r="F1177">
        <v>-10237173</v>
      </c>
      <c r="G1177">
        <v>12489376</v>
      </c>
      <c r="P1177">
        <v>42</v>
      </c>
      <c r="Q1177" t="s">
        <v>2401</v>
      </c>
    </row>
    <row r="1178" spans="1:17" x14ac:dyDescent="0.3">
      <c r="A1178" t="s">
        <v>32</v>
      </c>
      <c r="B1178" t="str">
        <f>"300117"</f>
        <v>300117</v>
      </c>
      <c r="C1178" t="s">
        <v>2402</v>
      </c>
      <c r="D1178" t="s">
        <v>645</v>
      </c>
      <c r="E1178">
        <v>12964888</v>
      </c>
      <c r="F1178">
        <v>3786263</v>
      </c>
      <c r="G1178">
        <v>147616817</v>
      </c>
      <c r="H1178">
        <v>-99674731</v>
      </c>
      <c r="I1178">
        <v>-135012798</v>
      </c>
      <c r="J1178">
        <v>-99601453</v>
      </c>
      <c r="K1178">
        <v>675791</v>
      </c>
      <c r="L1178">
        <v>-104034055</v>
      </c>
      <c r="M1178">
        <v>-48262781</v>
      </c>
      <c r="N1178">
        <v>-167146095</v>
      </c>
      <c r="O1178">
        <v>-119512074</v>
      </c>
      <c r="P1178">
        <v>179</v>
      </c>
      <c r="Q1178" t="s">
        <v>2403</v>
      </c>
    </row>
    <row r="1179" spans="1:17" x14ac:dyDescent="0.3">
      <c r="A1179" t="s">
        <v>17</v>
      </c>
      <c r="B1179" t="str">
        <f>"603025"</f>
        <v>603025</v>
      </c>
      <c r="C1179" t="s">
        <v>2404</v>
      </c>
      <c r="D1179" t="s">
        <v>135</v>
      </c>
      <c r="E1179">
        <v>12941241</v>
      </c>
      <c r="F1179">
        <v>-10145455</v>
      </c>
      <c r="G1179">
        <v>-30730850</v>
      </c>
      <c r="H1179">
        <v>65473906</v>
      </c>
      <c r="I1179">
        <v>32286311</v>
      </c>
      <c r="J1179">
        <v>44920727</v>
      </c>
      <c r="K1179">
        <v>61886588</v>
      </c>
      <c r="L1179">
        <v>12530631</v>
      </c>
      <c r="M1179">
        <v>13313363</v>
      </c>
      <c r="P1179">
        <v>434</v>
      </c>
      <c r="Q1179" t="s">
        <v>2405</v>
      </c>
    </row>
    <row r="1180" spans="1:17" x14ac:dyDescent="0.3">
      <c r="A1180" t="s">
        <v>17</v>
      </c>
      <c r="B1180" t="str">
        <f>"688571"</f>
        <v>688571</v>
      </c>
      <c r="C1180" t="s">
        <v>2406</v>
      </c>
      <c r="D1180" t="s">
        <v>144</v>
      </c>
      <c r="E1180">
        <v>12843346</v>
      </c>
      <c r="F1180">
        <v>6212689</v>
      </c>
      <c r="G1180">
        <v>-24017283</v>
      </c>
      <c r="P1180">
        <v>29</v>
      </c>
      <c r="Q1180" t="s">
        <v>2407</v>
      </c>
    </row>
    <row r="1181" spans="1:17" x14ac:dyDescent="0.3">
      <c r="A1181" t="s">
        <v>32</v>
      </c>
      <c r="B1181" t="str">
        <f>"300657"</f>
        <v>300657</v>
      </c>
      <c r="C1181" t="s">
        <v>2408</v>
      </c>
      <c r="D1181" t="s">
        <v>124</v>
      </c>
      <c r="E1181">
        <v>12831141</v>
      </c>
      <c r="F1181">
        <v>-232907568</v>
      </c>
      <c r="G1181">
        <v>-69453938</v>
      </c>
      <c r="H1181">
        <v>-107320129</v>
      </c>
      <c r="I1181">
        <v>-78731744</v>
      </c>
      <c r="J1181">
        <v>-840813</v>
      </c>
      <c r="K1181">
        <v>-23301876</v>
      </c>
      <c r="P1181">
        <v>257</v>
      </c>
      <c r="Q1181" t="s">
        <v>2409</v>
      </c>
    </row>
    <row r="1182" spans="1:17" x14ac:dyDescent="0.3">
      <c r="A1182" t="s">
        <v>32</v>
      </c>
      <c r="B1182" t="str">
        <f>"003006"</f>
        <v>003006</v>
      </c>
      <c r="C1182" t="s">
        <v>2410</v>
      </c>
      <c r="D1182" t="s">
        <v>544</v>
      </c>
      <c r="E1182">
        <v>12718668</v>
      </c>
      <c r="F1182">
        <v>25215501</v>
      </c>
      <c r="G1182">
        <v>73461390</v>
      </c>
      <c r="P1182">
        <v>172</v>
      </c>
      <c r="Q1182" t="s">
        <v>2411</v>
      </c>
    </row>
    <row r="1183" spans="1:17" x14ac:dyDescent="0.3">
      <c r="A1183" t="s">
        <v>32</v>
      </c>
      <c r="B1183" t="str">
        <f>"002549"</f>
        <v>002549</v>
      </c>
      <c r="C1183" t="s">
        <v>2412</v>
      </c>
      <c r="D1183" t="s">
        <v>144</v>
      </c>
      <c r="E1183">
        <v>12506080</v>
      </c>
      <c r="F1183">
        <v>21077839</v>
      </c>
      <c r="G1183">
        <v>91958</v>
      </c>
      <c r="H1183">
        <v>-25463183</v>
      </c>
      <c r="I1183">
        <v>-16239352</v>
      </c>
      <c r="J1183">
        <v>8104460</v>
      </c>
      <c r="K1183">
        <v>-16735646</v>
      </c>
      <c r="L1183">
        <v>-61058257</v>
      </c>
      <c r="M1183">
        <v>-6201409</v>
      </c>
      <c r="N1183">
        <v>-29934557</v>
      </c>
      <c r="O1183">
        <v>-34113369</v>
      </c>
      <c r="P1183">
        <v>173</v>
      </c>
      <c r="Q1183" t="s">
        <v>2413</v>
      </c>
    </row>
    <row r="1184" spans="1:17" x14ac:dyDescent="0.3">
      <c r="A1184" t="s">
        <v>32</v>
      </c>
      <c r="B1184" t="str">
        <f>"002296"</f>
        <v>002296</v>
      </c>
      <c r="C1184" t="s">
        <v>2414</v>
      </c>
      <c r="D1184" t="s">
        <v>57</v>
      </c>
      <c r="E1184">
        <v>12473633</v>
      </c>
      <c r="F1184">
        <v>48668717</v>
      </c>
      <c r="G1184">
        <v>-23728715</v>
      </c>
      <c r="H1184">
        <v>-34509532</v>
      </c>
      <c r="I1184">
        <v>-58441604</v>
      </c>
      <c r="J1184">
        <v>-43270845</v>
      </c>
      <c r="K1184">
        <v>-10807224</v>
      </c>
      <c r="L1184">
        <v>-18803706</v>
      </c>
      <c r="M1184">
        <v>-72312441</v>
      </c>
      <c r="N1184">
        <v>-47507283</v>
      </c>
      <c r="O1184">
        <v>-57282540</v>
      </c>
      <c r="P1184">
        <v>160</v>
      </c>
      <c r="Q1184" t="s">
        <v>2415</v>
      </c>
    </row>
    <row r="1185" spans="1:17" x14ac:dyDescent="0.3">
      <c r="A1185" t="s">
        <v>17</v>
      </c>
      <c r="B1185" t="str">
        <f>"600692"</f>
        <v>600692</v>
      </c>
      <c r="C1185" t="s">
        <v>2416</v>
      </c>
      <c r="D1185" t="s">
        <v>151</v>
      </c>
      <c r="E1185">
        <v>12331678</v>
      </c>
      <c r="F1185">
        <v>-51512416</v>
      </c>
      <c r="G1185">
        <v>-14262646</v>
      </c>
      <c r="H1185">
        <v>-96632619</v>
      </c>
      <c r="I1185">
        <v>-75056858</v>
      </c>
      <c r="J1185">
        <v>-109009671</v>
      </c>
      <c r="K1185">
        <v>-5572408</v>
      </c>
      <c r="L1185">
        <v>1313789</v>
      </c>
      <c r="M1185">
        <v>-23012034</v>
      </c>
      <c r="N1185">
        <v>58216959</v>
      </c>
      <c r="O1185">
        <v>-60001509</v>
      </c>
      <c r="P1185">
        <v>76</v>
      </c>
      <c r="Q1185" t="s">
        <v>2417</v>
      </c>
    </row>
    <row r="1186" spans="1:17" x14ac:dyDescent="0.3">
      <c r="A1186" t="s">
        <v>32</v>
      </c>
      <c r="B1186" t="str">
        <f>"002566"</f>
        <v>002566</v>
      </c>
      <c r="C1186" t="s">
        <v>2418</v>
      </c>
      <c r="D1186" t="s">
        <v>98</v>
      </c>
      <c r="E1186">
        <v>12256122</v>
      </c>
      <c r="F1186">
        <v>15483062</v>
      </c>
      <c r="G1186">
        <v>28638694</v>
      </c>
      <c r="H1186">
        <v>69711760</v>
      </c>
      <c r="I1186">
        <v>10905338</v>
      </c>
      <c r="J1186">
        <v>70977039</v>
      </c>
      <c r="K1186">
        <v>34204771</v>
      </c>
      <c r="L1186">
        <v>-348578673</v>
      </c>
      <c r="M1186">
        <v>-126898261</v>
      </c>
      <c r="N1186">
        <v>30466429</v>
      </c>
      <c r="O1186">
        <v>3589906</v>
      </c>
      <c r="P1186">
        <v>134</v>
      </c>
      <c r="Q1186" t="s">
        <v>2419</v>
      </c>
    </row>
    <row r="1187" spans="1:17" x14ac:dyDescent="0.3">
      <c r="A1187" t="s">
        <v>32</v>
      </c>
      <c r="B1187" t="str">
        <f>"300473"</f>
        <v>300473</v>
      </c>
      <c r="C1187" t="s">
        <v>2420</v>
      </c>
      <c r="D1187" t="s">
        <v>199</v>
      </c>
      <c r="E1187">
        <v>12226560</v>
      </c>
      <c r="F1187">
        <v>-96070949</v>
      </c>
      <c r="G1187">
        <v>32071158</v>
      </c>
      <c r="H1187">
        <v>-201761</v>
      </c>
      <c r="I1187">
        <v>-134012031</v>
      </c>
      <c r="J1187">
        <v>-68760579</v>
      </c>
      <c r="K1187">
        <v>62339538</v>
      </c>
      <c r="L1187">
        <v>55549700</v>
      </c>
      <c r="M1187">
        <v>74531300</v>
      </c>
      <c r="P1187">
        <v>142</v>
      </c>
      <c r="Q1187" t="s">
        <v>2421</v>
      </c>
    </row>
    <row r="1188" spans="1:17" x14ac:dyDescent="0.3">
      <c r="A1188" t="s">
        <v>32</v>
      </c>
      <c r="B1188" t="str">
        <f>"002858"</f>
        <v>002858</v>
      </c>
      <c r="C1188" t="s">
        <v>2422</v>
      </c>
      <c r="D1188" t="s">
        <v>497</v>
      </c>
      <c r="E1188">
        <v>12219693</v>
      </c>
      <c r="F1188">
        <v>-1307792</v>
      </c>
      <c r="G1188">
        <v>12865154</v>
      </c>
      <c r="H1188">
        <v>-55965669</v>
      </c>
      <c r="I1188">
        <v>-35210387</v>
      </c>
      <c r="J1188">
        <v>-25936160</v>
      </c>
      <c r="K1188">
        <v>7582131</v>
      </c>
      <c r="P1188">
        <v>75</v>
      </c>
      <c r="Q1188" t="s">
        <v>2423</v>
      </c>
    </row>
    <row r="1189" spans="1:17" x14ac:dyDescent="0.3">
      <c r="A1189" t="s">
        <v>32</v>
      </c>
      <c r="B1189" t="str">
        <f>"300251"</f>
        <v>300251</v>
      </c>
      <c r="C1189" t="s">
        <v>2424</v>
      </c>
      <c r="D1189" t="s">
        <v>245</v>
      </c>
      <c r="E1189">
        <v>12041860</v>
      </c>
      <c r="F1189">
        <v>40166074</v>
      </c>
      <c r="G1189">
        <v>-345923057</v>
      </c>
      <c r="H1189">
        <v>-741883498</v>
      </c>
      <c r="I1189">
        <v>17300243</v>
      </c>
      <c r="J1189">
        <v>348984221</v>
      </c>
      <c r="K1189">
        <v>269497743</v>
      </c>
      <c r="L1189">
        <v>-34697633</v>
      </c>
      <c r="M1189">
        <v>-36453237</v>
      </c>
      <c r="N1189">
        <v>198401604</v>
      </c>
      <c r="O1189">
        <v>-85414551</v>
      </c>
      <c r="P1189">
        <v>807</v>
      </c>
      <c r="Q1189" t="s">
        <v>2425</v>
      </c>
    </row>
    <row r="1190" spans="1:17" x14ac:dyDescent="0.3">
      <c r="A1190" t="s">
        <v>32</v>
      </c>
      <c r="B1190" t="str">
        <f>"002303"</f>
        <v>002303</v>
      </c>
      <c r="C1190" t="s">
        <v>2426</v>
      </c>
      <c r="D1190" t="s">
        <v>455</v>
      </c>
      <c r="E1190">
        <v>12023285</v>
      </c>
      <c r="F1190">
        <v>-253447690</v>
      </c>
      <c r="G1190">
        <v>59509493</v>
      </c>
      <c r="H1190">
        <v>-20627135</v>
      </c>
      <c r="I1190">
        <v>-60616336</v>
      </c>
      <c r="J1190">
        <v>-63563020</v>
      </c>
      <c r="K1190">
        <v>-52731150</v>
      </c>
      <c r="L1190">
        <v>-39771573</v>
      </c>
      <c r="M1190">
        <v>68996079</v>
      </c>
      <c r="N1190">
        <v>15256400</v>
      </c>
      <c r="O1190">
        <v>8612855</v>
      </c>
      <c r="P1190">
        <v>224</v>
      </c>
      <c r="Q1190" t="s">
        <v>2427</v>
      </c>
    </row>
    <row r="1191" spans="1:17" x14ac:dyDescent="0.3">
      <c r="A1191" t="s">
        <v>32</v>
      </c>
      <c r="B1191" t="str">
        <f>"301042"</f>
        <v>301042</v>
      </c>
      <c r="C1191" t="s">
        <v>2428</v>
      </c>
      <c r="D1191" t="s">
        <v>342</v>
      </c>
      <c r="E1191">
        <v>12020333</v>
      </c>
      <c r="F1191">
        <v>-13694714</v>
      </c>
      <c r="G1191">
        <v>-52899944</v>
      </c>
      <c r="P1191">
        <v>14</v>
      </c>
      <c r="Q1191" t="s">
        <v>2429</v>
      </c>
    </row>
    <row r="1192" spans="1:17" x14ac:dyDescent="0.3">
      <c r="A1192" t="s">
        <v>32</v>
      </c>
      <c r="B1192" t="str">
        <f>"300475"</f>
        <v>300475</v>
      </c>
      <c r="C1192" t="s">
        <v>2430</v>
      </c>
      <c r="D1192" t="s">
        <v>127</v>
      </c>
      <c r="E1192">
        <v>11956646</v>
      </c>
      <c r="F1192">
        <v>103376361</v>
      </c>
      <c r="G1192">
        <v>34148710</v>
      </c>
      <c r="H1192">
        <v>12752381</v>
      </c>
      <c r="I1192">
        <v>-44768670</v>
      </c>
      <c r="J1192">
        <v>27814096</v>
      </c>
      <c r="K1192">
        <v>11804411</v>
      </c>
      <c r="L1192">
        <v>61016668</v>
      </c>
      <c r="M1192">
        <v>5140771</v>
      </c>
      <c r="P1192">
        <v>92</v>
      </c>
      <c r="Q1192" t="s">
        <v>2431</v>
      </c>
    </row>
    <row r="1193" spans="1:17" x14ac:dyDescent="0.3">
      <c r="A1193" t="s">
        <v>32</v>
      </c>
      <c r="B1193" t="str">
        <f>"002947"</f>
        <v>002947</v>
      </c>
      <c r="C1193" t="s">
        <v>2432</v>
      </c>
      <c r="D1193" t="s">
        <v>124</v>
      </c>
      <c r="E1193">
        <v>11874463</v>
      </c>
      <c r="F1193">
        <v>-4181098</v>
      </c>
      <c r="G1193">
        <v>73812327</v>
      </c>
      <c r="H1193">
        <v>87007549</v>
      </c>
      <c r="I1193">
        <v>18350379</v>
      </c>
      <c r="J1193">
        <v>18907749</v>
      </c>
      <c r="P1193">
        <v>266</v>
      </c>
      <c r="Q1193" t="s">
        <v>2433</v>
      </c>
    </row>
    <row r="1194" spans="1:17" x14ac:dyDescent="0.3">
      <c r="A1194" t="s">
        <v>32</v>
      </c>
      <c r="B1194" t="str">
        <f>"301111"</f>
        <v>301111</v>
      </c>
      <c r="C1194" t="s">
        <v>2434</v>
      </c>
      <c r="D1194" t="s">
        <v>98</v>
      </c>
      <c r="E1194">
        <v>11857399</v>
      </c>
      <c r="P1194">
        <v>28</v>
      </c>
      <c r="Q1194" t="s">
        <v>2435</v>
      </c>
    </row>
    <row r="1195" spans="1:17" x14ac:dyDescent="0.3">
      <c r="A1195" t="s">
        <v>32</v>
      </c>
      <c r="B1195" t="str">
        <f>"300173"</f>
        <v>300173</v>
      </c>
      <c r="C1195" t="s">
        <v>2436</v>
      </c>
      <c r="D1195" t="s">
        <v>135</v>
      </c>
      <c r="E1195">
        <v>11852449</v>
      </c>
      <c r="F1195">
        <v>-145429668</v>
      </c>
      <c r="G1195">
        <v>-8532664</v>
      </c>
      <c r="H1195">
        <v>-25298646</v>
      </c>
      <c r="I1195">
        <v>-75777272</v>
      </c>
      <c r="J1195">
        <v>-38506887</v>
      </c>
      <c r="K1195">
        <v>-52538944</v>
      </c>
      <c r="L1195">
        <v>-5219085</v>
      </c>
      <c r="M1195">
        <v>-13041392</v>
      </c>
      <c r="N1195">
        <v>-26945332</v>
      </c>
      <c r="O1195">
        <v>-34241088</v>
      </c>
      <c r="P1195">
        <v>61</v>
      </c>
      <c r="Q1195" t="s">
        <v>2437</v>
      </c>
    </row>
    <row r="1196" spans="1:17" x14ac:dyDescent="0.3">
      <c r="A1196" t="s">
        <v>32</v>
      </c>
      <c r="B1196" t="str">
        <f>"002130"</f>
        <v>002130</v>
      </c>
      <c r="C1196" t="s">
        <v>2438</v>
      </c>
      <c r="D1196" t="s">
        <v>124</v>
      </c>
      <c r="E1196">
        <v>11684336</v>
      </c>
      <c r="F1196">
        <v>-31734951</v>
      </c>
      <c r="G1196">
        <v>127412596</v>
      </c>
      <c r="H1196">
        <v>64309655</v>
      </c>
      <c r="I1196">
        <v>-33755890</v>
      </c>
      <c r="J1196">
        <v>-129989814</v>
      </c>
      <c r="K1196">
        <v>-193879682</v>
      </c>
      <c r="L1196">
        <v>-43807636</v>
      </c>
      <c r="M1196">
        <v>-37025887</v>
      </c>
      <c r="N1196">
        <v>-44706661</v>
      </c>
      <c r="O1196">
        <v>-120958393</v>
      </c>
      <c r="P1196">
        <v>266</v>
      </c>
      <c r="Q1196" t="s">
        <v>2439</v>
      </c>
    </row>
    <row r="1197" spans="1:17" x14ac:dyDescent="0.3">
      <c r="A1197" t="s">
        <v>17</v>
      </c>
      <c r="B1197" t="str">
        <f>"688314"</f>
        <v>688314</v>
      </c>
      <c r="C1197" t="s">
        <v>2440</v>
      </c>
      <c r="D1197" t="s">
        <v>98</v>
      </c>
      <c r="E1197">
        <v>11655058</v>
      </c>
      <c r="F1197">
        <v>-21145620</v>
      </c>
      <c r="G1197">
        <v>-980893</v>
      </c>
      <c r="P1197">
        <v>53</v>
      </c>
      <c r="Q1197" t="s">
        <v>2441</v>
      </c>
    </row>
    <row r="1198" spans="1:17" x14ac:dyDescent="0.3">
      <c r="A1198" t="s">
        <v>32</v>
      </c>
      <c r="B1198" t="str">
        <f>"002046"</f>
        <v>002046</v>
      </c>
      <c r="C1198" t="s">
        <v>2442</v>
      </c>
      <c r="D1198" t="s">
        <v>135</v>
      </c>
      <c r="E1198">
        <v>11628533</v>
      </c>
      <c r="F1198">
        <v>-159829384</v>
      </c>
      <c r="G1198">
        <v>-33955530</v>
      </c>
      <c r="H1198">
        <v>-111395907</v>
      </c>
      <c r="I1198">
        <v>-183630213</v>
      </c>
      <c r="J1198">
        <v>-54867762</v>
      </c>
      <c r="K1198">
        <v>-57880063</v>
      </c>
      <c r="L1198">
        <v>-64585231</v>
      </c>
      <c r="M1198">
        <v>-73196428</v>
      </c>
      <c r="N1198">
        <v>-120037439</v>
      </c>
      <c r="O1198">
        <v>-69402715</v>
      </c>
      <c r="P1198">
        <v>148</v>
      </c>
      <c r="Q1198" t="s">
        <v>2443</v>
      </c>
    </row>
    <row r="1199" spans="1:17" x14ac:dyDescent="0.3">
      <c r="A1199" t="s">
        <v>32</v>
      </c>
      <c r="B1199" t="str">
        <f>"300107"</f>
        <v>300107</v>
      </c>
      <c r="C1199" t="s">
        <v>2444</v>
      </c>
      <c r="D1199" t="s">
        <v>144</v>
      </c>
      <c r="E1199">
        <v>11587442</v>
      </c>
      <c r="F1199">
        <v>-149155154</v>
      </c>
      <c r="G1199">
        <v>-166429639</v>
      </c>
      <c r="H1199">
        <v>23511468</v>
      </c>
      <c r="I1199">
        <v>75237549</v>
      </c>
      <c r="J1199">
        <v>1890159</v>
      </c>
      <c r="K1199">
        <v>25833101</v>
      </c>
      <c r="L1199">
        <v>7990798</v>
      </c>
      <c r="M1199">
        <v>-13228591</v>
      </c>
      <c r="N1199">
        <v>-13051619</v>
      </c>
      <c r="O1199">
        <v>-34533481</v>
      </c>
      <c r="P1199">
        <v>239</v>
      </c>
      <c r="Q1199" t="s">
        <v>2445</v>
      </c>
    </row>
    <row r="1200" spans="1:17" x14ac:dyDescent="0.3">
      <c r="A1200" t="s">
        <v>32</v>
      </c>
      <c r="B1200" t="str">
        <f>"002778"</f>
        <v>002778</v>
      </c>
      <c r="C1200" t="s">
        <v>2446</v>
      </c>
      <c r="D1200" t="s">
        <v>64</v>
      </c>
      <c r="E1200">
        <v>11472929</v>
      </c>
      <c r="F1200">
        <v>75382468</v>
      </c>
      <c r="G1200">
        <v>-33224445</v>
      </c>
      <c r="H1200">
        <v>-46925279</v>
      </c>
      <c r="I1200">
        <v>-61319526</v>
      </c>
      <c r="J1200">
        <v>-57542869</v>
      </c>
      <c r="K1200">
        <v>-63055976</v>
      </c>
      <c r="L1200">
        <v>-73130809</v>
      </c>
      <c r="M1200">
        <v>-76162127</v>
      </c>
      <c r="P1200">
        <v>75</v>
      </c>
      <c r="Q1200" t="s">
        <v>2447</v>
      </c>
    </row>
    <row r="1201" spans="1:17" x14ac:dyDescent="0.3">
      <c r="A1201" t="s">
        <v>32</v>
      </c>
      <c r="B1201" t="str">
        <f>"000068"</f>
        <v>000068</v>
      </c>
      <c r="C1201" t="s">
        <v>2448</v>
      </c>
      <c r="D1201" t="s">
        <v>1334</v>
      </c>
      <c r="E1201">
        <v>11452087</v>
      </c>
      <c r="F1201">
        <v>-71284027</v>
      </c>
      <c r="G1201">
        <v>-6241132</v>
      </c>
      <c r="H1201">
        <v>-143529003</v>
      </c>
      <c r="I1201">
        <v>-275831592</v>
      </c>
      <c r="J1201">
        <v>-173888065</v>
      </c>
      <c r="K1201">
        <v>-28518017</v>
      </c>
      <c r="L1201">
        <v>-21099607</v>
      </c>
      <c r="M1201">
        <v>-38640771</v>
      </c>
      <c r="N1201">
        <v>-87196682</v>
      </c>
      <c r="O1201">
        <v>-8275111</v>
      </c>
      <c r="P1201">
        <v>144</v>
      </c>
      <c r="Q1201" t="s">
        <v>2449</v>
      </c>
    </row>
    <row r="1202" spans="1:17" x14ac:dyDescent="0.3">
      <c r="A1202" t="s">
        <v>32</v>
      </c>
      <c r="B1202" t="str">
        <f>"300710"</f>
        <v>300710</v>
      </c>
      <c r="C1202" t="s">
        <v>2450</v>
      </c>
      <c r="D1202" t="s">
        <v>57</v>
      </c>
      <c r="E1202">
        <v>11407090</v>
      </c>
      <c r="F1202">
        <v>31907908</v>
      </c>
      <c r="G1202">
        <v>-23204636</v>
      </c>
      <c r="H1202">
        <v>-11772646</v>
      </c>
      <c r="I1202">
        <v>-32880734</v>
      </c>
      <c r="J1202">
        <v>-3770748</v>
      </c>
      <c r="P1202">
        <v>107</v>
      </c>
      <c r="Q1202" t="s">
        <v>2451</v>
      </c>
    </row>
    <row r="1203" spans="1:17" x14ac:dyDescent="0.3">
      <c r="A1203" t="s">
        <v>17</v>
      </c>
      <c r="B1203" t="str">
        <f>"603080"</f>
        <v>603080</v>
      </c>
      <c r="C1203" t="s">
        <v>2452</v>
      </c>
      <c r="D1203" t="s">
        <v>158</v>
      </c>
      <c r="E1203">
        <v>11355703</v>
      </c>
      <c r="F1203">
        <v>-47658497</v>
      </c>
      <c r="G1203">
        <v>-30878512</v>
      </c>
      <c r="H1203">
        <v>-17550684</v>
      </c>
      <c r="I1203">
        <v>-21932635</v>
      </c>
      <c r="J1203">
        <v>-7162993</v>
      </c>
      <c r="P1203">
        <v>93</v>
      </c>
      <c r="Q1203" t="s">
        <v>2453</v>
      </c>
    </row>
    <row r="1204" spans="1:17" x14ac:dyDescent="0.3">
      <c r="A1204" t="s">
        <v>32</v>
      </c>
      <c r="B1204" t="str">
        <f>"300192"</f>
        <v>300192</v>
      </c>
      <c r="C1204" t="s">
        <v>2454</v>
      </c>
      <c r="D1204" t="s">
        <v>497</v>
      </c>
      <c r="E1204">
        <v>11329660</v>
      </c>
      <c r="F1204">
        <v>52651711</v>
      </c>
      <c r="G1204">
        <v>112082358</v>
      </c>
      <c r="H1204">
        <v>106983637</v>
      </c>
      <c r="I1204">
        <v>72642429</v>
      </c>
      <c r="J1204">
        <v>12479084</v>
      </c>
      <c r="K1204">
        <v>16617781</v>
      </c>
      <c r="L1204">
        <v>5941095</v>
      </c>
      <c r="M1204">
        <v>-23837477</v>
      </c>
      <c r="N1204">
        <v>-13273930</v>
      </c>
      <c r="O1204">
        <v>-15056080</v>
      </c>
      <c r="P1204">
        <v>182</v>
      </c>
      <c r="Q1204" t="s">
        <v>2455</v>
      </c>
    </row>
    <row r="1205" spans="1:17" x14ac:dyDescent="0.3">
      <c r="A1205" t="s">
        <v>32</v>
      </c>
      <c r="B1205" t="str">
        <f>"300823"</f>
        <v>300823</v>
      </c>
      <c r="C1205" t="s">
        <v>2456</v>
      </c>
      <c r="D1205" t="s">
        <v>135</v>
      </c>
      <c r="E1205">
        <v>11279143</v>
      </c>
      <c r="F1205">
        <v>-21689892</v>
      </c>
      <c r="G1205">
        <v>-8782678</v>
      </c>
      <c r="H1205">
        <v>26224426</v>
      </c>
      <c r="P1205">
        <v>109</v>
      </c>
      <c r="Q1205" t="s">
        <v>2457</v>
      </c>
    </row>
    <row r="1206" spans="1:17" x14ac:dyDescent="0.3">
      <c r="A1206" t="s">
        <v>32</v>
      </c>
      <c r="B1206" t="str">
        <f>"002148"</f>
        <v>002148</v>
      </c>
      <c r="C1206" t="s">
        <v>2458</v>
      </c>
      <c r="D1206" t="s">
        <v>57</v>
      </c>
      <c r="E1206">
        <v>11238547</v>
      </c>
      <c r="F1206">
        <v>15871541</v>
      </c>
      <c r="G1206">
        <v>-1017782</v>
      </c>
      <c r="H1206">
        <v>22731787</v>
      </c>
      <c r="I1206">
        <v>-11738658</v>
      </c>
      <c r="J1206">
        <v>39518123</v>
      </c>
      <c r="K1206">
        <v>-10063997</v>
      </c>
      <c r="L1206">
        <v>-77456552</v>
      </c>
      <c r="M1206">
        <v>-58446332</v>
      </c>
      <c r="N1206">
        <v>-10929741</v>
      </c>
      <c r="O1206">
        <v>2952302</v>
      </c>
      <c r="P1206">
        <v>103</v>
      </c>
      <c r="Q1206" t="s">
        <v>2459</v>
      </c>
    </row>
    <row r="1207" spans="1:17" x14ac:dyDescent="0.3">
      <c r="A1207" t="s">
        <v>17</v>
      </c>
      <c r="B1207" t="str">
        <f>"603027"</f>
        <v>603027</v>
      </c>
      <c r="C1207" t="s">
        <v>2460</v>
      </c>
      <c r="D1207" t="s">
        <v>172</v>
      </c>
      <c r="E1207">
        <v>11155400</v>
      </c>
      <c r="F1207">
        <v>-77172523</v>
      </c>
      <c r="G1207">
        <v>53080835</v>
      </c>
      <c r="H1207">
        <v>8349906</v>
      </c>
      <c r="I1207">
        <v>13756317</v>
      </c>
      <c r="J1207">
        <v>52232494</v>
      </c>
      <c r="K1207">
        <v>-15381983</v>
      </c>
      <c r="L1207">
        <v>-25183025</v>
      </c>
      <c r="P1207">
        <v>1884</v>
      </c>
      <c r="Q1207" t="s">
        <v>2461</v>
      </c>
    </row>
    <row r="1208" spans="1:17" x14ac:dyDescent="0.3">
      <c r="A1208" t="s">
        <v>32</v>
      </c>
      <c r="B1208" t="str">
        <f>"301222"</f>
        <v>301222</v>
      </c>
      <c r="C1208" t="s">
        <v>2462</v>
      </c>
      <c r="E1208">
        <v>11154765</v>
      </c>
      <c r="P1208">
        <v>4</v>
      </c>
      <c r="Q1208" t="s">
        <v>2463</v>
      </c>
    </row>
    <row r="1209" spans="1:17" x14ac:dyDescent="0.3">
      <c r="A1209" t="s">
        <v>32</v>
      </c>
      <c r="B1209" t="str">
        <f>"300013"</f>
        <v>300013</v>
      </c>
      <c r="C1209" t="s">
        <v>2464</v>
      </c>
      <c r="D1209" t="s">
        <v>46</v>
      </c>
      <c r="E1209">
        <v>11139467</v>
      </c>
      <c r="F1209">
        <v>43189029</v>
      </c>
      <c r="G1209">
        <v>-4556027</v>
      </c>
      <c r="H1209">
        <v>-93714495</v>
      </c>
      <c r="I1209">
        <v>-37385200</v>
      </c>
      <c r="J1209">
        <v>-17470932</v>
      </c>
      <c r="K1209">
        <v>-182735197</v>
      </c>
      <c r="L1209">
        <v>1188862</v>
      </c>
      <c r="M1209">
        <v>-15304924</v>
      </c>
      <c r="N1209">
        <v>-20415293</v>
      </c>
      <c r="O1209">
        <v>-11788623</v>
      </c>
      <c r="P1209">
        <v>70</v>
      </c>
      <c r="Q1209" t="s">
        <v>2465</v>
      </c>
    </row>
    <row r="1210" spans="1:17" x14ac:dyDescent="0.3">
      <c r="A1210" t="s">
        <v>32</v>
      </c>
      <c r="B1210" t="str">
        <f>"300632"</f>
        <v>300632</v>
      </c>
      <c r="C1210" t="s">
        <v>2466</v>
      </c>
      <c r="D1210" t="s">
        <v>124</v>
      </c>
      <c r="E1210">
        <v>11042980</v>
      </c>
      <c r="F1210">
        <v>-80890093</v>
      </c>
      <c r="G1210">
        <v>-4729868</v>
      </c>
      <c r="H1210">
        <v>106508984</v>
      </c>
      <c r="I1210">
        <v>6268490</v>
      </c>
      <c r="J1210">
        <v>9970081</v>
      </c>
      <c r="K1210">
        <v>-7815350</v>
      </c>
      <c r="P1210">
        <v>201</v>
      </c>
      <c r="Q1210" t="s">
        <v>2467</v>
      </c>
    </row>
    <row r="1211" spans="1:17" x14ac:dyDescent="0.3">
      <c r="A1211" t="s">
        <v>32</v>
      </c>
      <c r="B1211" t="str">
        <f>"002598"</f>
        <v>002598</v>
      </c>
      <c r="C1211" t="s">
        <v>2468</v>
      </c>
      <c r="D1211" t="s">
        <v>135</v>
      </c>
      <c r="E1211">
        <v>11024561</v>
      </c>
      <c r="F1211">
        <v>-43209746</v>
      </c>
      <c r="G1211">
        <v>-1483337</v>
      </c>
      <c r="H1211">
        <v>-7085455</v>
      </c>
      <c r="I1211">
        <v>1511071</v>
      </c>
      <c r="J1211">
        <v>17236973</v>
      </c>
      <c r="K1211">
        <v>-15418292</v>
      </c>
      <c r="L1211">
        <v>-22703860</v>
      </c>
      <c r="M1211">
        <v>-1506861</v>
      </c>
      <c r="N1211">
        <v>22812</v>
      </c>
      <c r="O1211">
        <v>24519856</v>
      </c>
      <c r="P1211">
        <v>88</v>
      </c>
      <c r="Q1211" t="s">
        <v>2469</v>
      </c>
    </row>
    <row r="1212" spans="1:17" x14ac:dyDescent="0.3">
      <c r="A1212" t="s">
        <v>17</v>
      </c>
      <c r="B1212" t="str">
        <f>"688160"</f>
        <v>688160</v>
      </c>
      <c r="C1212" t="s">
        <v>2470</v>
      </c>
      <c r="D1212" t="s">
        <v>135</v>
      </c>
      <c r="E1212">
        <v>10942781</v>
      </c>
      <c r="F1212">
        <v>-34331979</v>
      </c>
      <c r="G1212">
        <v>-14280377</v>
      </c>
      <c r="P1212">
        <v>44</v>
      </c>
      <c r="Q1212" t="s">
        <v>2471</v>
      </c>
    </row>
    <row r="1213" spans="1:17" x14ac:dyDescent="0.3">
      <c r="A1213" t="s">
        <v>32</v>
      </c>
      <c r="B1213" t="str">
        <f>"002703"</f>
        <v>002703</v>
      </c>
      <c r="C1213" t="s">
        <v>2472</v>
      </c>
      <c r="D1213" t="s">
        <v>199</v>
      </c>
      <c r="E1213">
        <v>10899159</v>
      </c>
      <c r="F1213">
        <v>20311245</v>
      </c>
      <c r="G1213">
        <v>-2595751</v>
      </c>
      <c r="H1213">
        <v>-72036707</v>
      </c>
      <c r="I1213">
        <v>-35528960</v>
      </c>
      <c r="J1213">
        <v>14803103</v>
      </c>
      <c r="K1213">
        <v>-40122656</v>
      </c>
      <c r="L1213">
        <v>14161597</v>
      </c>
      <c r="M1213">
        <v>-18962056</v>
      </c>
      <c r="N1213">
        <v>-30650025</v>
      </c>
      <c r="O1213">
        <v>-18510147</v>
      </c>
      <c r="P1213">
        <v>76</v>
      </c>
      <c r="Q1213" t="s">
        <v>2473</v>
      </c>
    </row>
    <row r="1214" spans="1:17" x14ac:dyDescent="0.3">
      <c r="A1214" t="s">
        <v>32</v>
      </c>
      <c r="B1214" t="str">
        <f>"300262"</f>
        <v>300262</v>
      </c>
      <c r="C1214" t="s">
        <v>2474</v>
      </c>
      <c r="D1214" t="s">
        <v>1334</v>
      </c>
      <c r="E1214">
        <v>10876741</v>
      </c>
      <c r="F1214">
        <v>15259168</v>
      </c>
      <c r="G1214">
        <v>-4195424</v>
      </c>
      <c r="H1214">
        <v>-173797955</v>
      </c>
      <c r="I1214">
        <v>-28821048</v>
      </c>
      <c r="J1214">
        <v>-183421646</v>
      </c>
      <c r="K1214">
        <v>-95193483</v>
      </c>
      <c r="L1214">
        <v>-23643627</v>
      </c>
      <c r="M1214">
        <v>10361727</v>
      </c>
      <c r="N1214">
        <v>-99001383</v>
      </c>
      <c r="O1214">
        <v>-37482769</v>
      </c>
      <c r="P1214">
        <v>127</v>
      </c>
      <c r="Q1214" t="s">
        <v>2475</v>
      </c>
    </row>
    <row r="1215" spans="1:17" x14ac:dyDescent="0.3">
      <c r="A1215" t="s">
        <v>17</v>
      </c>
      <c r="B1215" t="str">
        <f>"600461"</f>
        <v>600461</v>
      </c>
      <c r="C1215" t="s">
        <v>2476</v>
      </c>
      <c r="D1215" t="s">
        <v>1334</v>
      </c>
      <c r="E1215">
        <v>10660857</v>
      </c>
      <c r="F1215">
        <v>-677962296</v>
      </c>
      <c r="G1215">
        <v>-485077170</v>
      </c>
      <c r="H1215">
        <v>-201494305</v>
      </c>
      <c r="I1215">
        <v>-267023632</v>
      </c>
      <c r="J1215">
        <v>-77079505</v>
      </c>
      <c r="K1215">
        <v>-74348676</v>
      </c>
      <c r="L1215">
        <v>19374853</v>
      </c>
      <c r="M1215">
        <v>24356420</v>
      </c>
      <c r="N1215">
        <v>-16619984</v>
      </c>
      <c r="O1215">
        <v>17027647</v>
      </c>
      <c r="P1215">
        <v>366</v>
      </c>
      <c r="Q1215" t="s">
        <v>2477</v>
      </c>
    </row>
    <row r="1216" spans="1:17" x14ac:dyDescent="0.3">
      <c r="A1216" t="s">
        <v>17</v>
      </c>
      <c r="B1216" t="str">
        <f>"600563"</f>
        <v>600563</v>
      </c>
      <c r="C1216" t="s">
        <v>2478</v>
      </c>
      <c r="D1216" t="s">
        <v>124</v>
      </c>
      <c r="E1216">
        <v>10645245</v>
      </c>
      <c r="F1216">
        <v>-61614050</v>
      </c>
      <c r="G1216">
        <v>50028784</v>
      </c>
      <c r="H1216">
        <v>114806456</v>
      </c>
      <c r="I1216">
        <v>62191152</v>
      </c>
      <c r="J1216">
        <v>19740167</v>
      </c>
      <c r="K1216">
        <v>55173758</v>
      </c>
      <c r="L1216">
        <v>22702289</v>
      </c>
      <c r="M1216">
        <v>-36836761</v>
      </c>
      <c r="N1216">
        <v>48037798</v>
      </c>
      <c r="O1216">
        <v>45599897</v>
      </c>
      <c r="P1216">
        <v>21659</v>
      </c>
      <c r="Q1216" t="s">
        <v>2479</v>
      </c>
    </row>
    <row r="1217" spans="1:17" x14ac:dyDescent="0.3">
      <c r="A1217" t="s">
        <v>17</v>
      </c>
      <c r="B1217" t="str">
        <f>"600645"</f>
        <v>600645</v>
      </c>
      <c r="C1217" t="s">
        <v>2480</v>
      </c>
      <c r="D1217" t="s">
        <v>98</v>
      </c>
      <c r="E1217">
        <v>10621947</v>
      </c>
      <c r="F1217">
        <v>51196429</v>
      </c>
      <c r="G1217">
        <v>-25329168</v>
      </c>
      <c r="H1217">
        <v>-24788074</v>
      </c>
      <c r="I1217">
        <v>-44333109</v>
      </c>
      <c r="J1217">
        <v>-20123700</v>
      </c>
      <c r="K1217">
        <v>-44526886</v>
      </c>
      <c r="L1217">
        <v>-13421575</v>
      </c>
      <c r="M1217">
        <v>9055853</v>
      </c>
      <c r="N1217">
        <v>-15079830</v>
      </c>
      <c r="O1217">
        <v>5529725</v>
      </c>
      <c r="P1217">
        <v>223</v>
      </c>
      <c r="Q1217" t="s">
        <v>2481</v>
      </c>
    </row>
    <row r="1218" spans="1:17" x14ac:dyDescent="0.3">
      <c r="A1218" t="s">
        <v>17</v>
      </c>
      <c r="B1218" t="str">
        <f>"600641"</f>
        <v>600641</v>
      </c>
      <c r="C1218" t="s">
        <v>2482</v>
      </c>
      <c r="D1218" t="s">
        <v>151</v>
      </c>
      <c r="E1218">
        <v>10328092</v>
      </c>
      <c r="F1218">
        <v>-32371529</v>
      </c>
      <c r="G1218">
        <v>-89742173</v>
      </c>
      <c r="H1218">
        <v>151910481</v>
      </c>
      <c r="I1218">
        <v>168036700</v>
      </c>
      <c r="J1218">
        <v>-116228997</v>
      </c>
      <c r="K1218">
        <v>441619210</v>
      </c>
      <c r="L1218">
        <v>-193962238</v>
      </c>
      <c r="M1218">
        <v>67873841</v>
      </c>
      <c r="N1218">
        <v>190284453</v>
      </c>
      <c r="O1218">
        <v>20832714</v>
      </c>
      <c r="P1218">
        <v>404</v>
      </c>
      <c r="Q1218" t="s">
        <v>2483</v>
      </c>
    </row>
    <row r="1219" spans="1:17" x14ac:dyDescent="0.3">
      <c r="A1219" t="s">
        <v>32</v>
      </c>
      <c r="B1219" t="str">
        <f>"300538"</f>
        <v>300538</v>
      </c>
      <c r="C1219" t="s">
        <v>2484</v>
      </c>
      <c r="D1219" t="s">
        <v>144</v>
      </c>
      <c r="E1219">
        <v>10295876</v>
      </c>
      <c r="F1219">
        <v>-156079989</v>
      </c>
      <c r="G1219">
        <v>-27029933</v>
      </c>
      <c r="H1219">
        <v>-15698335</v>
      </c>
      <c r="I1219">
        <v>13946405</v>
      </c>
      <c r="J1219">
        <v>-33232969</v>
      </c>
      <c r="K1219">
        <v>8716266</v>
      </c>
      <c r="P1219">
        <v>186</v>
      </c>
      <c r="Q1219" t="s">
        <v>2485</v>
      </c>
    </row>
    <row r="1220" spans="1:17" x14ac:dyDescent="0.3">
      <c r="A1220" t="s">
        <v>32</v>
      </c>
      <c r="B1220" t="str">
        <f>"002076"</f>
        <v>002076</v>
      </c>
      <c r="C1220" t="s">
        <v>2486</v>
      </c>
      <c r="D1220" t="s">
        <v>127</v>
      </c>
      <c r="E1220">
        <v>10271906</v>
      </c>
      <c r="F1220">
        <v>-3933791</v>
      </c>
      <c r="G1220">
        <v>12301092</v>
      </c>
      <c r="H1220">
        <v>10448219</v>
      </c>
      <c r="I1220">
        <v>-29686892</v>
      </c>
      <c r="J1220">
        <v>-34188921</v>
      </c>
      <c r="K1220">
        <v>-61682204</v>
      </c>
      <c r="L1220">
        <v>-4455175</v>
      </c>
      <c r="M1220">
        <v>-166547</v>
      </c>
      <c r="N1220">
        <v>-55216039</v>
      </c>
      <c r="O1220">
        <v>16219582</v>
      </c>
      <c r="P1220">
        <v>100</v>
      </c>
      <c r="Q1220" t="s">
        <v>2487</v>
      </c>
    </row>
    <row r="1221" spans="1:17" x14ac:dyDescent="0.3">
      <c r="A1221" t="s">
        <v>17</v>
      </c>
      <c r="B1221" t="str">
        <f>"600093"</f>
        <v>600093</v>
      </c>
      <c r="C1221" t="s">
        <v>2488</v>
      </c>
      <c r="D1221" t="s">
        <v>26</v>
      </c>
      <c r="E1221">
        <v>10244477</v>
      </c>
      <c r="F1221">
        <v>88551953</v>
      </c>
      <c r="G1221">
        <v>-454345412</v>
      </c>
      <c r="H1221">
        <v>-69247627</v>
      </c>
      <c r="I1221">
        <v>221923184</v>
      </c>
      <c r="J1221">
        <v>-169181598</v>
      </c>
      <c r="K1221">
        <v>191237735</v>
      </c>
      <c r="L1221">
        <v>1850866</v>
      </c>
      <c r="M1221">
        <v>-9512878</v>
      </c>
      <c r="N1221">
        <v>-36130771</v>
      </c>
      <c r="O1221">
        <v>-14588186</v>
      </c>
      <c r="P1221">
        <v>222</v>
      </c>
      <c r="Q1221" t="s">
        <v>2489</v>
      </c>
    </row>
    <row r="1222" spans="1:17" x14ac:dyDescent="0.3">
      <c r="A1222" t="s">
        <v>17</v>
      </c>
      <c r="B1222" t="str">
        <f>"600572"</f>
        <v>600572</v>
      </c>
      <c r="C1222" t="s">
        <v>2490</v>
      </c>
      <c r="D1222" t="s">
        <v>98</v>
      </c>
      <c r="E1222">
        <v>10160515</v>
      </c>
      <c r="F1222">
        <v>65743597</v>
      </c>
      <c r="G1222">
        <v>210637878</v>
      </c>
      <c r="H1222">
        <v>144475546</v>
      </c>
      <c r="I1222">
        <v>63757928</v>
      </c>
      <c r="J1222">
        <v>110558726</v>
      </c>
      <c r="K1222">
        <v>163106617</v>
      </c>
      <c r="L1222">
        <v>36292004</v>
      </c>
      <c r="M1222">
        <v>-30835423</v>
      </c>
      <c r="N1222">
        <v>-24419853</v>
      </c>
      <c r="O1222">
        <v>-13175583</v>
      </c>
      <c r="P1222">
        <v>467</v>
      </c>
      <c r="Q1222" t="s">
        <v>2491</v>
      </c>
    </row>
    <row r="1223" spans="1:17" x14ac:dyDescent="0.3">
      <c r="A1223" t="s">
        <v>17</v>
      </c>
      <c r="B1223" t="str">
        <f>"600198"</f>
        <v>600198</v>
      </c>
      <c r="C1223" t="s">
        <v>2492</v>
      </c>
      <c r="D1223" t="s">
        <v>124</v>
      </c>
      <c r="E1223">
        <v>10138444</v>
      </c>
      <c r="F1223">
        <v>-107064742</v>
      </c>
      <c r="G1223">
        <v>111017854</v>
      </c>
      <c r="H1223">
        <v>-89803559</v>
      </c>
      <c r="I1223">
        <v>-122511587</v>
      </c>
      <c r="J1223">
        <v>-200012532</v>
      </c>
      <c r="K1223">
        <v>-136631443</v>
      </c>
      <c r="L1223">
        <v>-437268085</v>
      </c>
      <c r="M1223">
        <v>-561285552</v>
      </c>
      <c r="N1223">
        <v>-613140788</v>
      </c>
      <c r="O1223">
        <v>-401901336</v>
      </c>
      <c r="P1223">
        <v>286</v>
      </c>
      <c r="Q1223" t="s">
        <v>2493</v>
      </c>
    </row>
    <row r="1224" spans="1:17" x14ac:dyDescent="0.3">
      <c r="A1224" t="s">
        <v>32</v>
      </c>
      <c r="B1224" t="str">
        <f>"002976"</f>
        <v>002976</v>
      </c>
      <c r="C1224" t="s">
        <v>2494</v>
      </c>
      <c r="D1224" t="s">
        <v>124</v>
      </c>
      <c r="E1224">
        <v>10057460</v>
      </c>
      <c r="F1224">
        <v>2290318</v>
      </c>
      <c r="G1224">
        <v>28045619</v>
      </c>
      <c r="H1224">
        <v>10018852</v>
      </c>
      <c r="P1224">
        <v>104</v>
      </c>
      <c r="Q1224" t="s">
        <v>2495</v>
      </c>
    </row>
    <row r="1225" spans="1:17" x14ac:dyDescent="0.3">
      <c r="A1225" t="s">
        <v>17</v>
      </c>
      <c r="B1225" t="str">
        <f>"600668"</f>
        <v>600668</v>
      </c>
      <c r="C1225" t="s">
        <v>2496</v>
      </c>
      <c r="D1225" t="s">
        <v>345</v>
      </c>
      <c r="E1225">
        <v>10038662</v>
      </c>
      <c r="F1225">
        <v>-15126455</v>
      </c>
      <c r="G1225">
        <v>-135435293</v>
      </c>
      <c r="H1225">
        <v>143574017</v>
      </c>
      <c r="I1225">
        <v>-19620343</v>
      </c>
      <c r="J1225">
        <v>-22553901</v>
      </c>
      <c r="K1225">
        <v>8051566</v>
      </c>
      <c r="L1225">
        <v>-143379129</v>
      </c>
      <c r="M1225">
        <v>-1900821</v>
      </c>
      <c r="N1225">
        <v>-42263708</v>
      </c>
      <c r="O1225">
        <v>-42397918</v>
      </c>
      <c r="P1225">
        <v>343</v>
      </c>
      <c r="Q1225" t="s">
        <v>2497</v>
      </c>
    </row>
    <row r="1226" spans="1:17" x14ac:dyDescent="0.3">
      <c r="A1226" t="s">
        <v>17</v>
      </c>
      <c r="B1226" t="str">
        <f>"603336"</f>
        <v>603336</v>
      </c>
      <c r="C1226" t="s">
        <v>2498</v>
      </c>
      <c r="D1226" t="s">
        <v>175</v>
      </c>
      <c r="E1226">
        <v>10010847</v>
      </c>
      <c r="F1226">
        <v>-53330961</v>
      </c>
      <c r="G1226">
        <v>-84408663</v>
      </c>
      <c r="H1226">
        <v>9747189</v>
      </c>
      <c r="I1226">
        <v>-4866994</v>
      </c>
      <c r="J1226">
        <v>40536144</v>
      </c>
      <c r="K1226">
        <v>-22969778</v>
      </c>
      <c r="P1226">
        <v>179</v>
      </c>
      <c r="Q1226" t="s">
        <v>2499</v>
      </c>
    </row>
    <row r="1227" spans="1:17" x14ac:dyDescent="0.3">
      <c r="A1227" t="s">
        <v>32</v>
      </c>
      <c r="B1227" t="str">
        <f>"300294"</f>
        <v>300294</v>
      </c>
      <c r="C1227" t="s">
        <v>2500</v>
      </c>
      <c r="D1227" t="s">
        <v>98</v>
      </c>
      <c r="E1227">
        <v>9988318</v>
      </c>
      <c r="F1227">
        <v>135466864</v>
      </c>
      <c r="G1227">
        <v>42117445</v>
      </c>
      <c r="H1227">
        <v>-101425300</v>
      </c>
      <c r="I1227">
        <v>-70997023</v>
      </c>
      <c r="J1227">
        <v>-102116343</v>
      </c>
      <c r="K1227">
        <v>-60092436</v>
      </c>
      <c r="L1227">
        <v>-49622367</v>
      </c>
      <c r="M1227">
        <v>20120968</v>
      </c>
      <c r="N1227">
        <v>14544413</v>
      </c>
      <c r="O1227">
        <v>3976019</v>
      </c>
      <c r="P1227">
        <v>495</v>
      </c>
      <c r="Q1227" t="s">
        <v>2501</v>
      </c>
    </row>
    <row r="1228" spans="1:17" x14ac:dyDescent="0.3">
      <c r="A1228" t="s">
        <v>32</v>
      </c>
      <c r="B1228" t="str">
        <f>"000023"</f>
        <v>000023</v>
      </c>
      <c r="C1228" t="s">
        <v>2502</v>
      </c>
      <c r="D1228" t="s">
        <v>400</v>
      </c>
      <c r="E1228">
        <v>9776546</v>
      </c>
      <c r="F1228">
        <v>-24251820</v>
      </c>
      <c r="G1228">
        <v>-186190526</v>
      </c>
      <c r="H1228">
        <v>-23482689</v>
      </c>
      <c r="I1228">
        <v>3123516</v>
      </c>
      <c r="J1228">
        <v>27930282</v>
      </c>
      <c r="K1228">
        <v>-23655075</v>
      </c>
      <c r="L1228">
        <v>-34339992</v>
      </c>
      <c r="M1228">
        <v>-33775095</v>
      </c>
      <c r="N1228">
        <v>37585370</v>
      </c>
      <c r="O1228">
        <v>-22453112</v>
      </c>
      <c r="P1228">
        <v>78</v>
      </c>
      <c r="Q1228" t="s">
        <v>2503</v>
      </c>
    </row>
    <row r="1229" spans="1:17" x14ac:dyDescent="0.3">
      <c r="A1229" t="s">
        <v>17</v>
      </c>
      <c r="B1229" t="str">
        <f>"603803"</f>
        <v>603803</v>
      </c>
      <c r="C1229" t="s">
        <v>2504</v>
      </c>
      <c r="D1229" t="s">
        <v>57</v>
      </c>
      <c r="E1229">
        <v>9763488</v>
      </c>
      <c r="F1229">
        <v>-184128375</v>
      </c>
      <c r="G1229">
        <v>-119648626</v>
      </c>
      <c r="H1229">
        <v>-149378889</v>
      </c>
      <c r="I1229">
        <v>-92224388</v>
      </c>
      <c r="J1229">
        <v>-171320467</v>
      </c>
      <c r="K1229">
        <v>3512483</v>
      </c>
      <c r="P1229">
        <v>153</v>
      </c>
      <c r="Q1229" t="s">
        <v>2505</v>
      </c>
    </row>
    <row r="1230" spans="1:17" x14ac:dyDescent="0.3">
      <c r="A1230" t="s">
        <v>17</v>
      </c>
      <c r="B1230" t="str">
        <f>"600776"</f>
        <v>600776</v>
      </c>
      <c r="C1230" t="s">
        <v>2506</v>
      </c>
      <c r="D1230" t="s">
        <v>57</v>
      </c>
      <c r="E1230">
        <v>9762484</v>
      </c>
      <c r="F1230">
        <v>-132233101</v>
      </c>
      <c r="G1230">
        <v>-238558342</v>
      </c>
      <c r="H1230">
        <v>-114617964</v>
      </c>
      <c r="I1230">
        <v>-229457756</v>
      </c>
      <c r="J1230">
        <v>-258016380</v>
      </c>
      <c r="K1230">
        <v>-261790171</v>
      </c>
      <c r="L1230">
        <v>-181277295</v>
      </c>
      <c r="M1230">
        <v>-257012916</v>
      </c>
      <c r="N1230">
        <v>-177521123</v>
      </c>
      <c r="O1230">
        <v>-112715702</v>
      </c>
      <c r="P1230">
        <v>284</v>
      </c>
      <c r="Q1230" t="s">
        <v>2507</v>
      </c>
    </row>
    <row r="1231" spans="1:17" x14ac:dyDescent="0.3">
      <c r="A1231" t="s">
        <v>17</v>
      </c>
      <c r="B1231" t="str">
        <f>"688611"</f>
        <v>688611</v>
      </c>
      <c r="C1231" t="s">
        <v>2508</v>
      </c>
      <c r="D1231" t="s">
        <v>464</v>
      </c>
      <c r="E1231">
        <v>9737419</v>
      </c>
      <c r="F1231">
        <v>-34043503</v>
      </c>
      <c r="G1231">
        <v>4395280</v>
      </c>
      <c r="P1231">
        <v>38</v>
      </c>
      <c r="Q1231" t="s">
        <v>2509</v>
      </c>
    </row>
    <row r="1232" spans="1:17" x14ac:dyDescent="0.3">
      <c r="A1232" t="s">
        <v>32</v>
      </c>
      <c r="B1232" t="str">
        <f>"002112"</f>
        <v>002112</v>
      </c>
      <c r="C1232" t="s">
        <v>2510</v>
      </c>
      <c r="D1232" t="s">
        <v>464</v>
      </c>
      <c r="E1232">
        <v>9728300</v>
      </c>
      <c r="F1232">
        <v>-16381068</v>
      </c>
      <c r="G1232">
        <v>-8329765</v>
      </c>
      <c r="H1232">
        <v>-17874914</v>
      </c>
      <c r="I1232">
        <v>-12010593</v>
      </c>
      <c r="J1232">
        <v>-83675588</v>
      </c>
      <c r="K1232">
        <v>-64330760</v>
      </c>
      <c r="L1232">
        <v>-13568919</v>
      </c>
      <c r="M1232">
        <v>-19471687</v>
      </c>
      <c r="N1232">
        <v>14826291</v>
      </c>
      <c r="O1232">
        <v>-4868377</v>
      </c>
      <c r="P1232">
        <v>76</v>
      </c>
      <c r="Q1232" t="s">
        <v>2511</v>
      </c>
    </row>
    <row r="1233" spans="1:17" x14ac:dyDescent="0.3">
      <c r="A1233" t="s">
        <v>17</v>
      </c>
      <c r="B1233" t="str">
        <f>"600535"</f>
        <v>600535</v>
      </c>
      <c r="C1233" t="s">
        <v>2512</v>
      </c>
      <c r="D1233" t="s">
        <v>98</v>
      </c>
      <c r="E1233">
        <v>9639566</v>
      </c>
      <c r="F1233">
        <v>281783805</v>
      </c>
      <c r="G1233">
        <v>-77444317</v>
      </c>
      <c r="H1233">
        <v>107814820</v>
      </c>
      <c r="I1233">
        <v>28515639</v>
      </c>
      <c r="J1233">
        <v>-839510043</v>
      </c>
      <c r="K1233">
        <v>-20525604</v>
      </c>
      <c r="L1233">
        <v>-204883477</v>
      </c>
      <c r="M1233">
        <v>-13575458</v>
      </c>
      <c r="N1233">
        <v>65567282</v>
      </c>
      <c r="O1233">
        <v>128439919</v>
      </c>
      <c r="P1233">
        <v>12549</v>
      </c>
      <c r="Q1233" t="s">
        <v>2513</v>
      </c>
    </row>
    <row r="1234" spans="1:17" x14ac:dyDescent="0.3">
      <c r="A1234" t="s">
        <v>17</v>
      </c>
      <c r="B1234" t="str">
        <f>"603489"</f>
        <v>603489</v>
      </c>
      <c r="C1234" t="s">
        <v>2514</v>
      </c>
      <c r="D1234" t="s">
        <v>464</v>
      </c>
      <c r="E1234">
        <v>9521181</v>
      </c>
      <c r="F1234">
        <v>5400495</v>
      </c>
      <c r="G1234">
        <v>29053827</v>
      </c>
      <c r="H1234">
        <v>20683752</v>
      </c>
      <c r="P1234">
        <v>492</v>
      </c>
      <c r="Q1234" t="s">
        <v>2515</v>
      </c>
    </row>
    <row r="1235" spans="1:17" x14ac:dyDescent="0.3">
      <c r="A1235" t="s">
        <v>32</v>
      </c>
      <c r="B1235" t="str">
        <f>"002665"</f>
        <v>002665</v>
      </c>
      <c r="C1235" t="s">
        <v>2516</v>
      </c>
      <c r="D1235" t="s">
        <v>464</v>
      </c>
      <c r="E1235">
        <v>9508193</v>
      </c>
      <c r="F1235">
        <v>-231716661</v>
      </c>
      <c r="G1235">
        <v>-501654635</v>
      </c>
      <c r="H1235">
        <v>-195878807</v>
      </c>
      <c r="I1235">
        <v>-547522400</v>
      </c>
      <c r="J1235">
        <v>-134443140</v>
      </c>
      <c r="K1235">
        <v>-154013633</v>
      </c>
      <c r="L1235">
        <v>-172847061</v>
      </c>
      <c r="M1235">
        <v>-131451176</v>
      </c>
      <c r="N1235">
        <v>-96040323</v>
      </c>
      <c r="O1235">
        <v>-20723134</v>
      </c>
      <c r="P1235">
        <v>208</v>
      </c>
      <c r="Q1235" t="s">
        <v>2517</v>
      </c>
    </row>
    <row r="1236" spans="1:17" x14ac:dyDescent="0.3">
      <c r="A1236" t="s">
        <v>32</v>
      </c>
      <c r="B1236" t="str">
        <f>"002953"</f>
        <v>002953</v>
      </c>
      <c r="C1236" t="s">
        <v>2518</v>
      </c>
      <c r="D1236" t="s">
        <v>464</v>
      </c>
      <c r="E1236">
        <v>9481698</v>
      </c>
      <c r="F1236">
        <v>-84690576</v>
      </c>
      <c r="G1236">
        <v>-47696765</v>
      </c>
      <c r="H1236">
        <v>6347811</v>
      </c>
      <c r="I1236">
        <v>-31908173</v>
      </c>
      <c r="P1236">
        <v>99</v>
      </c>
      <c r="Q1236" t="s">
        <v>2519</v>
      </c>
    </row>
    <row r="1237" spans="1:17" x14ac:dyDescent="0.3">
      <c r="A1237" t="s">
        <v>17</v>
      </c>
      <c r="B1237" t="str">
        <f>"688113"</f>
        <v>688113</v>
      </c>
      <c r="C1237" t="s">
        <v>2520</v>
      </c>
      <c r="D1237" t="s">
        <v>135</v>
      </c>
      <c r="E1237">
        <v>9462053</v>
      </c>
      <c r="F1237">
        <v>10221583</v>
      </c>
      <c r="G1237">
        <v>-13433538</v>
      </c>
      <c r="P1237">
        <v>40</v>
      </c>
      <c r="Q1237" t="s">
        <v>2521</v>
      </c>
    </row>
    <row r="1238" spans="1:17" x14ac:dyDescent="0.3">
      <c r="A1238" t="s">
        <v>32</v>
      </c>
      <c r="B1238" t="str">
        <f>"300102"</f>
        <v>300102</v>
      </c>
      <c r="C1238" t="s">
        <v>2522</v>
      </c>
      <c r="D1238" t="s">
        <v>124</v>
      </c>
      <c r="E1238">
        <v>9410735</v>
      </c>
      <c r="F1238">
        <v>7997286</v>
      </c>
      <c r="G1238">
        <v>-92879309</v>
      </c>
      <c r="H1238">
        <v>-168768397</v>
      </c>
      <c r="I1238">
        <v>-250731061</v>
      </c>
      <c r="J1238">
        <v>-19511474</v>
      </c>
      <c r="K1238">
        <v>-133980285</v>
      </c>
      <c r="L1238">
        <v>-55622377</v>
      </c>
      <c r="M1238">
        <v>9713765</v>
      </c>
      <c r="N1238">
        <v>-33560165</v>
      </c>
      <c r="O1238">
        <v>-26032749</v>
      </c>
      <c r="P1238">
        <v>158</v>
      </c>
      <c r="Q1238" t="s">
        <v>2523</v>
      </c>
    </row>
    <row r="1239" spans="1:17" x14ac:dyDescent="0.3">
      <c r="A1239" t="s">
        <v>32</v>
      </c>
      <c r="B1239" t="str">
        <f>"300345"</f>
        <v>300345</v>
      </c>
      <c r="C1239" t="s">
        <v>2524</v>
      </c>
      <c r="D1239" t="s">
        <v>135</v>
      </c>
      <c r="E1239">
        <v>9370983</v>
      </c>
      <c r="F1239">
        <v>-2698858</v>
      </c>
      <c r="G1239">
        <v>23176721</v>
      </c>
      <c r="H1239">
        <v>6311394</v>
      </c>
      <c r="I1239">
        <v>-3429151</v>
      </c>
      <c r="J1239">
        <v>-727951</v>
      </c>
      <c r="K1239">
        <v>-101005085</v>
      </c>
      <c r="L1239">
        <v>-6063896</v>
      </c>
      <c r="M1239">
        <v>5364260</v>
      </c>
      <c r="N1239">
        <v>-6994797</v>
      </c>
      <c r="O1239">
        <v>-51035220</v>
      </c>
      <c r="P1239">
        <v>53</v>
      </c>
      <c r="Q1239" t="s">
        <v>2525</v>
      </c>
    </row>
    <row r="1240" spans="1:17" x14ac:dyDescent="0.3">
      <c r="A1240" t="s">
        <v>17</v>
      </c>
      <c r="B1240" t="str">
        <f>"600815"</f>
        <v>600815</v>
      </c>
      <c r="C1240" t="s">
        <v>2526</v>
      </c>
      <c r="D1240" t="s">
        <v>135</v>
      </c>
      <c r="E1240">
        <v>9364191</v>
      </c>
      <c r="F1240">
        <v>-21661571</v>
      </c>
      <c r="G1240">
        <v>-20009858</v>
      </c>
      <c r="H1240">
        <v>-110946072</v>
      </c>
      <c r="I1240">
        <v>225601625</v>
      </c>
      <c r="J1240">
        <v>31333721</v>
      </c>
      <c r="K1240">
        <v>-87186710</v>
      </c>
      <c r="L1240">
        <v>-256221908</v>
      </c>
      <c r="M1240">
        <v>-735208939</v>
      </c>
      <c r="N1240">
        <v>27835474</v>
      </c>
      <c r="O1240">
        <v>-678417134</v>
      </c>
      <c r="P1240">
        <v>67</v>
      </c>
      <c r="Q1240" t="s">
        <v>2527</v>
      </c>
    </row>
    <row r="1241" spans="1:17" x14ac:dyDescent="0.3">
      <c r="A1241" t="s">
        <v>32</v>
      </c>
      <c r="B1241" t="str">
        <f>"300547"</f>
        <v>300547</v>
      </c>
      <c r="C1241" t="s">
        <v>2528</v>
      </c>
      <c r="D1241" t="s">
        <v>199</v>
      </c>
      <c r="E1241">
        <v>9254486</v>
      </c>
      <c r="F1241">
        <v>-31696191</v>
      </c>
      <c r="G1241">
        <v>8657070</v>
      </c>
      <c r="H1241">
        <v>-2247600</v>
      </c>
      <c r="I1241">
        <v>-19287559</v>
      </c>
      <c r="J1241">
        <v>-18028179</v>
      </c>
      <c r="K1241">
        <v>-11768093</v>
      </c>
      <c r="P1241">
        <v>181</v>
      </c>
      <c r="Q1241" t="s">
        <v>2529</v>
      </c>
    </row>
    <row r="1242" spans="1:17" x14ac:dyDescent="0.3">
      <c r="A1242" t="s">
        <v>32</v>
      </c>
      <c r="B1242" t="str">
        <f>"300916"</f>
        <v>300916</v>
      </c>
      <c r="C1242" t="s">
        <v>2530</v>
      </c>
      <c r="D1242" t="s">
        <v>124</v>
      </c>
      <c r="E1242">
        <v>9249466</v>
      </c>
      <c r="F1242">
        <v>-1978233</v>
      </c>
      <c r="G1242">
        <v>-25487010</v>
      </c>
      <c r="P1242">
        <v>79</v>
      </c>
      <c r="Q1242" t="s">
        <v>2531</v>
      </c>
    </row>
    <row r="1243" spans="1:17" x14ac:dyDescent="0.3">
      <c r="A1243" t="s">
        <v>17</v>
      </c>
      <c r="B1243" t="str">
        <f>"600371"</f>
        <v>600371</v>
      </c>
      <c r="C1243" t="s">
        <v>2532</v>
      </c>
      <c r="D1243" t="s">
        <v>175</v>
      </c>
      <c r="E1243">
        <v>9162566</v>
      </c>
      <c r="F1243">
        <v>14123207</v>
      </c>
      <c r="G1243">
        <v>110222</v>
      </c>
      <c r="H1243">
        <v>16992724</v>
      </c>
      <c r="I1243">
        <v>36040337</v>
      </c>
      <c r="J1243">
        <v>33562375</v>
      </c>
      <c r="K1243">
        <v>141096091</v>
      </c>
      <c r="L1243">
        <v>82133266</v>
      </c>
      <c r="M1243">
        <v>9768046</v>
      </c>
      <c r="N1243">
        <v>-25539004</v>
      </c>
      <c r="O1243">
        <v>69681866</v>
      </c>
      <c r="P1243">
        <v>174</v>
      </c>
      <c r="Q1243" t="s">
        <v>2533</v>
      </c>
    </row>
    <row r="1244" spans="1:17" x14ac:dyDescent="0.3">
      <c r="A1244" t="s">
        <v>32</v>
      </c>
      <c r="B1244" t="str">
        <f>"300154"</f>
        <v>300154</v>
      </c>
      <c r="C1244" t="s">
        <v>2534</v>
      </c>
      <c r="D1244" t="s">
        <v>135</v>
      </c>
      <c r="E1244">
        <v>9041321</v>
      </c>
      <c r="F1244">
        <v>17300294</v>
      </c>
      <c r="G1244">
        <v>-8855811</v>
      </c>
      <c r="H1244">
        <v>-75687953</v>
      </c>
      <c r="I1244">
        <v>-10009108</v>
      </c>
      <c r="J1244">
        <v>52393485</v>
      </c>
      <c r="K1244">
        <v>38581808</v>
      </c>
      <c r="L1244">
        <v>3286925</v>
      </c>
      <c r="M1244">
        <v>27031590</v>
      </c>
      <c r="N1244">
        <v>57834736</v>
      </c>
      <c r="O1244">
        <v>-53846892</v>
      </c>
      <c r="P1244">
        <v>82</v>
      </c>
      <c r="Q1244" t="s">
        <v>2535</v>
      </c>
    </row>
    <row r="1245" spans="1:17" x14ac:dyDescent="0.3">
      <c r="A1245" t="s">
        <v>17</v>
      </c>
      <c r="B1245" t="str">
        <f>"900904"</f>
        <v>900904</v>
      </c>
      <c r="C1245" t="s">
        <v>2536</v>
      </c>
      <c r="E1245">
        <v>8960641.2025000006</v>
      </c>
      <c r="F1245">
        <v>6393847.5120000001</v>
      </c>
      <c r="G1245">
        <v>-4806963.1694</v>
      </c>
      <c r="H1245">
        <v>7121572.5609999998</v>
      </c>
      <c r="I1245">
        <v>-3525147.8964</v>
      </c>
      <c r="J1245">
        <v>-12157553.601600001</v>
      </c>
      <c r="K1245">
        <v>-3366688.6105999998</v>
      </c>
      <c r="L1245">
        <v>-5912885.5582999997</v>
      </c>
      <c r="M1245">
        <v>-12832360.8312</v>
      </c>
      <c r="N1245">
        <v>2456106.6809999999</v>
      </c>
      <c r="O1245">
        <v>4292954.1008000001</v>
      </c>
      <c r="P1245">
        <v>8</v>
      </c>
      <c r="Q1245" t="s">
        <v>2537</v>
      </c>
    </row>
    <row r="1246" spans="1:17" x14ac:dyDescent="0.3">
      <c r="A1246" t="s">
        <v>32</v>
      </c>
      <c r="B1246" t="str">
        <f>"002134"</f>
        <v>002134</v>
      </c>
      <c r="C1246" t="s">
        <v>2538</v>
      </c>
      <c r="D1246" t="s">
        <v>124</v>
      </c>
      <c r="E1246">
        <v>8867648</v>
      </c>
      <c r="F1246">
        <v>25755282</v>
      </c>
      <c r="G1246">
        <v>24850200</v>
      </c>
      <c r="H1246">
        <v>-7138190</v>
      </c>
      <c r="I1246">
        <v>7301575</v>
      </c>
      <c r="J1246">
        <v>17806602</v>
      </c>
      <c r="K1246">
        <v>2301981</v>
      </c>
      <c r="L1246">
        <v>21358691</v>
      </c>
      <c r="M1246">
        <v>-6846494</v>
      </c>
      <c r="N1246">
        <v>7991311</v>
      </c>
      <c r="O1246">
        <v>-32722375</v>
      </c>
      <c r="P1246">
        <v>119</v>
      </c>
      <c r="Q1246" t="s">
        <v>2539</v>
      </c>
    </row>
    <row r="1247" spans="1:17" x14ac:dyDescent="0.3">
      <c r="A1247" t="s">
        <v>32</v>
      </c>
      <c r="B1247" t="str">
        <f>"002168"</f>
        <v>002168</v>
      </c>
      <c r="C1247" t="s">
        <v>2540</v>
      </c>
      <c r="D1247" t="s">
        <v>245</v>
      </c>
      <c r="E1247">
        <v>8707863</v>
      </c>
      <c r="F1247">
        <v>277517592</v>
      </c>
      <c r="G1247">
        <v>137641309</v>
      </c>
      <c r="H1247">
        <v>-140310907</v>
      </c>
      <c r="I1247">
        <v>13234210</v>
      </c>
      <c r="J1247">
        <v>4799852</v>
      </c>
      <c r="K1247">
        <v>-80092936</v>
      </c>
      <c r="L1247">
        <v>4364429</v>
      </c>
      <c r="M1247">
        <v>-42204340</v>
      </c>
      <c r="N1247">
        <v>-26521511</v>
      </c>
      <c r="O1247">
        <v>-80303001</v>
      </c>
      <c r="P1247">
        <v>158</v>
      </c>
      <c r="Q1247" t="s">
        <v>2541</v>
      </c>
    </row>
    <row r="1248" spans="1:17" x14ac:dyDescent="0.3">
      <c r="A1248" t="s">
        <v>32</v>
      </c>
      <c r="B1248" t="str">
        <f>"300566"</f>
        <v>300566</v>
      </c>
      <c r="C1248" t="s">
        <v>2542</v>
      </c>
      <c r="D1248" t="s">
        <v>124</v>
      </c>
      <c r="E1248">
        <v>8691006</v>
      </c>
      <c r="F1248">
        <v>-31721720</v>
      </c>
      <c r="G1248">
        <v>-8633746</v>
      </c>
      <c r="H1248">
        <v>-82985345</v>
      </c>
      <c r="I1248">
        <v>-28188846</v>
      </c>
      <c r="J1248">
        <v>-44107931</v>
      </c>
      <c r="K1248">
        <v>-35624628</v>
      </c>
      <c r="P1248">
        <v>198</v>
      </c>
      <c r="Q1248" t="s">
        <v>2543</v>
      </c>
    </row>
    <row r="1249" spans="1:17" x14ac:dyDescent="0.3">
      <c r="A1249" t="s">
        <v>32</v>
      </c>
      <c r="B1249" t="str">
        <f>"002336"</f>
        <v>002336</v>
      </c>
      <c r="C1249" t="s">
        <v>2544</v>
      </c>
      <c r="D1249" t="s">
        <v>218</v>
      </c>
      <c r="E1249">
        <v>8312862</v>
      </c>
      <c r="F1249">
        <v>229863338</v>
      </c>
      <c r="G1249">
        <v>14963374</v>
      </c>
      <c r="H1249">
        <v>-808195</v>
      </c>
      <c r="I1249">
        <v>-70828020</v>
      </c>
      <c r="J1249">
        <v>-9357729</v>
      </c>
      <c r="K1249">
        <v>112046011</v>
      </c>
      <c r="L1249">
        <v>-55901234</v>
      </c>
      <c r="M1249">
        <v>-263942874</v>
      </c>
      <c r="N1249">
        <v>122462808</v>
      </c>
      <c r="O1249">
        <v>54731059</v>
      </c>
      <c r="P1249">
        <v>69</v>
      </c>
      <c r="Q1249" t="s">
        <v>2545</v>
      </c>
    </row>
    <row r="1250" spans="1:17" x14ac:dyDescent="0.3">
      <c r="A1250" t="s">
        <v>17</v>
      </c>
      <c r="B1250" t="str">
        <f>"600594"</f>
        <v>600594</v>
      </c>
      <c r="C1250" t="s">
        <v>2546</v>
      </c>
      <c r="D1250" t="s">
        <v>98</v>
      </c>
      <c r="E1250">
        <v>8294543</v>
      </c>
      <c r="F1250">
        <v>316588696</v>
      </c>
      <c r="G1250">
        <v>163293479</v>
      </c>
      <c r="H1250">
        <v>134531832</v>
      </c>
      <c r="I1250">
        <v>-197417325</v>
      </c>
      <c r="J1250">
        <v>232957517</v>
      </c>
      <c r="K1250">
        <v>176386158</v>
      </c>
      <c r="L1250">
        <v>-18710623</v>
      </c>
      <c r="M1250">
        <v>138898978</v>
      </c>
      <c r="N1250">
        <v>153441819</v>
      </c>
      <c r="O1250">
        <v>141146732</v>
      </c>
      <c r="P1250">
        <v>312</v>
      </c>
      <c r="Q1250" t="s">
        <v>2547</v>
      </c>
    </row>
    <row r="1251" spans="1:17" x14ac:dyDescent="0.3">
      <c r="A1251" t="s">
        <v>17</v>
      </c>
      <c r="B1251" t="str">
        <f>"688013"</f>
        <v>688013</v>
      </c>
      <c r="C1251" t="s">
        <v>2548</v>
      </c>
      <c r="D1251" t="s">
        <v>98</v>
      </c>
      <c r="E1251">
        <v>8294169</v>
      </c>
      <c r="F1251">
        <v>13788361</v>
      </c>
      <c r="P1251">
        <v>64</v>
      </c>
      <c r="Q1251" t="s">
        <v>2549</v>
      </c>
    </row>
    <row r="1252" spans="1:17" x14ac:dyDescent="0.3">
      <c r="A1252" t="s">
        <v>17</v>
      </c>
      <c r="B1252" t="str">
        <f>"688198"</f>
        <v>688198</v>
      </c>
      <c r="C1252" t="s">
        <v>2550</v>
      </c>
      <c r="D1252" t="s">
        <v>98</v>
      </c>
      <c r="E1252">
        <v>8260502</v>
      </c>
      <c r="F1252">
        <v>-29633957</v>
      </c>
      <c r="G1252">
        <v>2084599</v>
      </c>
      <c r="H1252">
        <v>10992296</v>
      </c>
      <c r="P1252">
        <v>190</v>
      </c>
      <c r="Q1252" t="s">
        <v>2551</v>
      </c>
    </row>
    <row r="1253" spans="1:17" x14ac:dyDescent="0.3">
      <c r="A1253" t="s">
        <v>32</v>
      </c>
      <c r="B1253" t="str">
        <f>"300277"</f>
        <v>300277</v>
      </c>
      <c r="C1253" t="s">
        <v>2552</v>
      </c>
      <c r="D1253" t="s">
        <v>342</v>
      </c>
      <c r="E1253">
        <v>8128474</v>
      </c>
      <c r="F1253">
        <v>19697932</v>
      </c>
      <c r="G1253">
        <v>-1224266</v>
      </c>
      <c r="H1253">
        <v>24323803</v>
      </c>
      <c r="I1253">
        <v>-17244596</v>
      </c>
      <c r="J1253">
        <v>35126765</v>
      </c>
      <c r="K1253">
        <v>-10309678</v>
      </c>
      <c r="L1253">
        <v>-61262611</v>
      </c>
      <c r="M1253">
        <v>-812274</v>
      </c>
      <c r="N1253">
        <v>-51918867</v>
      </c>
      <c r="O1253">
        <v>-59882728</v>
      </c>
      <c r="P1253">
        <v>73</v>
      </c>
      <c r="Q1253" t="s">
        <v>2553</v>
      </c>
    </row>
    <row r="1254" spans="1:17" x14ac:dyDescent="0.3">
      <c r="A1254" t="s">
        <v>17</v>
      </c>
      <c r="B1254" t="str">
        <f>"688395"</f>
        <v>688395</v>
      </c>
      <c r="C1254" t="s">
        <v>2554</v>
      </c>
      <c r="D1254" t="s">
        <v>135</v>
      </c>
      <c r="E1254">
        <v>8068334</v>
      </c>
      <c r="F1254">
        <v>-13164549</v>
      </c>
      <c r="G1254">
        <v>-7012048</v>
      </c>
      <c r="P1254">
        <v>36</v>
      </c>
      <c r="Q1254" t="s">
        <v>2555</v>
      </c>
    </row>
    <row r="1255" spans="1:17" x14ac:dyDescent="0.3">
      <c r="A1255" t="s">
        <v>17</v>
      </c>
      <c r="B1255" t="str">
        <f>"688305"</f>
        <v>688305</v>
      </c>
      <c r="C1255" t="s">
        <v>2556</v>
      </c>
      <c r="D1255" t="s">
        <v>135</v>
      </c>
      <c r="E1255">
        <v>8063965</v>
      </c>
      <c r="F1255">
        <v>-26142438</v>
      </c>
      <c r="G1255">
        <v>-8306989</v>
      </c>
      <c r="P1255">
        <v>79</v>
      </c>
      <c r="Q1255" t="s">
        <v>2557</v>
      </c>
    </row>
    <row r="1256" spans="1:17" x14ac:dyDescent="0.3">
      <c r="A1256" t="s">
        <v>32</v>
      </c>
      <c r="B1256" t="str">
        <f>"000403"</f>
        <v>000403</v>
      </c>
      <c r="C1256" t="s">
        <v>2558</v>
      </c>
      <c r="D1256" t="s">
        <v>98</v>
      </c>
      <c r="E1256">
        <v>8034463</v>
      </c>
      <c r="F1256">
        <v>-27858588</v>
      </c>
      <c r="G1256">
        <v>40936159</v>
      </c>
      <c r="H1256">
        <v>-22553290</v>
      </c>
      <c r="I1256">
        <v>-17172004</v>
      </c>
      <c r="J1256">
        <v>-38792012</v>
      </c>
      <c r="K1256">
        <v>21021356</v>
      </c>
      <c r="L1256">
        <v>16604225</v>
      </c>
      <c r="M1256">
        <v>-5642688</v>
      </c>
      <c r="N1256">
        <v>-14989645</v>
      </c>
      <c r="O1256">
        <v>-15217520</v>
      </c>
      <c r="P1256">
        <v>294</v>
      </c>
      <c r="Q1256" t="s">
        <v>2559</v>
      </c>
    </row>
    <row r="1257" spans="1:17" x14ac:dyDescent="0.3">
      <c r="A1257" t="s">
        <v>17</v>
      </c>
      <c r="B1257" t="str">
        <f>"603616"</f>
        <v>603616</v>
      </c>
      <c r="C1257" t="s">
        <v>2560</v>
      </c>
      <c r="D1257" t="s">
        <v>400</v>
      </c>
      <c r="E1257">
        <v>8013251</v>
      </c>
      <c r="F1257">
        <v>-65869113</v>
      </c>
      <c r="G1257">
        <v>25550125</v>
      </c>
      <c r="H1257">
        <v>-64641654</v>
      </c>
      <c r="I1257">
        <v>-105051766</v>
      </c>
      <c r="J1257">
        <v>-58231658</v>
      </c>
      <c r="K1257">
        <v>2048893</v>
      </c>
      <c r="L1257">
        <v>-90924166</v>
      </c>
      <c r="M1257">
        <v>-125353688</v>
      </c>
      <c r="P1257">
        <v>71</v>
      </c>
      <c r="Q1257" t="s">
        <v>2561</v>
      </c>
    </row>
    <row r="1258" spans="1:17" x14ac:dyDescent="0.3">
      <c r="A1258" t="s">
        <v>32</v>
      </c>
      <c r="B1258" t="str">
        <f>"300539"</f>
        <v>300539</v>
      </c>
      <c r="C1258" t="s">
        <v>2562</v>
      </c>
      <c r="D1258" t="s">
        <v>144</v>
      </c>
      <c r="E1258">
        <v>7941095</v>
      </c>
      <c r="F1258">
        <v>8670882</v>
      </c>
      <c r="G1258">
        <v>21274575</v>
      </c>
      <c r="H1258">
        <v>-16853764</v>
      </c>
      <c r="I1258">
        <v>-49809232</v>
      </c>
      <c r="J1258">
        <v>4808682</v>
      </c>
      <c r="K1258">
        <v>1520286</v>
      </c>
      <c r="P1258">
        <v>84</v>
      </c>
      <c r="Q1258" t="s">
        <v>2563</v>
      </c>
    </row>
    <row r="1259" spans="1:17" x14ac:dyDescent="0.3">
      <c r="A1259" t="s">
        <v>32</v>
      </c>
      <c r="B1259" t="str">
        <f>"002453"</f>
        <v>002453</v>
      </c>
      <c r="C1259" t="s">
        <v>2564</v>
      </c>
      <c r="D1259" t="s">
        <v>144</v>
      </c>
      <c r="E1259">
        <v>7938677</v>
      </c>
      <c r="F1259">
        <v>-27678916</v>
      </c>
      <c r="G1259">
        <v>725369</v>
      </c>
      <c r="H1259">
        <v>-14691918</v>
      </c>
      <c r="I1259">
        <v>83838523</v>
      </c>
      <c r="J1259">
        <v>20193000</v>
      </c>
      <c r="K1259">
        <v>-73814917</v>
      </c>
      <c r="L1259">
        <v>-68444107</v>
      </c>
      <c r="M1259">
        <v>-2705782</v>
      </c>
      <c r="N1259">
        <v>-23048258</v>
      </c>
      <c r="O1259">
        <v>-25036262</v>
      </c>
      <c r="P1259">
        <v>125</v>
      </c>
      <c r="Q1259" t="s">
        <v>2565</v>
      </c>
    </row>
    <row r="1260" spans="1:17" x14ac:dyDescent="0.3">
      <c r="A1260" t="s">
        <v>32</v>
      </c>
      <c r="B1260" t="str">
        <f>"301258"</f>
        <v>301258</v>
      </c>
      <c r="C1260" t="s">
        <v>2566</v>
      </c>
      <c r="E1260">
        <v>7925371</v>
      </c>
      <c r="P1260">
        <v>4</v>
      </c>
      <c r="Q1260" t="s">
        <v>2567</v>
      </c>
    </row>
    <row r="1261" spans="1:17" x14ac:dyDescent="0.3">
      <c r="A1261" t="s">
        <v>32</v>
      </c>
      <c r="B1261" t="str">
        <f>"002351"</f>
        <v>002351</v>
      </c>
      <c r="C1261" t="s">
        <v>2568</v>
      </c>
      <c r="D1261" t="s">
        <v>124</v>
      </c>
      <c r="E1261">
        <v>7919065</v>
      </c>
      <c r="F1261">
        <v>-105704725</v>
      </c>
      <c r="G1261">
        <v>-75733413</v>
      </c>
      <c r="H1261">
        <v>25823932</v>
      </c>
      <c r="I1261">
        <v>-46077940</v>
      </c>
      <c r="J1261">
        <v>8834962</v>
      </c>
      <c r="K1261">
        <v>-49345090</v>
      </c>
      <c r="L1261">
        <v>-18992667</v>
      </c>
      <c r="M1261">
        <v>-8170234</v>
      </c>
      <c r="N1261">
        <v>240537992</v>
      </c>
      <c r="O1261">
        <v>-29678785</v>
      </c>
      <c r="P1261">
        <v>339</v>
      </c>
      <c r="Q1261" t="s">
        <v>2569</v>
      </c>
    </row>
    <row r="1262" spans="1:17" x14ac:dyDescent="0.3">
      <c r="A1262" t="s">
        <v>17</v>
      </c>
      <c r="B1262" t="str">
        <f>"688159"</f>
        <v>688159</v>
      </c>
      <c r="C1262" t="s">
        <v>2570</v>
      </c>
      <c r="D1262" t="s">
        <v>57</v>
      </c>
      <c r="E1262">
        <v>7850642</v>
      </c>
      <c r="F1262">
        <v>-84938210</v>
      </c>
      <c r="G1262">
        <v>-118451070</v>
      </c>
      <c r="H1262">
        <v>-9242556</v>
      </c>
      <c r="P1262">
        <v>94</v>
      </c>
      <c r="Q1262" t="s">
        <v>2571</v>
      </c>
    </row>
    <row r="1263" spans="1:17" x14ac:dyDescent="0.3">
      <c r="A1263" t="s">
        <v>17</v>
      </c>
      <c r="B1263" t="str">
        <f>"688091"</f>
        <v>688091</v>
      </c>
      <c r="C1263" t="s">
        <v>2572</v>
      </c>
      <c r="D1263" t="s">
        <v>98</v>
      </c>
      <c r="E1263">
        <v>7812919</v>
      </c>
      <c r="G1263">
        <v>-8207771</v>
      </c>
      <c r="P1263">
        <v>14</v>
      </c>
      <c r="Q1263" t="s">
        <v>2573</v>
      </c>
    </row>
    <row r="1264" spans="1:17" x14ac:dyDescent="0.3">
      <c r="A1264" t="s">
        <v>32</v>
      </c>
      <c r="B1264" t="str">
        <f>"002516"</f>
        <v>002516</v>
      </c>
      <c r="C1264" t="s">
        <v>2574</v>
      </c>
      <c r="D1264" t="s">
        <v>199</v>
      </c>
      <c r="E1264">
        <v>7751118</v>
      </c>
      <c r="F1264">
        <v>-1932270</v>
      </c>
      <c r="G1264">
        <v>87646756</v>
      </c>
      <c r="H1264">
        <v>-5398985</v>
      </c>
      <c r="I1264">
        <v>19107984</v>
      </c>
      <c r="J1264">
        <v>75605506</v>
      </c>
      <c r="K1264">
        <v>-207978115</v>
      </c>
      <c r="L1264">
        <v>-208230393</v>
      </c>
      <c r="M1264">
        <v>-9729719</v>
      </c>
      <c r="N1264">
        <v>-93145909</v>
      </c>
      <c r="O1264">
        <v>18517158</v>
      </c>
      <c r="P1264">
        <v>160</v>
      </c>
      <c r="Q1264" t="s">
        <v>2575</v>
      </c>
    </row>
    <row r="1265" spans="1:17" x14ac:dyDescent="0.3">
      <c r="A1265" t="s">
        <v>32</v>
      </c>
      <c r="B1265" t="str">
        <f>"002757"</f>
        <v>002757</v>
      </c>
      <c r="C1265" t="s">
        <v>2576</v>
      </c>
      <c r="D1265" t="s">
        <v>135</v>
      </c>
      <c r="E1265">
        <v>7715608</v>
      </c>
      <c r="F1265">
        <v>-84494442</v>
      </c>
      <c r="G1265">
        <v>-22463259</v>
      </c>
      <c r="H1265">
        <v>49660625</v>
      </c>
      <c r="I1265">
        <v>1481473</v>
      </c>
      <c r="J1265">
        <v>-6896932</v>
      </c>
      <c r="K1265">
        <v>-11027477</v>
      </c>
      <c r="L1265">
        <v>-30208637</v>
      </c>
      <c r="M1265">
        <v>-3964632</v>
      </c>
      <c r="P1265">
        <v>267</v>
      </c>
      <c r="Q1265" t="s">
        <v>2577</v>
      </c>
    </row>
    <row r="1266" spans="1:17" x14ac:dyDescent="0.3">
      <c r="A1266" t="s">
        <v>17</v>
      </c>
      <c r="B1266" t="str">
        <f>"688786"</f>
        <v>688786</v>
      </c>
      <c r="C1266" t="s">
        <v>2578</v>
      </c>
      <c r="D1266" t="s">
        <v>121</v>
      </c>
      <c r="E1266">
        <v>7594632</v>
      </c>
      <c r="P1266">
        <v>31</v>
      </c>
      <c r="Q1266" t="s">
        <v>2579</v>
      </c>
    </row>
    <row r="1267" spans="1:17" x14ac:dyDescent="0.3">
      <c r="A1267" t="s">
        <v>17</v>
      </c>
      <c r="B1267" t="str">
        <f>"603766"</f>
        <v>603766</v>
      </c>
      <c r="C1267" t="s">
        <v>2580</v>
      </c>
      <c r="D1267" t="s">
        <v>199</v>
      </c>
      <c r="E1267">
        <v>7581309</v>
      </c>
      <c r="F1267">
        <v>-42095681</v>
      </c>
      <c r="G1267">
        <v>-334700753</v>
      </c>
      <c r="H1267">
        <v>39596521</v>
      </c>
      <c r="I1267">
        <v>-46960438</v>
      </c>
      <c r="J1267">
        <v>153764873</v>
      </c>
      <c r="K1267">
        <v>67556645</v>
      </c>
      <c r="L1267">
        <v>-70249367</v>
      </c>
      <c r="M1267">
        <v>-62943014</v>
      </c>
      <c r="N1267">
        <v>-96276431</v>
      </c>
      <c r="O1267">
        <v>-258825476</v>
      </c>
      <c r="P1267">
        <v>460</v>
      </c>
      <c r="Q1267" t="s">
        <v>2581</v>
      </c>
    </row>
    <row r="1268" spans="1:17" x14ac:dyDescent="0.3">
      <c r="A1268" t="s">
        <v>32</v>
      </c>
      <c r="B1268" t="str">
        <f>"300218"</f>
        <v>300218</v>
      </c>
      <c r="C1268" t="s">
        <v>2582</v>
      </c>
      <c r="D1268" t="s">
        <v>144</v>
      </c>
      <c r="E1268">
        <v>7556039</v>
      </c>
      <c r="F1268">
        <v>-106895608</v>
      </c>
      <c r="G1268">
        <v>-105422147</v>
      </c>
      <c r="H1268">
        <v>-110498115</v>
      </c>
      <c r="I1268">
        <v>-76124596</v>
      </c>
      <c r="J1268">
        <v>-81389730</v>
      </c>
      <c r="K1268">
        <v>-99734377</v>
      </c>
      <c r="L1268">
        <v>-98265995</v>
      </c>
      <c r="M1268">
        <v>-99900728</v>
      </c>
      <c r="N1268">
        <v>-80804096</v>
      </c>
      <c r="O1268">
        <v>-99022355</v>
      </c>
      <c r="P1268">
        <v>108</v>
      </c>
      <c r="Q1268" t="s">
        <v>2583</v>
      </c>
    </row>
    <row r="1269" spans="1:17" x14ac:dyDescent="0.3">
      <c r="A1269" t="s">
        <v>32</v>
      </c>
      <c r="B1269" t="str">
        <f>"000532"</f>
        <v>000532</v>
      </c>
      <c r="C1269" t="s">
        <v>2584</v>
      </c>
      <c r="D1269" t="s">
        <v>26</v>
      </c>
      <c r="E1269">
        <v>7420034</v>
      </c>
      <c r="F1269">
        <v>56860959</v>
      </c>
      <c r="G1269">
        <v>100951217</v>
      </c>
      <c r="H1269">
        <v>-5358965</v>
      </c>
      <c r="I1269">
        <v>29384833</v>
      </c>
      <c r="J1269">
        <v>-28666</v>
      </c>
      <c r="K1269">
        <v>10200211</v>
      </c>
      <c r="L1269">
        <v>5234284</v>
      </c>
      <c r="M1269">
        <v>-46935409</v>
      </c>
      <c r="N1269">
        <v>5787368</v>
      </c>
      <c r="O1269">
        <v>21841145</v>
      </c>
      <c r="P1269">
        <v>140</v>
      </c>
      <c r="Q1269" t="s">
        <v>2585</v>
      </c>
    </row>
    <row r="1270" spans="1:17" x14ac:dyDescent="0.3">
      <c r="A1270" t="s">
        <v>17</v>
      </c>
      <c r="B1270" t="str">
        <f>"603989"</f>
        <v>603989</v>
      </c>
      <c r="C1270" t="s">
        <v>2586</v>
      </c>
      <c r="D1270" t="s">
        <v>124</v>
      </c>
      <c r="E1270">
        <v>7363324</v>
      </c>
      <c r="F1270">
        <v>99585763</v>
      </c>
      <c r="G1270">
        <v>72887866</v>
      </c>
      <c r="H1270">
        <v>9737221</v>
      </c>
      <c r="I1270">
        <v>72284508</v>
      </c>
      <c r="J1270">
        <v>18917440</v>
      </c>
      <c r="K1270">
        <v>52371762</v>
      </c>
      <c r="L1270">
        <v>39571361</v>
      </c>
      <c r="P1270">
        <v>12179</v>
      </c>
      <c r="Q1270" t="s">
        <v>2587</v>
      </c>
    </row>
    <row r="1271" spans="1:17" x14ac:dyDescent="0.3">
      <c r="A1271" t="s">
        <v>32</v>
      </c>
      <c r="B1271" t="str">
        <f>"300869"</f>
        <v>300869</v>
      </c>
      <c r="C1271" t="s">
        <v>2588</v>
      </c>
      <c r="D1271" t="s">
        <v>98</v>
      </c>
      <c r="E1271">
        <v>7252784</v>
      </c>
      <c r="F1271">
        <v>-8978951</v>
      </c>
      <c r="G1271">
        <v>73221310</v>
      </c>
      <c r="P1271">
        <v>174</v>
      </c>
      <c r="Q1271" t="s">
        <v>2589</v>
      </c>
    </row>
    <row r="1272" spans="1:17" x14ac:dyDescent="0.3">
      <c r="A1272" t="s">
        <v>17</v>
      </c>
      <c r="B1272" t="str">
        <f>"688057"</f>
        <v>688057</v>
      </c>
      <c r="C1272" t="s">
        <v>2590</v>
      </c>
      <c r="D1272" t="s">
        <v>1334</v>
      </c>
      <c r="E1272">
        <v>7229564</v>
      </c>
      <c r="F1272">
        <v>-25663911</v>
      </c>
      <c r="H1272">
        <v>-57842734</v>
      </c>
      <c r="I1272">
        <v>28311179</v>
      </c>
      <c r="P1272">
        <v>116</v>
      </c>
      <c r="Q1272" t="s">
        <v>2591</v>
      </c>
    </row>
    <row r="1273" spans="1:17" x14ac:dyDescent="0.3">
      <c r="A1273" t="s">
        <v>17</v>
      </c>
      <c r="B1273" t="str">
        <f>"600575"</f>
        <v>600575</v>
      </c>
      <c r="C1273" t="s">
        <v>2592</v>
      </c>
      <c r="D1273" t="s">
        <v>46</v>
      </c>
      <c r="E1273">
        <v>7105372</v>
      </c>
      <c r="F1273">
        <v>53408796</v>
      </c>
      <c r="G1273">
        <v>35696845</v>
      </c>
      <c r="H1273">
        <v>143586422</v>
      </c>
      <c r="I1273">
        <v>147519287</v>
      </c>
      <c r="J1273">
        <v>-381126165</v>
      </c>
      <c r="K1273">
        <v>148693183</v>
      </c>
      <c r="L1273">
        <v>284723974</v>
      </c>
      <c r="M1273">
        <v>218864255</v>
      </c>
      <c r="N1273">
        <v>-1422362067</v>
      </c>
      <c r="O1273">
        <v>-594775351</v>
      </c>
      <c r="P1273">
        <v>118</v>
      </c>
      <c r="Q1273" t="s">
        <v>2593</v>
      </c>
    </row>
    <row r="1274" spans="1:17" x14ac:dyDescent="0.3">
      <c r="A1274" t="s">
        <v>17</v>
      </c>
      <c r="B1274" t="str">
        <f>"603311"</f>
        <v>603311</v>
      </c>
      <c r="C1274" t="s">
        <v>2594</v>
      </c>
      <c r="D1274" t="s">
        <v>127</v>
      </c>
      <c r="E1274">
        <v>7091273</v>
      </c>
      <c r="F1274">
        <v>-6995767</v>
      </c>
      <c r="G1274">
        <v>22826078</v>
      </c>
      <c r="H1274">
        <v>-14576006</v>
      </c>
      <c r="I1274">
        <v>-19515330</v>
      </c>
      <c r="J1274">
        <v>568777</v>
      </c>
      <c r="K1274">
        <v>1899501</v>
      </c>
      <c r="L1274">
        <v>-90313</v>
      </c>
      <c r="M1274">
        <v>22989403</v>
      </c>
      <c r="P1274">
        <v>96</v>
      </c>
      <c r="Q1274" t="s">
        <v>2595</v>
      </c>
    </row>
    <row r="1275" spans="1:17" x14ac:dyDescent="0.3">
      <c r="A1275" t="s">
        <v>32</v>
      </c>
      <c r="B1275" t="str">
        <f>"002728"</f>
        <v>002728</v>
      </c>
      <c r="C1275" t="s">
        <v>2596</v>
      </c>
      <c r="D1275" t="s">
        <v>98</v>
      </c>
      <c r="E1275">
        <v>7027649</v>
      </c>
      <c r="F1275">
        <v>56455559</v>
      </c>
      <c r="G1275">
        <v>19998688</v>
      </c>
      <c r="H1275">
        <v>5716286</v>
      </c>
      <c r="I1275">
        <v>-2403876</v>
      </c>
      <c r="J1275">
        <v>8992816</v>
      </c>
      <c r="K1275">
        <v>-165103488</v>
      </c>
      <c r="L1275">
        <v>-770843</v>
      </c>
      <c r="M1275">
        <v>19355500</v>
      </c>
      <c r="N1275">
        <v>4574700</v>
      </c>
      <c r="P1275">
        <v>288</v>
      </c>
      <c r="Q1275" t="s">
        <v>2597</v>
      </c>
    </row>
    <row r="1276" spans="1:17" x14ac:dyDescent="0.3">
      <c r="A1276" t="s">
        <v>32</v>
      </c>
      <c r="B1276" t="str">
        <f>"002508"</f>
        <v>002508</v>
      </c>
      <c r="C1276" t="s">
        <v>2598</v>
      </c>
      <c r="D1276" t="s">
        <v>127</v>
      </c>
      <c r="E1276">
        <v>6873700</v>
      </c>
      <c r="F1276">
        <v>66251547</v>
      </c>
      <c r="G1276">
        <v>-288817513</v>
      </c>
      <c r="H1276">
        <v>107851199</v>
      </c>
      <c r="I1276">
        <v>531389811</v>
      </c>
      <c r="J1276">
        <v>169047654</v>
      </c>
      <c r="K1276">
        <v>124854749</v>
      </c>
      <c r="L1276">
        <v>-78556499</v>
      </c>
      <c r="M1276">
        <v>52972834</v>
      </c>
      <c r="N1276">
        <v>-1597893</v>
      </c>
      <c r="O1276">
        <v>25080908</v>
      </c>
      <c r="P1276">
        <v>40626</v>
      </c>
      <c r="Q1276" t="s">
        <v>2599</v>
      </c>
    </row>
    <row r="1277" spans="1:17" x14ac:dyDescent="0.3">
      <c r="A1277" t="s">
        <v>17</v>
      </c>
      <c r="B1277" t="str">
        <f>"688100"</f>
        <v>688100</v>
      </c>
      <c r="C1277" t="s">
        <v>2600</v>
      </c>
      <c r="D1277" t="s">
        <v>57</v>
      </c>
      <c r="E1277">
        <v>6781795</v>
      </c>
      <c r="F1277">
        <v>1110466</v>
      </c>
      <c r="G1277">
        <v>37968248</v>
      </c>
      <c r="H1277">
        <v>100257379</v>
      </c>
      <c r="P1277">
        <v>104</v>
      </c>
      <c r="Q1277" t="s">
        <v>2601</v>
      </c>
    </row>
    <row r="1278" spans="1:17" x14ac:dyDescent="0.3">
      <c r="A1278" t="s">
        <v>32</v>
      </c>
      <c r="B1278" t="str">
        <f>"300972"</f>
        <v>300972</v>
      </c>
      <c r="C1278" t="s">
        <v>2602</v>
      </c>
      <c r="D1278" t="s">
        <v>175</v>
      </c>
      <c r="E1278">
        <v>6717436</v>
      </c>
      <c r="F1278">
        <v>58228752</v>
      </c>
      <c r="G1278">
        <v>47025086</v>
      </c>
      <c r="P1278">
        <v>22</v>
      </c>
      <c r="Q1278" t="s">
        <v>2603</v>
      </c>
    </row>
    <row r="1279" spans="1:17" x14ac:dyDescent="0.3">
      <c r="A1279" t="s">
        <v>32</v>
      </c>
      <c r="B1279" t="str">
        <f>"300938"</f>
        <v>300938</v>
      </c>
      <c r="C1279" t="s">
        <v>2604</v>
      </c>
      <c r="D1279" t="s">
        <v>497</v>
      </c>
      <c r="E1279">
        <v>6471856</v>
      </c>
      <c r="F1279">
        <v>-17466320</v>
      </c>
      <c r="G1279">
        <v>-4417580</v>
      </c>
      <c r="P1279">
        <v>43</v>
      </c>
      <c r="Q1279" t="s">
        <v>2605</v>
      </c>
    </row>
    <row r="1280" spans="1:17" x14ac:dyDescent="0.3">
      <c r="A1280" t="s">
        <v>32</v>
      </c>
      <c r="B1280" t="str">
        <f>"000752"</f>
        <v>000752</v>
      </c>
      <c r="C1280" t="s">
        <v>2606</v>
      </c>
      <c r="D1280" t="s">
        <v>172</v>
      </c>
      <c r="E1280">
        <v>6443422</v>
      </c>
      <c r="F1280">
        <v>-12564741</v>
      </c>
      <c r="G1280">
        <v>-13956708</v>
      </c>
      <c r="H1280">
        <v>44508547</v>
      </c>
      <c r="I1280">
        <v>101098021</v>
      </c>
      <c r="J1280">
        <v>37106282</v>
      </c>
      <c r="K1280">
        <v>22327690</v>
      </c>
      <c r="L1280">
        <v>22281604</v>
      </c>
      <c r="M1280">
        <v>11850139</v>
      </c>
      <c r="N1280">
        <v>8688947</v>
      </c>
      <c r="O1280">
        <v>12408416</v>
      </c>
      <c r="P1280">
        <v>103</v>
      </c>
      <c r="Q1280" t="s">
        <v>2607</v>
      </c>
    </row>
    <row r="1281" spans="1:17" x14ac:dyDescent="0.3">
      <c r="A1281" t="s">
        <v>32</v>
      </c>
      <c r="B1281" t="str">
        <f>"002592"</f>
        <v>002592</v>
      </c>
      <c r="C1281" t="s">
        <v>2608</v>
      </c>
      <c r="D1281" t="s">
        <v>199</v>
      </c>
      <c r="E1281">
        <v>6400597</v>
      </c>
      <c r="F1281">
        <v>68867441</v>
      </c>
      <c r="G1281">
        <v>171581501</v>
      </c>
      <c r="H1281">
        <v>15816950</v>
      </c>
      <c r="I1281">
        <v>-53022783</v>
      </c>
      <c r="J1281">
        <v>6645076</v>
      </c>
      <c r="K1281">
        <v>-74355796</v>
      </c>
      <c r="L1281">
        <v>-52981946</v>
      </c>
      <c r="M1281">
        <v>-26812255</v>
      </c>
      <c r="N1281">
        <v>-27114174</v>
      </c>
      <c r="O1281">
        <v>-6077606</v>
      </c>
      <c r="P1281">
        <v>76</v>
      </c>
      <c r="Q1281" t="s">
        <v>2609</v>
      </c>
    </row>
    <row r="1282" spans="1:17" x14ac:dyDescent="0.3">
      <c r="A1282" t="s">
        <v>17</v>
      </c>
      <c r="B1282" t="str">
        <f>"600696"</f>
        <v>600696</v>
      </c>
      <c r="C1282" t="s">
        <v>2610</v>
      </c>
      <c r="D1282" t="s">
        <v>345</v>
      </c>
      <c r="E1282">
        <v>6163713</v>
      </c>
      <c r="F1282">
        <v>183806916</v>
      </c>
      <c r="G1282">
        <v>135860623</v>
      </c>
      <c r="H1282">
        <v>-109479590</v>
      </c>
      <c r="I1282">
        <v>-18173659</v>
      </c>
      <c r="J1282">
        <v>41703087</v>
      </c>
      <c r="K1282">
        <v>-54409616</v>
      </c>
      <c r="L1282">
        <v>-16100585</v>
      </c>
      <c r="M1282">
        <v>54468490</v>
      </c>
      <c r="N1282">
        <v>16031418</v>
      </c>
      <c r="O1282">
        <v>48541037</v>
      </c>
      <c r="P1282">
        <v>95</v>
      </c>
      <c r="Q1282" t="s">
        <v>2611</v>
      </c>
    </row>
    <row r="1283" spans="1:17" x14ac:dyDescent="0.3">
      <c r="A1283" t="s">
        <v>32</v>
      </c>
      <c r="B1283" t="str">
        <f>"300739"</f>
        <v>300739</v>
      </c>
      <c r="C1283" t="s">
        <v>2612</v>
      </c>
      <c r="D1283" t="s">
        <v>124</v>
      </c>
      <c r="E1283">
        <v>6135501</v>
      </c>
      <c r="F1283">
        <v>-28147992</v>
      </c>
      <c r="G1283">
        <v>-32871975</v>
      </c>
      <c r="H1283">
        <v>-9700419</v>
      </c>
      <c r="I1283">
        <v>-28692121</v>
      </c>
      <c r="J1283">
        <v>-26418078</v>
      </c>
      <c r="P1283">
        <v>170</v>
      </c>
      <c r="Q1283" t="s">
        <v>2613</v>
      </c>
    </row>
    <row r="1284" spans="1:17" x14ac:dyDescent="0.3">
      <c r="A1284" t="s">
        <v>17</v>
      </c>
      <c r="B1284" t="str">
        <f>"603238"</f>
        <v>603238</v>
      </c>
      <c r="C1284" t="s">
        <v>2614</v>
      </c>
      <c r="D1284" t="s">
        <v>544</v>
      </c>
      <c r="E1284">
        <v>6071664</v>
      </c>
      <c r="F1284">
        <v>-47043829</v>
      </c>
      <c r="G1284">
        <v>35009098</v>
      </c>
      <c r="H1284">
        <v>-5394428</v>
      </c>
      <c r="I1284">
        <v>-35052380</v>
      </c>
      <c r="J1284">
        <v>-8843368</v>
      </c>
      <c r="K1284">
        <v>-6405524</v>
      </c>
      <c r="P1284">
        <v>240</v>
      </c>
      <c r="Q1284" t="s">
        <v>2615</v>
      </c>
    </row>
    <row r="1285" spans="1:17" x14ac:dyDescent="0.3">
      <c r="A1285" t="s">
        <v>32</v>
      </c>
      <c r="B1285" t="str">
        <f>"300217"</f>
        <v>300217</v>
      </c>
      <c r="C1285" t="s">
        <v>2616</v>
      </c>
      <c r="D1285" t="s">
        <v>127</v>
      </c>
      <c r="E1285">
        <v>6048558</v>
      </c>
      <c r="F1285">
        <v>-163781375</v>
      </c>
      <c r="G1285">
        <v>42331319</v>
      </c>
      <c r="H1285">
        <v>-217670311</v>
      </c>
      <c r="I1285">
        <v>-173819193</v>
      </c>
      <c r="J1285">
        <v>-187817180</v>
      </c>
      <c r="K1285">
        <v>63886484</v>
      </c>
      <c r="L1285">
        <v>13551596</v>
      </c>
      <c r="M1285">
        <v>-31284764</v>
      </c>
      <c r="N1285">
        <v>-58337076</v>
      </c>
      <c r="O1285">
        <v>61679586</v>
      </c>
      <c r="P1285">
        <v>161</v>
      </c>
      <c r="Q1285" t="s">
        <v>2617</v>
      </c>
    </row>
    <row r="1286" spans="1:17" x14ac:dyDescent="0.3">
      <c r="A1286" t="s">
        <v>17</v>
      </c>
      <c r="B1286" t="str">
        <f>"900915"</f>
        <v>900915</v>
      </c>
      <c r="C1286" t="s">
        <v>2618</v>
      </c>
      <c r="E1286">
        <v>6000983.8246999998</v>
      </c>
      <c r="F1286">
        <v>-5442027.6732000001</v>
      </c>
      <c r="G1286">
        <v>-2196675.4457</v>
      </c>
      <c r="H1286">
        <v>-3092591.5520000001</v>
      </c>
      <c r="I1286">
        <v>-3427731.8615999999</v>
      </c>
      <c r="J1286">
        <v>-6511493.7095999997</v>
      </c>
      <c r="K1286">
        <v>6766522.1036</v>
      </c>
      <c r="L1286">
        <v>-1817382.7461000001</v>
      </c>
      <c r="M1286">
        <v>-5611020.1632000003</v>
      </c>
      <c r="N1286">
        <v>-2404959.2349999999</v>
      </c>
      <c r="O1286">
        <v>-247429.77359999999</v>
      </c>
      <c r="P1286">
        <v>6</v>
      </c>
      <c r="Q1286" t="s">
        <v>2619</v>
      </c>
    </row>
    <row r="1287" spans="1:17" x14ac:dyDescent="0.3">
      <c r="A1287" t="s">
        <v>32</v>
      </c>
      <c r="B1287" t="str">
        <f>"300198"</f>
        <v>300198</v>
      </c>
      <c r="C1287" t="s">
        <v>2620</v>
      </c>
      <c r="D1287" t="s">
        <v>400</v>
      </c>
      <c r="E1287">
        <v>5996786</v>
      </c>
      <c r="F1287">
        <v>-166787140</v>
      </c>
      <c r="G1287">
        <v>-206103377</v>
      </c>
      <c r="H1287">
        <v>-54333847</v>
      </c>
      <c r="I1287">
        <v>-126654322</v>
      </c>
      <c r="J1287">
        <v>-99444642</v>
      </c>
      <c r="K1287">
        <v>-7096454</v>
      </c>
      <c r="L1287">
        <v>-27582959</v>
      </c>
      <c r="M1287">
        <v>-38504250</v>
      </c>
      <c r="N1287">
        <v>-39043259</v>
      </c>
      <c r="O1287">
        <v>-14954103</v>
      </c>
      <c r="P1287">
        <v>82</v>
      </c>
      <c r="Q1287" t="s">
        <v>2621</v>
      </c>
    </row>
    <row r="1288" spans="1:17" x14ac:dyDescent="0.3">
      <c r="A1288" t="s">
        <v>17</v>
      </c>
      <c r="B1288" t="str">
        <f>"600212"</f>
        <v>600212</v>
      </c>
      <c r="C1288" t="s">
        <v>2622</v>
      </c>
      <c r="D1288" t="s">
        <v>345</v>
      </c>
      <c r="E1288">
        <v>5910253</v>
      </c>
      <c r="F1288">
        <v>-14110709</v>
      </c>
      <c r="G1288">
        <v>-11231993</v>
      </c>
      <c r="H1288">
        <v>-3793197</v>
      </c>
      <c r="I1288">
        <v>-40274383</v>
      </c>
      <c r="J1288">
        <v>-513514</v>
      </c>
      <c r="K1288">
        <v>-553666</v>
      </c>
      <c r="L1288">
        <v>10855096</v>
      </c>
      <c r="M1288">
        <v>-48067175</v>
      </c>
      <c r="N1288">
        <v>45945090</v>
      </c>
      <c r="O1288">
        <v>36927953</v>
      </c>
      <c r="P1288">
        <v>56</v>
      </c>
      <c r="Q1288" t="s">
        <v>2623</v>
      </c>
    </row>
    <row r="1289" spans="1:17" x14ac:dyDescent="0.3">
      <c r="A1289" t="s">
        <v>32</v>
      </c>
      <c r="B1289" t="str">
        <f>"002431"</f>
        <v>002431</v>
      </c>
      <c r="C1289" t="s">
        <v>2624</v>
      </c>
      <c r="D1289" t="s">
        <v>645</v>
      </c>
      <c r="E1289">
        <v>5850205</v>
      </c>
      <c r="F1289">
        <v>-118368657</v>
      </c>
      <c r="G1289">
        <v>-657678542</v>
      </c>
      <c r="H1289">
        <v>-267398938</v>
      </c>
      <c r="I1289">
        <v>-183121982</v>
      </c>
      <c r="J1289">
        <v>-241519496</v>
      </c>
      <c r="K1289">
        <v>-179418650</v>
      </c>
      <c r="L1289">
        <v>-191464177</v>
      </c>
      <c r="M1289">
        <v>-239780663</v>
      </c>
      <c r="N1289">
        <v>-126358072</v>
      </c>
      <c r="O1289">
        <v>-179785285</v>
      </c>
      <c r="P1289">
        <v>124</v>
      </c>
      <c r="Q1289" t="s">
        <v>2625</v>
      </c>
    </row>
    <row r="1290" spans="1:17" x14ac:dyDescent="0.3">
      <c r="A1290" t="s">
        <v>32</v>
      </c>
      <c r="B1290" t="str">
        <f>"301181"</f>
        <v>301181</v>
      </c>
      <c r="C1290" t="s">
        <v>2626</v>
      </c>
      <c r="E1290">
        <v>5848295</v>
      </c>
      <c r="P1290">
        <v>5</v>
      </c>
      <c r="Q1290" t="s">
        <v>2627</v>
      </c>
    </row>
    <row r="1291" spans="1:17" x14ac:dyDescent="0.3">
      <c r="A1291" t="s">
        <v>32</v>
      </c>
      <c r="B1291" t="str">
        <f>"002833"</f>
        <v>002833</v>
      </c>
      <c r="C1291" t="s">
        <v>2628</v>
      </c>
      <c r="D1291" t="s">
        <v>135</v>
      </c>
      <c r="E1291">
        <v>5837715</v>
      </c>
      <c r="F1291">
        <v>24268614</v>
      </c>
      <c r="G1291">
        <v>-40569643</v>
      </c>
      <c r="H1291">
        <v>38690305</v>
      </c>
      <c r="I1291">
        <v>49462665</v>
      </c>
      <c r="J1291">
        <v>56230318</v>
      </c>
      <c r="K1291">
        <v>30657614</v>
      </c>
      <c r="P1291">
        <v>2870</v>
      </c>
      <c r="Q1291" t="s">
        <v>2629</v>
      </c>
    </row>
    <row r="1292" spans="1:17" x14ac:dyDescent="0.3">
      <c r="A1292" t="s">
        <v>17</v>
      </c>
      <c r="B1292" t="str">
        <f>"603726"</f>
        <v>603726</v>
      </c>
      <c r="C1292" t="s">
        <v>2630</v>
      </c>
      <c r="D1292" t="s">
        <v>127</v>
      </c>
      <c r="E1292">
        <v>5831280</v>
      </c>
      <c r="F1292">
        <v>-45927027</v>
      </c>
      <c r="G1292">
        <v>2884730</v>
      </c>
      <c r="H1292">
        <v>-26516564</v>
      </c>
      <c r="I1292">
        <v>-62079776</v>
      </c>
      <c r="J1292">
        <v>-74947320</v>
      </c>
      <c r="K1292">
        <v>1150776</v>
      </c>
      <c r="L1292">
        <v>-1026652</v>
      </c>
      <c r="P1292">
        <v>123</v>
      </c>
      <c r="Q1292" t="s">
        <v>2631</v>
      </c>
    </row>
    <row r="1293" spans="1:17" x14ac:dyDescent="0.3">
      <c r="A1293" t="s">
        <v>17</v>
      </c>
      <c r="B1293" t="str">
        <f>"600423"</f>
        <v>600423</v>
      </c>
      <c r="C1293" t="s">
        <v>2632</v>
      </c>
      <c r="D1293" t="s">
        <v>144</v>
      </c>
      <c r="E1293">
        <v>5719019</v>
      </c>
      <c r="F1293">
        <v>9578191</v>
      </c>
      <c r="G1293">
        <v>-119849735</v>
      </c>
      <c r="H1293">
        <v>-67500453</v>
      </c>
      <c r="I1293">
        <v>5565206</v>
      </c>
      <c r="J1293">
        <v>110283865</v>
      </c>
      <c r="K1293">
        <v>94658649</v>
      </c>
      <c r="L1293">
        <v>52364496</v>
      </c>
      <c r="M1293">
        <v>74619720</v>
      </c>
      <c r="N1293">
        <v>64633497</v>
      </c>
      <c r="O1293">
        <v>-8525308</v>
      </c>
      <c r="P1293">
        <v>74</v>
      </c>
      <c r="Q1293" t="s">
        <v>2633</v>
      </c>
    </row>
    <row r="1294" spans="1:17" x14ac:dyDescent="0.3">
      <c r="A1294" t="s">
        <v>32</v>
      </c>
      <c r="B1294" t="str">
        <f>"300434"</f>
        <v>300434</v>
      </c>
      <c r="C1294" t="s">
        <v>2634</v>
      </c>
      <c r="D1294" t="s">
        <v>98</v>
      </c>
      <c r="E1294">
        <v>5715794</v>
      </c>
      <c r="F1294">
        <v>-38593061</v>
      </c>
      <c r="G1294">
        <v>-60745421</v>
      </c>
      <c r="H1294">
        <v>-67018982</v>
      </c>
      <c r="I1294">
        <v>-25861598</v>
      </c>
      <c r="J1294">
        <v>-10478949</v>
      </c>
      <c r="K1294">
        <v>-13587631</v>
      </c>
      <c r="L1294">
        <v>12094173</v>
      </c>
      <c r="M1294">
        <v>3850968</v>
      </c>
      <c r="P1294">
        <v>96</v>
      </c>
      <c r="Q1294" t="s">
        <v>2635</v>
      </c>
    </row>
    <row r="1295" spans="1:17" x14ac:dyDescent="0.3">
      <c r="A1295" t="s">
        <v>32</v>
      </c>
      <c r="B1295" t="str">
        <f>"300852"</f>
        <v>300852</v>
      </c>
      <c r="C1295" t="s">
        <v>2636</v>
      </c>
      <c r="D1295" t="s">
        <v>124</v>
      </c>
      <c r="E1295">
        <v>5706287</v>
      </c>
      <c r="F1295">
        <v>-120569253</v>
      </c>
      <c r="G1295">
        <v>13694781</v>
      </c>
      <c r="H1295">
        <v>8502403</v>
      </c>
      <c r="P1295">
        <v>104</v>
      </c>
      <c r="Q1295" t="s">
        <v>2637</v>
      </c>
    </row>
    <row r="1296" spans="1:17" x14ac:dyDescent="0.3">
      <c r="A1296" t="s">
        <v>17</v>
      </c>
      <c r="B1296" t="str">
        <f>"603676"</f>
        <v>603676</v>
      </c>
      <c r="C1296" t="s">
        <v>2638</v>
      </c>
      <c r="D1296" t="s">
        <v>98</v>
      </c>
      <c r="E1296">
        <v>5675590</v>
      </c>
      <c r="F1296">
        <v>-17552517</v>
      </c>
      <c r="G1296">
        <v>-11574907</v>
      </c>
      <c r="H1296">
        <v>48594197</v>
      </c>
      <c r="I1296">
        <v>-42133466</v>
      </c>
      <c r="J1296">
        <v>-5002200</v>
      </c>
      <c r="K1296">
        <v>-2666000</v>
      </c>
      <c r="P1296">
        <v>107</v>
      </c>
      <c r="Q1296" t="s">
        <v>2639</v>
      </c>
    </row>
    <row r="1297" spans="1:17" x14ac:dyDescent="0.3">
      <c r="A1297" t="s">
        <v>32</v>
      </c>
      <c r="B1297" t="str">
        <f>"301093"</f>
        <v>301093</v>
      </c>
      <c r="C1297" t="s">
        <v>2640</v>
      </c>
      <c r="D1297" t="s">
        <v>98</v>
      </c>
      <c r="E1297">
        <v>5649358</v>
      </c>
      <c r="P1297">
        <v>30</v>
      </c>
      <c r="Q1297" t="s">
        <v>2641</v>
      </c>
    </row>
    <row r="1298" spans="1:17" x14ac:dyDescent="0.3">
      <c r="A1298" t="s">
        <v>17</v>
      </c>
      <c r="B1298" t="str">
        <f>"603268"</f>
        <v>603268</v>
      </c>
      <c r="C1298" t="s">
        <v>2642</v>
      </c>
      <c r="D1298" t="s">
        <v>455</v>
      </c>
      <c r="E1298">
        <v>5564005</v>
      </c>
      <c r="F1298">
        <v>-26856833</v>
      </c>
      <c r="G1298">
        <v>11774185</v>
      </c>
      <c r="H1298">
        <v>11629665</v>
      </c>
      <c r="I1298">
        <v>-317219</v>
      </c>
      <c r="J1298">
        <v>-10048220</v>
      </c>
      <c r="K1298">
        <v>19261813</v>
      </c>
      <c r="L1298">
        <v>-18513105</v>
      </c>
      <c r="M1298">
        <v>5990584</v>
      </c>
      <c r="P1298">
        <v>70</v>
      </c>
      <c r="Q1298" t="s">
        <v>2643</v>
      </c>
    </row>
    <row r="1299" spans="1:17" x14ac:dyDescent="0.3">
      <c r="A1299" t="s">
        <v>17</v>
      </c>
      <c r="B1299" t="str">
        <f>"601616"</f>
        <v>601616</v>
      </c>
      <c r="C1299" t="s">
        <v>2644</v>
      </c>
      <c r="D1299" t="s">
        <v>464</v>
      </c>
      <c r="E1299">
        <v>5555307</v>
      </c>
      <c r="F1299">
        <v>-5375977</v>
      </c>
      <c r="G1299">
        <v>-69131430</v>
      </c>
      <c r="H1299">
        <v>20067889</v>
      </c>
      <c r="I1299">
        <v>17381526</v>
      </c>
      <c r="J1299">
        <v>-12904725</v>
      </c>
      <c r="K1299">
        <v>-488545</v>
      </c>
      <c r="L1299">
        <v>-8113558</v>
      </c>
      <c r="M1299">
        <v>-50668937</v>
      </c>
      <c r="N1299">
        <v>-31269375</v>
      </c>
      <c r="O1299">
        <v>-59084659</v>
      </c>
      <c r="P1299">
        <v>72</v>
      </c>
      <c r="Q1299" t="s">
        <v>2645</v>
      </c>
    </row>
    <row r="1300" spans="1:17" x14ac:dyDescent="0.3">
      <c r="A1300" t="s">
        <v>32</v>
      </c>
      <c r="B1300" t="str">
        <f>"300320"</f>
        <v>300320</v>
      </c>
      <c r="C1300" t="s">
        <v>2646</v>
      </c>
      <c r="D1300" t="s">
        <v>144</v>
      </c>
      <c r="E1300">
        <v>5502567</v>
      </c>
      <c r="F1300">
        <v>97681926</v>
      </c>
      <c r="G1300">
        <v>28663621</v>
      </c>
      <c r="H1300">
        <v>42943761</v>
      </c>
      <c r="I1300">
        <v>-14172676</v>
      </c>
      <c r="J1300">
        <v>440676</v>
      </c>
      <c r="K1300">
        <v>21181042</v>
      </c>
      <c r="L1300">
        <v>8182226</v>
      </c>
      <c r="M1300">
        <v>-60478016</v>
      </c>
      <c r="N1300">
        <v>-14804248</v>
      </c>
      <c r="O1300">
        <v>-39260714</v>
      </c>
      <c r="P1300">
        <v>152</v>
      </c>
      <c r="Q1300" t="s">
        <v>2647</v>
      </c>
    </row>
    <row r="1301" spans="1:17" x14ac:dyDescent="0.3">
      <c r="A1301" t="s">
        <v>17</v>
      </c>
      <c r="B1301" t="str">
        <f>"688099"</f>
        <v>688099</v>
      </c>
      <c r="C1301" t="s">
        <v>2648</v>
      </c>
      <c r="D1301" t="s">
        <v>124</v>
      </c>
      <c r="E1301">
        <v>5496669</v>
      </c>
      <c r="F1301">
        <v>45284215</v>
      </c>
      <c r="G1301">
        <v>2846862</v>
      </c>
      <c r="H1301">
        <v>-40130400</v>
      </c>
      <c r="I1301">
        <v>32312000</v>
      </c>
      <c r="P1301">
        <v>301</v>
      </c>
      <c r="Q1301" t="s">
        <v>2649</v>
      </c>
    </row>
    <row r="1302" spans="1:17" x14ac:dyDescent="0.3">
      <c r="A1302" t="s">
        <v>17</v>
      </c>
      <c r="B1302" t="str">
        <f>"605003"</f>
        <v>605003</v>
      </c>
      <c r="C1302" t="s">
        <v>2650</v>
      </c>
      <c r="D1302" t="s">
        <v>130</v>
      </c>
      <c r="E1302">
        <v>5490404</v>
      </c>
      <c r="F1302">
        <v>-41165512</v>
      </c>
      <c r="G1302">
        <v>12866774</v>
      </c>
      <c r="H1302">
        <v>23929068</v>
      </c>
      <c r="P1302">
        <v>76</v>
      </c>
      <c r="Q1302" t="s">
        <v>2651</v>
      </c>
    </row>
    <row r="1303" spans="1:17" x14ac:dyDescent="0.3">
      <c r="A1303" t="s">
        <v>32</v>
      </c>
      <c r="B1303" t="str">
        <f>"300930"</f>
        <v>300930</v>
      </c>
      <c r="C1303" t="s">
        <v>2652</v>
      </c>
      <c r="D1303" t="s">
        <v>121</v>
      </c>
      <c r="E1303">
        <v>5449506</v>
      </c>
      <c r="F1303">
        <v>-6271978</v>
      </c>
      <c r="G1303">
        <v>-3058045</v>
      </c>
      <c r="P1303">
        <v>75</v>
      </c>
      <c r="Q1303" t="s">
        <v>2653</v>
      </c>
    </row>
    <row r="1304" spans="1:17" x14ac:dyDescent="0.3">
      <c r="A1304" t="s">
        <v>32</v>
      </c>
      <c r="B1304" t="str">
        <f>"200512"</f>
        <v>200512</v>
      </c>
      <c r="C1304" t="s">
        <v>2654</v>
      </c>
      <c r="E1304">
        <v>5415534.8679999998</v>
      </c>
      <c r="F1304">
        <v>-73717696.267000005</v>
      </c>
      <c r="G1304">
        <v>-78759824.292300001</v>
      </c>
      <c r="H1304">
        <v>73355107.015799999</v>
      </c>
      <c r="I1304">
        <v>-28179632.346000001</v>
      </c>
      <c r="J1304">
        <v>-15700173.3532</v>
      </c>
      <c r="K1304">
        <v>-41146758.216700003</v>
      </c>
      <c r="L1304">
        <v>-66837773.75</v>
      </c>
      <c r="M1304">
        <v>-31097516.663199998</v>
      </c>
      <c r="N1304">
        <v>-47349051.689400002</v>
      </c>
      <c r="O1304">
        <v>-84479394.491999999</v>
      </c>
      <c r="P1304">
        <v>34</v>
      </c>
      <c r="Q1304" t="s">
        <v>2655</v>
      </c>
    </row>
    <row r="1305" spans="1:17" x14ac:dyDescent="0.3">
      <c r="A1305" t="s">
        <v>32</v>
      </c>
      <c r="B1305" t="str">
        <f>"002755"</f>
        <v>002755</v>
      </c>
      <c r="C1305" t="s">
        <v>2656</v>
      </c>
      <c r="D1305" t="s">
        <v>98</v>
      </c>
      <c r="E1305">
        <v>5362286</v>
      </c>
      <c r="F1305">
        <v>10651008</v>
      </c>
      <c r="G1305">
        <v>38024971</v>
      </c>
      <c r="H1305">
        <v>27948975</v>
      </c>
      <c r="I1305">
        <v>-5669417</v>
      </c>
      <c r="J1305">
        <v>-44329809</v>
      </c>
      <c r="K1305">
        <v>12511177</v>
      </c>
      <c r="L1305">
        <v>-30125169</v>
      </c>
      <c r="M1305">
        <v>-26432708</v>
      </c>
      <c r="P1305">
        <v>307</v>
      </c>
      <c r="Q1305" t="s">
        <v>2657</v>
      </c>
    </row>
    <row r="1306" spans="1:17" x14ac:dyDescent="0.3">
      <c r="A1306" t="s">
        <v>17</v>
      </c>
      <c r="B1306" t="str">
        <f>"603937"</f>
        <v>603937</v>
      </c>
      <c r="C1306" t="s">
        <v>2658</v>
      </c>
      <c r="D1306" t="s">
        <v>121</v>
      </c>
      <c r="E1306">
        <v>5193575</v>
      </c>
      <c r="F1306">
        <v>-71137415</v>
      </c>
      <c r="G1306">
        <v>19125485</v>
      </c>
      <c r="H1306">
        <v>38773671</v>
      </c>
      <c r="I1306">
        <v>2829798</v>
      </c>
      <c r="J1306">
        <v>32179458</v>
      </c>
      <c r="P1306">
        <v>61</v>
      </c>
      <c r="Q1306" t="s">
        <v>2659</v>
      </c>
    </row>
    <row r="1307" spans="1:17" x14ac:dyDescent="0.3">
      <c r="A1307" t="s">
        <v>17</v>
      </c>
      <c r="B1307" t="str">
        <f>"600280"</f>
        <v>600280</v>
      </c>
      <c r="C1307" t="s">
        <v>2660</v>
      </c>
      <c r="D1307" t="s">
        <v>218</v>
      </c>
      <c r="E1307">
        <v>5175312</v>
      </c>
      <c r="F1307">
        <v>52717983</v>
      </c>
      <c r="G1307">
        <v>-235302773</v>
      </c>
      <c r="H1307">
        <v>-29380801</v>
      </c>
      <c r="I1307">
        <v>-352159456</v>
      </c>
      <c r="J1307">
        <v>-239582538</v>
      </c>
      <c r="K1307">
        <v>647788627</v>
      </c>
      <c r="L1307">
        <v>212907977</v>
      </c>
      <c r="M1307">
        <v>-866391210</v>
      </c>
      <c r="N1307">
        <v>-148852842</v>
      </c>
      <c r="O1307">
        <v>-219676747</v>
      </c>
      <c r="P1307">
        <v>81</v>
      </c>
      <c r="Q1307" t="s">
        <v>2661</v>
      </c>
    </row>
    <row r="1308" spans="1:17" x14ac:dyDescent="0.3">
      <c r="A1308" t="s">
        <v>32</v>
      </c>
      <c r="B1308" t="str">
        <f>"000913"</f>
        <v>000913</v>
      </c>
      <c r="C1308" t="s">
        <v>2662</v>
      </c>
      <c r="D1308" t="s">
        <v>199</v>
      </c>
      <c r="E1308">
        <v>5105544</v>
      </c>
      <c r="F1308">
        <v>110637665</v>
      </c>
      <c r="G1308">
        <v>80010130</v>
      </c>
      <c r="H1308">
        <v>215197328</v>
      </c>
      <c r="I1308">
        <v>-69851752</v>
      </c>
      <c r="J1308">
        <v>28174411</v>
      </c>
      <c r="K1308">
        <v>-892056</v>
      </c>
      <c r="L1308">
        <v>-15444932</v>
      </c>
      <c r="M1308">
        <v>-218715071</v>
      </c>
      <c r="N1308">
        <v>-34086955</v>
      </c>
      <c r="O1308">
        <v>-171594064</v>
      </c>
      <c r="P1308">
        <v>176</v>
      </c>
      <c r="Q1308" t="s">
        <v>2663</v>
      </c>
    </row>
    <row r="1309" spans="1:17" x14ac:dyDescent="0.3">
      <c r="A1309" t="s">
        <v>17</v>
      </c>
      <c r="B1309" t="str">
        <f>"600037"</f>
        <v>600037</v>
      </c>
      <c r="C1309" t="s">
        <v>2664</v>
      </c>
      <c r="D1309" t="s">
        <v>245</v>
      </c>
      <c r="E1309">
        <v>5067579</v>
      </c>
      <c r="F1309">
        <v>-26587028</v>
      </c>
      <c r="G1309">
        <v>-17354945</v>
      </c>
      <c r="H1309">
        <v>-117142001</v>
      </c>
      <c r="I1309">
        <v>-46552153</v>
      </c>
      <c r="J1309">
        <v>3535191</v>
      </c>
      <c r="K1309">
        <v>179889087</v>
      </c>
      <c r="L1309">
        <v>80674297</v>
      </c>
      <c r="M1309">
        <v>19693054</v>
      </c>
      <c r="N1309">
        <v>58209667</v>
      </c>
      <c r="O1309">
        <v>-305807046</v>
      </c>
      <c r="P1309">
        <v>309</v>
      </c>
      <c r="Q1309" t="s">
        <v>2665</v>
      </c>
    </row>
    <row r="1310" spans="1:17" x14ac:dyDescent="0.3">
      <c r="A1310" t="s">
        <v>17</v>
      </c>
      <c r="B1310" t="str">
        <f>"603036"</f>
        <v>603036</v>
      </c>
      <c r="C1310" t="s">
        <v>2666</v>
      </c>
      <c r="D1310" t="s">
        <v>135</v>
      </c>
      <c r="E1310">
        <v>5066188</v>
      </c>
      <c r="F1310">
        <v>6340903</v>
      </c>
      <c r="G1310">
        <v>-8335238</v>
      </c>
      <c r="H1310">
        <v>-24312230</v>
      </c>
      <c r="I1310">
        <v>-16736566</v>
      </c>
      <c r="J1310">
        <v>-1795771</v>
      </c>
      <c r="K1310">
        <v>-13662019</v>
      </c>
      <c r="P1310">
        <v>61</v>
      </c>
      <c r="Q1310" t="s">
        <v>2667</v>
      </c>
    </row>
    <row r="1311" spans="1:17" x14ac:dyDescent="0.3">
      <c r="A1311" t="s">
        <v>32</v>
      </c>
      <c r="B1311" t="str">
        <f>"300240"</f>
        <v>300240</v>
      </c>
      <c r="C1311" t="s">
        <v>2668</v>
      </c>
      <c r="D1311" t="s">
        <v>46</v>
      </c>
      <c r="E1311">
        <v>5046018</v>
      </c>
      <c r="F1311">
        <v>-28954700</v>
      </c>
      <c r="G1311">
        <v>83681391</v>
      </c>
      <c r="H1311">
        <v>-57140096</v>
      </c>
      <c r="I1311">
        <v>10155290</v>
      </c>
      <c r="J1311">
        <v>-34103529</v>
      </c>
      <c r="K1311">
        <v>-2805719</v>
      </c>
      <c r="L1311">
        <v>45118859</v>
      </c>
      <c r="M1311">
        <v>-28861073</v>
      </c>
      <c r="N1311">
        <v>-44089759</v>
      </c>
      <c r="O1311">
        <v>-5611760</v>
      </c>
      <c r="P1311">
        <v>67</v>
      </c>
      <c r="Q1311" t="s">
        <v>2669</v>
      </c>
    </row>
    <row r="1312" spans="1:17" x14ac:dyDescent="0.3">
      <c r="A1312" t="s">
        <v>32</v>
      </c>
      <c r="B1312" t="str">
        <f>"300478"</f>
        <v>300478</v>
      </c>
      <c r="C1312" t="s">
        <v>2670</v>
      </c>
      <c r="D1312" t="s">
        <v>144</v>
      </c>
      <c r="E1312">
        <v>5029776</v>
      </c>
      <c r="F1312">
        <v>-17419976</v>
      </c>
      <c r="G1312">
        <v>70859660</v>
      </c>
      <c r="H1312">
        <v>10825004</v>
      </c>
      <c r="I1312">
        <v>-41795742</v>
      </c>
      <c r="J1312">
        <v>-29870898</v>
      </c>
      <c r="K1312">
        <v>2577304</v>
      </c>
      <c r="L1312">
        <v>-14731500</v>
      </c>
      <c r="M1312">
        <v>-24396900</v>
      </c>
      <c r="P1312">
        <v>58</v>
      </c>
      <c r="Q1312" t="s">
        <v>2671</v>
      </c>
    </row>
    <row r="1313" spans="1:17" x14ac:dyDescent="0.3">
      <c r="A1313" t="s">
        <v>32</v>
      </c>
      <c r="B1313" t="str">
        <f>"002618"</f>
        <v>002618</v>
      </c>
      <c r="C1313" t="s">
        <v>2672</v>
      </c>
      <c r="D1313" t="s">
        <v>124</v>
      </c>
      <c r="E1313">
        <v>5026228</v>
      </c>
      <c r="F1313">
        <v>-10048295</v>
      </c>
      <c r="G1313">
        <v>5388321</v>
      </c>
      <c r="H1313">
        <v>-14346131</v>
      </c>
      <c r="I1313">
        <v>4449382</v>
      </c>
      <c r="J1313">
        <v>-101960018</v>
      </c>
      <c r="K1313">
        <v>-1661216</v>
      </c>
      <c r="L1313">
        <v>-26615488</v>
      </c>
      <c r="M1313">
        <v>-11233720</v>
      </c>
      <c r="N1313">
        <v>23984292</v>
      </c>
      <c r="O1313">
        <v>-168618781</v>
      </c>
      <c r="P1313">
        <v>135</v>
      </c>
      <c r="Q1313" t="s">
        <v>2673</v>
      </c>
    </row>
    <row r="1314" spans="1:17" x14ac:dyDescent="0.3">
      <c r="A1314" t="s">
        <v>17</v>
      </c>
      <c r="B1314" t="str">
        <f>"603020"</f>
        <v>603020</v>
      </c>
      <c r="C1314" t="s">
        <v>2674</v>
      </c>
      <c r="D1314" t="s">
        <v>144</v>
      </c>
      <c r="E1314">
        <v>5018669</v>
      </c>
      <c r="F1314">
        <v>-14736124</v>
      </c>
      <c r="G1314">
        <v>-12792591</v>
      </c>
      <c r="H1314">
        <v>-16372873</v>
      </c>
      <c r="I1314">
        <v>-149721161</v>
      </c>
      <c r="J1314">
        <v>-142748855</v>
      </c>
      <c r="K1314">
        <v>-51590959</v>
      </c>
      <c r="L1314">
        <v>-23534460</v>
      </c>
      <c r="M1314">
        <v>-40348178</v>
      </c>
      <c r="P1314">
        <v>195</v>
      </c>
      <c r="Q1314" t="s">
        <v>2675</v>
      </c>
    </row>
    <row r="1315" spans="1:17" x14ac:dyDescent="0.3">
      <c r="A1315" t="s">
        <v>17</v>
      </c>
      <c r="B1315" t="str">
        <f>"600769"</f>
        <v>600769</v>
      </c>
      <c r="C1315" t="s">
        <v>2676</v>
      </c>
      <c r="D1315" t="s">
        <v>1334</v>
      </c>
      <c r="E1315">
        <v>5007184</v>
      </c>
      <c r="F1315">
        <v>-410521</v>
      </c>
      <c r="G1315">
        <v>-4461126</v>
      </c>
      <c r="H1315">
        <v>-8950324</v>
      </c>
      <c r="I1315">
        <v>-6391790</v>
      </c>
      <c r="J1315">
        <v>-9675163</v>
      </c>
      <c r="K1315">
        <v>-1777208</v>
      </c>
      <c r="L1315">
        <v>-3910280</v>
      </c>
      <c r="M1315">
        <v>-1552337</v>
      </c>
      <c r="N1315">
        <v>-23787410</v>
      </c>
      <c r="O1315">
        <v>1361450</v>
      </c>
      <c r="P1315">
        <v>64</v>
      </c>
      <c r="Q1315" t="s">
        <v>2677</v>
      </c>
    </row>
    <row r="1316" spans="1:17" x14ac:dyDescent="0.3">
      <c r="A1316" t="s">
        <v>32</v>
      </c>
      <c r="B1316" t="str">
        <f>"002813"</f>
        <v>002813</v>
      </c>
      <c r="C1316" t="s">
        <v>2678</v>
      </c>
      <c r="D1316" t="s">
        <v>199</v>
      </c>
      <c r="E1316">
        <v>4948405</v>
      </c>
      <c r="F1316">
        <v>5866925</v>
      </c>
      <c r="G1316">
        <v>-39026784</v>
      </c>
      <c r="H1316">
        <v>50050630</v>
      </c>
      <c r="I1316">
        <v>-156778089</v>
      </c>
      <c r="J1316">
        <v>-59024159</v>
      </c>
      <c r="K1316">
        <v>-42938853</v>
      </c>
      <c r="P1316">
        <v>113</v>
      </c>
      <c r="Q1316" t="s">
        <v>2679</v>
      </c>
    </row>
    <row r="1317" spans="1:17" x14ac:dyDescent="0.3">
      <c r="A1317" t="s">
        <v>32</v>
      </c>
      <c r="B1317" t="str">
        <f>"300247"</f>
        <v>300247</v>
      </c>
      <c r="C1317" t="s">
        <v>2680</v>
      </c>
      <c r="D1317" t="s">
        <v>127</v>
      </c>
      <c r="E1317">
        <v>4806689</v>
      </c>
      <c r="F1317">
        <v>7091583</v>
      </c>
      <c r="G1317">
        <v>3363627</v>
      </c>
      <c r="H1317">
        <v>12215569</v>
      </c>
      <c r="I1317">
        <v>-69521822</v>
      </c>
      <c r="J1317">
        <v>-27963619</v>
      </c>
      <c r="K1317">
        <v>-21753163</v>
      </c>
      <c r="L1317">
        <v>-21389855</v>
      </c>
      <c r="M1317">
        <v>-3007281</v>
      </c>
      <c r="N1317">
        <v>-27810805</v>
      </c>
      <c r="O1317">
        <v>-36454744</v>
      </c>
      <c r="P1317">
        <v>107</v>
      </c>
      <c r="Q1317" t="s">
        <v>2681</v>
      </c>
    </row>
    <row r="1318" spans="1:17" x14ac:dyDescent="0.3">
      <c r="A1318" t="s">
        <v>32</v>
      </c>
      <c r="B1318" t="str">
        <f>"300157"</f>
        <v>300157</v>
      </c>
      <c r="C1318" t="s">
        <v>2682</v>
      </c>
      <c r="D1318" t="s">
        <v>64</v>
      </c>
      <c r="E1318">
        <v>4781119</v>
      </c>
      <c r="F1318">
        <v>-15643130</v>
      </c>
      <c r="G1318">
        <v>62768035</v>
      </c>
      <c r="H1318">
        <v>-214525669</v>
      </c>
      <c r="I1318">
        <v>-138503939</v>
      </c>
      <c r="J1318">
        <v>-145169815</v>
      </c>
      <c r="K1318">
        <v>-103648909</v>
      </c>
      <c r="L1318">
        <v>-43197181</v>
      </c>
      <c r="M1318">
        <v>-23590002</v>
      </c>
      <c r="N1318">
        <v>-59567387</v>
      </c>
      <c r="O1318">
        <v>-54816642</v>
      </c>
      <c r="P1318">
        <v>76</v>
      </c>
      <c r="Q1318" t="s">
        <v>2683</v>
      </c>
    </row>
    <row r="1319" spans="1:17" x14ac:dyDescent="0.3">
      <c r="A1319" t="s">
        <v>32</v>
      </c>
      <c r="B1319" t="str">
        <f>"300637"</f>
        <v>300637</v>
      </c>
      <c r="C1319" t="s">
        <v>2684</v>
      </c>
      <c r="D1319" t="s">
        <v>124</v>
      </c>
      <c r="E1319">
        <v>4774907</v>
      </c>
      <c r="F1319">
        <v>-13807533</v>
      </c>
      <c r="G1319">
        <v>-73918487</v>
      </c>
      <c r="H1319">
        <v>-29685863</v>
      </c>
      <c r="I1319">
        <v>3511574</v>
      </c>
      <c r="J1319">
        <v>-5095354</v>
      </c>
      <c r="K1319">
        <v>7860125</v>
      </c>
      <c r="P1319">
        <v>117</v>
      </c>
      <c r="Q1319" t="s">
        <v>2685</v>
      </c>
    </row>
    <row r="1320" spans="1:17" x14ac:dyDescent="0.3">
      <c r="A1320" t="s">
        <v>32</v>
      </c>
      <c r="B1320" t="str">
        <f>"301088"</f>
        <v>301088</v>
      </c>
      <c r="C1320" t="s">
        <v>2686</v>
      </c>
      <c r="D1320" t="s">
        <v>130</v>
      </c>
      <c r="E1320">
        <v>4766434</v>
      </c>
      <c r="P1320">
        <v>28</v>
      </c>
      <c r="Q1320" t="s">
        <v>2687</v>
      </c>
    </row>
    <row r="1321" spans="1:17" x14ac:dyDescent="0.3">
      <c r="A1321" t="s">
        <v>17</v>
      </c>
      <c r="B1321" t="str">
        <f>"603217"</f>
        <v>603217</v>
      </c>
      <c r="C1321" t="s">
        <v>2688</v>
      </c>
      <c r="D1321" t="s">
        <v>144</v>
      </c>
      <c r="E1321">
        <v>4742041</v>
      </c>
      <c r="F1321">
        <v>43315733</v>
      </c>
      <c r="G1321">
        <v>28378906</v>
      </c>
      <c r="H1321">
        <v>22062200</v>
      </c>
      <c r="I1321">
        <v>28020000</v>
      </c>
      <c r="P1321">
        <v>72</v>
      </c>
      <c r="Q1321" t="s">
        <v>2689</v>
      </c>
    </row>
    <row r="1322" spans="1:17" x14ac:dyDescent="0.3">
      <c r="A1322" t="s">
        <v>17</v>
      </c>
      <c r="B1322" t="str">
        <f>"601015"</f>
        <v>601015</v>
      </c>
      <c r="C1322" t="s">
        <v>2690</v>
      </c>
      <c r="D1322" t="s">
        <v>73</v>
      </c>
      <c r="E1322">
        <v>4735108</v>
      </c>
      <c r="F1322">
        <v>-184543221</v>
      </c>
      <c r="G1322">
        <v>343467799</v>
      </c>
      <c r="H1322">
        <v>-399035431</v>
      </c>
      <c r="I1322">
        <v>-9607816</v>
      </c>
      <c r="J1322">
        <v>170147549</v>
      </c>
      <c r="K1322">
        <v>24404426</v>
      </c>
      <c r="L1322">
        <v>-519665062</v>
      </c>
      <c r="M1322">
        <v>-3669793</v>
      </c>
      <c r="P1322">
        <v>212</v>
      </c>
      <c r="Q1322" t="s">
        <v>2691</v>
      </c>
    </row>
    <row r="1323" spans="1:17" x14ac:dyDescent="0.3">
      <c r="A1323" t="s">
        <v>32</v>
      </c>
      <c r="B1323" t="str">
        <f>"300449"</f>
        <v>300449</v>
      </c>
      <c r="C1323" t="s">
        <v>2692</v>
      </c>
      <c r="D1323" t="s">
        <v>342</v>
      </c>
      <c r="E1323">
        <v>4701087</v>
      </c>
      <c r="F1323">
        <v>-12557886</v>
      </c>
      <c r="G1323">
        <v>-29872504</v>
      </c>
      <c r="H1323">
        <v>-87962107</v>
      </c>
      <c r="I1323">
        <v>-69749960</v>
      </c>
      <c r="J1323">
        <v>-117416052</v>
      </c>
      <c r="K1323">
        <v>-98473047</v>
      </c>
      <c r="L1323">
        <v>-189796800</v>
      </c>
      <c r="M1323">
        <v>-191495002</v>
      </c>
      <c r="P1323">
        <v>85</v>
      </c>
      <c r="Q1323" t="s">
        <v>2693</v>
      </c>
    </row>
    <row r="1324" spans="1:17" x14ac:dyDescent="0.3">
      <c r="A1324" t="s">
        <v>32</v>
      </c>
      <c r="B1324" t="str">
        <f>"300051"</f>
        <v>300051</v>
      </c>
      <c r="C1324" t="s">
        <v>2694</v>
      </c>
      <c r="D1324" t="s">
        <v>245</v>
      </c>
      <c r="E1324">
        <v>4640210</v>
      </c>
      <c r="F1324">
        <v>-10149733</v>
      </c>
      <c r="G1324">
        <v>-3371673</v>
      </c>
      <c r="H1324">
        <v>7651552</v>
      </c>
      <c r="I1324">
        <v>-13184466</v>
      </c>
      <c r="J1324">
        <v>-23493933</v>
      </c>
      <c r="K1324">
        <v>-35741224</v>
      </c>
      <c r="L1324">
        <v>-64945573</v>
      </c>
      <c r="M1324">
        <v>974893</v>
      </c>
      <c r="N1324">
        <v>-20340845</v>
      </c>
      <c r="O1324">
        <v>-19315323</v>
      </c>
      <c r="P1324">
        <v>104</v>
      </c>
      <c r="Q1324" t="s">
        <v>2695</v>
      </c>
    </row>
    <row r="1325" spans="1:17" x14ac:dyDescent="0.3">
      <c r="A1325" t="s">
        <v>17</v>
      </c>
      <c r="B1325" t="str">
        <f>"688255"</f>
        <v>688255</v>
      </c>
      <c r="C1325" t="s">
        <v>2696</v>
      </c>
      <c r="D1325" t="s">
        <v>135</v>
      </c>
      <c r="E1325">
        <v>4637798</v>
      </c>
      <c r="F1325">
        <v>2110359</v>
      </c>
      <c r="P1325">
        <v>19</v>
      </c>
      <c r="Q1325" t="s">
        <v>2697</v>
      </c>
    </row>
    <row r="1326" spans="1:17" x14ac:dyDescent="0.3">
      <c r="A1326" t="s">
        <v>32</v>
      </c>
      <c r="B1326" t="str">
        <f>"002417"</f>
        <v>002417</v>
      </c>
      <c r="C1326" t="s">
        <v>2698</v>
      </c>
      <c r="D1326" t="s">
        <v>342</v>
      </c>
      <c r="E1326">
        <v>4524071</v>
      </c>
      <c r="F1326">
        <v>-4954516</v>
      </c>
      <c r="G1326">
        <v>-9727536</v>
      </c>
      <c r="H1326">
        <v>22708335</v>
      </c>
      <c r="I1326">
        <v>-1720518</v>
      </c>
      <c r="J1326">
        <v>-8750670</v>
      </c>
      <c r="K1326">
        <v>-34701012</v>
      </c>
      <c r="L1326">
        <v>-55960825</v>
      </c>
      <c r="M1326">
        <v>-64846950</v>
      </c>
      <c r="N1326">
        <v>-77993928</v>
      </c>
      <c r="O1326">
        <v>-44166018</v>
      </c>
      <c r="P1326">
        <v>140</v>
      </c>
      <c r="Q1326" t="s">
        <v>2699</v>
      </c>
    </row>
    <row r="1327" spans="1:17" x14ac:dyDescent="0.3">
      <c r="A1327" t="s">
        <v>32</v>
      </c>
      <c r="B1327" t="str">
        <f>"000953"</f>
        <v>000953</v>
      </c>
      <c r="C1327" t="s">
        <v>2700</v>
      </c>
      <c r="D1327" t="s">
        <v>144</v>
      </c>
      <c r="E1327">
        <v>4472412</v>
      </c>
      <c r="F1327">
        <v>951662</v>
      </c>
      <c r="G1327">
        <v>17137182</v>
      </c>
      <c r="H1327">
        <v>-4452741</v>
      </c>
      <c r="I1327">
        <v>-36466709</v>
      </c>
      <c r="J1327">
        <v>-90358052</v>
      </c>
      <c r="K1327">
        <v>-22245615</v>
      </c>
      <c r="L1327">
        <v>-58452484</v>
      </c>
      <c r="M1327">
        <v>-81886318</v>
      </c>
      <c r="N1327">
        <v>21003311</v>
      </c>
      <c r="O1327">
        <v>-39495243</v>
      </c>
      <c r="P1327">
        <v>90</v>
      </c>
      <c r="Q1327" t="s">
        <v>2701</v>
      </c>
    </row>
    <row r="1328" spans="1:17" x14ac:dyDescent="0.3">
      <c r="A1328" t="s">
        <v>17</v>
      </c>
      <c r="B1328" t="str">
        <f>"605336"</f>
        <v>605336</v>
      </c>
      <c r="C1328" t="s">
        <v>2702</v>
      </c>
      <c r="D1328" t="s">
        <v>127</v>
      </c>
      <c r="E1328">
        <v>4408307</v>
      </c>
      <c r="F1328">
        <v>-26797002</v>
      </c>
      <c r="G1328">
        <v>-106245111</v>
      </c>
      <c r="P1328">
        <v>142</v>
      </c>
      <c r="Q1328" t="s">
        <v>2703</v>
      </c>
    </row>
    <row r="1329" spans="1:17" x14ac:dyDescent="0.3">
      <c r="A1329" t="s">
        <v>17</v>
      </c>
      <c r="B1329" t="str">
        <f>"600506"</f>
        <v>600506</v>
      </c>
      <c r="C1329" t="s">
        <v>2704</v>
      </c>
      <c r="D1329" t="s">
        <v>175</v>
      </c>
      <c r="E1329">
        <v>4322387</v>
      </c>
      <c r="F1329">
        <v>-2675037</v>
      </c>
      <c r="G1329">
        <v>-1134181</v>
      </c>
      <c r="H1329">
        <v>-1233580</v>
      </c>
      <c r="I1329">
        <v>6356330</v>
      </c>
      <c r="J1329">
        <v>4613679</v>
      </c>
      <c r="K1329">
        <v>580105</v>
      </c>
      <c r="L1329">
        <v>12695476</v>
      </c>
      <c r="M1329">
        <v>20599782</v>
      </c>
      <c r="N1329">
        <v>27582564</v>
      </c>
      <c r="O1329">
        <v>7875461</v>
      </c>
      <c r="P1329">
        <v>67</v>
      </c>
      <c r="Q1329" t="s">
        <v>2705</v>
      </c>
    </row>
    <row r="1330" spans="1:17" x14ac:dyDescent="0.3">
      <c r="A1330" t="s">
        <v>32</v>
      </c>
      <c r="B1330" t="str">
        <f>"300742"</f>
        <v>300742</v>
      </c>
      <c r="C1330" t="s">
        <v>2706</v>
      </c>
      <c r="D1330" t="s">
        <v>199</v>
      </c>
      <c r="E1330">
        <v>4315857</v>
      </c>
      <c r="F1330">
        <v>-122724451</v>
      </c>
      <c r="G1330">
        <v>-109548375</v>
      </c>
      <c r="H1330">
        <v>-191807740</v>
      </c>
      <c r="I1330">
        <v>-52076889</v>
      </c>
      <c r="J1330">
        <v>-97065048</v>
      </c>
      <c r="P1330">
        <v>90</v>
      </c>
      <c r="Q1330" t="s">
        <v>2707</v>
      </c>
    </row>
    <row r="1331" spans="1:17" x14ac:dyDescent="0.3">
      <c r="A1331" t="s">
        <v>32</v>
      </c>
      <c r="B1331" t="str">
        <f>"301024"</f>
        <v>301024</v>
      </c>
      <c r="C1331" t="s">
        <v>2708</v>
      </c>
      <c r="D1331" t="s">
        <v>645</v>
      </c>
      <c r="E1331">
        <v>4286338</v>
      </c>
      <c r="F1331">
        <v>-25777526</v>
      </c>
      <c r="G1331">
        <v>-10390705</v>
      </c>
      <c r="P1331">
        <v>22</v>
      </c>
      <c r="Q1331" t="s">
        <v>2709</v>
      </c>
    </row>
    <row r="1332" spans="1:17" x14ac:dyDescent="0.3">
      <c r="A1332" t="s">
        <v>32</v>
      </c>
      <c r="B1332" t="str">
        <f>"002101"</f>
        <v>002101</v>
      </c>
      <c r="C1332" t="s">
        <v>2710</v>
      </c>
      <c r="D1332" t="s">
        <v>199</v>
      </c>
      <c r="E1332">
        <v>4186552</v>
      </c>
      <c r="F1332">
        <v>-102587018</v>
      </c>
      <c r="G1332">
        <v>305456234</v>
      </c>
      <c r="H1332">
        <v>-103904376</v>
      </c>
      <c r="I1332">
        <v>-132023582</v>
      </c>
      <c r="J1332">
        <v>-77301387</v>
      </c>
      <c r="K1332">
        <v>-63835284</v>
      </c>
      <c r="L1332">
        <v>-137341684</v>
      </c>
      <c r="M1332">
        <v>-85744234</v>
      </c>
      <c r="N1332">
        <v>-111614330</v>
      </c>
      <c r="O1332">
        <v>-68020257</v>
      </c>
      <c r="P1332">
        <v>267</v>
      </c>
      <c r="Q1332" t="s">
        <v>2711</v>
      </c>
    </row>
    <row r="1333" spans="1:17" x14ac:dyDescent="0.3">
      <c r="A1333" t="s">
        <v>32</v>
      </c>
      <c r="B1333" t="str">
        <f>"002551"</f>
        <v>002551</v>
      </c>
      <c r="C1333" t="s">
        <v>2712</v>
      </c>
      <c r="D1333" t="s">
        <v>98</v>
      </c>
      <c r="E1333">
        <v>4067393</v>
      </c>
      <c r="F1333">
        <v>33693791</v>
      </c>
      <c r="G1333">
        <v>-52875319</v>
      </c>
      <c r="H1333">
        <v>-147434460</v>
      </c>
      <c r="I1333">
        <v>-242301538</v>
      </c>
      <c r="J1333">
        <v>-54126292</v>
      </c>
      <c r="K1333">
        <v>11149883</v>
      </c>
      <c r="L1333">
        <v>-24859641</v>
      </c>
      <c r="M1333">
        <v>-17301040</v>
      </c>
      <c r="N1333">
        <v>-22989891</v>
      </c>
      <c r="O1333">
        <v>-21572299</v>
      </c>
      <c r="P1333">
        <v>242</v>
      </c>
      <c r="Q1333" t="s">
        <v>2713</v>
      </c>
    </row>
    <row r="1334" spans="1:17" x14ac:dyDescent="0.3">
      <c r="A1334" t="s">
        <v>17</v>
      </c>
      <c r="B1334" t="str">
        <f>"603767"</f>
        <v>603767</v>
      </c>
      <c r="C1334" t="s">
        <v>2714</v>
      </c>
      <c r="D1334" t="s">
        <v>199</v>
      </c>
      <c r="E1334">
        <v>3984211</v>
      </c>
      <c r="F1334">
        <v>38272570</v>
      </c>
      <c r="G1334">
        <v>13088395</v>
      </c>
      <c r="H1334">
        <v>-22711365</v>
      </c>
      <c r="I1334">
        <v>8321977</v>
      </c>
      <c r="J1334">
        <v>31675349</v>
      </c>
      <c r="K1334">
        <v>63629754</v>
      </c>
      <c r="P1334">
        <v>80</v>
      </c>
      <c r="Q1334" t="s">
        <v>2715</v>
      </c>
    </row>
    <row r="1335" spans="1:17" x14ac:dyDescent="0.3">
      <c r="A1335" t="s">
        <v>32</v>
      </c>
      <c r="B1335" t="str">
        <f>"300921"</f>
        <v>300921</v>
      </c>
      <c r="C1335" t="s">
        <v>2716</v>
      </c>
      <c r="D1335" t="s">
        <v>57</v>
      </c>
      <c r="E1335">
        <v>3925185</v>
      </c>
      <c r="F1335">
        <v>12094153</v>
      </c>
      <c r="G1335">
        <v>4622141</v>
      </c>
      <c r="P1335">
        <v>39</v>
      </c>
      <c r="Q1335" t="s">
        <v>2717</v>
      </c>
    </row>
    <row r="1336" spans="1:17" x14ac:dyDescent="0.3">
      <c r="A1336" t="s">
        <v>17</v>
      </c>
      <c r="B1336" t="str">
        <f>"603881"</f>
        <v>603881</v>
      </c>
      <c r="C1336" t="s">
        <v>2718</v>
      </c>
      <c r="D1336" t="s">
        <v>342</v>
      </c>
      <c r="E1336">
        <v>3912085</v>
      </c>
      <c r="F1336">
        <v>-531766634</v>
      </c>
      <c r="G1336">
        <v>-249941340</v>
      </c>
      <c r="H1336">
        <v>-151402981</v>
      </c>
      <c r="I1336">
        <v>-35350811</v>
      </c>
      <c r="J1336">
        <v>-19978716</v>
      </c>
      <c r="K1336">
        <v>-16513868</v>
      </c>
      <c r="P1336">
        <v>486</v>
      </c>
      <c r="Q1336" t="s">
        <v>2719</v>
      </c>
    </row>
    <row r="1337" spans="1:17" x14ac:dyDescent="0.3">
      <c r="A1337" t="s">
        <v>17</v>
      </c>
      <c r="B1337" t="str">
        <f>"603655"</f>
        <v>603655</v>
      </c>
      <c r="C1337" t="s">
        <v>2720</v>
      </c>
      <c r="D1337" t="s">
        <v>199</v>
      </c>
      <c r="E1337">
        <v>3765933</v>
      </c>
      <c r="F1337">
        <v>2893583</v>
      </c>
      <c r="G1337">
        <v>-2863370</v>
      </c>
      <c r="H1337">
        <v>7283546</v>
      </c>
      <c r="I1337">
        <v>9125448</v>
      </c>
      <c r="J1337">
        <v>-3876684</v>
      </c>
      <c r="P1337">
        <v>88</v>
      </c>
      <c r="Q1337" t="s">
        <v>2721</v>
      </c>
    </row>
    <row r="1338" spans="1:17" x14ac:dyDescent="0.3">
      <c r="A1338" t="s">
        <v>32</v>
      </c>
      <c r="B1338" t="str">
        <f>"002656"</f>
        <v>002656</v>
      </c>
      <c r="C1338" t="s">
        <v>2722</v>
      </c>
      <c r="D1338" t="s">
        <v>130</v>
      </c>
      <c r="E1338">
        <v>3760034</v>
      </c>
      <c r="F1338">
        <v>117014626</v>
      </c>
      <c r="G1338">
        <v>266604472</v>
      </c>
      <c r="H1338">
        <v>100670625</v>
      </c>
      <c r="I1338">
        <v>-44670829</v>
      </c>
      <c r="J1338">
        <v>-26584699</v>
      </c>
      <c r="K1338">
        <v>-83714882</v>
      </c>
      <c r="L1338">
        <v>-17199822</v>
      </c>
      <c r="M1338">
        <v>-38049717</v>
      </c>
      <c r="N1338">
        <v>-175785783</v>
      </c>
      <c r="O1338">
        <v>-53778994</v>
      </c>
      <c r="P1338">
        <v>62</v>
      </c>
      <c r="Q1338" t="s">
        <v>2723</v>
      </c>
    </row>
    <row r="1339" spans="1:17" x14ac:dyDescent="0.3">
      <c r="A1339" t="s">
        <v>32</v>
      </c>
      <c r="B1339" t="str">
        <f>"200613"</f>
        <v>200613</v>
      </c>
      <c r="C1339" t="s">
        <v>2724</v>
      </c>
      <c r="E1339">
        <v>3757373.2820000001</v>
      </c>
      <c r="F1339">
        <v>5720978.6459999997</v>
      </c>
      <c r="G1339">
        <v>-1759386.4857000001</v>
      </c>
      <c r="H1339">
        <v>1433200.8591</v>
      </c>
      <c r="I1339">
        <v>2309689.7565000001</v>
      </c>
      <c r="J1339">
        <v>2835554.7008000002</v>
      </c>
      <c r="K1339">
        <v>3251872.2492999998</v>
      </c>
      <c r="L1339">
        <v>1188170</v>
      </c>
      <c r="M1339">
        <v>3073366.0496</v>
      </c>
      <c r="N1339">
        <v>4899392.2218000004</v>
      </c>
      <c r="O1339">
        <v>-204892.54199999999</v>
      </c>
      <c r="P1339">
        <v>4</v>
      </c>
      <c r="Q1339" t="s">
        <v>2725</v>
      </c>
    </row>
    <row r="1340" spans="1:17" x14ac:dyDescent="0.3">
      <c r="A1340" t="s">
        <v>17</v>
      </c>
      <c r="B1340" t="str">
        <f>"603533"</f>
        <v>603533</v>
      </c>
      <c r="C1340" t="s">
        <v>2726</v>
      </c>
      <c r="D1340" t="s">
        <v>245</v>
      </c>
      <c r="E1340">
        <v>3735407</v>
      </c>
      <c r="F1340">
        <v>-35066409</v>
      </c>
      <c r="G1340">
        <v>29434734</v>
      </c>
      <c r="H1340">
        <v>75896076</v>
      </c>
      <c r="I1340">
        <v>-8907430</v>
      </c>
      <c r="J1340">
        <v>14381448</v>
      </c>
      <c r="P1340">
        <v>872</v>
      </c>
      <c r="Q1340" t="s">
        <v>2727</v>
      </c>
    </row>
    <row r="1341" spans="1:17" x14ac:dyDescent="0.3">
      <c r="A1341" t="s">
        <v>17</v>
      </c>
      <c r="B1341" t="str">
        <f>"600560"</f>
        <v>600560</v>
      </c>
      <c r="C1341" t="s">
        <v>2728</v>
      </c>
      <c r="D1341" t="s">
        <v>135</v>
      </c>
      <c r="E1341">
        <v>3705564</v>
      </c>
      <c r="F1341">
        <v>57666820</v>
      </c>
      <c r="G1341">
        <v>12401892</v>
      </c>
      <c r="H1341">
        <v>-19139320</v>
      </c>
      <c r="I1341">
        <v>2674060</v>
      </c>
      <c r="J1341">
        <v>-32571237</v>
      </c>
      <c r="K1341">
        <v>-51744721</v>
      </c>
      <c r="L1341">
        <v>17629388</v>
      </c>
      <c r="M1341">
        <v>-50107206</v>
      </c>
      <c r="N1341">
        <v>196655425</v>
      </c>
      <c r="O1341">
        <v>75014155</v>
      </c>
      <c r="P1341">
        <v>78</v>
      </c>
      <c r="Q1341" t="s">
        <v>2729</v>
      </c>
    </row>
    <row r="1342" spans="1:17" x14ac:dyDescent="0.3">
      <c r="A1342" t="s">
        <v>32</v>
      </c>
      <c r="B1342" t="str">
        <f>"002888"</f>
        <v>002888</v>
      </c>
      <c r="C1342" t="s">
        <v>2730</v>
      </c>
      <c r="D1342" t="s">
        <v>124</v>
      </c>
      <c r="E1342">
        <v>3699022</v>
      </c>
      <c r="F1342">
        <v>-7668907</v>
      </c>
      <c r="G1342">
        <v>3242676</v>
      </c>
      <c r="H1342">
        <v>7664086</v>
      </c>
      <c r="I1342">
        <v>-11655142</v>
      </c>
      <c r="J1342">
        <v>-9935957</v>
      </c>
      <c r="K1342">
        <v>-12647928</v>
      </c>
      <c r="P1342">
        <v>80</v>
      </c>
      <c r="Q1342" t="s">
        <v>2731</v>
      </c>
    </row>
    <row r="1343" spans="1:17" x14ac:dyDescent="0.3">
      <c r="A1343" t="s">
        <v>32</v>
      </c>
      <c r="B1343" t="str">
        <f>"300640"</f>
        <v>300640</v>
      </c>
      <c r="C1343" t="s">
        <v>2732</v>
      </c>
      <c r="D1343" t="s">
        <v>455</v>
      </c>
      <c r="E1343">
        <v>3669743</v>
      </c>
      <c r="F1343">
        <v>-107096492</v>
      </c>
      <c r="G1343">
        <v>17007545</v>
      </c>
      <c r="H1343">
        <v>2828815</v>
      </c>
      <c r="I1343">
        <v>14858842</v>
      </c>
      <c r="J1343">
        <v>-6364372</v>
      </c>
      <c r="K1343">
        <v>-11744961</v>
      </c>
      <c r="P1343">
        <v>79</v>
      </c>
      <c r="Q1343" t="s">
        <v>2733</v>
      </c>
    </row>
    <row r="1344" spans="1:17" x14ac:dyDescent="0.3">
      <c r="A1344" t="s">
        <v>17</v>
      </c>
      <c r="B1344" t="str">
        <f>"900938"</f>
        <v>900938</v>
      </c>
      <c r="C1344" t="s">
        <v>2734</v>
      </c>
      <c r="E1344">
        <v>3572930.16</v>
      </c>
      <c r="F1344">
        <v>-989268938.39999998</v>
      </c>
      <c r="G1344">
        <v>765338767</v>
      </c>
      <c r="H1344">
        <v>836019183</v>
      </c>
      <c r="I1344">
        <v>250726476.59999999</v>
      </c>
      <c r="J1344">
        <v>-478774784.39999998</v>
      </c>
      <c r="K1344">
        <v>-86409480.283500001</v>
      </c>
      <c r="L1344">
        <v>-1983771.2771999999</v>
      </c>
      <c r="M1344">
        <v>14589463.4352</v>
      </c>
      <c r="N1344">
        <v>-5591253.4019999998</v>
      </c>
      <c r="O1344">
        <v>1114651.5008</v>
      </c>
      <c r="P1344">
        <v>12</v>
      </c>
      <c r="Q1344" t="s">
        <v>2735</v>
      </c>
    </row>
    <row r="1345" spans="1:17" x14ac:dyDescent="0.3">
      <c r="A1345" t="s">
        <v>32</v>
      </c>
      <c r="B1345" t="str">
        <f>"002885"</f>
        <v>002885</v>
      </c>
      <c r="C1345" t="s">
        <v>2736</v>
      </c>
      <c r="D1345" t="s">
        <v>124</v>
      </c>
      <c r="E1345">
        <v>3344194</v>
      </c>
      <c r="F1345">
        <v>-51920433</v>
      </c>
      <c r="G1345">
        <v>35291335</v>
      </c>
      <c r="H1345">
        <v>-19207702</v>
      </c>
      <c r="I1345">
        <v>-81934864</v>
      </c>
      <c r="J1345">
        <v>-57220433</v>
      </c>
      <c r="K1345">
        <v>-33365418</v>
      </c>
      <c r="P1345">
        <v>199</v>
      </c>
      <c r="Q1345" t="s">
        <v>2737</v>
      </c>
    </row>
    <row r="1346" spans="1:17" x14ac:dyDescent="0.3">
      <c r="A1346" t="s">
        <v>32</v>
      </c>
      <c r="B1346" t="str">
        <f>"300025"</f>
        <v>300025</v>
      </c>
      <c r="C1346" t="s">
        <v>2738</v>
      </c>
      <c r="D1346" t="s">
        <v>57</v>
      </c>
      <c r="E1346">
        <v>3338621</v>
      </c>
      <c r="F1346">
        <v>-23785865</v>
      </c>
      <c r="G1346">
        <v>-64338073</v>
      </c>
      <c r="H1346">
        <v>-43476176</v>
      </c>
      <c r="I1346">
        <v>-107649606</v>
      </c>
      <c r="J1346">
        <v>-89809620</v>
      </c>
      <c r="K1346">
        <v>-131653794</v>
      </c>
      <c r="L1346">
        <v>-80089838</v>
      </c>
      <c r="M1346">
        <v>-84470145</v>
      </c>
      <c r="N1346">
        <v>-59685598</v>
      </c>
      <c r="O1346">
        <v>-74989402</v>
      </c>
      <c r="P1346">
        <v>223</v>
      </c>
      <c r="Q1346" t="s">
        <v>2739</v>
      </c>
    </row>
    <row r="1347" spans="1:17" x14ac:dyDescent="0.3">
      <c r="A1347" t="s">
        <v>32</v>
      </c>
      <c r="B1347" t="str">
        <f>"300828"</f>
        <v>300828</v>
      </c>
      <c r="C1347" t="s">
        <v>2740</v>
      </c>
      <c r="D1347" t="s">
        <v>135</v>
      </c>
      <c r="E1347">
        <v>3337146</v>
      </c>
      <c r="F1347">
        <v>5589715</v>
      </c>
      <c r="G1347">
        <v>17812455</v>
      </c>
      <c r="H1347">
        <v>-19895873</v>
      </c>
      <c r="P1347">
        <v>92</v>
      </c>
      <c r="Q1347" t="s">
        <v>2741</v>
      </c>
    </row>
    <row r="1348" spans="1:17" x14ac:dyDescent="0.3">
      <c r="A1348" t="s">
        <v>32</v>
      </c>
      <c r="B1348" t="str">
        <f>"000917"</f>
        <v>000917</v>
      </c>
      <c r="C1348" t="s">
        <v>2742</v>
      </c>
      <c r="D1348" t="s">
        <v>245</v>
      </c>
      <c r="E1348">
        <v>3299385</v>
      </c>
      <c r="F1348">
        <v>512391756</v>
      </c>
      <c r="G1348">
        <v>-45940354</v>
      </c>
      <c r="H1348">
        <v>-109459468</v>
      </c>
      <c r="I1348">
        <v>307022477</v>
      </c>
      <c r="J1348">
        <v>-532851168</v>
      </c>
      <c r="K1348">
        <v>-90490446</v>
      </c>
      <c r="L1348">
        <v>-152755220</v>
      </c>
      <c r="M1348">
        <v>-1069099472</v>
      </c>
      <c r="N1348">
        <v>68541747</v>
      </c>
      <c r="O1348">
        <v>-217003685</v>
      </c>
      <c r="P1348">
        <v>267</v>
      </c>
      <c r="Q1348" t="s">
        <v>2743</v>
      </c>
    </row>
    <row r="1349" spans="1:17" x14ac:dyDescent="0.3">
      <c r="A1349" t="s">
        <v>32</v>
      </c>
      <c r="B1349" t="str">
        <f>"000908"</f>
        <v>000908</v>
      </c>
      <c r="C1349" t="s">
        <v>2744</v>
      </c>
      <c r="D1349" t="s">
        <v>98</v>
      </c>
      <c r="E1349">
        <v>3225234</v>
      </c>
      <c r="F1349">
        <v>114911437</v>
      </c>
      <c r="G1349">
        <v>-125494196</v>
      </c>
      <c r="H1349">
        <v>-123233952</v>
      </c>
      <c r="I1349">
        <v>56696694</v>
      </c>
      <c r="J1349">
        <v>-374847409</v>
      </c>
      <c r="K1349">
        <v>-160594602</v>
      </c>
      <c r="L1349">
        <v>17576306</v>
      </c>
      <c r="M1349">
        <v>-9601819</v>
      </c>
      <c r="N1349">
        <v>5500026</v>
      </c>
      <c r="O1349">
        <v>-5633071</v>
      </c>
      <c r="P1349">
        <v>186</v>
      </c>
      <c r="Q1349" t="s">
        <v>2745</v>
      </c>
    </row>
    <row r="1350" spans="1:17" x14ac:dyDescent="0.3">
      <c r="A1350" t="s">
        <v>17</v>
      </c>
      <c r="B1350" t="str">
        <f>"688787"</f>
        <v>688787</v>
      </c>
      <c r="C1350" t="s">
        <v>2746</v>
      </c>
      <c r="D1350" t="s">
        <v>342</v>
      </c>
      <c r="E1350">
        <v>3082938</v>
      </c>
      <c r="F1350">
        <v>17593531</v>
      </c>
      <c r="G1350">
        <v>5769916</v>
      </c>
      <c r="P1350">
        <v>32</v>
      </c>
      <c r="Q1350" t="s">
        <v>2747</v>
      </c>
    </row>
    <row r="1351" spans="1:17" x14ac:dyDescent="0.3">
      <c r="A1351" t="s">
        <v>32</v>
      </c>
      <c r="B1351" t="str">
        <f>"002696"</f>
        <v>002696</v>
      </c>
      <c r="C1351" t="s">
        <v>2748</v>
      </c>
      <c r="D1351" t="s">
        <v>175</v>
      </c>
      <c r="E1351">
        <v>3068415</v>
      </c>
      <c r="F1351">
        <v>-33685993</v>
      </c>
      <c r="G1351">
        <v>-90922883</v>
      </c>
      <c r="H1351">
        <v>42393385</v>
      </c>
      <c r="I1351">
        <v>-4479573</v>
      </c>
      <c r="J1351">
        <v>-937181</v>
      </c>
      <c r="K1351">
        <v>19059924</v>
      </c>
      <c r="L1351">
        <v>18993064</v>
      </c>
      <c r="M1351">
        <v>-4021058</v>
      </c>
      <c r="N1351">
        <v>985296</v>
      </c>
      <c r="O1351">
        <v>-3504059</v>
      </c>
      <c r="P1351">
        <v>93</v>
      </c>
      <c r="Q1351" t="s">
        <v>2749</v>
      </c>
    </row>
    <row r="1352" spans="1:17" x14ac:dyDescent="0.3">
      <c r="A1352" t="s">
        <v>32</v>
      </c>
      <c r="B1352" t="str">
        <f>"000613"</f>
        <v>000613</v>
      </c>
      <c r="C1352" t="s">
        <v>2750</v>
      </c>
      <c r="D1352" t="s">
        <v>497</v>
      </c>
      <c r="E1352">
        <v>3044873</v>
      </c>
      <c r="F1352">
        <v>4829868</v>
      </c>
      <c r="G1352">
        <v>-1609833</v>
      </c>
      <c r="H1352">
        <v>1225901</v>
      </c>
      <c r="I1352">
        <v>1847013</v>
      </c>
      <c r="J1352">
        <v>2513344</v>
      </c>
      <c r="K1352">
        <v>2706961</v>
      </c>
      <c r="L1352">
        <v>950536</v>
      </c>
      <c r="M1352">
        <v>2461844</v>
      </c>
      <c r="N1352">
        <v>3920141</v>
      </c>
      <c r="O1352">
        <v>-166174</v>
      </c>
      <c r="P1352">
        <v>100</v>
      </c>
      <c r="Q1352" t="s">
        <v>2751</v>
      </c>
    </row>
    <row r="1353" spans="1:17" x14ac:dyDescent="0.3">
      <c r="A1353" t="s">
        <v>32</v>
      </c>
      <c r="B1353" t="str">
        <f>"300125"</f>
        <v>300125</v>
      </c>
      <c r="C1353" t="s">
        <v>2752</v>
      </c>
      <c r="D1353" t="s">
        <v>158</v>
      </c>
      <c r="E1353">
        <v>3004975</v>
      </c>
      <c r="F1353">
        <v>-232093348</v>
      </c>
      <c r="G1353">
        <v>-11296411</v>
      </c>
      <c r="H1353">
        <v>45431275</v>
      </c>
      <c r="I1353">
        <v>-28548744</v>
      </c>
      <c r="J1353">
        <v>-30017391</v>
      </c>
      <c r="K1353">
        <v>-9769172</v>
      </c>
      <c r="L1353">
        <v>-8288916</v>
      </c>
      <c r="M1353">
        <v>-2503467</v>
      </c>
      <c r="N1353">
        <v>4067726</v>
      </c>
      <c r="O1353">
        <v>6329129</v>
      </c>
      <c r="P1353">
        <v>59</v>
      </c>
      <c r="Q1353" t="s">
        <v>2753</v>
      </c>
    </row>
    <row r="1354" spans="1:17" x14ac:dyDescent="0.3">
      <c r="A1354" t="s">
        <v>32</v>
      </c>
      <c r="B1354" t="str">
        <f>"300239"</f>
        <v>300239</v>
      </c>
      <c r="C1354" t="s">
        <v>2754</v>
      </c>
      <c r="D1354" t="s">
        <v>98</v>
      </c>
      <c r="E1354">
        <v>2971764</v>
      </c>
      <c r="F1354">
        <v>-6447574</v>
      </c>
      <c r="G1354">
        <v>-10601088</v>
      </c>
      <c r="H1354">
        <v>-3443829</v>
      </c>
      <c r="I1354">
        <v>-17802934</v>
      </c>
      <c r="J1354">
        <v>-29826433</v>
      </c>
      <c r="K1354">
        <v>-30374768</v>
      </c>
      <c r="L1354">
        <v>-5252419</v>
      </c>
      <c r="M1354">
        <v>-20535197</v>
      </c>
      <c r="N1354">
        <v>-791611</v>
      </c>
      <c r="O1354">
        <v>-17602005</v>
      </c>
      <c r="P1354">
        <v>107</v>
      </c>
      <c r="Q1354" t="s">
        <v>2755</v>
      </c>
    </row>
    <row r="1355" spans="1:17" x14ac:dyDescent="0.3">
      <c r="A1355" t="s">
        <v>32</v>
      </c>
      <c r="B1355" t="str">
        <f>"002584"</f>
        <v>002584</v>
      </c>
      <c r="C1355" t="s">
        <v>2756</v>
      </c>
      <c r="D1355" t="s">
        <v>124</v>
      </c>
      <c r="E1355">
        <v>2960797</v>
      </c>
      <c r="F1355">
        <v>36233193</v>
      </c>
      <c r="G1355">
        <v>-228825706</v>
      </c>
      <c r="H1355">
        <v>-313981819</v>
      </c>
      <c r="I1355">
        <v>-134797435</v>
      </c>
      <c r="J1355">
        <v>-106862940</v>
      </c>
      <c r="K1355">
        <v>-132873215</v>
      </c>
      <c r="L1355">
        <v>-32574197</v>
      </c>
      <c r="M1355">
        <v>-33969084</v>
      </c>
      <c r="N1355">
        <v>18840645</v>
      </c>
      <c r="O1355">
        <v>-23905971</v>
      </c>
      <c r="P1355">
        <v>119</v>
      </c>
      <c r="Q1355" t="s">
        <v>2757</v>
      </c>
    </row>
    <row r="1356" spans="1:17" x14ac:dyDescent="0.3">
      <c r="A1356" t="s">
        <v>17</v>
      </c>
      <c r="B1356" t="str">
        <f>"603127"</f>
        <v>603127</v>
      </c>
      <c r="C1356" t="s">
        <v>2758</v>
      </c>
      <c r="D1356" t="s">
        <v>98</v>
      </c>
      <c r="E1356">
        <v>2932152</v>
      </c>
      <c r="F1356">
        <v>-10991546</v>
      </c>
      <c r="G1356">
        <v>6996312</v>
      </c>
      <c r="H1356">
        <v>-10032844</v>
      </c>
      <c r="I1356">
        <v>-23292724</v>
      </c>
      <c r="J1356">
        <v>-14037303</v>
      </c>
      <c r="P1356">
        <v>1812</v>
      </c>
      <c r="Q1356" t="s">
        <v>2759</v>
      </c>
    </row>
    <row r="1357" spans="1:17" x14ac:dyDescent="0.3">
      <c r="A1357" t="s">
        <v>17</v>
      </c>
      <c r="B1357" t="str">
        <f>"600275"</f>
        <v>600275</v>
      </c>
      <c r="C1357" t="s">
        <v>2760</v>
      </c>
      <c r="D1357" t="s">
        <v>175</v>
      </c>
      <c r="E1357">
        <v>2833334</v>
      </c>
      <c r="F1357">
        <v>-1048653</v>
      </c>
      <c r="G1357">
        <v>-3036010</v>
      </c>
      <c r="H1357">
        <v>-4552558</v>
      </c>
      <c r="I1357">
        <v>-14809974</v>
      </c>
      <c r="J1357">
        <v>3614</v>
      </c>
      <c r="K1357">
        <v>18451761</v>
      </c>
      <c r="L1357">
        <v>490015</v>
      </c>
      <c r="M1357">
        <v>-1132899</v>
      </c>
      <c r="N1357">
        <v>-13342739</v>
      </c>
      <c r="O1357">
        <v>-219429</v>
      </c>
      <c r="P1357">
        <v>47</v>
      </c>
      <c r="Q1357" t="s">
        <v>2761</v>
      </c>
    </row>
    <row r="1358" spans="1:17" x14ac:dyDescent="0.3">
      <c r="A1358" t="s">
        <v>17</v>
      </c>
      <c r="B1358" t="str">
        <f>"600892"</f>
        <v>600892</v>
      </c>
      <c r="C1358" t="s">
        <v>2762</v>
      </c>
      <c r="D1358" t="s">
        <v>245</v>
      </c>
      <c r="E1358">
        <v>2752957</v>
      </c>
      <c r="F1358">
        <v>2727350</v>
      </c>
      <c r="G1358">
        <v>-11104934</v>
      </c>
      <c r="H1358">
        <v>-37813023</v>
      </c>
      <c r="I1358">
        <v>2784147</v>
      </c>
      <c r="J1358">
        <v>103015524</v>
      </c>
      <c r="K1358">
        <v>54493193</v>
      </c>
      <c r="L1358">
        <v>-1792821</v>
      </c>
      <c r="M1358">
        <v>39275606</v>
      </c>
      <c r="N1358">
        <v>-8907892</v>
      </c>
      <c r="O1358">
        <v>13068892</v>
      </c>
      <c r="P1358">
        <v>85</v>
      </c>
      <c r="Q1358" t="s">
        <v>2763</v>
      </c>
    </row>
    <row r="1359" spans="1:17" x14ac:dyDescent="0.3">
      <c r="A1359" t="s">
        <v>32</v>
      </c>
      <c r="B1359" t="str">
        <f>"002766"</f>
        <v>002766</v>
      </c>
      <c r="C1359" t="s">
        <v>2764</v>
      </c>
      <c r="D1359" t="s">
        <v>199</v>
      </c>
      <c r="E1359">
        <v>2749336</v>
      </c>
      <c r="F1359">
        <v>-14180446</v>
      </c>
      <c r="G1359">
        <v>20870783</v>
      </c>
      <c r="H1359">
        <v>1568057</v>
      </c>
      <c r="I1359">
        <v>-153350074</v>
      </c>
      <c r="J1359">
        <v>-65153671</v>
      </c>
      <c r="K1359">
        <v>-112916881</v>
      </c>
      <c r="L1359">
        <v>23876922</v>
      </c>
      <c r="M1359">
        <v>-36772104</v>
      </c>
      <c r="P1359">
        <v>85</v>
      </c>
      <c r="Q1359" t="s">
        <v>2765</v>
      </c>
    </row>
    <row r="1360" spans="1:17" x14ac:dyDescent="0.3">
      <c r="A1360" t="s">
        <v>32</v>
      </c>
      <c r="B1360" t="str">
        <f>"300988"</f>
        <v>300988</v>
      </c>
      <c r="C1360" t="s">
        <v>2766</v>
      </c>
      <c r="D1360" t="s">
        <v>135</v>
      </c>
      <c r="E1360">
        <v>2717609</v>
      </c>
      <c r="F1360">
        <v>10235727</v>
      </c>
      <c r="G1360">
        <v>-2351884</v>
      </c>
      <c r="P1360">
        <v>20</v>
      </c>
      <c r="Q1360" t="s">
        <v>2767</v>
      </c>
    </row>
    <row r="1361" spans="1:17" x14ac:dyDescent="0.3">
      <c r="A1361" t="s">
        <v>32</v>
      </c>
      <c r="B1361" t="str">
        <f>"002040"</f>
        <v>002040</v>
      </c>
      <c r="C1361" t="s">
        <v>2768</v>
      </c>
      <c r="D1361" t="s">
        <v>46</v>
      </c>
      <c r="E1361">
        <v>2677789</v>
      </c>
      <c r="F1361">
        <v>38112403</v>
      </c>
      <c r="G1361">
        <v>26471696</v>
      </c>
      <c r="H1361">
        <v>-5148326</v>
      </c>
      <c r="I1361">
        <v>-7233954</v>
      </c>
      <c r="J1361">
        <v>16318913</v>
      </c>
      <c r="K1361">
        <v>-9562069</v>
      </c>
      <c r="L1361">
        <v>-7465171</v>
      </c>
      <c r="M1361">
        <v>-8841046</v>
      </c>
      <c r="N1361">
        <v>-13188659</v>
      </c>
      <c r="O1361">
        <v>5384396</v>
      </c>
      <c r="P1361">
        <v>100</v>
      </c>
      <c r="Q1361" t="s">
        <v>2769</v>
      </c>
    </row>
    <row r="1362" spans="1:17" x14ac:dyDescent="0.3">
      <c r="A1362" t="s">
        <v>17</v>
      </c>
      <c r="B1362" t="str">
        <f>"900922"</f>
        <v>900922</v>
      </c>
      <c r="C1362" t="s">
        <v>2770</v>
      </c>
      <c r="E1362">
        <v>2610410.2322999998</v>
      </c>
      <c r="F1362">
        <v>3083675.6208000001</v>
      </c>
      <c r="G1362">
        <v>2709013.3322000001</v>
      </c>
      <c r="H1362">
        <v>-5955778.2340000002</v>
      </c>
      <c r="I1362">
        <v>-7775799.9513999997</v>
      </c>
      <c r="J1362">
        <v>79492.644</v>
      </c>
      <c r="K1362">
        <v>7261963.8673999999</v>
      </c>
      <c r="L1362">
        <v>576955.09909999999</v>
      </c>
      <c r="M1362">
        <v>-2224817.3832</v>
      </c>
      <c r="N1362">
        <v>-17839832.976</v>
      </c>
      <c r="O1362">
        <v>-18359723.138</v>
      </c>
      <c r="P1362">
        <v>9</v>
      </c>
      <c r="Q1362" t="s">
        <v>2771</v>
      </c>
    </row>
    <row r="1363" spans="1:17" x14ac:dyDescent="0.3">
      <c r="A1363" t="s">
        <v>32</v>
      </c>
      <c r="B1363" t="str">
        <f>"300288"</f>
        <v>300288</v>
      </c>
      <c r="C1363" t="s">
        <v>2772</v>
      </c>
      <c r="D1363" t="s">
        <v>342</v>
      </c>
      <c r="E1363">
        <v>2569634</v>
      </c>
      <c r="F1363">
        <v>15196601</v>
      </c>
      <c r="G1363">
        <v>9108026</v>
      </c>
      <c r="H1363">
        <v>265372</v>
      </c>
      <c r="I1363">
        <v>-28269303</v>
      </c>
      <c r="J1363">
        <v>5855018</v>
      </c>
      <c r="K1363">
        <v>-4633711</v>
      </c>
      <c r="L1363">
        <v>-13649580</v>
      </c>
      <c r="M1363">
        <v>-8695303</v>
      </c>
      <c r="N1363">
        <v>-4603480</v>
      </c>
      <c r="O1363">
        <v>6320755</v>
      </c>
      <c r="P1363">
        <v>221</v>
      </c>
      <c r="Q1363" t="s">
        <v>2773</v>
      </c>
    </row>
    <row r="1364" spans="1:17" x14ac:dyDescent="0.3">
      <c r="A1364" t="s">
        <v>17</v>
      </c>
      <c r="B1364" t="str">
        <f>"900921"</f>
        <v>900921</v>
      </c>
      <c r="C1364" t="s">
        <v>2774</v>
      </c>
      <c r="E1364">
        <v>2563614.1153000002</v>
      </c>
      <c r="F1364">
        <v>-2111821.1255999999</v>
      </c>
      <c r="G1364">
        <v>9582832.0640999991</v>
      </c>
      <c r="H1364">
        <v>-6450810.3210000005</v>
      </c>
      <c r="I1364">
        <v>9553230.9360000007</v>
      </c>
      <c r="J1364">
        <v>9365187.1368000004</v>
      </c>
      <c r="K1364">
        <v>-10458896.9484</v>
      </c>
      <c r="L1364">
        <v>-1650813.0751</v>
      </c>
      <c r="M1364">
        <v>12938150.507999999</v>
      </c>
      <c r="N1364">
        <v>-9413395.9780000001</v>
      </c>
      <c r="O1364">
        <v>49726268.506800003</v>
      </c>
      <c r="P1364">
        <v>6</v>
      </c>
      <c r="Q1364" t="s">
        <v>2775</v>
      </c>
    </row>
    <row r="1365" spans="1:17" x14ac:dyDescent="0.3">
      <c r="A1365" t="s">
        <v>17</v>
      </c>
      <c r="B1365" t="str">
        <f>"900917"</f>
        <v>900917</v>
      </c>
      <c r="C1365" t="s">
        <v>2776</v>
      </c>
      <c r="E1365">
        <v>2513226.7840999998</v>
      </c>
      <c r="F1365">
        <v>4501620.3084000004</v>
      </c>
      <c r="G1365">
        <v>-3075224.1250999998</v>
      </c>
      <c r="H1365">
        <v>-4900468.45</v>
      </c>
      <c r="I1365">
        <v>-6474093.3254000004</v>
      </c>
      <c r="J1365">
        <v>-8897286.9612000007</v>
      </c>
      <c r="K1365">
        <v>-8190939.7511999998</v>
      </c>
      <c r="L1365">
        <v>-9788622.9273000006</v>
      </c>
      <c r="M1365">
        <v>-8992451.2031999994</v>
      </c>
      <c r="N1365">
        <v>-6986023.1279999996</v>
      </c>
      <c r="O1365">
        <v>-5979791.8559999997</v>
      </c>
      <c r="P1365">
        <v>12</v>
      </c>
      <c r="Q1365" t="s">
        <v>2777</v>
      </c>
    </row>
    <row r="1366" spans="1:17" x14ac:dyDescent="0.3">
      <c r="A1366" t="s">
        <v>17</v>
      </c>
      <c r="B1366" t="str">
        <f>"600385"</f>
        <v>600385</v>
      </c>
      <c r="C1366" t="s">
        <v>2778</v>
      </c>
      <c r="D1366" t="s">
        <v>98</v>
      </c>
      <c r="E1366">
        <v>2451300</v>
      </c>
      <c r="F1366">
        <v>48056</v>
      </c>
      <c r="G1366">
        <v>-310311</v>
      </c>
      <c r="H1366">
        <v>-646072</v>
      </c>
      <c r="I1366">
        <v>-1112846</v>
      </c>
      <c r="J1366">
        <v>395803</v>
      </c>
      <c r="K1366">
        <v>-23556338</v>
      </c>
      <c r="L1366">
        <v>94346791</v>
      </c>
      <c r="M1366">
        <v>74312016</v>
      </c>
      <c r="N1366">
        <v>40989</v>
      </c>
      <c r="O1366">
        <v>2245676</v>
      </c>
      <c r="P1366">
        <v>51</v>
      </c>
      <c r="Q1366" t="s">
        <v>2779</v>
      </c>
    </row>
    <row r="1367" spans="1:17" x14ac:dyDescent="0.3">
      <c r="A1367" t="s">
        <v>32</v>
      </c>
      <c r="B1367" t="str">
        <f>"301023"</f>
        <v>301023</v>
      </c>
      <c r="C1367" t="s">
        <v>2780</v>
      </c>
      <c r="D1367" t="s">
        <v>464</v>
      </c>
      <c r="E1367">
        <v>2449245</v>
      </c>
      <c r="F1367">
        <v>3726232</v>
      </c>
      <c r="G1367">
        <v>10897812</v>
      </c>
      <c r="P1367">
        <v>22</v>
      </c>
      <c r="Q1367" t="s">
        <v>2781</v>
      </c>
    </row>
    <row r="1368" spans="1:17" x14ac:dyDescent="0.3">
      <c r="A1368" t="s">
        <v>17</v>
      </c>
      <c r="B1368" t="str">
        <f>"605011"</f>
        <v>605011</v>
      </c>
      <c r="C1368" t="s">
        <v>2782</v>
      </c>
      <c r="D1368" t="s">
        <v>158</v>
      </c>
      <c r="E1368">
        <v>2442689</v>
      </c>
      <c r="F1368">
        <v>1306668</v>
      </c>
      <c r="G1368">
        <v>-22291978</v>
      </c>
      <c r="P1368">
        <v>27</v>
      </c>
      <c r="Q1368" t="s">
        <v>2783</v>
      </c>
    </row>
    <row r="1369" spans="1:17" x14ac:dyDescent="0.3">
      <c r="A1369" t="s">
        <v>32</v>
      </c>
      <c r="B1369" t="str">
        <f>"300824"</f>
        <v>300824</v>
      </c>
      <c r="C1369" t="s">
        <v>2784</v>
      </c>
      <c r="D1369" t="s">
        <v>127</v>
      </c>
      <c r="E1369">
        <v>2385583</v>
      </c>
      <c r="F1369">
        <v>11037233</v>
      </c>
      <c r="G1369">
        <v>14238042</v>
      </c>
      <c r="H1369">
        <v>8121039</v>
      </c>
      <c r="P1369">
        <v>167</v>
      </c>
      <c r="Q1369" t="s">
        <v>2785</v>
      </c>
    </row>
    <row r="1370" spans="1:17" x14ac:dyDescent="0.3">
      <c r="A1370" t="s">
        <v>32</v>
      </c>
      <c r="B1370" t="str">
        <f>"000681"</f>
        <v>000681</v>
      </c>
      <c r="C1370" t="s">
        <v>2786</v>
      </c>
      <c r="D1370" t="s">
        <v>245</v>
      </c>
      <c r="E1370">
        <v>2246219</v>
      </c>
      <c r="F1370">
        <v>-4468254</v>
      </c>
      <c r="G1370">
        <v>-28464077</v>
      </c>
      <c r="H1370">
        <v>32922607</v>
      </c>
      <c r="I1370">
        <v>-9115214</v>
      </c>
      <c r="J1370">
        <v>-10489429</v>
      </c>
      <c r="K1370">
        <v>1349573</v>
      </c>
      <c r="L1370">
        <v>25142054</v>
      </c>
      <c r="M1370">
        <v>-6833090</v>
      </c>
      <c r="N1370">
        <v>-6776946</v>
      </c>
      <c r="O1370">
        <v>8796789</v>
      </c>
      <c r="P1370">
        <v>449</v>
      </c>
      <c r="Q1370" t="s">
        <v>2787</v>
      </c>
    </row>
    <row r="1371" spans="1:17" x14ac:dyDescent="0.3">
      <c r="A1371" t="s">
        <v>32</v>
      </c>
      <c r="B1371" t="str">
        <f>"300304"</f>
        <v>300304</v>
      </c>
      <c r="C1371" t="s">
        <v>2788</v>
      </c>
      <c r="D1371" t="s">
        <v>199</v>
      </c>
      <c r="E1371">
        <v>2197110</v>
      </c>
      <c r="F1371">
        <v>-12411858</v>
      </c>
      <c r="G1371">
        <v>34738905</v>
      </c>
      <c r="H1371">
        <v>36520</v>
      </c>
      <c r="I1371">
        <v>-7817789</v>
      </c>
      <c r="J1371">
        <v>-6638764</v>
      </c>
      <c r="K1371">
        <v>-336654</v>
      </c>
      <c r="L1371">
        <v>-4620777</v>
      </c>
      <c r="M1371">
        <v>-40882010</v>
      </c>
      <c r="N1371">
        <v>-20340794</v>
      </c>
      <c r="O1371">
        <v>-7461253</v>
      </c>
      <c r="P1371">
        <v>114</v>
      </c>
      <c r="Q1371" t="s">
        <v>2789</v>
      </c>
    </row>
    <row r="1372" spans="1:17" x14ac:dyDescent="0.3">
      <c r="A1372" t="s">
        <v>32</v>
      </c>
      <c r="B1372" t="str">
        <f>"301101"</f>
        <v>301101</v>
      </c>
      <c r="C1372" t="s">
        <v>2790</v>
      </c>
      <c r="D1372" t="s">
        <v>455</v>
      </c>
      <c r="E1372">
        <v>2157714</v>
      </c>
      <c r="F1372">
        <v>-10865394</v>
      </c>
      <c r="P1372">
        <v>19</v>
      </c>
      <c r="Q1372" t="s">
        <v>2791</v>
      </c>
    </row>
    <row r="1373" spans="1:17" x14ac:dyDescent="0.3">
      <c r="A1373" t="s">
        <v>17</v>
      </c>
      <c r="B1373" t="str">
        <f>"603385"</f>
        <v>603385</v>
      </c>
      <c r="C1373" t="s">
        <v>2792</v>
      </c>
      <c r="D1373" t="s">
        <v>455</v>
      </c>
      <c r="E1373">
        <v>2127536</v>
      </c>
      <c r="F1373">
        <v>-200727476</v>
      </c>
      <c r="G1373">
        <v>-46428935</v>
      </c>
      <c r="H1373">
        <v>-49481087</v>
      </c>
      <c r="I1373">
        <v>-39927749</v>
      </c>
      <c r="J1373">
        <v>84007054</v>
      </c>
      <c r="K1373">
        <v>116087240</v>
      </c>
      <c r="P1373">
        <v>193</v>
      </c>
      <c r="Q1373" t="s">
        <v>2793</v>
      </c>
    </row>
    <row r="1374" spans="1:17" x14ac:dyDescent="0.3">
      <c r="A1374" t="s">
        <v>17</v>
      </c>
      <c r="B1374" t="str">
        <f>"688093"</f>
        <v>688093</v>
      </c>
      <c r="C1374" t="s">
        <v>2794</v>
      </c>
      <c r="D1374" t="s">
        <v>124</v>
      </c>
      <c r="E1374">
        <v>2119643</v>
      </c>
      <c r="F1374">
        <v>36060408</v>
      </c>
      <c r="G1374">
        <v>7771404</v>
      </c>
      <c r="H1374">
        <v>24837800</v>
      </c>
      <c r="P1374">
        <v>59</v>
      </c>
      <c r="Q1374" t="s">
        <v>2795</v>
      </c>
    </row>
    <row r="1375" spans="1:17" x14ac:dyDescent="0.3">
      <c r="A1375" t="s">
        <v>32</v>
      </c>
      <c r="B1375" t="str">
        <f>"000014"</f>
        <v>000014</v>
      </c>
      <c r="C1375" t="s">
        <v>2796</v>
      </c>
      <c r="D1375" t="s">
        <v>151</v>
      </c>
      <c r="E1375">
        <v>2085423</v>
      </c>
      <c r="F1375">
        <v>-24991992</v>
      </c>
      <c r="G1375">
        <v>-25264644</v>
      </c>
      <c r="H1375">
        <v>59403216</v>
      </c>
      <c r="I1375">
        <v>76423521</v>
      </c>
      <c r="J1375">
        <v>191948701</v>
      </c>
      <c r="K1375">
        <v>14787057</v>
      </c>
      <c r="L1375">
        <v>-85223229</v>
      </c>
      <c r="M1375">
        <v>-34431134</v>
      </c>
      <c r="N1375">
        <v>-35803191</v>
      </c>
      <c r="O1375">
        <v>-48175345</v>
      </c>
      <c r="P1375">
        <v>96</v>
      </c>
      <c r="Q1375" t="s">
        <v>2797</v>
      </c>
    </row>
    <row r="1376" spans="1:17" x14ac:dyDescent="0.3">
      <c r="A1376" t="s">
        <v>17</v>
      </c>
      <c r="B1376" t="str">
        <f>"603101"</f>
        <v>603101</v>
      </c>
      <c r="C1376" t="s">
        <v>2798</v>
      </c>
      <c r="D1376" t="s">
        <v>218</v>
      </c>
      <c r="E1376">
        <v>2066364</v>
      </c>
      <c r="F1376">
        <v>77320006</v>
      </c>
      <c r="G1376">
        <v>-67433768</v>
      </c>
      <c r="H1376">
        <v>113594927</v>
      </c>
      <c r="I1376">
        <v>48633664</v>
      </c>
      <c r="J1376">
        <v>-26969566</v>
      </c>
      <c r="K1376">
        <v>-73628327</v>
      </c>
      <c r="L1376">
        <v>4116391</v>
      </c>
      <c r="P1376">
        <v>69</v>
      </c>
      <c r="Q1376" t="s">
        <v>2799</v>
      </c>
    </row>
    <row r="1377" spans="1:17" x14ac:dyDescent="0.3">
      <c r="A1377" t="s">
        <v>32</v>
      </c>
      <c r="B1377" t="str">
        <f>"300654"</f>
        <v>300654</v>
      </c>
      <c r="C1377" t="s">
        <v>2800</v>
      </c>
      <c r="D1377" t="s">
        <v>245</v>
      </c>
      <c r="E1377">
        <v>2012585</v>
      </c>
      <c r="F1377">
        <v>-36189338</v>
      </c>
      <c r="G1377">
        <v>8569604</v>
      </c>
      <c r="H1377">
        <v>-2457389</v>
      </c>
      <c r="I1377">
        <v>-34998880</v>
      </c>
      <c r="J1377">
        <v>-10876551</v>
      </c>
      <c r="P1377">
        <v>73</v>
      </c>
      <c r="Q1377" t="s">
        <v>2801</v>
      </c>
    </row>
    <row r="1378" spans="1:17" x14ac:dyDescent="0.3">
      <c r="A1378" t="s">
        <v>17</v>
      </c>
      <c r="B1378" t="str">
        <f>"600624"</f>
        <v>600624</v>
      </c>
      <c r="C1378" t="s">
        <v>2802</v>
      </c>
      <c r="D1378" t="s">
        <v>98</v>
      </c>
      <c r="E1378">
        <v>2012020</v>
      </c>
      <c r="F1378">
        <v>-6284021</v>
      </c>
      <c r="G1378">
        <v>-42793329</v>
      </c>
      <c r="H1378">
        <v>-107511020</v>
      </c>
      <c r="I1378">
        <v>-41576959</v>
      </c>
      <c r="J1378">
        <v>-53730167</v>
      </c>
      <c r="K1378">
        <v>-76809592</v>
      </c>
      <c r="L1378">
        <v>-28814124</v>
      </c>
      <c r="M1378">
        <v>-26609078</v>
      </c>
      <c r="N1378">
        <v>-176629239</v>
      </c>
      <c r="O1378">
        <v>23635512</v>
      </c>
      <c r="P1378">
        <v>122</v>
      </c>
      <c r="Q1378" t="s">
        <v>2803</v>
      </c>
    </row>
    <row r="1379" spans="1:17" x14ac:dyDescent="0.3">
      <c r="A1379" t="s">
        <v>32</v>
      </c>
      <c r="B1379" t="str">
        <f>"300534"</f>
        <v>300534</v>
      </c>
      <c r="C1379" t="s">
        <v>2804</v>
      </c>
      <c r="D1379" t="s">
        <v>98</v>
      </c>
      <c r="E1379">
        <v>2007545</v>
      </c>
      <c r="F1379">
        <v>2995858</v>
      </c>
      <c r="G1379">
        <v>-32201095</v>
      </c>
      <c r="H1379">
        <v>-4489745</v>
      </c>
      <c r="I1379">
        <v>-19820023</v>
      </c>
      <c r="J1379">
        <v>-45051697</v>
      </c>
      <c r="K1379">
        <v>-28094696</v>
      </c>
      <c r="P1379">
        <v>109</v>
      </c>
      <c r="Q1379" t="s">
        <v>2805</v>
      </c>
    </row>
    <row r="1380" spans="1:17" x14ac:dyDescent="0.3">
      <c r="A1380" t="s">
        <v>17</v>
      </c>
      <c r="B1380" t="str">
        <f>"603283"</f>
        <v>603283</v>
      </c>
      <c r="C1380" t="s">
        <v>2806</v>
      </c>
      <c r="D1380" t="s">
        <v>135</v>
      </c>
      <c r="E1380">
        <v>2000140</v>
      </c>
      <c r="F1380">
        <v>358822547</v>
      </c>
      <c r="G1380">
        <v>40121538</v>
      </c>
      <c r="H1380">
        <v>91742267</v>
      </c>
      <c r="I1380">
        <v>65384370</v>
      </c>
      <c r="J1380">
        <v>-76554532</v>
      </c>
      <c r="P1380">
        <v>216</v>
      </c>
      <c r="Q1380" t="s">
        <v>2807</v>
      </c>
    </row>
    <row r="1381" spans="1:17" x14ac:dyDescent="0.3">
      <c r="A1381" t="s">
        <v>17</v>
      </c>
      <c r="B1381" t="str">
        <f>"605196"</f>
        <v>605196</v>
      </c>
      <c r="C1381" t="s">
        <v>2808</v>
      </c>
      <c r="D1381" t="s">
        <v>464</v>
      </c>
      <c r="E1381">
        <v>1994035</v>
      </c>
      <c r="F1381">
        <v>-105434659</v>
      </c>
      <c r="G1381">
        <v>-52846004</v>
      </c>
      <c r="P1381">
        <v>27</v>
      </c>
      <c r="Q1381" t="s">
        <v>2809</v>
      </c>
    </row>
    <row r="1382" spans="1:17" x14ac:dyDescent="0.3">
      <c r="A1382" t="s">
        <v>32</v>
      </c>
      <c r="B1382" t="str">
        <f>"300643"</f>
        <v>300643</v>
      </c>
      <c r="C1382" t="s">
        <v>2810</v>
      </c>
      <c r="D1382" t="s">
        <v>199</v>
      </c>
      <c r="E1382">
        <v>1935677</v>
      </c>
      <c r="F1382">
        <v>10013703</v>
      </c>
      <c r="G1382">
        <v>-408228</v>
      </c>
      <c r="H1382">
        <v>7703132</v>
      </c>
      <c r="I1382">
        <v>10174418</v>
      </c>
      <c r="J1382">
        <v>7948445</v>
      </c>
      <c r="K1382">
        <v>11271250</v>
      </c>
      <c r="P1382">
        <v>96</v>
      </c>
      <c r="Q1382" t="s">
        <v>2811</v>
      </c>
    </row>
    <row r="1383" spans="1:17" x14ac:dyDescent="0.3">
      <c r="A1383" t="s">
        <v>17</v>
      </c>
      <c r="B1383" t="str">
        <f>"603508"</f>
        <v>603508</v>
      </c>
      <c r="C1383" t="s">
        <v>2812</v>
      </c>
      <c r="D1383" t="s">
        <v>342</v>
      </c>
      <c r="E1383">
        <v>1924016</v>
      </c>
      <c r="F1383">
        <v>10468446</v>
      </c>
      <c r="G1383">
        <v>127716323</v>
      </c>
      <c r="H1383">
        <v>-620612</v>
      </c>
      <c r="I1383">
        <v>13487257</v>
      </c>
      <c r="J1383">
        <v>55067400</v>
      </c>
      <c r="K1383">
        <v>41105649</v>
      </c>
      <c r="L1383">
        <v>1250467</v>
      </c>
      <c r="M1383">
        <v>25089082</v>
      </c>
      <c r="P1383">
        <v>219</v>
      </c>
      <c r="Q1383" t="s">
        <v>2813</v>
      </c>
    </row>
    <row r="1384" spans="1:17" x14ac:dyDescent="0.3">
      <c r="A1384" t="s">
        <v>32</v>
      </c>
      <c r="B1384" t="str">
        <f>"000616"</f>
        <v>000616</v>
      </c>
      <c r="C1384" t="s">
        <v>2814</v>
      </c>
      <c r="D1384" t="s">
        <v>151</v>
      </c>
      <c r="E1384">
        <v>1844776</v>
      </c>
      <c r="F1384">
        <v>100829353</v>
      </c>
      <c r="G1384">
        <v>4452199</v>
      </c>
      <c r="H1384">
        <v>33776408</v>
      </c>
      <c r="I1384">
        <v>-2135479</v>
      </c>
      <c r="J1384">
        <v>-147489952</v>
      </c>
      <c r="K1384">
        <v>35454794</v>
      </c>
      <c r="L1384">
        <v>-123021494</v>
      </c>
      <c r="M1384">
        <v>-97840986</v>
      </c>
      <c r="N1384">
        <v>-341128568</v>
      </c>
      <c r="O1384">
        <v>371168403</v>
      </c>
      <c r="P1384">
        <v>140</v>
      </c>
      <c r="Q1384" t="s">
        <v>2815</v>
      </c>
    </row>
    <row r="1385" spans="1:17" x14ac:dyDescent="0.3">
      <c r="A1385" t="s">
        <v>32</v>
      </c>
      <c r="B1385" t="str">
        <f>"300701"</f>
        <v>300701</v>
      </c>
      <c r="C1385" t="s">
        <v>2816</v>
      </c>
      <c r="D1385" t="s">
        <v>124</v>
      </c>
      <c r="E1385">
        <v>1838075</v>
      </c>
      <c r="F1385">
        <v>-14100700</v>
      </c>
      <c r="G1385">
        <v>27839281</v>
      </c>
      <c r="H1385">
        <v>11055378</v>
      </c>
      <c r="I1385">
        <v>11268064</v>
      </c>
      <c r="J1385">
        <v>5503676</v>
      </c>
      <c r="P1385">
        <v>746</v>
      </c>
      <c r="Q1385" t="s">
        <v>2817</v>
      </c>
    </row>
    <row r="1386" spans="1:17" x14ac:dyDescent="0.3">
      <c r="A1386" t="s">
        <v>17</v>
      </c>
      <c r="B1386" t="str">
        <f>"603059"</f>
        <v>603059</v>
      </c>
      <c r="C1386" t="s">
        <v>2818</v>
      </c>
      <c r="D1386" t="s">
        <v>544</v>
      </c>
      <c r="E1386">
        <v>1811384</v>
      </c>
      <c r="F1386">
        <v>-19972703</v>
      </c>
      <c r="G1386">
        <v>-42505746</v>
      </c>
      <c r="H1386">
        <v>11611549</v>
      </c>
      <c r="I1386">
        <v>-25211950</v>
      </c>
      <c r="J1386">
        <v>466429</v>
      </c>
      <c r="P1386">
        <v>99</v>
      </c>
      <c r="Q1386" t="s">
        <v>2819</v>
      </c>
    </row>
    <row r="1387" spans="1:17" x14ac:dyDescent="0.3">
      <c r="A1387" t="s">
        <v>32</v>
      </c>
      <c r="B1387" t="str">
        <f>"002855"</f>
        <v>002855</v>
      </c>
      <c r="C1387" t="s">
        <v>2820</v>
      </c>
      <c r="D1387" t="s">
        <v>124</v>
      </c>
      <c r="E1387">
        <v>1732518</v>
      </c>
      <c r="F1387">
        <v>-65916484</v>
      </c>
      <c r="G1387">
        <v>48069110</v>
      </c>
      <c r="H1387">
        <v>-23239626</v>
      </c>
      <c r="I1387">
        <v>-155075968</v>
      </c>
      <c r="J1387">
        <v>39451512</v>
      </c>
      <c r="K1387">
        <v>114899651</v>
      </c>
      <c r="P1387">
        <v>138</v>
      </c>
      <c r="Q1387" t="s">
        <v>2821</v>
      </c>
    </row>
    <row r="1388" spans="1:17" x14ac:dyDescent="0.3">
      <c r="A1388" t="s">
        <v>32</v>
      </c>
      <c r="B1388" t="str">
        <f>"002319"</f>
        <v>002319</v>
      </c>
      <c r="C1388" t="s">
        <v>2822</v>
      </c>
      <c r="D1388" t="s">
        <v>144</v>
      </c>
      <c r="E1388">
        <v>1732160</v>
      </c>
      <c r="F1388">
        <v>-4800564</v>
      </c>
      <c r="G1388">
        <v>3161860</v>
      </c>
      <c r="H1388">
        <v>11343975</v>
      </c>
      <c r="I1388">
        <v>57872874</v>
      </c>
      <c r="J1388">
        <v>20859138</v>
      </c>
      <c r="K1388">
        <v>10603261</v>
      </c>
      <c r="L1388">
        <v>9806460</v>
      </c>
      <c r="M1388">
        <v>-59287141</v>
      </c>
      <c r="N1388">
        <v>-26571429</v>
      </c>
      <c r="O1388">
        <v>-8968517</v>
      </c>
      <c r="P1388">
        <v>55</v>
      </c>
      <c r="Q1388" t="s">
        <v>2823</v>
      </c>
    </row>
    <row r="1389" spans="1:17" x14ac:dyDescent="0.3">
      <c r="A1389" t="s">
        <v>17</v>
      </c>
      <c r="B1389" t="str">
        <f>"688193"</f>
        <v>688193</v>
      </c>
      <c r="C1389" t="s">
        <v>2824</v>
      </c>
      <c r="E1389">
        <v>1715130</v>
      </c>
      <c r="P1389">
        <v>2</v>
      </c>
      <c r="Q1389" t="s">
        <v>2825</v>
      </c>
    </row>
    <row r="1390" spans="1:17" x14ac:dyDescent="0.3">
      <c r="A1390" t="s">
        <v>32</v>
      </c>
      <c r="B1390" t="str">
        <f>"300052"</f>
        <v>300052</v>
      </c>
      <c r="C1390" t="s">
        <v>2826</v>
      </c>
      <c r="D1390" t="s">
        <v>245</v>
      </c>
      <c r="E1390">
        <v>1698387</v>
      </c>
      <c r="F1390">
        <v>-2811218</v>
      </c>
      <c r="G1390">
        <v>-24375231</v>
      </c>
      <c r="H1390">
        <v>-31723235</v>
      </c>
      <c r="I1390">
        <v>-111419361</v>
      </c>
      <c r="J1390">
        <v>-21466302</v>
      </c>
      <c r="K1390">
        <v>-13944913</v>
      </c>
      <c r="L1390">
        <v>-65344893</v>
      </c>
      <c r="M1390">
        <v>-76451033</v>
      </c>
      <c r="N1390">
        <v>-35721917</v>
      </c>
      <c r="O1390">
        <v>-33312928</v>
      </c>
      <c r="P1390">
        <v>219</v>
      </c>
      <c r="Q1390" t="s">
        <v>2827</v>
      </c>
    </row>
    <row r="1391" spans="1:17" x14ac:dyDescent="0.3">
      <c r="A1391" t="s">
        <v>17</v>
      </c>
      <c r="B1391" t="str">
        <f>"605122"</f>
        <v>605122</v>
      </c>
      <c r="C1391" t="s">
        <v>2828</v>
      </c>
      <c r="D1391" t="s">
        <v>400</v>
      </c>
      <c r="E1391">
        <v>1653387</v>
      </c>
      <c r="F1391">
        <v>-6588738</v>
      </c>
      <c r="G1391">
        <v>-21554158</v>
      </c>
      <c r="P1391">
        <v>36</v>
      </c>
      <c r="Q1391" t="s">
        <v>2829</v>
      </c>
    </row>
    <row r="1392" spans="1:17" x14ac:dyDescent="0.3">
      <c r="A1392" t="s">
        <v>32</v>
      </c>
      <c r="B1392" t="str">
        <f>"002002"</f>
        <v>002002</v>
      </c>
      <c r="C1392" t="s">
        <v>2830</v>
      </c>
      <c r="D1392" t="s">
        <v>144</v>
      </c>
      <c r="E1392">
        <v>1573620</v>
      </c>
      <c r="F1392">
        <v>-102440863</v>
      </c>
      <c r="G1392">
        <v>-1266059535</v>
      </c>
      <c r="H1392">
        <v>656413640</v>
      </c>
      <c r="I1392">
        <v>35744306</v>
      </c>
      <c r="J1392">
        <v>-22358713</v>
      </c>
      <c r="K1392">
        <v>263531992</v>
      </c>
      <c r="L1392">
        <v>-210821806</v>
      </c>
      <c r="M1392">
        <v>-227463754</v>
      </c>
      <c r="N1392">
        <v>-5345712</v>
      </c>
      <c r="O1392">
        <v>2132596</v>
      </c>
      <c r="P1392">
        <v>451</v>
      </c>
      <c r="Q1392" t="s">
        <v>2831</v>
      </c>
    </row>
    <row r="1393" spans="1:17" x14ac:dyDescent="0.3">
      <c r="A1393" t="s">
        <v>32</v>
      </c>
      <c r="B1393" t="str">
        <f>"002806"</f>
        <v>002806</v>
      </c>
      <c r="C1393" t="s">
        <v>2832</v>
      </c>
      <c r="D1393" t="s">
        <v>121</v>
      </c>
      <c r="E1393">
        <v>1560035</v>
      </c>
      <c r="F1393">
        <v>-39787511</v>
      </c>
      <c r="G1393">
        <v>-20430522</v>
      </c>
      <c r="H1393">
        <v>-16660592</v>
      </c>
      <c r="I1393">
        <v>-19481756</v>
      </c>
      <c r="J1393">
        <v>-23279460</v>
      </c>
      <c r="K1393">
        <v>874667</v>
      </c>
      <c r="L1393">
        <v>7882791</v>
      </c>
      <c r="P1393">
        <v>100</v>
      </c>
      <c r="Q1393" t="s">
        <v>2833</v>
      </c>
    </row>
    <row r="1394" spans="1:17" x14ac:dyDescent="0.3">
      <c r="A1394" t="s">
        <v>17</v>
      </c>
      <c r="B1394" t="str">
        <f>"688156"</f>
        <v>688156</v>
      </c>
      <c r="C1394" t="s">
        <v>2834</v>
      </c>
      <c r="D1394" t="s">
        <v>1334</v>
      </c>
      <c r="E1394">
        <v>1549282</v>
      </c>
      <c r="F1394">
        <v>-13941747</v>
      </c>
      <c r="G1394">
        <v>3965714</v>
      </c>
      <c r="H1394">
        <v>-39220229</v>
      </c>
      <c r="P1394">
        <v>42</v>
      </c>
      <c r="Q1394" t="s">
        <v>2835</v>
      </c>
    </row>
    <row r="1395" spans="1:17" x14ac:dyDescent="0.3">
      <c r="A1395" t="s">
        <v>17</v>
      </c>
      <c r="B1395" t="str">
        <f>"900941"</f>
        <v>900941</v>
      </c>
      <c r="C1395" t="s">
        <v>2836</v>
      </c>
      <c r="E1395">
        <v>1538762.7280999999</v>
      </c>
      <c r="F1395">
        <v>-20152324.592399999</v>
      </c>
      <c r="G1395">
        <v>-33624798.304899998</v>
      </c>
      <c r="H1395">
        <v>-17078076.636</v>
      </c>
      <c r="I1395">
        <v>-36575566.306400001</v>
      </c>
      <c r="J1395">
        <v>-37463978.376000002</v>
      </c>
      <c r="K1395">
        <v>-40551297.487899996</v>
      </c>
      <c r="L1395">
        <v>-29240027.683499999</v>
      </c>
      <c r="M1395">
        <v>-41327676.892800003</v>
      </c>
      <c r="N1395">
        <v>-28580900.802999999</v>
      </c>
      <c r="O1395">
        <v>-17899253.477600001</v>
      </c>
      <c r="P1395">
        <v>8</v>
      </c>
      <c r="Q1395" t="s">
        <v>2837</v>
      </c>
    </row>
    <row r="1396" spans="1:17" x14ac:dyDescent="0.3">
      <c r="A1396" t="s">
        <v>32</v>
      </c>
      <c r="B1396" t="str">
        <f>"000608"</f>
        <v>000608</v>
      </c>
      <c r="C1396" t="s">
        <v>2838</v>
      </c>
      <c r="D1396" t="s">
        <v>151</v>
      </c>
      <c r="E1396">
        <v>1489555</v>
      </c>
      <c r="F1396">
        <v>-23288979</v>
      </c>
      <c r="G1396">
        <v>18030351</v>
      </c>
      <c r="H1396">
        <v>11731000</v>
      </c>
      <c r="I1396">
        <v>-103465000</v>
      </c>
      <c r="J1396">
        <v>86603000</v>
      </c>
      <c r="K1396">
        <v>-51734000</v>
      </c>
      <c r="L1396">
        <v>-119987000</v>
      </c>
      <c r="M1396">
        <v>-248321000</v>
      </c>
      <c r="N1396">
        <v>-151409000</v>
      </c>
      <c r="O1396">
        <v>-135288000</v>
      </c>
      <c r="P1396">
        <v>102</v>
      </c>
      <c r="Q1396" t="s">
        <v>2839</v>
      </c>
    </row>
    <row r="1397" spans="1:17" x14ac:dyDescent="0.3">
      <c r="A1397" t="s">
        <v>32</v>
      </c>
      <c r="B1397" t="str">
        <f>"000008"</f>
        <v>000008</v>
      </c>
      <c r="C1397" t="s">
        <v>2840</v>
      </c>
      <c r="D1397" t="s">
        <v>135</v>
      </c>
      <c r="E1397">
        <v>1461224</v>
      </c>
      <c r="F1397">
        <v>-227678065</v>
      </c>
      <c r="G1397">
        <v>-325030225</v>
      </c>
      <c r="H1397">
        <v>-155706717</v>
      </c>
      <c r="I1397">
        <v>-424907654</v>
      </c>
      <c r="J1397">
        <v>-187007239</v>
      </c>
      <c r="K1397">
        <v>16668754</v>
      </c>
      <c r="L1397">
        <v>-66669178</v>
      </c>
      <c r="M1397">
        <v>9695278</v>
      </c>
      <c r="N1397">
        <v>6584936</v>
      </c>
      <c r="O1397">
        <v>2056455</v>
      </c>
      <c r="P1397">
        <v>301</v>
      </c>
      <c r="Q1397" t="s">
        <v>2841</v>
      </c>
    </row>
    <row r="1398" spans="1:17" x14ac:dyDescent="0.3">
      <c r="A1398" t="s">
        <v>32</v>
      </c>
      <c r="B1398" t="str">
        <f>"002513"</f>
        <v>002513</v>
      </c>
      <c r="C1398" t="s">
        <v>2842</v>
      </c>
      <c r="D1398" t="s">
        <v>144</v>
      </c>
      <c r="E1398">
        <v>1388114</v>
      </c>
      <c r="F1398">
        <v>-12690306</v>
      </c>
      <c r="G1398">
        <v>-59149415</v>
      </c>
      <c r="H1398">
        <v>-13669286</v>
      </c>
      <c r="I1398">
        <v>-152825866</v>
      </c>
      <c r="J1398">
        <v>-61327630</v>
      </c>
      <c r="K1398">
        <v>33267171</v>
      </c>
      <c r="L1398">
        <v>-18538654</v>
      </c>
      <c r="M1398">
        <v>16398702</v>
      </c>
      <c r="N1398">
        <v>-135347462</v>
      </c>
      <c r="O1398">
        <v>-193808255</v>
      </c>
      <c r="P1398">
        <v>46</v>
      </c>
      <c r="Q1398" t="s">
        <v>2843</v>
      </c>
    </row>
    <row r="1399" spans="1:17" x14ac:dyDescent="0.3">
      <c r="A1399" t="s">
        <v>32</v>
      </c>
      <c r="B1399" t="str">
        <f>"300368"</f>
        <v>300368</v>
      </c>
      <c r="C1399" t="s">
        <v>2844</v>
      </c>
      <c r="D1399" t="s">
        <v>342</v>
      </c>
      <c r="E1399">
        <v>1319941</v>
      </c>
      <c r="F1399">
        <v>-260386444</v>
      </c>
      <c r="G1399">
        <v>-193803328</v>
      </c>
      <c r="H1399">
        <v>-86930549</v>
      </c>
      <c r="I1399">
        <v>-150198697</v>
      </c>
      <c r="J1399">
        <v>-139004198</v>
      </c>
      <c r="K1399">
        <v>-99073369</v>
      </c>
      <c r="L1399">
        <v>-89137691</v>
      </c>
      <c r="M1399">
        <v>-61330038</v>
      </c>
      <c r="N1399">
        <v>-41590101</v>
      </c>
      <c r="P1399">
        <v>119</v>
      </c>
      <c r="Q1399" t="s">
        <v>2845</v>
      </c>
    </row>
    <row r="1400" spans="1:17" x14ac:dyDescent="0.3">
      <c r="A1400" t="s">
        <v>32</v>
      </c>
      <c r="B1400" t="str">
        <f>"300181"</f>
        <v>300181</v>
      </c>
      <c r="C1400" t="s">
        <v>2846</v>
      </c>
      <c r="D1400" t="s">
        <v>98</v>
      </c>
      <c r="E1400">
        <v>1264324</v>
      </c>
      <c r="F1400">
        <v>31297729</v>
      </c>
      <c r="G1400">
        <v>-14279353</v>
      </c>
      <c r="H1400">
        <v>-38262446</v>
      </c>
      <c r="I1400">
        <v>-108708250</v>
      </c>
      <c r="J1400">
        <v>-98852099</v>
      </c>
      <c r="K1400">
        <v>-103537333</v>
      </c>
      <c r="L1400">
        <v>-74833978</v>
      </c>
      <c r="M1400">
        <v>-30205255</v>
      </c>
      <c r="N1400">
        <v>-38538515</v>
      </c>
      <c r="O1400">
        <v>-43145674</v>
      </c>
      <c r="P1400">
        <v>175</v>
      </c>
      <c r="Q1400" t="s">
        <v>2847</v>
      </c>
    </row>
    <row r="1401" spans="1:17" x14ac:dyDescent="0.3">
      <c r="A1401" t="s">
        <v>17</v>
      </c>
      <c r="B1401" t="str">
        <f>"605259"</f>
        <v>605259</v>
      </c>
      <c r="C1401" t="s">
        <v>2848</v>
      </c>
      <c r="D1401" t="s">
        <v>135</v>
      </c>
      <c r="E1401">
        <v>1210086</v>
      </c>
      <c r="F1401">
        <v>11308862</v>
      </c>
      <c r="G1401">
        <v>-46584056</v>
      </c>
      <c r="P1401">
        <v>17</v>
      </c>
      <c r="Q1401" t="s">
        <v>2849</v>
      </c>
    </row>
    <row r="1402" spans="1:17" x14ac:dyDescent="0.3">
      <c r="A1402" t="s">
        <v>32</v>
      </c>
      <c r="B1402" t="str">
        <f>"002447"</f>
        <v>002447</v>
      </c>
      <c r="C1402" t="s">
        <v>2850</v>
      </c>
      <c r="D1402" t="s">
        <v>245</v>
      </c>
      <c r="E1402">
        <v>1089710</v>
      </c>
      <c r="F1402">
        <v>-1403454</v>
      </c>
      <c r="G1402">
        <v>-8728595</v>
      </c>
      <c r="H1402">
        <v>-1068886</v>
      </c>
      <c r="I1402">
        <v>-20816864</v>
      </c>
      <c r="J1402">
        <v>127546938</v>
      </c>
      <c r="K1402">
        <v>205806</v>
      </c>
      <c r="L1402">
        <v>-32378657</v>
      </c>
      <c r="M1402">
        <v>-98047953</v>
      </c>
      <c r="N1402">
        <v>-120378696</v>
      </c>
      <c r="O1402">
        <v>-31153499</v>
      </c>
      <c r="P1402">
        <v>92</v>
      </c>
      <c r="Q1402" t="s">
        <v>2851</v>
      </c>
    </row>
    <row r="1403" spans="1:17" x14ac:dyDescent="0.3">
      <c r="A1403" t="s">
        <v>17</v>
      </c>
      <c r="B1403" t="str">
        <f>"600311"</f>
        <v>600311</v>
      </c>
      <c r="C1403" t="s">
        <v>2852</v>
      </c>
      <c r="D1403" t="s">
        <v>121</v>
      </c>
      <c r="E1403">
        <v>1062089</v>
      </c>
      <c r="F1403">
        <v>-33076855</v>
      </c>
      <c r="G1403">
        <v>-70040279</v>
      </c>
      <c r="H1403">
        <v>-60751627</v>
      </c>
      <c r="I1403">
        <v>-36675</v>
      </c>
      <c r="J1403">
        <v>-5532523</v>
      </c>
      <c r="K1403">
        <v>-13590352</v>
      </c>
      <c r="L1403">
        <v>102009966</v>
      </c>
      <c r="M1403">
        <v>18114289</v>
      </c>
      <c r="N1403">
        <v>-4810458</v>
      </c>
      <c r="O1403">
        <v>48971643</v>
      </c>
      <c r="P1403">
        <v>53</v>
      </c>
      <c r="Q1403" t="s">
        <v>2853</v>
      </c>
    </row>
    <row r="1404" spans="1:17" x14ac:dyDescent="0.3">
      <c r="A1404" t="s">
        <v>17</v>
      </c>
      <c r="B1404" t="str">
        <f>"688230"</f>
        <v>688230</v>
      </c>
      <c r="C1404" t="s">
        <v>2854</v>
      </c>
      <c r="D1404" t="s">
        <v>124</v>
      </c>
      <c r="E1404">
        <v>1021092</v>
      </c>
      <c r="P1404">
        <v>24</v>
      </c>
      <c r="Q1404" t="s">
        <v>2855</v>
      </c>
    </row>
    <row r="1405" spans="1:17" x14ac:dyDescent="0.3">
      <c r="A1405" t="s">
        <v>17</v>
      </c>
      <c r="B1405" t="str">
        <f>"603779"</f>
        <v>603779</v>
      </c>
      <c r="C1405" t="s">
        <v>2856</v>
      </c>
      <c r="D1405" t="s">
        <v>172</v>
      </c>
      <c r="E1405">
        <v>955527</v>
      </c>
      <c r="F1405">
        <v>-505583</v>
      </c>
      <c r="G1405">
        <v>-34629997</v>
      </c>
      <c r="H1405">
        <v>-56681765</v>
      </c>
      <c r="I1405">
        <v>-66369408</v>
      </c>
      <c r="J1405">
        <v>26378783</v>
      </c>
      <c r="K1405">
        <v>26469544</v>
      </c>
      <c r="L1405">
        <v>48458752</v>
      </c>
      <c r="P1405">
        <v>101</v>
      </c>
      <c r="Q1405" t="s">
        <v>2857</v>
      </c>
    </row>
    <row r="1406" spans="1:17" x14ac:dyDescent="0.3">
      <c r="A1406" t="s">
        <v>17</v>
      </c>
      <c r="B1406" t="str">
        <f>"600678"</f>
        <v>600678</v>
      </c>
      <c r="C1406" t="s">
        <v>2858</v>
      </c>
      <c r="D1406" t="s">
        <v>400</v>
      </c>
      <c r="E1406">
        <v>939632</v>
      </c>
      <c r="F1406">
        <v>9114473</v>
      </c>
      <c r="G1406">
        <v>-18416073</v>
      </c>
      <c r="H1406">
        <v>15289496</v>
      </c>
      <c r="I1406">
        <v>-22943605</v>
      </c>
      <c r="J1406">
        <v>-3572483</v>
      </c>
      <c r="K1406">
        <v>-18857249</v>
      </c>
      <c r="L1406">
        <v>-18281747</v>
      </c>
      <c r="M1406">
        <v>-19625422</v>
      </c>
      <c r="N1406">
        <v>-29930163</v>
      </c>
      <c r="O1406">
        <v>-17897144</v>
      </c>
      <c r="P1406">
        <v>195</v>
      </c>
      <c r="Q1406" t="s">
        <v>2859</v>
      </c>
    </row>
    <row r="1407" spans="1:17" x14ac:dyDescent="0.3">
      <c r="A1407" t="s">
        <v>32</v>
      </c>
      <c r="B1407" t="str">
        <f>"300951"</f>
        <v>300951</v>
      </c>
      <c r="C1407" t="s">
        <v>2860</v>
      </c>
      <c r="D1407" t="s">
        <v>124</v>
      </c>
      <c r="E1407">
        <v>810913</v>
      </c>
      <c r="F1407">
        <v>108351031</v>
      </c>
      <c r="G1407">
        <v>77775672</v>
      </c>
      <c r="P1407">
        <v>67</v>
      </c>
      <c r="Q1407" t="s">
        <v>2861</v>
      </c>
    </row>
    <row r="1408" spans="1:17" x14ac:dyDescent="0.3">
      <c r="A1408" t="s">
        <v>32</v>
      </c>
      <c r="B1408" t="str">
        <f>"300633"</f>
        <v>300633</v>
      </c>
      <c r="C1408" t="s">
        <v>2862</v>
      </c>
      <c r="D1408" t="s">
        <v>98</v>
      </c>
      <c r="E1408">
        <v>777024</v>
      </c>
      <c r="F1408">
        <v>-15779105</v>
      </c>
      <c r="G1408">
        <v>-107642280</v>
      </c>
      <c r="H1408">
        <v>-90784009</v>
      </c>
      <c r="I1408">
        <v>-53135807</v>
      </c>
      <c r="J1408">
        <v>-778560</v>
      </c>
      <c r="K1408">
        <v>-22601863</v>
      </c>
      <c r="P1408">
        <v>515</v>
      </c>
      <c r="Q1408" t="s">
        <v>2863</v>
      </c>
    </row>
    <row r="1409" spans="1:17" x14ac:dyDescent="0.3">
      <c r="A1409" t="s">
        <v>32</v>
      </c>
      <c r="B1409" t="str">
        <f>"002740"</f>
        <v>002740</v>
      </c>
      <c r="C1409" t="s">
        <v>2864</v>
      </c>
      <c r="D1409" t="s">
        <v>130</v>
      </c>
      <c r="E1409">
        <v>688104</v>
      </c>
      <c r="F1409">
        <v>-5479723</v>
      </c>
      <c r="G1409">
        <v>-27972984</v>
      </c>
      <c r="H1409">
        <v>71971519</v>
      </c>
      <c r="I1409">
        <v>-40784061</v>
      </c>
      <c r="J1409">
        <v>-130565483</v>
      </c>
      <c r="K1409">
        <v>-117695338</v>
      </c>
      <c r="L1409">
        <v>-247661705</v>
      </c>
      <c r="M1409">
        <v>-268163951</v>
      </c>
      <c r="P1409">
        <v>78</v>
      </c>
      <c r="Q1409" t="s">
        <v>2865</v>
      </c>
    </row>
    <row r="1410" spans="1:17" x14ac:dyDescent="0.3">
      <c r="A1410" t="s">
        <v>32</v>
      </c>
      <c r="B1410" t="str">
        <f>"002105"</f>
        <v>002105</v>
      </c>
      <c r="C1410" t="s">
        <v>2866</v>
      </c>
      <c r="D1410" t="s">
        <v>199</v>
      </c>
      <c r="E1410">
        <v>660226</v>
      </c>
      <c r="F1410">
        <v>-32650077</v>
      </c>
      <c r="G1410">
        <v>57547526</v>
      </c>
      <c r="H1410">
        <v>40908309</v>
      </c>
      <c r="I1410">
        <v>47354556</v>
      </c>
      <c r="J1410">
        <v>-825674</v>
      </c>
      <c r="K1410">
        <v>918209</v>
      </c>
      <c r="L1410">
        <v>14783816</v>
      </c>
      <c r="M1410">
        <v>12744256</v>
      </c>
      <c r="N1410">
        <v>5412268</v>
      </c>
      <c r="O1410">
        <v>-16046808</v>
      </c>
      <c r="P1410">
        <v>217</v>
      </c>
      <c r="Q1410" t="s">
        <v>2867</v>
      </c>
    </row>
    <row r="1411" spans="1:17" x14ac:dyDescent="0.3">
      <c r="A1411" t="s">
        <v>17</v>
      </c>
      <c r="B1411" t="str">
        <f>"603159"</f>
        <v>603159</v>
      </c>
      <c r="C1411" t="s">
        <v>2868</v>
      </c>
      <c r="D1411" t="s">
        <v>135</v>
      </c>
      <c r="E1411">
        <v>636881</v>
      </c>
      <c r="F1411">
        <v>-15749663</v>
      </c>
      <c r="G1411">
        <v>24851021</v>
      </c>
      <c r="H1411">
        <v>32822081</v>
      </c>
      <c r="I1411">
        <v>11867863</v>
      </c>
      <c r="J1411">
        <v>-29580203</v>
      </c>
      <c r="K1411">
        <v>-6699659</v>
      </c>
      <c r="L1411">
        <v>9198900</v>
      </c>
      <c r="P1411">
        <v>62</v>
      </c>
      <c r="Q1411" t="s">
        <v>2869</v>
      </c>
    </row>
    <row r="1412" spans="1:17" x14ac:dyDescent="0.3">
      <c r="A1412" t="s">
        <v>32</v>
      </c>
      <c r="B1412" t="str">
        <f>"002548"</f>
        <v>002548</v>
      </c>
      <c r="C1412" t="s">
        <v>2870</v>
      </c>
      <c r="D1412" t="s">
        <v>175</v>
      </c>
      <c r="E1412">
        <v>617185</v>
      </c>
      <c r="F1412">
        <v>-519645344</v>
      </c>
      <c r="G1412">
        <v>-293796161</v>
      </c>
      <c r="H1412">
        <v>-190161053</v>
      </c>
      <c r="I1412">
        <v>-200262292</v>
      </c>
      <c r="J1412">
        <v>-105585054</v>
      </c>
      <c r="K1412">
        <v>-162236374</v>
      </c>
      <c r="L1412">
        <v>-72369035</v>
      </c>
      <c r="M1412">
        <v>-81065470</v>
      </c>
      <c r="N1412">
        <v>-73581601</v>
      </c>
      <c r="O1412">
        <v>-42652831</v>
      </c>
      <c r="P1412">
        <v>260</v>
      </c>
      <c r="Q1412" t="s">
        <v>2871</v>
      </c>
    </row>
    <row r="1413" spans="1:17" x14ac:dyDescent="0.3">
      <c r="A1413" t="s">
        <v>32</v>
      </c>
      <c r="B1413" t="str">
        <f>"300452"</f>
        <v>300452</v>
      </c>
      <c r="C1413" t="s">
        <v>2872</v>
      </c>
      <c r="D1413" t="s">
        <v>98</v>
      </c>
      <c r="E1413">
        <v>613202</v>
      </c>
      <c r="F1413">
        <v>-8686868</v>
      </c>
      <c r="G1413">
        <v>-18148668</v>
      </c>
      <c r="H1413">
        <v>-28399664</v>
      </c>
      <c r="I1413">
        <v>-21857726</v>
      </c>
      <c r="J1413">
        <v>-4453651</v>
      </c>
      <c r="K1413">
        <v>6843711</v>
      </c>
      <c r="L1413">
        <v>2277700</v>
      </c>
      <c r="P1413">
        <v>300</v>
      </c>
      <c r="Q1413" t="s">
        <v>2873</v>
      </c>
    </row>
    <row r="1414" spans="1:17" x14ac:dyDescent="0.3">
      <c r="A1414" t="s">
        <v>32</v>
      </c>
      <c r="B1414" t="str">
        <f>"000677"</f>
        <v>000677</v>
      </c>
      <c r="C1414" t="s">
        <v>2874</v>
      </c>
      <c r="D1414" t="s">
        <v>144</v>
      </c>
      <c r="E1414">
        <v>579522</v>
      </c>
      <c r="F1414">
        <v>31935408</v>
      </c>
      <c r="G1414">
        <v>22875089</v>
      </c>
      <c r="H1414">
        <v>6531371</v>
      </c>
      <c r="I1414">
        <v>-14963040</v>
      </c>
      <c r="J1414">
        <v>-20681959</v>
      </c>
      <c r="K1414">
        <v>-4614567</v>
      </c>
      <c r="L1414">
        <v>-43091902</v>
      </c>
      <c r="M1414">
        <v>-35474692</v>
      </c>
      <c r="N1414">
        <v>-23345929</v>
      </c>
      <c r="O1414">
        <v>8801263</v>
      </c>
      <c r="P1414">
        <v>80</v>
      </c>
      <c r="Q1414" t="s">
        <v>2875</v>
      </c>
    </row>
    <row r="1415" spans="1:17" x14ac:dyDescent="0.3">
      <c r="A1415" t="s">
        <v>17</v>
      </c>
      <c r="B1415" t="str">
        <f>"605218"</f>
        <v>605218</v>
      </c>
      <c r="C1415" t="s">
        <v>2876</v>
      </c>
      <c r="D1415" t="s">
        <v>124</v>
      </c>
      <c r="E1415">
        <v>478287</v>
      </c>
      <c r="F1415">
        <v>9354622</v>
      </c>
      <c r="G1415">
        <v>-45533957</v>
      </c>
      <c r="P1415">
        <v>56</v>
      </c>
      <c r="Q1415" t="s">
        <v>2877</v>
      </c>
    </row>
    <row r="1416" spans="1:17" x14ac:dyDescent="0.3">
      <c r="A1416" t="s">
        <v>17</v>
      </c>
      <c r="B1416" t="str">
        <f>"601518"</f>
        <v>601518</v>
      </c>
      <c r="C1416" t="s">
        <v>2878</v>
      </c>
      <c r="D1416" t="s">
        <v>46</v>
      </c>
      <c r="E1416">
        <v>444346</v>
      </c>
      <c r="F1416">
        <v>60128808</v>
      </c>
      <c r="G1416">
        <v>-24252922</v>
      </c>
      <c r="H1416">
        <v>81600692</v>
      </c>
      <c r="I1416">
        <v>68492319</v>
      </c>
      <c r="J1416">
        <v>104673161</v>
      </c>
      <c r="K1416">
        <v>-83921173</v>
      </c>
      <c r="L1416">
        <v>-7192578</v>
      </c>
      <c r="M1416">
        <v>-9873879</v>
      </c>
      <c r="N1416">
        <v>50943078</v>
      </c>
      <c r="O1416">
        <v>12437654</v>
      </c>
      <c r="P1416">
        <v>111</v>
      </c>
      <c r="Q1416" t="s">
        <v>2879</v>
      </c>
    </row>
    <row r="1417" spans="1:17" x14ac:dyDescent="0.3">
      <c r="A1417" t="s">
        <v>32</v>
      </c>
      <c r="B1417" t="str">
        <f>"300209"</f>
        <v>300209</v>
      </c>
      <c r="C1417" t="s">
        <v>2880</v>
      </c>
      <c r="D1417" t="s">
        <v>342</v>
      </c>
      <c r="E1417">
        <v>432902</v>
      </c>
      <c r="F1417">
        <v>-55285114</v>
      </c>
      <c r="G1417">
        <v>-329884261</v>
      </c>
      <c r="H1417">
        <v>-18128482</v>
      </c>
      <c r="I1417">
        <v>-111016133</v>
      </c>
      <c r="J1417">
        <v>-28911423</v>
      </c>
      <c r="K1417">
        <v>-45902799</v>
      </c>
      <c r="L1417">
        <v>-12078076</v>
      </c>
      <c r="M1417">
        <v>-10714980</v>
      </c>
      <c r="N1417">
        <v>-14959768</v>
      </c>
      <c r="O1417">
        <v>-16245933</v>
      </c>
      <c r="P1417">
        <v>143</v>
      </c>
      <c r="Q1417" t="s">
        <v>2881</v>
      </c>
    </row>
    <row r="1418" spans="1:17" x14ac:dyDescent="0.3">
      <c r="A1418" t="s">
        <v>32</v>
      </c>
      <c r="B1418" t="str">
        <f>"002198"</f>
        <v>002198</v>
      </c>
      <c r="C1418" t="s">
        <v>2882</v>
      </c>
      <c r="D1418" t="s">
        <v>98</v>
      </c>
      <c r="E1418">
        <v>364159</v>
      </c>
      <c r="F1418">
        <v>-3240336</v>
      </c>
      <c r="G1418">
        <v>-20546115</v>
      </c>
      <c r="H1418">
        <v>-29781435</v>
      </c>
      <c r="I1418">
        <v>-8885096</v>
      </c>
      <c r="J1418">
        <v>-17853246</v>
      </c>
      <c r="K1418">
        <v>-10328570</v>
      </c>
      <c r="L1418">
        <v>-17103946</v>
      </c>
      <c r="M1418">
        <v>-11194256</v>
      </c>
      <c r="N1418">
        <v>638096</v>
      </c>
      <c r="O1418">
        <v>-5083519</v>
      </c>
      <c r="P1418">
        <v>120</v>
      </c>
      <c r="Q1418" t="s">
        <v>2883</v>
      </c>
    </row>
    <row r="1419" spans="1:17" x14ac:dyDescent="0.3">
      <c r="A1419" t="s">
        <v>32</v>
      </c>
      <c r="B1419" t="str">
        <f>"002633"</f>
        <v>002633</v>
      </c>
      <c r="C1419" t="s">
        <v>2884</v>
      </c>
      <c r="D1419" t="s">
        <v>135</v>
      </c>
      <c r="E1419">
        <v>344331</v>
      </c>
      <c r="F1419">
        <v>-8954334</v>
      </c>
      <c r="G1419">
        <v>-32255665</v>
      </c>
      <c r="H1419">
        <v>-3117485</v>
      </c>
      <c r="I1419">
        <v>2246295</v>
      </c>
      <c r="J1419">
        <v>11128005</v>
      </c>
      <c r="K1419">
        <v>43420843</v>
      </c>
      <c r="L1419">
        <v>-3170722</v>
      </c>
      <c r="M1419">
        <v>1827084</v>
      </c>
      <c r="N1419">
        <v>7272005</v>
      </c>
      <c r="O1419">
        <v>-20452973</v>
      </c>
      <c r="P1419">
        <v>44</v>
      </c>
      <c r="Q1419" t="s">
        <v>2885</v>
      </c>
    </row>
    <row r="1420" spans="1:17" x14ac:dyDescent="0.3">
      <c r="A1420" t="s">
        <v>32</v>
      </c>
      <c r="B1420" t="str">
        <f>"002150"</f>
        <v>002150</v>
      </c>
      <c r="C1420" t="s">
        <v>2886</v>
      </c>
      <c r="D1420" t="s">
        <v>135</v>
      </c>
      <c r="E1420">
        <v>318369</v>
      </c>
      <c r="F1420">
        <v>-74965914</v>
      </c>
      <c r="G1420">
        <v>-90002224</v>
      </c>
      <c r="H1420">
        <v>-27813808</v>
      </c>
      <c r="I1420">
        <v>-82903596</v>
      </c>
      <c r="J1420">
        <v>-44373434</v>
      </c>
      <c r="K1420">
        <v>17686295</v>
      </c>
      <c r="L1420">
        <v>-15484804</v>
      </c>
      <c r="M1420">
        <v>-22091783</v>
      </c>
      <c r="N1420">
        <v>-5431473</v>
      </c>
      <c r="O1420">
        <v>-9214590</v>
      </c>
      <c r="P1420">
        <v>103</v>
      </c>
      <c r="Q1420" t="s">
        <v>2887</v>
      </c>
    </row>
    <row r="1421" spans="1:17" x14ac:dyDescent="0.3">
      <c r="A1421" t="s">
        <v>32</v>
      </c>
      <c r="B1421" t="str">
        <f>"003019"</f>
        <v>003019</v>
      </c>
      <c r="C1421" t="s">
        <v>2888</v>
      </c>
      <c r="D1421" t="s">
        <v>124</v>
      </c>
      <c r="E1421">
        <v>288656</v>
      </c>
      <c r="F1421">
        <v>-61494295</v>
      </c>
      <c r="G1421">
        <v>-16895857</v>
      </c>
      <c r="P1421">
        <v>63</v>
      </c>
      <c r="Q1421" t="s">
        <v>2889</v>
      </c>
    </row>
    <row r="1422" spans="1:17" x14ac:dyDescent="0.3">
      <c r="A1422" t="s">
        <v>32</v>
      </c>
      <c r="B1422" t="str">
        <f>"300279"</f>
        <v>300279</v>
      </c>
      <c r="C1422" t="s">
        <v>2890</v>
      </c>
      <c r="D1422" t="s">
        <v>124</v>
      </c>
      <c r="E1422">
        <v>217368</v>
      </c>
      <c r="F1422">
        <v>-1735826</v>
      </c>
      <c r="G1422">
        <v>-34460050</v>
      </c>
      <c r="H1422">
        <v>-30234999</v>
      </c>
      <c r="I1422">
        <v>45444946</v>
      </c>
      <c r="J1422">
        <v>10082788</v>
      </c>
      <c r="K1422">
        <v>-101561857</v>
      </c>
      <c r="L1422">
        <v>-18698068</v>
      </c>
      <c r="M1422">
        <v>-26746979</v>
      </c>
      <c r="N1422">
        <v>-14967377</v>
      </c>
      <c r="O1422">
        <v>-21309368</v>
      </c>
      <c r="P1422">
        <v>166</v>
      </c>
      <c r="Q1422" t="s">
        <v>2891</v>
      </c>
    </row>
    <row r="1423" spans="1:17" x14ac:dyDescent="0.3">
      <c r="A1423" t="s">
        <v>32</v>
      </c>
      <c r="B1423" t="str">
        <f>"300570"</f>
        <v>300570</v>
      </c>
      <c r="C1423" t="s">
        <v>2892</v>
      </c>
      <c r="D1423" t="s">
        <v>57</v>
      </c>
      <c r="E1423">
        <v>159163</v>
      </c>
      <c r="F1423">
        <v>33306191</v>
      </c>
      <c r="G1423">
        <v>-30982443</v>
      </c>
      <c r="H1423">
        <v>87368055</v>
      </c>
      <c r="I1423">
        <v>946637</v>
      </c>
      <c r="J1423">
        <v>-12606227</v>
      </c>
      <c r="K1423">
        <v>15373944</v>
      </c>
      <c r="P1423">
        <v>229</v>
      </c>
      <c r="Q1423" t="s">
        <v>2893</v>
      </c>
    </row>
    <row r="1424" spans="1:17" x14ac:dyDescent="0.3">
      <c r="A1424" t="s">
        <v>17</v>
      </c>
      <c r="B1424" t="str">
        <f>"900939"</f>
        <v>900939</v>
      </c>
      <c r="C1424" t="s">
        <v>2894</v>
      </c>
      <c r="E1424">
        <v>152027.95759999999</v>
      </c>
      <c r="F1424">
        <v>451550.37959999999</v>
      </c>
      <c r="G1424">
        <v>1364075.0567999999</v>
      </c>
      <c r="H1424">
        <v>129862.44</v>
      </c>
      <c r="I1424">
        <v>641951.62</v>
      </c>
      <c r="J1424">
        <v>709758.79920000001</v>
      </c>
      <c r="K1424">
        <v>538410.09439999994</v>
      </c>
      <c r="L1424">
        <v>600582.00049999997</v>
      </c>
      <c r="M1424">
        <v>65100.2016</v>
      </c>
      <c r="N1424">
        <v>1776503.3019999999</v>
      </c>
      <c r="O1424">
        <v>211886.52239999999</v>
      </c>
      <c r="P1424">
        <v>7</v>
      </c>
      <c r="Q1424" t="s">
        <v>2895</v>
      </c>
    </row>
    <row r="1425" spans="1:17" x14ac:dyDescent="0.3">
      <c r="A1425" t="s">
        <v>17</v>
      </c>
      <c r="B1425" t="str">
        <f>"600242"</f>
        <v>600242</v>
      </c>
      <c r="C1425" t="s">
        <v>2896</v>
      </c>
      <c r="D1425" t="s">
        <v>245</v>
      </c>
      <c r="E1425">
        <v>148590</v>
      </c>
      <c r="F1425">
        <v>-64191670</v>
      </c>
      <c r="G1425">
        <v>37660882</v>
      </c>
      <c r="H1425">
        <v>-113823090</v>
      </c>
      <c r="I1425">
        <v>-68377156</v>
      </c>
      <c r="J1425">
        <v>33747777</v>
      </c>
      <c r="K1425">
        <v>-12863707</v>
      </c>
      <c r="L1425">
        <v>27660585</v>
      </c>
      <c r="M1425">
        <v>-11552246</v>
      </c>
      <c r="N1425">
        <v>2865730</v>
      </c>
      <c r="O1425">
        <v>12332715</v>
      </c>
      <c r="P1425">
        <v>84</v>
      </c>
      <c r="Q1425" t="s">
        <v>2897</v>
      </c>
    </row>
    <row r="1426" spans="1:17" x14ac:dyDescent="0.3">
      <c r="A1426" t="s">
        <v>32</v>
      </c>
      <c r="B1426" t="str">
        <f>"000633"</f>
        <v>000633</v>
      </c>
      <c r="C1426" t="s">
        <v>2898</v>
      </c>
      <c r="D1426" t="s">
        <v>121</v>
      </c>
      <c r="E1426">
        <v>97239</v>
      </c>
      <c r="F1426">
        <v>-4413059</v>
      </c>
      <c r="G1426">
        <v>1100498</v>
      </c>
      <c r="H1426">
        <v>-43284532</v>
      </c>
      <c r="I1426">
        <v>-82304305</v>
      </c>
      <c r="J1426">
        <v>-19709478</v>
      </c>
      <c r="K1426">
        <v>-8311522</v>
      </c>
      <c r="L1426">
        <v>11300053</v>
      </c>
      <c r="M1426">
        <v>-16867369</v>
      </c>
      <c r="N1426">
        <v>-30300029</v>
      </c>
      <c r="O1426">
        <v>-4641731</v>
      </c>
      <c r="P1426">
        <v>72</v>
      </c>
      <c r="Q1426" t="s">
        <v>2899</v>
      </c>
    </row>
    <row r="1427" spans="1:17" x14ac:dyDescent="0.3">
      <c r="A1427" t="s">
        <v>32</v>
      </c>
      <c r="B1427" t="str">
        <f>"002575"</f>
        <v>002575</v>
      </c>
      <c r="C1427" t="s">
        <v>2900</v>
      </c>
      <c r="D1427" t="s">
        <v>455</v>
      </c>
      <c r="E1427">
        <v>80188</v>
      </c>
      <c r="F1427">
        <v>-9054935</v>
      </c>
      <c r="G1427">
        <v>25446595</v>
      </c>
      <c r="H1427">
        <v>-739171</v>
      </c>
      <c r="I1427">
        <v>-123231</v>
      </c>
      <c r="J1427">
        <v>85220001</v>
      </c>
      <c r="K1427">
        <v>-1651209</v>
      </c>
      <c r="L1427">
        <v>23118636</v>
      </c>
      <c r="M1427">
        <v>-15958845</v>
      </c>
      <c r="N1427">
        <v>-12670291</v>
      </c>
      <c r="O1427">
        <v>-23138012</v>
      </c>
      <c r="P1427">
        <v>57</v>
      </c>
      <c r="Q1427" t="s">
        <v>2901</v>
      </c>
    </row>
    <row r="1428" spans="1:17" x14ac:dyDescent="0.3">
      <c r="A1428" t="s">
        <v>32</v>
      </c>
      <c r="B1428" t="str">
        <f>"300886"</f>
        <v>300886</v>
      </c>
      <c r="C1428" t="s">
        <v>2902</v>
      </c>
      <c r="D1428" t="s">
        <v>544</v>
      </c>
      <c r="E1428">
        <v>67091</v>
      </c>
      <c r="F1428">
        <v>10973123</v>
      </c>
      <c r="G1428">
        <v>-6445679</v>
      </c>
      <c r="P1428">
        <v>49</v>
      </c>
      <c r="Q1428" t="s">
        <v>2903</v>
      </c>
    </row>
    <row r="1429" spans="1:17" x14ac:dyDescent="0.3">
      <c r="A1429" t="s">
        <v>32</v>
      </c>
      <c r="B1429" t="str">
        <f>"000850"</f>
        <v>000850</v>
      </c>
      <c r="C1429" t="s">
        <v>2904</v>
      </c>
      <c r="D1429" t="s">
        <v>130</v>
      </c>
      <c r="E1429">
        <v>63681</v>
      </c>
      <c r="F1429">
        <v>-15287954</v>
      </c>
      <c r="G1429">
        <v>-26772307</v>
      </c>
      <c r="H1429">
        <v>-106335760</v>
      </c>
      <c r="I1429">
        <v>-203050756</v>
      </c>
      <c r="J1429">
        <v>-40788170</v>
      </c>
      <c r="K1429">
        <v>29095480</v>
      </c>
      <c r="L1429">
        <v>-73091277</v>
      </c>
      <c r="M1429">
        <v>-138594654</v>
      </c>
      <c r="N1429">
        <v>122359806</v>
      </c>
      <c r="O1429">
        <v>145637937</v>
      </c>
      <c r="P1429">
        <v>121</v>
      </c>
      <c r="Q1429" t="s">
        <v>2905</v>
      </c>
    </row>
    <row r="1430" spans="1:17" x14ac:dyDescent="0.3">
      <c r="A1430" t="s">
        <v>32</v>
      </c>
      <c r="B1430" t="str">
        <f>"300964"</f>
        <v>300964</v>
      </c>
      <c r="C1430" t="s">
        <v>2906</v>
      </c>
      <c r="D1430" t="s">
        <v>124</v>
      </c>
      <c r="E1430">
        <v>-7562</v>
      </c>
      <c r="F1430">
        <v>-30132447</v>
      </c>
      <c r="G1430">
        <v>1402766</v>
      </c>
      <c r="P1430">
        <v>20</v>
      </c>
      <c r="Q1430" t="s">
        <v>2907</v>
      </c>
    </row>
    <row r="1431" spans="1:17" x14ac:dyDescent="0.3">
      <c r="A1431" t="s">
        <v>17</v>
      </c>
      <c r="B1431" t="str">
        <f>"603887"</f>
        <v>603887</v>
      </c>
      <c r="C1431" t="s">
        <v>2908</v>
      </c>
      <c r="D1431" t="s">
        <v>342</v>
      </c>
      <c r="E1431">
        <v>-77720</v>
      </c>
      <c r="F1431">
        <v>-262966849</v>
      </c>
      <c r="G1431">
        <v>-56263929</v>
      </c>
      <c r="H1431">
        <v>36922963</v>
      </c>
      <c r="I1431">
        <v>-63528589</v>
      </c>
      <c r="J1431">
        <v>-32973663</v>
      </c>
      <c r="K1431">
        <v>1844932</v>
      </c>
      <c r="P1431">
        <v>241</v>
      </c>
      <c r="Q1431" t="s">
        <v>2909</v>
      </c>
    </row>
    <row r="1432" spans="1:17" x14ac:dyDescent="0.3">
      <c r="A1432" t="s">
        <v>17</v>
      </c>
      <c r="B1432" t="str">
        <f>"900955"</f>
        <v>900955</v>
      </c>
      <c r="C1432" t="s">
        <v>2910</v>
      </c>
      <c r="E1432">
        <v>-128411.91069999999</v>
      </c>
      <c r="F1432">
        <v>-2168268.5616000001</v>
      </c>
      <c r="G1432">
        <v>-1862711.3347</v>
      </c>
      <c r="H1432">
        <v>-2213221.1170000001</v>
      </c>
      <c r="I1432">
        <v>-5027738.3723999998</v>
      </c>
      <c r="J1432">
        <v>-7842791.4179999996</v>
      </c>
      <c r="K1432">
        <v>-9751246.9865000006</v>
      </c>
      <c r="L1432">
        <v>-23346788.3039</v>
      </c>
      <c r="M1432">
        <v>-7801246.7328000003</v>
      </c>
      <c r="N1432">
        <v>-2820545.1540000001</v>
      </c>
      <c r="O1432">
        <v>-9547425.2100000009</v>
      </c>
      <c r="P1432">
        <v>4</v>
      </c>
      <c r="Q1432" t="s">
        <v>2911</v>
      </c>
    </row>
    <row r="1433" spans="1:17" x14ac:dyDescent="0.3">
      <c r="A1433" t="s">
        <v>32</v>
      </c>
      <c r="B1433" t="str">
        <f>"000766"</f>
        <v>000766</v>
      </c>
      <c r="C1433" t="s">
        <v>2912</v>
      </c>
      <c r="D1433" t="s">
        <v>98</v>
      </c>
      <c r="E1433">
        <v>-149265</v>
      </c>
      <c r="F1433">
        <v>-8039919</v>
      </c>
      <c r="G1433">
        <v>25115012</v>
      </c>
      <c r="H1433">
        <v>-97139576</v>
      </c>
      <c r="I1433">
        <v>34156877</v>
      </c>
      <c r="J1433">
        <v>-83047543</v>
      </c>
      <c r="K1433">
        <v>-24521825</v>
      </c>
      <c r="L1433">
        <v>-27789250</v>
      </c>
      <c r="M1433">
        <v>-5937892</v>
      </c>
      <c r="N1433">
        <v>-4379940</v>
      </c>
      <c r="O1433">
        <v>-16051418</v>
      </c>
      <c r="P1433">
        <v>146</v>
      </c>
      <c r="Q1433" t="s">
        <v>2913</v>
      </c>
    </row>
    <row r="1434" spans="1:17" x14ac:dyDescent="0.3">
      <c r="A1434" t="s">
        <v>32</v>
      </c>
      <c r="B1434" t="str">
        <f>"000996"</f>
        <v>000996</v>
      </c>
      <c r="C1434" t="s">
        <v>2914</v>
      </c>
      <c r="D1434" t="s">
        <v>199</v>
      </c>
      <c r="E1434">
        <v>-154763</v>
      </c>
      <c r="F1434">
        <v>-2283991</v>
      </c>
      <c r="G1434">
        <v>-9086813</v>
      </c>
      <c r="H1434">
        <v>1291090</v>
      </c>
      <c r="I1434">
        <v>-36326424</v>
      </c>
      <c r="J1434">
        <v>-14358530</v>
      </c>
      <c r="K1434">
        <v>-3075762</v>
      </c>
      <c r="L1434">
        <v>-523159</v>
      </c>
      <c r="M1434">
        <v>-139258742</v>
      </c>
      <c r="N1434">
        <v>-2801074</v>
      </c>
      <c r="O1434">
        <v>3017108</v>
      </c>
      <c r="P1434">
        <v>70</v>
      </c>
      <c r="Q1434" t="s">
        <v>2915</v>
      </c>
    </row>
    <row r="1435" spans="1:17" x14ac:dyDescent="0.3">
      <c r="A1435" t="s">
        <v>17</v>
      </c>
      <c r="B1435" t="str">
        <f>"688511"</f>
        <v>688511</v>
      </c>
      <c r="C1435" t="s">
        <v>2916</v>
      </c>
      <c r="D1435" t="s">
        <v>188</v>
      </c>
      <c r="E1435">
        <v>-162718</v>
      </c>
      <c r="F1435">
        <v>29126955</v>
      </c>
      <c r="G1435">
        <v>1493849</v>
      </c>
      <c r="P1435">
        <v>23</v>
      </c>
      <c r="Q1435" t="s">
        <v>2917</v>
      </c>
    </row>
    <row r="1436" spans="1:17" x14ac:dyDescent="0.3">
      <c r="A1436" t="s">
        <v>17</v>
      </c>
      <c r="B1436" t="str">
        <f>"900957"</f>
        <v>900957</v>
      </c>
      <c r="C1436" t="s">
        <v>2918</v>
      </c>
      <c r="E1436">
        <v>-196741.5992</v>
      </c>
      <c r="F1436">
        <v>-231727.85759999999</v>
      </c>
      <c r="G1436">
        <v>1265386.3773000001</v>
      </c>
      <c r="H1436">
        <v>-272643.77600000001</v>
      </c>
      <c r="I1436">
        <v>60217.6538</v>
      </c>
      <c r="J1436">
        <v>-517979.0748</v>
      </c>
      <c r="K1436">
        <v>-2652648.4040999999</v>
      </c>
      <c r="L1436">
        <v>-4352706.3080000002</v>
      </c>
      <c r="M1436">
        <v>-5734700.1264000004</v>
      </c>
      <c r="N1436">
        <v>-416531.47200000001</v>
      </c>
      <c r="O1436">
        <v>365009.89880000002</v>
      </c>
      <c r="P1436">
        <v>2</v>
      </c>
      <c r="Q1436" t="s">
        <v>2919</v>
      </c>
    </row>
    <row r="1437" spans="1:17" x14ac:dyDescent="0.3">
      <c r="A1437" t="s">
        <v>32</v>
      </c>
      <c r="B1437" t="str">
        <f>"301062"</f>
        <v>301062</v>
      </c>
      <c r="C1437" t="s">
        <v>2920</v>
      </c>
      <c r="D1437" t="s">
        <v>455</v>
      </c>
      <c r="E1437">
        <v>-298490</v>
      </c>
      <c r="P1437">
        <v>13</v>
      </c>
      <c r="Q1437" t="s">
        <v>2921</v>
      </c>
    </row>
    <row r="1438" spans="1:17" x14ac:dyDescent="0.3">
      <c r="A1438" t="s">
        <v>17</v>
      </c>
      <c r="B1438" t="str">
        <f>"603868"</f>
        <v>603868</v>
      </c>
      <c r="C1438" t="s">
        <v>2922</v>
      </c>
      <c r="D1438" t="s">
        <v>127</v>
      </c>
      <c r="E1438">
        <v>-303017</v>
      </c>
      <c r="F1438">
        <v>-133195720</v>
      </c>
      <c r="G1438">
        <v>62574470</v>
      </c>
      <c r="H1438">
        <v>18883771</v>
      </c>
      <c r="I1438">
        <v>28001714</v>
      </c>
      <c r="J1438">
        <v>174480353</v>
      </c>
      <c r="K1438">
        <v>110535092</v>
      </c>
      <c r="L1438">
        <v>-22480823</v>
      </c>
      <c r="P1438">
        <v>4442</v>
      </c>
      <c r="Q1438" t="s">
        <v>2923</v>
      </c>
    </row>
    <row r="1439" spans="1:17" x14ac:dyDescent="0.3">
      <c r="A1439" t="s">
        <v>32</v>
      </c>
      <c r="B1439" t="str">
        <f>"300690"</f>
        <v>300690</v>
      </c>
      <c r="C1439" t="s">
        <v>2924</v>
      </c>
      <c r="D1439" t="s">
        <v>464</v>
      </c>
      <c r="E1439">
        <v>-308349</v>
      </c>
      <c r="F1439">
        <v>-57068778</v>
      </c>
      <c r="G1439">
        <v>-13673061</v>
      </c>
      <c r="H1439">
        <v>18694546</v>
      </c>
      <c r="I1439">
        <v>-2496633</v>
      </c>
      <c r="J1439">
        <v>1703156</v>
      </c>
      <c r="K1439">
        <v>13085300</v>
      </c>
      <c r="P1439">
        <v>214</v>
      </c>
      <c r="Q1439" t="s">
        <v>2925</v>
      </c>
    </row>
    <row r="1440" spans="1:17" x14ac:dyDescent="0.3">
      <c r="A1440" t="s">
        <v>17</v>
      </c>
      <c r="B1440" t="str">
        <f>"900946"</f>
        <v>900946</v>
      </c>
      <c r="C1440" t="s">
        <v>2926</v>
      </c>
      <c r="E1440">
        <v>-345112.6153</v>
      </c>
      <c r="F1440">
        <v>-6085623.8459999999</v>
      </c>
      <c r="G1440">
        <v>-303106.49129999999</v>
      </c>
      <c r="H1440">
        <v>-4018102.8169999998</v>
      </c>
      <c r="I1440">
        <v>-2077123.8659999999</v>
      </c>
      <c r="J1440">
        <v>-1093456.7688</v>
      </c>
      <c r="K1440">
        <v>-6165136.0201000003</v>
      </c>
      <c r="L1440">
        <v>-5403297.7268000003</v>
      </c>
      <c r="M1440">
        <v>-2820915.2039999999</v>
      </c>
      <c r="N1440">
        <v>-8954271.3120000008</v>
      </c>
      <c r="O1440">
        <v>4474735.1604000004</v>
      </c>
      <c r="P1440">
        <v>3</v>
      </c>
      <c r="Q1440" t="s">
        <v>2927</v>
      </c>
    </row>
    <row r="1441" spans="1:17" x14ac:dyDescent="0.3">
      <c r="A1441" t="s">
        <v>17</v>
      </c>
      <c r="B1441" t="str">
        <f>"603996"</f>
        <v>603996</v>
      </c>
      <c r="C1441" t="s">
        <v>2928</v>
      </c>
      <c r="D1441" t="s">
        <v>124</v>
      </c>
      <c r="E1441">
        <v>-374935</v>
      </c>
      <c r="F1441">
        <v>1425480</v>
      </c>
      <c r="G1441">
        <v>12333167</v>
      </c>
      <c r="H1441">
        <v>162693440</v>
      </c>
      <c r="I1441">
        <v>-319200278</v>
      </c>
      <c r="J1441">
        <v>-249663888</v>
      </c>
      <c r="K1441">
        <v>-175809948</v>
      </c>
      <c r="L1441">
        <v>-122623200</v>
      </c>
      <c r="M1441">
        <v>-50046900</v>
      </c>
      <c r="P1441">
        <v>71</v>
      </c>
      <c r="Q1441" t="s">
        <v>2929</v>
      </c>
    </row>
    <row r="1442" spans="1:17" x14ac:dyDescent="0.3">
      <c r="A1442" t="s">
        <v>17</v>
      </c>
      <c r="B1442" t="str">
        <f>"603559"</f>
        <v>603559</v>
      </c>
      <c r="C1442" t="s">
        <v>2930</v>
      </c>
      <c r="D1442" t="s">
        <v>57</v>
      </c>
      <c r="E1442">
        <v>-415250</v>
      </c>
      <c r="F1442">
        <v>-49964587</v>
      </c>
      <c r="G1442">
        <v>-71093527</v>
      </c>
      <c r="H1442">
        <v>-49515905</v>
      </c>
      <c r="I1442">
        <v>-55880260</v>
      </c>
      <c r="J1442">
        <v>-81118629</v>
      </c>
      <c r="K1442">
        <v>-31474011</v>
      </c>
      <c r="P1442">
        <v>159</v>
      </c>
      <c r="Q1442" t="s">
        <v>2931</v>
      </c>
    </row>
    <row r="1443" spans="1:17" x14ac:dyDescent="0.3">
      <c r="A1443" t="s">
        <v>32</v>
      </c>
      <c r="B1443" t="str">
        <f>"301052"</f>
        <v>301052</v>
      </c>
      <c r="C1443" t="s">
        <v>2932</v>
      </c>
      <c r="D1443" t="s">
        <v>245</v>
      </c>
      <c r="E1443">
        <v>-445182</v>
      </c>
      <c r="P1443">
        <v>16</v>
      </c>
      <c r="Q1443" t="s">
        <v>2933</v>
      </c>
    </row>
    <row r="1444" spans="1:17" x14ac:dyDescent="0.3">
      <c r="A1444" t="s">
        <v>32</v>
      </c>
      <c r="B1444" t="str">
        <f>"000797"</f>
        <v>000797</v>
      </c>
      <c r="C1444" t="s">
        <v>2934</v>
      </c>
      <c r="D1444" t="s">
        <v>151</v>
      </c>
      <c r="E1444">
        <v>-462814</v>
      </c>
      <c r="F1444">
        <v>98357661</v>
      </c>
      <c r="G1444">
        <v>-1752048772</v>
      </c>
      <c r="H1444">
        <v>-846352265</v>
      </c>
      <c r="I1444">
        <v>-1044087253</v>
      </c>
      <c r="J1444">
        <v>-141185830</v>
      </c>
      <c r="K1444">
        <v>-174056122</v>
      </c>
      <c r="L1444">
        <v>-49072325</v>
      </c>
      <c r="M1444">
        <v>-282761337</v>
      </c>
      <c r="N1444">
        <v>-518835557</v>
      </c>
      <c r="O1444">
        <v>-44839252</v>
      </c>
      <c r="P1444">
        <v>121</v>
      </c>
      <c r="Q1444" t="s">
        <v>2935</v>
      </c>
    </row>
    <row r="1445" spans="1:17" x14ac:dyDescent="0.3">
      <c r="A1445" t="s">
        <v>32</v>
      </c>
      <c r="B1445" t="str">
        <f>"002317"</f>
        <v>002317</v>
      </c>
      <c r="C1445" t="s">
        <v>2936</v>
      </c>
      <c r="D1445" t="s">
        <v>98</v>
      </c>
      <c r="E1445">
        <v>-488079</v>
      </c>
      <c r="F1445">
        <v>9217183</v>
      </c>
      <c r="G1445">
        <v>20919637</v>
      </c>
      <c r="H1445">
        <v>50864063</v>
      </c>
      <c r="I1445">
        <v>-92470288</v>
      </c>
      <c r="J1445">
        <v>115754731</v>
      </c>
      <c r="K1445">
        <v>146813651</v>
      </c>
      <c r="L1445">
        <v>18591280</v>
      </c>
      <c r="M1445">
        <v>41207532</v>
      </c>
      <c r="N1445">
        <v>-3027408</v>
      </c>
      <c r="O1445">
        <v>29883989</v>
      </c>
      <c r="P1445">
        <v>344</v>
      </c>
      <c r="Q1445" t="s">
        <v>2937</v>
      </c>
    </row>
    <row r="1446" spans="1:17" x14ac:dyDescent="0.3">
      <c r="A1446" t="s">
        <v>32</v>
      </c>
      <c r="B1446" t="str">
        <f>"300044"</f>
        <v>300044</v>
      </c>
      <c r="C1446" t="s">
        <v>2938</v>
      </c>
      <c r="D1446" t="s">
        <v>342</v>
      </c>
      <c r="E1446">
        <v>-495200</v>
      </c>
      <c r="F1446">
        <v>-30264712</v>
      </c>
      <c r="G1446">
        <v>-503622997</v>
      </c>
      <c r="H1446">
        <v>-82619525</v>
      </c>
      <c r="I1446">
        <v>-179637052</v>
      </c>
      <c r="J1446">
        <v>-317219854</v>
      </c>
      <c r="K1446">
        <v>-114550267</v>
      </c>
      <c r="L1446">
        <v>-67756187</v>
      </c>
      <c r="M1446">
        <v>-39835962</v>
      </c>
      <c r="N1446">
        <v>-38162983</v>
      </c>
      <c r="O1446">
        <v>6231621</v>
      </c>
      <c r="P1446">
        <v>289</v>
      </c>
      <c r="Q1446" t="s">
        <v>2939</v>
      </c>
    </row>
    <row r="1447" spans="1:17" x14ac:dyDescent="0.3">
      <c r="A1447" t="s">
        <v>17</v>
      </c>
      <c r="B1447" t="str">
        <f>"601028"</f>
        <v>601028</v>
      </c>
      <c r="C1447" t="s">
        <v>2940</v>
      </c>
      <c r="D1447" t="s">
        <v>218</v>
      </c>
      <c r="E1447">
        <v>-506533</v>
      </c>
      <c r="F1447">
        <v>2780918</v>
      </c>
      <c r="G1447">
        <v>31001761</v>
      </c>
      <c r="H1447">
        <v>-26214729</v>
      </c>
      <c r="I1447">
        <v>32188975</v>
      </c>
      <c r="J1447">
        <v>47332185</v>
      </c>
      <c r="K1447">
        <v>106989676</v>
      </c>
      <c r="L1447">
        <v>-27117534</v>
      </c>
      <c r="M1447">
        <v>-209316506</v>
      </c>
      <c r="N1447">
        <v>-341454986</v>
      </c>
      <c r="O1447">
        <v>68611387</v>
      </c>
      <c r="P1447">
        <v>87</v>
      </c>
      <c r="Q1447" t="s">
        <v>2941</v>
      </c>
    </row>
    <row r="1448" spans="1:17" x14ac:dyDescent="0.3">
      <c r="A1448" t="s">
        <v>32</v>
      </c>
      <c r="B1448" t="str">
        <f>"300927"</f>
        <v>300927</v>
      </c>
      <c r="C1448" t="s">
        <v>2942</v>
      </c>
      <c r="D1448" t="s">
        <v>144</v>
      </c>
      <c r="E1448">
        <v>-511487</v>
      </c>
      <c r="F1448">
        <v>-20961856</v>
      </c>
      <c r="G1448">
        <v>-6599416</v>
      </c>
      <c r="P1448">
        <v>44</v>
      </c>
      <c r="Q1448" t="s">
        <v>2943</v>
      </c>
    </row>
    <row r="1449" spans="1:17" x14ac:dyDescent="0.3">
      <c r="A1449" t="s">
        <v>32</v>
      </c>
      <c r="B1449" t="str">
        <f>"300720"</f>
        <v>300720</v>
      </c>
      <c r="C1449" t="s">
        <v>2944</v>
      </c>
      <c r="D1449" t="s">
        <v>135</v>
      </c>
      <c r="E1449">
        <v>-612912</v>
      </c>
      <c r="F1449">
        <v>4322545</v>
      </c>
      <c r="G1449">
        <v>11415918</v>
      </c>
      <c r="H1449">
        <v>-4479062</v>
      </c>
      <c r="I1449">
        <v>-2386250</v>
      </c>
      <c r="J1449">
        <v>5369348</v>
      </c>
      <c r="P1449">
        <v>70</v>
      </c>
      <c r="Q1449" t="s">
        <v>2945</v>
      </c>
    </row>
    <row r="1450" spans="1:17" x14ac:dyDescent="0.3">
      <c r="A1450" t="s">
        <v>32</v>
      </c>
      <c r="B1450" t="str">
        <f>"002504"</f>
        <v>002504</v>
      </c>
      <c r="C1450" t="s">
        <v>2946</v>
      </c>
      <c r="D1450" t="s">
        <v>645</v>
      </c>
      <c r="E1450">
        <v>-697703</v>
      </c>
      <c r="F1450">
        <v>1049352</v>
      </c>
      <c r="G1450">
        <v>-29399917</v>
      </c>
      <c r="H1450">
        <v>-2090768</v>
      </c>
      <c r="I1450">
        <v>54032860</v>
      </c>
      <c r="J1450">
        <v>-509216025</v>
      </c>
      <c r="K1450">
        <v>204742971</v>
      </c>
      <c r="L1450">
        <v>-92774184</v>
      </c>
      <c r="M1450">
        <v>-6979831</v>
      </c>
      <c r="N1450">
        <v>-12490420</v>
      </c>
      <c r="O1450">
        <v>-40431113</v>
      </c>
      <c r="P1450">
        <v>66</v>
      </c>
      <c r="Q1450" t="s">
        <v>2947</v>
      </c>
    </row>
    <row r="1451" spans="1:17" x14ac:dyDescent="0.3">
      <c r="A1451" t="s">
        <v>17</v>
      </c>
      <c r="B1451" t="str">
        <f>"603701"</f>
        <v>603701</v>
      </c>
      <c r="C1451" t="s">
        <v>2948</v>
      </c>
      <c r="D1451" t="s">
        <v>199</v>
      </c>
      <c r="E1451">
        <v>-702063</v>
      </c>
      <c r="F1451">
        <v>-12685414</v>
      </c>
      <c r="G1451">
        <v>-2772877</v>
      </c>
      <c r="H1451">
        <v>-8734498</v>
      </c>
      <c r="I1451">
        <v>3331221</v>
      </c>
      <c r="J1451">
        <v>-15794257</v>
      </c>
      <c r="K1451">
        <v>-1189632</v>
      </c>
      <c r="L1451">
        <v>-6760277</v>
      </c>
      <c r="P1451">
        <v>93</v>
      </c>
      <c r="Q1451" t="s">
        <v>2949</v>
      </c>
    </row>
    <row r="1452" spans="1:17" x14ac:dyDescent="0.3">
      <c r="A1452" t="s">
        <v>32</v>
      </c>
      <c r="B1452" t="str">
        <f>"300528"</f>
        <v>300528</v>
      </c>
      <c r="C1452" t="s">
        <v>2950</v>
      </c>
      <c r="D1452" t="s">
        <v>245</v>
      </c>
      <c r="E1452">
        <v>-709795</v>
      </c>
      <c r="F1452">
        <v>235753756</v>
      </c>
      <c r="G1452">
        <v>-38809656</v>
      </c>
      <c r="H1452">
        <v>-11082929</v>
      </c>
      <c r="I1452">
        <v>-63240823</v>
      </c>
      <c r="J1452">
        <v>64018758</v>
      </c>
      <c r="K1452">
        <v>60773464</v>
      </c>
      <c r="L1452">
        <v>-4202079</v>
      </c>
      <c r="P1452">
        <v>81</v>
      </c>
      <c r="Q1452" t="s">
        <v>2951</v>
      </c>
    </row>
    <row r="1453" spans="1:17" x14ac:dyDescent="0.3">
      <c r="A1453" t="s">
        <v>32</v>
      </c>
      <c r="B1453" t="str">
        <f>"300802"</f>
        <v>300802</v>
      </c>
      <c r="C1453" t="s">
        <v>2952</v>
      </c>
      <c r="D1453" t="s">
        <v>135</v>
      </c>
      <c r="E1453">
        <v>-763665</v>
      </c>
      <c r="F1453">
        <v>-18462800</v>
      </c>
      <c r="G1453">
        <v>-12961069</v>
      </c>
      <c r="H1453">
        <v>20447910</v>
      </c>
      <c r="P1453">
        <v>182</v>
      </c>
      <c r="Q1453" t="s">
        <v>2953</v>
      </c>
    </row>
    <row r="1454" spans="1:17" x14ac:dyDescent="0.3">
      <c r="A1454" t="s">
        <v>32</v>
      </c>
      <c r="B1454" t="str">
        <f>"300016"</f>
        <v>300016</v>
      </c>
      <c r="C1454" t="s">
        <v>2954</v>
      </c>
      <c r="D1454" t="s">
        <v>98</v>
      </c>
      <c r="E1454">
        <v>-774812</v>
      </c>
      <c r="F1454">
        <v>6115567</v>
      </c>
      <c r="G1454">
        <v>25420396</v>
      </c>
      <c r="H1454">
        <v>38996170</v>
      </c>
      <c r="I1454">
        <v>21019115</v>
      </c>
      <c r="J1454">
        <v>61781465</v>
      </c>
      <c r="K1454">
        <v>20840078</v>
      </c>
      <c r="L1454">
        <v>-2872328</v>
      </c>
      <c r="M1454">
        <v>-22937191</v>
      </c>
      <c r="N1454">
        <v>-10724577</v>
      </c>
      <c r="O1454">
        <v>-21022620</v>
      </c>
      <c r="P1454">
        <v>305</v>
      </c>
      <c r="Q1454" t="s">
        <v>2955</v>
      </c>
    </row>
    <row r="1455" spans="1:17" x14ac:dyDescent="0.3">
      <c r="A1455" t="s">
        <v>32</v>
      </c>
      <c r="B1455" t="str">
        <f>"002785"</f>
        <v>002785</v>
      </c>
      <c r="C1455" t="s">
        <v>2956</v>
      </c>
      <c r="D1455" t="s">
        <v>400</v>
      </c>
      <c r="E1455">
        <v>-811094</v>
      </c>
      <c r="F1455">
        <v>-31817673</v>
      </c>
      <c r="G1455">
        <v>-2841292</v>
      </c>
      <c r="H1455">
        <v>-19325151</v>
      </c>
      <c r="I1455">
        <v>-34796453</v>
      </c>
      <c r="J1455">
        <v>-33809572</v>
      </c>
      <c r="K1455">
        <v>-34370220</v>
      </c>
      <c r="L1455">
        <v>-43180890</v>
      </c>
      <c r="M1455">
        <v>-37974784</v>
      </c>
      <c r="P1455">
        <v>57</v>
      </c>
      <c r="Q1455" t="s">
        <v>2957</v>
      </c>
    </row>
    <row r="1456" spans="1:17" x14ac:dyDescent="0.3">
      <c r="A1456" t="s">
        <v>17</v>
      </c>
      <c r="B1456" t="str">
        <f>"600555"</f>
        <v>600555</v>
      </c>
      <c r="C1456" t="s">
        <v>2958</v>
      </c>
      <c r="D1456" t="s">
        <v>497</v>
      </c>
      <c r="E1456">
        <v>-814693</v>
      </c>
      <c r="F1456">
        <v>-14227484</v>
      </c>
      <c r="G1456">
        <v>-13215405</v>
      </c>
      <c r="H1456">
        <v>-14853833</v>
      </c>
      <c r="I1456">
        <v>-31541646</v>
      </c>
      <c r="J1456">
        <v>-54013715</v>
      </c>
      <c r="K1456">
        <v>-62951885</v>
      </c>
      <c r="L1456">
        <v>-144741403</v>
      </c>
      <c r="M1456">
        <v>-48515216</v>
      </c>
      <c r="N1456">
        <v>-17518914</v>
      </c>
      <c r="O1456">
        <v>-60122325</v>
      </c>
      <c r="P1456">
        <v>76</v>
      </c>
      <c r="Q1456" t="s">
        <v>2959</v>
      </c>
    </row>
    <row r="1457" spans="1:17" x14ac:dyDescent="0.3">
      <c r="A1457" t="s">
        <v>32</v>
      </c>
      <c r="B1457" t="str">
        <f>"301006"</f>
        <v>301006</v>
      </c>
      <c r="C1457" t="s">
        <v>2960</v>
      </c>
      <c r="D1457" t="s">
        <v>135</v>
      </c>
      <c r="E1457">
        <v>-824951</v>
      </c>
      <c r="F1457">
        <v>9138258</v>
      </c>
      <c r="G1457">
        <v>-10251650</v>
      </c>
      <c r="P1457">
        <v>50</v>
      </c>
      <c r="Q1457" t="s">
        <v>2961</v>
      </c>
    </row>
    <row r="1458" spans="1:17" x14ac:dyDescent="0.3">
      <c r="A1458" t="s">
        <v>32</v>
      </c>
      <c r="B1458" t="str">
        <f>"000673"</f>
        <v>000673</v>
      </c>
      <c r="C1458" t="s">
        <v>2962</v>
      </c>
      <c r="D1458" t="s">
        <v>245</v>
      </c>
      <c r="E1458">
        <v>-849740</v>
      </c>
      <c r="F1458">
        <v>-227000</v>
      </c>
      <c r="G1458">
        <v>4944739</v>
      </c>
      <c r="H1458">
        <v>8997254</v>
      </c>
      <c r="I1458">
        <v>-49066584</v>
      </c>
      <c r="J1458">
        <v>-23626073</v>
      </c>
      <c r="K1458">
        <v>-110804441</v>
      </c>
      <c r="L1458">
        <v>-508818</v>
      </c>
      <c r="M1458">
        <v>-939200</v>
      </c>
      <c r="N1458">
        <v>327932</v>
      </c>
      <c r="O1458">
        <v>94480</v>
      </c>
      <c r="P1458">
        <v>90</v>
      </c>
      <c r="Q1458" t="s">
        <v>2963</v>
      </c>
    </row>
    <row r="1459" spans="1:17" x14ac:dyDescent="0.3">
      <c r="A1459" t="s">
        <v>17</v>
      </c>
      <c r="B1459" t="str">
        <f>"900929"</f>
        <v>900929</v>
      </c>
      <c r="C1459" t="s">
        <v>2964</v>
      </c>
      <c r="E1459">
        <v>-880056.92660000001</v>
      </c>
      <c r="F1459">
        <v>-1809611.4683999999</v>
      </c>
      <c r="G1459">
        <v>-1442311.6095</v>
      </c>
      <c r="H1459">
        <v>-10169709.813999999</v>
      </c>
      <c r="I1459">
        <v>-2991912.4959999998</v>
      </c>
      <c r="J1459">
        <v>-1020360.6204</v>
      </c>
      <c r="K1459">
        <v>-4164567.048</v>
      </c>
      <c r="L1459">
        <v>-3761660.0408999999</v>
      </c>
      <c r="M1459">
        <v>-3626019.2568000001</v>
      </c>
      <c r="N1459">
        <v>-3461010.7209999999</v>
      </c>
      <c r="O1459">
        <v>-6559462.3543999996</v>
      </c>
      <c r="P1459">
        <v>11</v>
      </c>
      <c r="Q1459" t="s">
        <v>2965</v>
      </c>
    </row>
    <row r="1460" spans="1:17" x14ac:dyDescent="0.3">
      <c r="A1460" t="s">
        <v>17</v>
      </c>
      <c r="B1460" t="str">
        <f>"600865"</f>
        <v>600865</v>
      </c>
      <c r="C1460" t="s">
        <v>2966</v>
      </c>
      <c r="D1460" t="s">
        <v>218</v>
      </c>
      <c r="E1460">
        <v>-880620</v>
      </c>
      <c r="F1460">
        <v>3438118</v>
      </c>
      <c r="G1460">
        <v>-45867715</v>
      </c>
      <c r="H1460">
        <v>-12722176</v>
      </c>
      <c r="I1460">
        <v>-57455457</v>
      </c>
      <c r="J1460">
        <v>-61342197</v>
      </c>
      <c r="K1460">
        <v>-32002978</v>
      </c>
      <c r="L1460">
        <v>-78239750</v>
      </c>
      <c r="M1460">
        <v>-51725581</v>
      </c>
      <c r="N1460">
        <v>71628675</v>
      </c>
      <c r="O1460">
        <v>-69894766</v>
      </c>
      <c r="P1460">
        <v>123</v>
      </c>
      <c r="Q1460" t="s">
        <v>2967</v>
      </c>
    </row>
    <row r="1461" spans="1:17" x14ac:dyDescent="0.3">
      <c r="A1461" t="s">
        <v>17</v>
      </c>
      <c r="B1461" t="str">
        <f>"603978"</f>
        <v>603978</v>
      </c>
      <c r="C1461" t="s">
        <v>2968</v>
      </c>
      <c r="D1461" t="s">
        <v>121</v>
      </c>
      <c r="E1461">
        <v>-906157</v>
      </c>
      <c r="F1461">
        <v>-89737258</v>
      </c>
      <c r="G1461">
        <v>-8597073</v>
      </c>
      <c r="H1461">
        <v>-21582335</v>
      </c>
      <c r="I1461">
        <v>-18387900</v>
      </c>
      <c r="J1461">
        <v>-28721221</v>
      </c>
      <c r="K1461">
        <v>-955929</v>
      </c>
      <c r="P1461">
        <v>112</v>
      </c>
      <c r="Q1461" t="s">
        <v>2969</v>
      </c>
    </row>
    <row r="1462" spans="1:17" x14ac:dyDescent="0.3">
      <c r="A1462" t="s">
        <v>17</v>
      </c>
      <c r="B1462" t="str">
        <f>"603998"</f>
        <v>603998</v>
      </c>
      <c r="C1462" t="s">
        <v>2970</v>
      </c>
      <c r="D1462" t="s">
        <v>98</v>
      </c>
      <c r="E1462">
        <v>-930405</v>
      </c>
      <c r="F1462">
        <v>-30525543</v>
      </c>
      <c r="G1462">
        <v>-11982078</v>
      </c>
      <c r="H1462">
        <v>-28262201</v>
      </c>
      <c r="I1462">
        <v>18342985</v>
      </c>
      <c r="J1462">
        <v>-51969569</v>
      </c>
      <c r="K1462">
        <v>-16701618</v>
      </c>
      <c r="L1462">
        <v>-8893830</v>
      </c>
      <c r="M1462">
        <v>-51714650</v>
      </c>
      <c r="P1462">
        <v>126</v>
      </c>
      <c r="Q1462" t="s">
        <v>2971</v>
      </c>
    </row>
    <row r="1463" spans="1:17" x14ac:dyDescent="0.3">
      <c r="A1463" t="s">
        <v>32</v>
      </c>
      <c r="B1463" t="str">
        <f>"002405"</f>
        <v>002405</v>
      </c>
      <c r="C1463" t="s">
        <v>2972</v>
      </c>
      <c r="D1463" t="s">
        <v>342</v>
      </c>
      <c r="E1463">
        <v>-993922</v>
      </c>
      <c r="F1463">
        <v>-246496635</v>
      </c>
      <c r="G1463">
        <v>-84090436</v>
      </c>
      <c r="H1463">
        <v>-133275170</v>
      </c>
      <c r="I1463">
        <v>86202756</v>
      </c>
      <c r="J1463">
        <v>-120984298</v>
      </c>
      <c r="K1463">
        <v>-8428149</v>
      </c>
      <c r="L1463">
        <v>-60614961</v>
      </c>
      <c r="M1463">
        <v>-152534138</v>
      </c>
      <c r="N1463">
        <v>-6146373</v>
      </c>
      <c r="O1463">
        <v>-21451710</v>
      </c>
      <c r="P1463">
        <v>3861</v>
      </c>
      <c r="Q1463" t="s">
        <v>2973</v>
      </c>
    </row>
    <row r="1464" spans="1:17" x14ac:dyDescent="0.3">
      <c r="A1464" t="s">
        <v>17</v>
      </c>
      <c r="B1464" t="str">
        <f>"688565"</f>
        <v>688565</v>
      </c>
      <c r="C1464" t="s">
        <v>2974</v>
      </c>
      <c r="D1464" t="s">
        <v>1334</v>
      </c>
      <c r="E1464">
        <v>-1007357</v>
      </c>
      <c r="F1464">
        <v>-28694768</v>
      </c>
      <c r="G1464">
        <v>-26928965</v>
      </c>
      <c r="P1464">
        <v>38</v>
      </c>
      <c r="Q1464" t="s">
        <v>2975</v>
      </c>
    </row>
    <row r="1465" spans="1:17" x14ac:dyDescent="0.3">
      <c r="A1465" t="s">
        <v>32</v>
      </c>
      <c r="B1465" t="str">
        <f>"002582"</f>
        <v>002582</v>
      </c>
      <c r="C1465" t="s">
        <v>2976</v>
      </c>
      <c r="D1465" t="s">
        <v>172</v>
      </c>
      <c r="E1465">
        <v>-1011737</v>
      </c>
      <c r="F1465">
        <v>74420972</v>
      </c>
      <c r="G1465">
        <v>260571294</v>
      </c>
      <c r="H1465">
        <v>496827092</v>
      </c>
      <c r="I1465">
        <v>443822192</v>
      </c>
      <c r="J1465">
        <v>559663663</v>
      </c>
      <c r="K1465">
        <v>61946805</v>
      </c>
      <c r="L1465">
        <v>66803586</v>
      </c>
      <c r="M1465">
        <v>-12713840</v>
      </c>
      <c r="N1465">
        <v>-77293001</v>
      </c>
      <c r="O1465">
        <v>14775355</v>
      </c>
      <c r="P1465">
        <v>439</v>
      </c>
      <c r="Q1465" t="s">
        <v>2977</v>
      </c>
    </row>
    <row r="1466" spans="1:17" x14ac:dyDescent="0.3">
      <c r="A1466" t="s">
        <v>32</v>
      </c>
      <c r="B1466" t="str">
        <f>"002052"</f>
        <v>002052</v>
      </c>
      <c r="C1466" t="s">
        <v>2978</v>
      </c>
      <c r="D1466" t="s">
        <v>127</v>
      </c>
      <c r="E1466">
        <v>-1082697</v>
      </c>
      <c r="F1466">
        <v>-5489614</v>
      </c>
      <c r="G1466">
        <v>-49241559</v>
      </c>
      <c r="H1466">
        <v>22426180</v>
      </c>
      <c r="I1466">
        <v>4542201</v>
      </c>
      <c r="J1466">
        <v>-50149694</v>
      </c>
      <c r="K1466">
        <v>89833803</v>
      </c>
      <c r="L1466">
        <v>64616864</v>
      </c>
      <c r="M1466">
        <v>-248274791</v>
      </c>
      <c r="N1466">
        <v>-173045255</v>
      </c>
      <c r="O1466">
        <v>-5508865</v>
      </c>
      <c r="P1466">
        <v>76</v>
      </c>
      <c r="Q1466" t="s">
        <v>2979</v>
      </c>
    </row>
    <row r="1467" spans="1:17" x14ac:dyDescent="0.3">
      <c r="A1467" t="s">
        <v>32</v>
      </c>
      <c r="B1467" t="str">
        <f>"300417"</f>
        <v>300417</v>
      </c>
      <c r="C1467" t="s">
        <v>2980</v>
      </c>
      <c r="D1467" t="s">
        <v>135</v>
      </c>
      <c r="E1467">
        <v>-1223471</v>
      </c>
      <c r="F1467">
        <v>-27452530</v>
      </c>
      <c r="G1467">
        <v>-17650760</v>
      </c>
      <c r="H1467">
        <v>17226744</v>
      </c>
      <c r="I1467">
        <v>-8623797</v>
      </c>
      <c r="J1467">
        <v>-14824344</v>
      </c>
      <c r="K1467">
        <v>-15969605</v>
      </c>
      <c r="L1467">
        <v>-17461671</v>
      </c>
      <c r="M1467">
        <v>-13478722</v>
      </c>
      <c r="P1467">
        <v>196</v>
      </c>
      <c r="Q1467" t="s">
        <v>2981</v>
      </c>
    </row>
    <row r="1468" spans="1:17" x14ac:dyDescent="0.3">
      <c r="A1468" t="s">
        <v>17</v>
      </c>
      <c r="B1468" t="str">
        <f>"600107"</f>
        <v>600107</v>
      </c>
      <c r="C1468" t="s">
        <v>2982</v>
      </c>
      <c r="D1468" t="s">
        <v>130</v>
      </c>
      <c r="E1468">
        <v>-1322787</v>
      </c>
      <c r="F1468">
        <v>-55242003</v>
      </c>
      <c r="G1468">
        <v>5999960</v>
      </c>
      <c r="H1468">
        <v>4982186</v>
      </c>
      <c r="I1468">
        <v>1296252</v>
      </c>
      <c r="J1468">
        <v>18027067</v>
      </c>
      <c r="K1468">
        <v>3510254</v>
      </c>
      <c r="L1468">
        <v>3706436</v>
      </c>
      <c r="M1468">
        <v>-235900</v>
      </c>
      <c r="N1468">
        <v>-42082075</v>
      </c>
      <c r="O1468">
        <v>-14870692</v>
      </c>
      <c r="P1468">
        <v>73</v>
      </c>
      <c r="Q1468" t="s">
        <v>2983</v>
      </c>
    </row>
    <row r="1469" spans="1:17" x14ac:dyDescent="0.3">
      <c r="A1469" t="s">
        <v>32</v>
      </c>
      <c r="B1469" t="str">
        <f>"002735"</f>
        <v>002735</v>
      </c>
      <c r="C1469" t="s">
        <v>2984</v>
      </c>
      <c r="D1469" t="s">
        <v>455</v>
      </c>
      <c r="E1469">
        <v>-1324051</v>
      </c>
      <c r="F1469">
        <v>-22199400</v>
      </c>
      <c r="G1469">
        <v>12646843</v>
      </c>
      <c r="H1469">
        <v>22713531</v>
      </c>
      <c r="I1469">
        <v>9502967</v>
      </c>
      <c r="J1469">
        <v>22836007</v>
      </c>
      <c r="K1469">
        <v>26154448</v>
      </c>
      <c r="L1469">
        <v>12394495</v>
      </c>
      <c r="M1469">
        <v>9864669</v>
      </c>
      <c r="P1469">
        <v>72</v>
      </c>
      <c r="Q1469" t="s">
        <v>2985</v>
      </c>
    </row>
    <row r="1470" spans="1:17" x14ac:dyDescent="0.3">
      <c r="A1470" t="s">
        <v>32</v>
      </c>
      <c r="B1470" t="str">
        <f>"300210"</f>
        <v>300210</v>
      </c>
      <c r="C1470" t="s">
        <v>2986</v>
      </c>
      <c r="D1470" t="s">
        <v>1334</v>
      </c>
      <c r="E1470">
        <v>-1383268</v>
      </c>
      <c r="F1470">
        <v>35735489</v>
      </c>
      <c r="G1470">
        <v>3176326</v>
      </c>
      <c r="H1470">
        <v>18309223</v>
      </c>
      <c r="I1470">
        <v>-65795919</v>
      </c>
      <c r="J1470">
        <v>55502249</v>
      </c>
      <c r="K1470">
        <v>-125334785</v>
      </c>
      <c r="L1470">
        <v>-62501326</v>
      </c>
      <c r="M1470">
        <v>-64000391</v>
      </c>
      <c r="N1470">
        <v>-40245990</v>
      </c>
      <c r="O1470">
        <v>53026</v>
      </c>
      <c r="P1470">
        <v>50</v>
      </c>
      <c r="Q1470" t="s">
        <v>2987</v>
      </c>
    </row>
    <row r="1471" spans="1:17" x14ac:dyDescent="0.3">
      <c r="A1471" t="s">
        <v>32</v>
      </c>
      <c r="B1471" t="str">
        <f>"300600"</f>
        <v>300600</v>
      </c>
      <c r="C1471" t="s">
        <v>2988</v>
      </c>
      <c r="D1471" t="s">
        <v>188</v>
      </c>
      <c r="E1471">
        <v>-1383897</v>
      </c>
      <c r="F1471">
        <v>-45379006</v>
      </c>
      <c r="G1471">
        <v>-158800579</v>
      </c>
      <c r="H1471">
        <v>-44890245</v>
      </c>
      <c r="I1471">
        <v>-62003904</v>
      </c>
      <c r="J1471">
        <v>-44188066</v>
      </c>
      <c r="K1471">
        <v>-50804946</v>
      </c>
      <c r="P1471">
        <v>101</v>
      </c>
      <c r="Q1471" t="s">
        <v>2989</v>
      </c>
    </row>
    <row r="1472" spans="1:17" x14ac:dyDescent="0.3">
      <c r="A1472" t="s">
        <v>17</v>
      </c>
      <c r="B1472" t="str">
        <f>"603102"</f>
        <v>603102</v>
      </c>
      <c r="C1472" t="s">
        <v>2990</v>
      </c>
      <c r="E1472">
        <v>-1408269</v>
      </c>
      <c r="P1472">
        <v>13</v>
      </c>
      <c r="Q1472" t="s">
        <v>2991</v>
      </c>
    </row>
    <row r="1473" spans="1:17" x14ac:dyDescent="0.3">
      <c r="A1473" t="s">
        <v>17</v>
      </c>
      <c r="B1473" t="str">
        <f>"603278"</f>
        <v>603278</v>
      </c>
      <c r="C1473" t="s">
        <v>2992</v>
      </c>
      <c r="D1473" t="s">
        <v>135</v>
      </c>
      <c r="E1473">
        <v>-1435315</v>
      </c>
      <c r="F1473">
        <v>-128788534</v>
      </c>
      <c r="G1473">
        <v>32841055</v>
      </c>
      <c r="H1473">
        <v>-47793746</v>
      </c>
      <c r="I1473">
        <v>5263188</v>
      </c>
      <c r="J1473">
        <v>-15008192</v>
      </c>
      <c r="P1473">
        <v>122</v>
      </c>
      <c r="Q1473" t="s">
        <v>2993</v>
      </c>
    </row>
    <row r="1474" spans="1:17" x14ac:dyDescent="0.3">
      <c r="A1474" t="s">
        <v>17</v>
      </c>
      <c r="B1474" t="str">
        <f>"900919"</f>
        <v>900919</v>
      </c>
      <c r="C1474" t="s">
        <v>2994</v>
      </c>
      <c r="E1474">
        <v>-1444318.5578999999</v>
      </c>
      <c r="F1474">
        <v>-1608644.0268000001</v>
      </c>
      <c r="G1474">
        <v>-2601150.7809000001</v>
      </c>
      <c r="H1474">
        <v>-633737.08100000001</v>
      </c>
      <c r="I1474">
        <v>-2696026.2459999998</v>
      </c>
      <c r="J1474">
        <v>5187566.3531999998</v>
      </c>
      <c r="K1474">
        <v>-11203559.955499999</v>
      </c>
      <c r="L1474">
        <v>4576953.4716999996</v>
      </c>
      <c r="M1474">
        <v>-1508524.6176</v>
      </c>
      <c r="N1474">
        <v>-3903328.5970000001</v>
      </c>
      <c r="O1474">
        <v>-6434365.7488000002</v>
      </c>
      <c r="P1474">
        <v>5</v>
      </c>
      <c r="Q1474" t="s">
        <v>2995</v>
      </c>
    </row>
    <row r="1475" spans="1:17" x14ac:dyDescent="0.3">
      <c r="A1475" t="s">
        <v>32</v>
      </c>
      <c r="B1475" t="str">
        <f>"000096"</f>
        <v>000096</v>
      </c>
      <c r="C1475" t="s">
        <v>2996</v>
      </c>
      <c r="D1475" t="s">
        <v>64</v>
      </c>
      <c r="E1475">
        <v>-1469755</v>
      </c>
      <c r="F1475">
        <v>-70692627</v>
      </c>
      <c r="G1475">
        <v>-93286622</v>
      </c>
      <c r="H1475">
        <v>-46022683</v>
      </c>
      <c r="I1475">
        <v>-25062822</v>
      </c>
      <c r="J1475">
        <v>15276883</v>
      </c>
      <c r="K1475">
        <v>-58067957</v>
      </c>
      <c r="L1475">
        <v>71051900</v>
      </c>
      <c r="M1475">
        <v>34498636</v>
      </c>
      <c r="N1475">
        <v>-70918182</v>
      </c>
      <c r="O1475">
        <v>-84060689</v>
      </c>
      <c r="P1475">
        <v>86</v>
      </c>
      <c r="Q1475" t="s">
        <v>2997</v>
      </c>
    </row>
    <row r="1476" spans="1:17" x14ac:dyDescent="0.3">
      <c r="A1476" t="s">
        <v>32</v>
      </c>
      <c r="B1476" t="str">
        <f>"002177"</f>
        <v>002177</v>
      </c>
      <c r="C1476" t="s">
        <v>2998</v>
      </c>
      <c r="D1476" t="s">
        <v>342</v>
      </c>
      <c r="E1476">
        <v>-1484844</v>
      </c>
      <c r="F1476">
        <v>-33145284</v>
      </c>
      <c r="G1476">
        <v>-19920695</v>
      </c>
      <c r="H1476">
        <v>-38770247</v>
      </c>
      <c r="I1476">
        <v>-93512425</v>
      </c>
      <c r="J1476">
        <v>-160604390</v>
      </c>
      <c r="K1476">
        <v>-173460904</v>
      </c>
      <c r="L1476">
        <v>-213850903</v>
      </c>
      <c r="M1476">
        <v>-59175748</v>
      </c>
      <c r="N1476">
        <v>-89508903</v>
      </c>
      <c r="O1476">
        <v>-48120221</v>
      </c>
      <c r="P1476">
        <v>3025</v>
      </c>
      <c r="Q1476" t="s">
        <v>2999</v>
      </c>
    </row>
    <row r="1477" spans="1:17" x14ac:dyDescent="0.3">
      <c r="A1477" t="s">
        <v>32</v>
      </c>
      <c r="B1477" t="str">
        <f>"002366"</f>
        <v>002366</v>
      </c>
      <c r="C1477" t="s">
        <v>3000</v>
      </c>
      <c r="D1477" t="s">
        <v>464</v>
      </c>
      <c r="E1477">
        <v>-1561388</v>
      </c>
      <c r="F1477">
        <v>18779421</v>
      </c>
      <c r="G1477">
        <v>-11395853</v>
      </c>
      <c r="H1477">
        <v>36709823</v>
      </c>
      <c r="I1477">
        <v>-102743518</v>
      </c>
      <c r="J1477">
        <v>-191774638</v>
      </c>
      <c r="K1477">
        <v>-29594722</v>
      </c>
      <c r="L1477">
        <v>11879971</v>
      </c>
      <c r="M1477">
        <v>4130568</v>
      </c>
      <c r="N1477">
        <v>11512597</v>
      </c>
      <c r="O1477">
        <v>-37843545</v>
      </c>
      <c r="P1477">
        <v>175</v>
      </c>
      <c r="Q1477" t="s">
        <v>3001</v>
      </c>
    </row>
    <row r="1478" spans="1:17" x14ac:dyDescent="0.3">
      <c r="A1478" t="s">
        <v>32</v>
      </c>
      <c r="B1478" t="str">
        <f>"000835"</f>
        <v>000835</v>
      </c>
      <c r="C1478" t="s">
        <v>3002</v>
      </c>
      <c r="D1478" t="s">
        <v>245</v>
      </c>
      <c r="E1478">
        <v>-1595567</v>
      </c>
      <c r="F1478">
        <v>539049</v>
      </c>
      <c r="G1478">
        <v>1232117</v>
      </c>
      <c r="H1478">
        <v>-11187905</v>
      </c>
      <c r="I1478">
        <v>-25791037</v>
      </c>
      <c r="J1478">
        <v>-8518843</v>
      </c>
      <c r="K1478">
        <v>-20892304</v>
      </c>
      <c r="L1478">
        <v>5682815</v>
      </c>
      <c r="M1478">
        <v>-15407570</v>
      </c>
      <c r="N1478">
        <v>-34630674</v>
      </c>
      <c r="O1478">
        <v>39313948</v>
      </c>
      <c r="P1478">
        <v>69</v>
      </c>
      <c r="Q1478" t="s">
        <v>3003</v>
      </c>
    </row>
    <row r="1479" spans="1:17" x14ac:dyDescent="0.3">
      <c r="A1479" t="s">
        <v>32</v>
      </c>
      <c r="B1479" t="str">
        <f>"300026"</f>
        <v>300026</v>
      </c>
      <c r="C1479" t="s">
        <v>3004</v>
      </c>
      <c r="D1479" t="s">
        <v>98</v>
      </c>
      <c r="E1479">
        <v>-1621168</v>
      </c>
      <c r="F1479">
        <v>30187965</v>
      </c>
      <c r="G1479">
        <v>-175890841</v>
      </c>
      <c r="H1479">
        <v>-31843017</v>
      </c>
      <c r="I1479">
        <v>162981960</v>
      </c>
      <c r="J1479">
        <v>-34746407</v>
      </c>
      <c r="K1479">
        <v>-8505661</v>
      </c>
      <c r="L1479">
        <v>51600934</v>
      </c>
      <c r="M1479">
        <v>-18320904</v>
      </c>
      <c r="N1479">
        <v>27820113</v>
      </c>
      <c r="O1479">
        <v>9650671</v>
      </c>
      <c r="P1479">
        <v>418</v>
      </c>
      <c r="Q1479" t="s">
        <v>3005</v>
      </c>
    </row>
    <row r="1480" spans="1:17" x14ac:dyDescent="0.3">
      <c r="A1480" t="s">
        <v>17</v>
      </c>
      <c r="B1480" t="str">
        <f>"600857"</f>
        <v>600857</v>
      </c>
      <c r="C1480" t="s">
        <v>3006</v>
      </c>
      <c r="D1480" t="s">
        <v>218</v>
      </c>
      <c r="E1480">
        <v>-1648118</v>
      </c>
      <c r="F1480">
        <v>-6701205</v>
      </c>
      <c r="G1480">
        <v>-11009787</v>
      </c>
      <c r="H1480">
        <v>-7309910</v>
      </c>
      <c r="I1480">
        <v>-59183964</v>
      </c>
      <c r="J1480">
        <v>-51906964</v>
      </c>
      <c r="K1480">
        <v>-12329467</v>
      </c>
      <c r="L1480">
        <v>-22617597</v>
      </c>
      <c r="M1480">
        <v>-39072691</v>
      </c>
      <c r="N1480">
        <v>-27867592</v>
      </c>
      <c r="O1480">
        <v>-32533547</v>
      </c>
      <c r="P1480">
        <v>74</v>
      </c>
      <c r="Q1480" t="s">
        <v>3007</v>
      </c>
    </row>
    <row r="1481" spans="1:17" x14ac:dyDescent="0.3">
      <c r="A1481" t="s">
        <v>17</v>
      </c>
      <c r="B1481" t="str">
        <f>"603527"</f>
        <v>603527</v>
      </c>
      <c r="C1481" t="s">
        <v>3008</v>
      </c>
      <c r="D1481" t="s">
        <v>121</v>
      </c>
      <c r="E1481">
        <v>-1709114</v>
      </c>
      <c r="F1481">
        <v>-94814063</v>
      </c>
      <c r="G1481">
        <v>-75954394</v>
      </c>
      <c r="H1481">
        <v>-54548978</v>
      </c>
      <c r="I1481">
        <v>-45861683</v>
      </c>
      <c r="J1481">
        <v>-74126904</v>
      </c>
      <c r="P1481">
        <v>54</v>
      </c>
      <c r="Q1481" t="s">
        <v>3009</v>
      </c>
    </row>
    <row r="1482" spans="1:17" x14ac:dyDescent="0.3">
      <c r="A1482" t="s">
        <v>32</v>
      </c>
      <c r="B1482" t="str">
        <f>"000153"</f>
        <v>000153</v>
      </c>
      <c r="C1482" t="s">
        <v>3010</v>
      </c>
      <c r="D1482" t="s">
        <v>98</v>
      </c>
      <c r="E1482">
        <v>-1716458</v>
      </c>
      <c r="F1482">
        <v>8832599</v>
      </c>
      <c r="G1482">
        <v>-28360197</v>
      </c>
      <c r="H1482">
        <v>-3080521</v>
      </c>
      <c r="I1482">
        <v>15677116</v>
      </c>
      <c r="J1482">
        <v>7876885</v>
      </c>
      <c r="K1482">
        <v>-929284</v>
      </c>
      <c r="L1482">
        <v>-18613464</v>
      </c>
      <c r="M1482">
        <v>-23500407</v>
      </c>
      <c r="N1482">
        <v>-7739812</v>
      </c>
      <c r="O1482">
        <v>-7727312</v>
      </c>
      <c r="P1482">
        <v>118</v>
      </c>
      <c r="Q1482" t="s">
        <v>3011</v>
      </c>
    </row>
    <row r="1483" spans="1:17" x14ac:dyDescent="0.3">
      <c r="A1483" t="s">
        <v>17</v>
      </c>
      <c r="B1483" t="str">
        <f>"688279"</f>
        <v>688279</v>
      </c>
      <c r="C1483" t="s">
        <v>3012</v>
      </c>
      <c r="E1483">
        <v>-1722907</v>
      </c>
      <c r="P1483">
        <v>6</v>
      </c>
      <c r="Q1483" t="s">
        <v>3013</v>
      </c>
    </row>
    <row r="1484" spans="1:17" x14ac:dyDescent="0.3">
      <c r="A1484" t="s">
        <v>32</v>
      </c>
      <c r="B1484" t="str">
        <f>"002762"</f>
        <v>002762</v>
      </c>
      <c r="C1484" t="s">
        <v>3014</v>
      </c>
      <c r="D1484" t="s">
        <v>130</v>
      </c>
      <c r="E1484">
        <v>-1725478</v>
      </c>
      <c r="F1484">
        <v>1667220</v>
      </c>
      <c r="G1484">
        <v>-8279092</v>
      </c>
      <c r="H1484">
        <v>11174688</v>
      </c>
      <c r="I1484">
        <v>2426382</v>
      </c>
      <c r="J1484">
        <v>18582716</v>
      </c>
      <c r="K1484">
        <v>-2746443</v>
      </c>
      <c r="L1484">
        <v>23028100</v>
      </c>
      <c r="M1484">
        <v>111204200</v>
      </c>
      <c r="P1484">
        <v>128</v>
      </c>
      <c r="Q1484" t="s">
        <v>3015</v>
      </c>
    </row>
    <row r="1485" spans="1:17" x14ac:dyDescent="0.3">
      <c r="A1485" t="s">
        <v>32</v>
      </c>
      <c r="B1485" t="str">
        <f>"300576"</f>
        <v>300576</v>
      </c>
      <c r="C1485" t="s">
        <v>3016</v>
      </c>
      <c r="D1485" t="s">
        <v>124</v>
      </c>
      <c r="E1485">
        <v>-1769218</v>
      </c>
      <c r="F1485">
        <v>12578044</v>
      </c>
      <c r="G1485">
        <v>-661222</v>
      </c>
      <c r="H1485">
        <v>-3217626</v>
      </c>
      <c r="I1485">
        <v>-12181709</v>
      </c>
      <c r="J1485">
        <v>-1178842</v>
      </c>
      <c r="K1485">
        <v>5702747</v>
      </c>
      <c r="P1485">
        <v>189</v>
      </c>
      <c r="Q1485" t="s">
        <v>3017</v>
      </c>
    </row>
    <row r="1486" spans="1:17" x14ac:dyDescent="0.3">
      <c r="A1486" t="s">
        <v>32</v>
      </c>
      <c r="B1486" t="str">
        <f>"300885"</f>
        <v>300885</v>
      </c>
      <c r="C1486" t="s">
        <v>3018</v>
      </c>
      <c r="D1486" t="s">
        <v>135</v>
      </c>
      <c r="E1486">
        <v>-1782848</v>
      </c>
      <c r="F1486">
        <v>18685756</v>
      </c>
      <c r="G1486">
        <v>17509701</v>
      </c>
      <c r="P1486">
        <v>45</v>
      </c>
      <c r="Q1486" t="s">
        <v>3019</v>
      </c>
    </row>
    <row r="1487" spans="1:17" x14ac:dyDescent="0.3">
      <c r="A1487" t="s">
        <v>17</v>
      </c>
      <c r="B1487" t="str">
        <f>"603697"</f>
        <v>603697</v>
      </c>
      <c r="C1487" t="s">
        <v>3020</v>
      </c>
      <c r="D1487" t="s">
        <v>172</v>
      </c>
      <c r="E1487">
        <v>-1793141</v>
      </c>
      <c r="F1487">
        <v>89885021</v>
      </c>
      <c r="G1487">
        <v>94580298</v>
      </c>
      <c r="H1487">
        <v>64044455</v>
      </c>
      <c r="I1487">
        <v>55069952</v>
      </c>
      <c r="P1487">
        <v>394</v>
      </c>
      <c r="Q1487" t="s">
        <v>3021</v>
      </c>
    </row>
    <row r="1488" spans="1:17" x14ac:dyDescent="0.3">
      <c r="A1488" t="s">
        <v>17</v>
      </c>
      <c r="B1488" t="str">
        <f>"601798"</f>
        <v>601798</v>
      </c>
      <c r="C1488" t="s">
        <v>3022</v>
      </c>
      <c r="D1488" t="s">
        <v>135</v>
      </c>
      <c r="E1488">
        <v>-1842109</v>
      </c>
      <c r="F1488">
        <v>-12910267</v>
      </c>
      <c r="G1488">
        <v>-29721118</v>
      </c>
      <c r="H1488">
        <v>-56419817</v>
      </c>
      <c r="I1488">
        <v>-48005182</v>
      </c>
      <c r="J1488">
        <v>-41571017</v>
      </c>
      <c r="K1488">
        <v>-42571637</v>
      </c>
      <c r="L1488">
        <v>-3621258</v>
      </c>
      <c r="M1488">
        <v>-50468689</v>
      </c>
      <c r="N1488">
        <v>-27183057</v>
      </c>
      <c r="O1488">
        <v>-124825351</v>
      </c>
      <c r="P1488">
        <v>77</v>
      </c>
      <c r="Q1488" t="s">
        <v>3023</v>
      </c>
    </row>
    <row r="1489" spans="1:17" x14ac:dyDescent="0.3">
      <c r="A1489" t="s">
        <v>32</v>
      </c>
      <c r="B1489" t="str">
        <f>"300300"</f>
        <v>300300</v>
      </c>
      <c r="C1489" t="s">
        <v>3024</v>
      </c>
      <c r="D1489" t="s">
        <v>342</v>
      </c>
      <c r="E1489">
        <v>-1951773</v>
      </c>
      <c r="F1489">
        <v>-50902386</v>
      </c>
      <c r="G1489">
        <v>-19162861</v>
      </c>
      <c r="H1489">
        <v>-58950237</v>
      </c>
      <c r="I1489">
        <v>-28994349</v>
      </c>
      <c r="J1489">
        <v>-774796</v>
      </c>
      <c r="K1489">
        <v>-47307947</v>
      </c>
      <c r="L1489">
        <v>-79265539</v>
      </c>
      <c r="M1489">
        <v>-75567214</v>
      </c>
      <c r="N1489">
        <v>-35531497</v>
      </c>
      <c r="O1489">
        <v>-21087987</v>
      </c>
      <c r="P1489">
        <v>121</v>
      </c>
      <c r="Q1489" t="s">
        <v>3025</v>
      </c>
    </row>
    <row r="1490" spans="1:17" x14ac:dyDescent="0.3">
      <c r="A1490" t="s">
        <v>32</v>
      </c>
      <c r="B1490" t="str">
        <f>"300960"</f>
        <v>300960</v>
      </c>
      <c r="C1490" t="s">
        <v>3026</v>
      </c>
      <c r="D1490" t="s">
        <v>135</v>
      </c>
      <c r="E1490">
        <v>-2070695</v>
      </c>
      <c r="F1490">
        <v>-18004781</v>
      </c>
      <c r="G1490">
        <v>6894113</v>
      </c>
      <c r="P1490">
        <v>26</v>
      </c>
      <c r="Q1490" t="s">
        <v>3027</v>
      </c>
    </row>
    <row r="1491" spans="1:17" x14ac:dyDescent="0.3">
      <c r="A1491" t="s">
        <v>32</v>
      </c>
      <c r="B1491" t="str">
        <f>"300717"</f>
        <v>300717</v>
      </c>
      <c r="C1491" t="s">
        <v>3028</v>
      </c>
      <c r="D1491" t="s">
        <v>144</v>
      </c>
      <c r="E1491">
        <v>-2095831</v>
      </c>
      <c r="F1491">
        <v>-13828938</v>
      </c>
      <c r="G1491">
        <v>-28009352</v>
      </c>
      <c r="H1491">
        <v>-24754235</v>
      </c>
      <c r="I1491">
        <v>-17703466</v>
      </c>
      <c r="J1491">
        <v>-16219832</v>
      </c>
      <c r="P1491">
        <v>71</v>
      </c>
      <c r="Q1491" t="s">
        <v>3029</v>
      </c>
    </row>
    <row r="1492" spans="1:17" x14ac:dyDescent="0.3">
      <c r="A1492" t="s">
        <v>32</v>
      </c>
      <c r="B1492" t="str">
        <f>"002661"</f>
        <v>002661</v>
      </c>
      <c r="C1492" t="s">
        <v>3030</v>
      </c>
      <c r="D1492" t="s">
        <v>175</v>
      </c>
      <c r="E1492">
        <v>-2118314</v>
      </c>
      <c r="F1492">
        <v>99625030</v>
      </c>
      <c r="G1492">
        <v>195541018</v>
      </c>
      <c r="H1492">
        <v>209971443</v>
      </c>
      <c r="I1492">
        <v>157278213</v>
      </c>
      <c r="J1492">
        <v>-11024133</v>
      </c>
      <c r="K1492">
        <v>-18916042</v>
      </c>
      <c r="L1492">
        <v>-33610822</v>
      </c>
      <c r="M1492">
        <v>11896397</v>
      </c>
      <c r="N1492">
        <v>-27457751</v>
      </c>
      <c r="O1492">
        <v>-4915113</v>
      </c>
      <c r="P1492">
        <v>511</v>
      </c>
      <c r="Q1492" t="s">
        <v>3031</v>
      </c>
    </row>
    <row r="1493" spans="1:17" x14ac:dyDescent="0.3">
      <c r="A1493" t="s">
        <v>17</v>
      </c>
      <c r="B1493" t="str">
        <f>"600139"</f>
        <v>600139</v>
      </c>
      <c r="C1493" t="s">
        <v>3032</v>
      </c>
      <c r="D1493" t="s">
        <v>26</v>
      </c>
      <c r="E1493">
        <v>-2130601</v>
      </c>
      <c r="F1493">
        <v>-171909631</v>
      </c>
      <c r="G1493">
        <v>19737040</v>
      </c>
      <c r="H1493">
        <v>-345814830</v>
      </c>
      <c r="I1493">
        <v>-5084375</v>
      </c>
      <c r="J1493">
        <v>21034824</v>
      </c>
      <c r="K1493">
        <v>100750928</v>
      </c>
      <c r="L1493">
        <v>-223449372</v>
      </c>
      <c r="M1493">
        <v>-41835066</v>
      </c>
      <c r="N1493">
        <v>44162006</v>
      </c>
      <c r="O1493">
        <v>66186816</v>
      </c>
      <c r="P1493">
        <v>90</v>
      </c>
      <c r="Q1493" t="s">
        <v>3033</v>
      </c>
    </row>
    <row r="1494" spans="1:17" x14ac:dyDescent="0.3">
      <c r="A1494" t="s">
        <v>17</v>
      </c>
      <c r="B1494" t="str">
        <f>"605288"</f>
        <v>605288</v>
      </c>
      <c r="C1494" t="s">
        <v>3034</v>
      </c>
      <c r="D1494" t="s">
        <v>135</v>
      </c>
      <c r="E1494">
        <v>-2153483</v>
      </c>
      <c r="F1494">
        <v>-44837926</v>
      </c>
      <c r="G1494">
        <v>8876399</v>
      </c>
      <c r="H1494">
        <v>13841842</v>
      </c>
      <c r="P1494">
        <v>86</v>
      </c>
      <c r="Q1494" t="s">
        <v>3035</v>
      </c>
    </row>
    <row r="1495" spans="1:17" x14ac:dyDescent="0.3">
      <c r="A1495" t="s">
        <v>17</v>
      </c>
      <c r="B1495" t="str">
        <f>"600698"</f>
        <v>600698</v>
      </c>
      <c r="C1495" t="s">
        <v>3036</v>
      </c>
      <c r="D1495" t="s">
        <v>199</v>
      </c>
      <c r="E1495">
        <v>-2189523</v>
      </c>
      <c r="F1495">
        <v>-39931915</v>
      </c>
      <c r="G1495">
        <v>-2150454</v>
      </c>
      <c r="H1495">
        <v>-26967133</v>
      </c>
      <c r="I1495">
        <v>-13030890</v>
      </c>
      <c r="J1495">
        <v>-7530694</v>
      </c>
      <c r="K1495">
        <v>-39800749</v>
      </c>
      <c r="L1495">
        <v>-33498436</v>
      </c>
      <c r="M1495">
        <v>-17543005</v>
      </c>
      <c r="N1495">
        <v>-55616592</v>
      </c>
      <c r="O1495">
        <v>28178433</v>
      </c>
      <c r="P1495">
        <v>93</v>
      </c>
      <c r="Q1495" t="s">
        <v>3037</v>
      </c>
    </row>
    <row r="1496" spans="1:17" x14ac:dyDescent="0.3">
      <c r="A1496" t="s">
        <v>17</v>
      </c>
      <c r="B1496" t="str">
        <f>"603358"</f>
        <v>603358</v>
      </c>
      <c r="C1496" t="s">
        <v>3038</v>
      </c>
      <c r="D1496" t="s">
        <v>199</v>
      </c>
      <c r="E1496">
        <v>-2196336</v>
      </c>
      <c r="F1496">
        <v>114309336</v>
      </c>
      <c r="G1496">
        <v>54345124</v>
      </c>
      <c r="H1496">
        <v>-74188176</v>
      </c>
      <c r="I1496">
        <v>-44204383</v>
      </c>
      <c r="J1496">
        <v>-189032468</v>
      </c>
      <c r="K1496">
        <v>15112336</v>
      </c>
      <c r="P1496">
        <v>131</v>
      </c>
      <c r="Q1496" t="s">
        <v>3039</v>
      </c>
    </row>
    <row r="1497" spans="1:17" x14ac:dyDescent="0.3">
      <c r="A1497" t="s">
        <v>32</v>
      </c>
      <c r="B1497" t="str">
        <f>"300768"</f>
        <v>300768</v>
      </c>
      <c r="C1497" t="s">
        <v>3040</v>
      </c>
      <c r="D1497" t="s">
        <v>342</v>
      </c>
      <c r="E1497">
        <v>-2201131</v>
      </c>
      <c r="F1497">
        <v>-38820807</v>
      </c>
      <c r="G1497">
        <v>-27010933</v>
      </c>
      <c r="H1497">
        <v>68671689</v>
      </c>
      <c r="I1497">
        <v>-23642504</v>
      </c>
      <c r="P1497">
        <v>240</v>
      </c>
      <c r="Q1497" t="s">
        <v>3041</v>
      </c>
    </row>
    <row r="1498" spans="1:17" x14ac:dyDescent="0.3">
      <c r="A1498" t="s">
        <v>32</v>
      </c>
      <c r="B1498" t="str">
        <f>"300360"</f>
        <v>300360</v>
      </c>
      <c r="C1498" t="s">
        <v>3042</v>
      </c>
      <c r="D1498" t="s">
        <v>464</v>
      </c>
      <c r="E1498">
        <v>-2208735</v>
      </c>
      <c r="F1498">
        <v>-65925360</v>
      </c>
      <c r="G1498">
        <v>-48684493</v>
      </c>
      <c r="H1498">
        <v>-6614828</v>
      </c>
      <c r="I1498">
        <v>15745173</v>
      </c>
      <c r="J1498">
        <v>-37823347</v>
      </c>
      <c r="K1498">
        <v>-26214345</v>
      </c>
      <c r="L1498">
        <v>-73660805</v>
      </c>
      <c r="M1498">
        <v>-4011883</v>
      </c>
      <c r="N1498">
        <v>-64467319</v>
      </c>
      <c r="P1498">
        <v>959</v>
      </c>
      <c r="Q1498" t="s">
        <v>3043</v>
      </c>
    </row>
    <row r="1499" spans="1:17" x14ac:dyDescent="0.3">
      <c r="A1499" t="s">
        <v>17</v>
      </c>
      <c r="B1499" t="str">
        <f>"688517"</f>
        <v>688517</v>
      </c>
      <c r="C1499" t="s">
        <v>3044</v>
      </c>
      <c r="D1499" t="s">
        <v>464</v>
      </c>
      <c r="E1499">
        <v>-2300281</v>
      </c>
      <c r="F1499">
        <v>-40315803</v>
      </c>
      <c r="G1499">
        <v>-16358171</v>
      </c>
      <c r="P1499">
        <v>19</v>
      </c>
      <c r="Q1499" t="s">
        <v>3045</v>
      </c>
    </row>
    <row r="1500" spans="1:17" x14ac:dyDescent="0.3">
      <c r="A1500" t="s">
        <v>17</v>
      </c>
      <c r="B1500" t="str">
        <f>"603095"</f>
        <v>603095</v>
      </c>
      <c r="C1500" t="s">
        <v>3046</v>
      </c>
      <c r="D1500" t="s">
        <v>135</v>
      </c>
      <c r="E1500">
        <v>-2400430</v>
      </c>
      <c r="F1500">
        <v>38955900</v>
      </c>
      <c r="G1500">
        <v>-5333679</v>
      </c>
      <c r="H1500">
        <v>137496784</v>
      </c>
      <c r="P1500">
        <v>64</v>
      </c>
      <c r="Q1500" t="s">
        <v>3047</v>
      </c>
    </row>
    <row r="1501" spans="1:17" x14ac:dyDescent="0.3">
      <c r="A1501" t="s">
        <v>17</v>
      </c>
      <c r="B1501" t="str">
        <f>"603032"</f>
        <v>603032</v>
      </c>
      <c r="C1501" t="s">
        <v>3048</v>
      </c>
      <c r="D1501" t="s">
        <v>46</v>
      </c>
      <c r="E1501">
        <v>-2412482</v>
      </c>
      <c r="F1501">
        <v>-8422772</v>
      </c>
      <c r="G1501">
        <v>-8205922</v>
      </c>
      <c r="H1501">
        <v>62335202</v>
      </c>
      <c r="I1501">
        <v>-8104115</v>
      </c>
      <c r="J1501">
        <v>-248369721</v>
      </c>
      <c r="K1501">
        <v>-71597243</v>
      </c>
      <c r="P1501">
        <v>73</v>
      </c>
      <c r="Q1501" t="s">
        <v>3049</v>
      </c>
    </row>
    <row r="1502" spans="1:17" x14ac:dyDescent="0.3">
      <c r="A1502" t="s">
        <v>32</v>
      </c>
      <c r="B1502" t="str">
        <f>"002991"</f>
        <v>002991</v>
      </c>
      <c r="C1502" t="s">
        <v>3050</v>
      </c>
      <c r="D1502" t="s">
        <v>172</v>
      </c>
      <c r="E1502">
        <v>-2421723</v>
      </c>
      <c r="F1502">
        <v>-14228917</v>
      </c>
      <c r="G1502">
        <v>-9929117</v>
      </c>
      <c r="H1502">
        <v>5723451</v>
      </c>
      <c r="P1502">
        <v>212</v>
      </c>
      <c r="Q1502" t="s">
        <v>3051</v>
      </c>
    </row>
    <row r="1503" spans="1:17" x14ac:dyDescent="0.3">
      <c r="A1503" t="s">
        <v>32</v>
      </c>
      <c r="B1503" t="str">
        <f>"300481"</f>
        <v>300481</v>
      </c>
      <c r="C1503" t="s">
        <v>3052</v>
      </c>
      <c r="D1503" t="s">
        <v>124</v>
      </c>
      <c r="E1503">
        <v>-2590190</v>
      </c>
      <c r="F1503">
        <v>-39563846</v>
      </c>
      <c r="G1503">
        <v>2983255</v>
      </c>
      <c r="H1503">
        <v>13103536</v>
      </c>
      <c r="I1503">
        <v>6026204</v>
      </c>
      <c r="J1503">
        <v>-8976324</v>
      </c>
      <c r="K1503">
        <v>12936430</v>
      </c>
      <c r="L1503">
        <v>-4023593</v>
      </c>
      <c r="M1503">
        <v>-12534079</v>
      </c>
      <c r="P1503">
        <v>354</v>
      </c>
      <c r="Q1503" t="s">
        <v>3053</v>
      </c>
    </row>
    <row r="1504" spans="1:17" x14ac:dyDescent="0.3">
      <c r="A1504" t="s">
        <v>32</v>
      </c>
      <c r="B1504" t="str">
        <f>"002860"</f>
        <v>002860</v>
      </c>
      <c r="C1504" t="s">
        <v>3054</v>
      </c>
      <c r="D1504" t="s">
        <v>127</v>
      </c>
      <c r="E1504">
        <v>-2645329</v>
      </c>
      <c r="F1504">
        <v>-37037787</v>
      </c>
      <c r="G1504">
        <v>36795369</v>
      </c>
      <c r="H1504">
        <v>-6297178</v>
      </c>
      <c r="I1504">
        <v>14927276</v>
      </c>
      <c r="J1504">
        <v>17471682</v>
      </c>
      <c r="K1504">
        <v>8639040</v>
      </c>
      <c r="P1504">
        <v>249</v>
      </c>
      <c r="Q1504" t="s">
        <v>3055</v>
      </c>
    </row>
    <row r="1505" spans="1:17" x14ac:dyDescent="0.3">
      <c r="A1505" t="s">
        <v>32</v>
      </c>
      <c r="B1505" t="str">
        <f>"002529"</f>
        <v>002529</v>
      </c>
      <c r="C1505" t="s">
        <v>3056</v>
      </c>
      <c r="D1505" t="s">
        <v>135</v>
      </c>
      <c r="E1505">
        <v>-2755918</v>
      </c>
      <c r="F1505">
        <v>3887489</v>
      </c>
      <c r="G1505">
        <v>72734352</v>
      </c>
      <c r="H1505">
        <v>-36967239</v>
      </c>
      <c r="I1505">
        <v>-45291344</v>
      </c>
      <c r="J1505">
        <v>-39902853</v>
      </c>
      <c r="K1505">
        <v>-4488889</v>
      </c>
      <c r="L1505">
        <v>-33716482</v>
      </c>
      <c r="M1505">
        <v>-42292292</v>
      </c>
      <c r="N1505">
        <v>-24755056</v>
      </c>
      <c r="O1505">
        <v>-79119424</v>
      </c>
      <c r="P1505">
        <v>68</v>
      </c>
      <c r="Q1505" t="s">
        <v>3057</v>
      </c>
    </row>
    <row r="1506" spans="1:17" x14ac:dyDescent="0.3">
      <c r="A1506" t="s">
        <v>17</v>
      </c>
      <c r="B1506" t="str">
        <f>"688355"</f>
        <v>688355</v>
      </c>
      <c r="C1506" t="s">
        <v>3058</v>
      </c>
      <c r="D1506" t="s">
        <v>135</v>
      </c>
      <c r="E1506">
        <v>-2758004</v>
      </c>
      <c r="F1506">
        <v>-8479866</v>
      </c>
      <c r="G1506">
        <v>12213977</v>
      </c>
      <c r="P1506">
        <v>21</v>
      </c>
      <c r="Q1506" t="s">
        <v>3059</v>
      </c>
    </row>
    <row r="1507" spans="1:17" x14ac:dyDescent="0.3">
      <c r="A1507" t="s">
        <v>32</v>
      </c>
      <c r="B1507" t="str">
        <f>"002207"</f>
        <v>002207</v>
      </c>
      <c r="C1507" t="s">
        <v>3060</v>
      </c>
      <c r="D1507" t="s">
        <v>64</v>
      </c>
      <c r="E1507">
        <v>-2815775</v>
      </c>
      <c r="F1507">
        <v>21815217</v>
      </c>
      <c r="G1507">
        <v>-2974635</v>
      </c>
      <c r="H1507">
        <v>6840730</v>
      </c>
      <c r="I1507">
        <v>-25421164</v>
      </c>
      <c r="J1507">
        <v>-28098819</v>
      </c>
      <c r="K1507">
        <v>-59377589</v>
      </c>
      <c r="L1507">
        <v>50350139</v>
      </c>
      <c r="M1507">
        <v>-78780244</v>
      </c>
      <c r="N1507">
        <v>-6816627</v>
      </c>
      <c r="O1507">
        <v>-39929690</v>
      </c>
      <c r="P1507">
        <v>73</v>
      </c>
      <c r="Q1507" t="s">
        <v>3061</v>
      </c>
    </row>
    <row r="1508" spans="1:17" x14ac:dyDescent="0.3">
      <c r="A1508" t="s">
        <v>32</v>
      </c>
      <c r="B1508" t="str">
        <f>"002160"</f>
        <v>002160</v>
      </c>
      <c r="C1508" t="s">
        <v>3062</v>
      </c>
      <c r="D1508" t="s">
        <v>121</v>
      </c>
      <c r="E1508">
        <v>-2871816</v>
      </c>
      <c r="F1508">
        <v>-1791633</v>
      </c>
      <c r="G1508">
        <v>-5352310</v>
      </c>
      <c r="H1508">
        <v>-6474392</v>
      </c>
      <c r="I1508">
        <v>-57198337</v>
      </c>
      <c r="J1508">
        <v>-180520228</v>
      </c>
      <c r="K1508">
        <v>-128077422</v>
      </c>
      <c r="L1508">
        <v>12047040</v>
      </c>
      <c r="M1508">
        <v>-4970306</v>
      </c>
      <c r="N1508">
        <v>-186264677</v>
      </c>
      <c r="O1508">
        <v>-111497325</v>
      </c>
      <c r="P1508">
        <v>166</v>
      </c>
      <c r="Q1508" t="s">
        <v>3063</v>
      </c>
    </row>
    <row r="1509" spans="1:17" x14ac:dyDescent="0.3">
      <c r="A1509" t="s">
        <v>17</v>
      </c>
      <c r="B1509" t="str">
        <f>"900943"</f>
        <v>900943</v>
      </c>
      <c r="C1509" t="s">
        <v>3064</v>
      </c>
      <c r="E1509">
        <v>-2903289.4709999999</v>
      </c>
      <c r="F1509">
        <v>-3832285.1472</v>
      </c>
      <c r="G1509">
        <v>-2519241.3530999999</v>
      </c>
      <c r="H1509">
        <v>557309.61699999997</v>
      </c>
      <c r="I1509">
        <v>-1107288.6776000001</v>
      </c>
      <c r="J1509">
        <v>-25047.871200000001</v>
      </c>
      <c r="K1509">
        <v>-1394877.598</v>
      </c>
      <c r="L1509">
        <v>454279.99709999998</v>
      </c>
      <c r="M1509">
        <v>-1085862.6216</v>
      </c>
      <c r="N1509">
        <v>975350.23600000003</v>
      </c>
      <c r="O1509">
        <v>-1365681.7468000001</v>
      </c>
      <c r="P1509">
        <v>3</v>
      </c>
      <c r="Q1509" t="s">
        <v>3065</v>
      </c>
    </row>
    <row r="1510" spans="1:17" x14ac:dyDescent="0.3">
      <c r="A1510" t="s">
        <v>32</v>
      </c>
      <c r="B1510" t="str">
        <f>"002699"</f>
        <v>002699</v>
      </c>
      <c r="C1510" t="s">
        <v>3066</v>
      </c>
      <c r="D1510" t="s">
        <v>245</v>
      </c>
      <c r="E1510">
        <v>-2945121</v>
      </c>
      <c r="F1510">
        <v>-30883185</v>
      </c>
      <c r="G1510">
        <v>12486547</v>
      </c>
      <c r="H1510">
        <v>-33813481</v>
      </c>
      <c r="I1510">
        <v>-63740800</v>
      </c>
      <c r="J1510">
        <v>29359034</v>
      </c>
      <c r="K1510">
        <v>-55909868</v>
      </c>
      <c r="L1510">
        <v>-16103724</v>
      </c>
      <c r="M1510">
        <v>-34716211</v>
      </c>
      <c r="N1510">
        <v>-80056730</v>
      </c>
      <c r="O1510">
        <v>-8315926</v>
      </c>
      <c r="P1510">
        <v>157</v>
      </c>
      <c r="Q1510" t="s">
        <v>3067</v>
      </c>
    </row>
    <row r="1511" spans="1:17" x14ac:dyDescent="0.3">
      <c r="A1511" t="s">
        <v>32</v>
      </c>
      <c r="B1511" t="str">
        <f>"300038"</f>
        <v>300038</v>
      </c>
      <c r="C1511" t="s">
        <v>3068</v>
      </c>
      <c r="D1511" t="s">
        <v>245</v>
      </c>
      <c r="E1511">
        <v>-2961632</v>
      </c>
      <c r="F1511">
        <v>-78000834</v>
      </c>
      <c r="G1511">
        <v>-180353835</v>
      </c>
      <c r="H1511">
        <v>2757858</v>
      </c>
      <c r="I1511">
        <v>12158526</v>
      </c>
      <c r="J1511">
        <v>-33157821</v>
      </c>
      <c r="K1511">
        <v>-111943525</v>
      </c>
      <c r="L1511">
        <v>99919691</v>
      </c>
      <c r="M1511">
        <v>-84322843</v>
      </c>
      <c r="N1511">
        <v>-37908901</v>
      </c>
      <c r="O1511">
        <v>-40267961</v>
      </c>
      <c r="P1511">
        <v>263</v>
      </c>
      <c r="Q1511" t="s">
        <v>3069</v>
      </c>
    </row>
    <row r="1512" spans="1:17" x14ac:dyDescent="0.3">
      <c r="A1512" t="s">
        <v>17</v>
      </c>
      <c r="B1512" t="str">
        <f>"603168"</f>
        <v>603168</v>
      </c>
      <c r="C1512" t="s">
        <v>3070</v>
      </c>
      <c r="D1512" t="s">
        <v>98</v>
      </c>
      <c r="E1512">
        <v>-2981477</v>
      </c>
      <c r="F1512">
        <v>11680481</v>
      </c>
      <c r="G1512">
        <v>3590036</v>
      </c>
      <c r="H1512">
        <v>39981432</v>
      </c>
      <c r="I1512">
        <v>68541719</v>
      </c>
      <c r="J1512">
        <v>10033827</v>
      </c>
      <c r="K1512">
        <v>56869535</v>
      </c>
      <c r="L1512">
        <v>-28298979</v>
      </c>
      <c r="M1512">
        <v>31248200</v>
      </c>
      <c r="N1512">
        <v>8402700</v>
      </c>
      <c r="P1512">
        <v>528</v>
      </c>
      <c r="Q1512" t="s">
        <v>3071</v>
      </c>
    </row>
    <row r="1513" spans="1:17" x14ac:dyDescent="0.3">
      <c r="A1513" t="s">
        <v>32</v>
      </c>
      <c r="B1513" t="str">
        <f>"300220"</f>
        <v>300220</v>
      </c>
      <c r="C1513" t="s">
        <v>3072</v>
      </c>
      <c r="D1513" t="s">
        <v>135</v>
      </c>
      <c r="E1513">
        <v>-3027358</v>
      </c>
      <c r="F1513">
        <v>-17373875</v>
      </c>
      <c r="G1513">
        <v>-6803630</v>
      </c>
      <c r="H1513">
        <v>-9627287</v>
      </c>
      <c r="I1513">
        <v>-7547177</v>
      </c>
      <c r="J1513">
        <v>-5349412</v>
      </c>
      <c r="K1513">
        <v>-12054071</v>
      </c>
      <c r="L1513">
        <v>-11903549</v>
      </c>
      <c r="M1513">
        <v>-32991233</v>
      </c>
      <c r="N1513">
        <v>-13699539</v>
      </c>
      <c r="O1513">
        <v>-23634262</v>
      </c>
      <c r="P1513">
        <v>91</v>
      </c>
      <c r="Q1513" t="s">
        <v>3073</v>
      </c>
    </row>
    <row r="1514" spans="1:17" x14ac:dyDescent="0.3">
      <c r="A1514" t="s">
        <v>32</v>
      </c>
      <c r="B1514" t="str">
        <f>"300341"</f>
        <v>300341</v>
      </c>
      <c r="C1514" t="s">
        <v>3074</v>
      </c>
      <c r="D1514" t="s">
        <v>464</v>
      </c>
      <c r="E1514">
        <v>-3034279</v>
      </c>
      <c r="F1514">
        <v>31157657</v>
      </c>
      <c r="G1514">
        <v>-18514141</v>
      </c>
      <c r="H1514">
        <v>7336795</v>
      </c>
      <c r="I1514">
        <v>-2013100</v>
      </c>
      <c r="J1514">
        <v>7513309</v>
      </c>
      <c r="K1514">
        <v>1411635</v>
      </c>
      <c r="L1514">
        <v>6124909</v>
      </c>
      <c r="M1514">
        <v>3961732</v>
      </c>
      <c r="N1514">
        <v>7806390</v>
      </c>
      <c r="O1514">
        <v>-5944768</v>
      </c>
      <c r="P1514">
        <v>142</v>
      </c>
      <c r="Q1514" t="s">
        <v>3075</v>
      </c>
    </row>
    <row r="1515" spans="1:17" x14ac:dyDescent="0.3">
      <c r="A1515" t="s">
        <v>17</v>
      </c>
      <c r="B1515" t="str">
        <f>"600577"</f>
        <v>600577</v>
      </c>
      <c r="C1515" t="s">
        <v>3076</v>
      </c>
      <c r="D1515" t="s">
        <v>464</v>
      </c>
      <c r="E1515">
        <v>-3037571</v>
      </c>
      <c r="F1515">
        <v>-309576520</v>
      </c>
      <c r="G1515">
        <v>-39089542</v>
      </c>
      <c r="H1515">
        <v>17302858</v>
      </c>
      <c r="I1515">
        <v>-28245785</v>
      </c>
      <c r="J1515">
        <v>-114098140</v>
      </c>
      <c r="K1515">
        <v>35317420</v>
      </c>
      <c r="L1515">
        <v>6433734</v>
      </c>
      <c r="M1515">
        <v>86853683</v>
      </c>
      <c r="N1515">
        <v>180664780</v>
      </c>
      <c r="O1515">
        <v>124062858</v>
      </c>
      <c r="P1515">
        <v>248</v>
      </c>
      <c r="Q1515" t="s">
        <v>3077</v>
      </c>
    </row>
    <row r="1516" spans="1:17" x14ac:dyDescent="0.3">
      <c r="A1516" t="s">
        <v>17</v>
      </c>
      <c r="B1516" t="str">
        <f>"688633"</f>
        <v>688633</v>
      </c>
      <c r="C1516" t="s">
        <v>3078</v>
      </c>
      <c r="D1516" t="s">
        <v>135</v>
      </c>
      <c r="E1516">
        <v>-3080946</v>
      </c>
      <c r="F1516">
        <v>-7846487</v>
      </c>
      <c r="G1516">
        <v>34138655</v>
      </c>
      <c r="P1516">
        <v>38</v>
      </c>
      <c r="Q1516" t="s">
        <v>3079</v>
      </c>
    </row>
    <row r="1517" spans="1:17" x14ac:dyDescent="0.3">
      <c r="A1517" t="s">
        <v>17</v>
      </c>
      <c r="B1517" t="str">
        <f>"603600"</f>
        <v>603600</v>
      </c>
      <c r="C1517" t="s">
        <v>3080</v>
      </c>
      <c r="D1517" t="s">
        <v>455</v>
      </c>
      <c r="E1517">
        <v>-3089374</v>
      </c>
      <c r="F1517">
        <v>-108494881</v>
      </c>
      <c r="G1517">
        <v>-15956396</v>
      </c>
      <c r="H1517">
        <v>582811</v>
      </c>
      <c r="I1517">
        <v>-103975176</v>
      </c>
      <c r="J1517">
        <v>-1691273</v>
      </c>
      <c r="K1517">
        <v>-151137</v>
      </c>
      <c r="L1517">
        <v>-15661385</v>
      </c>
      <c r="M1517">
        <v>-36864076</v>
      </c>
      <c r="P1517">
        <v>290</v>
      </c>
      <c r="Q1517" t="s">
        <v>3081</v>
      </c>
    </row>
    <row r="1518" spans="1:17" x14ac:dyDescent="0.3">
      <c r="A1518" t="s">
        <v>17</v>
      </c>
      <c r="B1518" t="str">
        <f>"603023"</f>
        <v>603023</v>
      </c>
      <c r="C1518" t="s">
        <v>3082</v>
      </c>
      <c r="D1518" t="s">
        <v>199</v>
      </c>
      <c r="E1518">
        <v>-3106703</v>
      </c>
      <c r="F1518">
        <v>4158778</v>
      </c>
      <c r="G1518">
        <v>368547</v>
      </c>
      <c r="H1518">
        <v>-8888124</v>
      </c>
      <c r="I1518">
        <v>-11008447</v>
      </c>
      <c r="J1518">
        <v>9999817</v>
      </c>
      <c r="K1518">
        <v>8654880</v>
      </c>
      <c r="L1518">
        <v>15298300</v>
      </c>
      <c r="M1518">
        <v>15458000</v>
      </c>
      <c r="P1518">
        <v>150</v>
      </c>
      <c r="Q1518" t="s">
        <v>3083</v>
      </c>
    </row>
    <row r="1519" spans="1:17" x14ac:dyDescent="0.3">
      <c r="A1519" t="s">
        <v>32</v>
      </c>
      <c r="B1519" t="str">
        <f>"300176"</f>
        <v>300176</v>
      </c>
      <c r="C1519" t="s">
        <v>3084</v>
      </c>
      <c r="D1519" t="s">
        <v>199</v>
      </c>
      <c r="E1519">
        <v>-3114435</v>
      </c>
      <c r="F1519">
        <v>-8712333</v>
      </c>
      <c r="G1519">
        <v>3029494</v>
      </c>
      <c r="H1519">
        <v>-90809793</v>
      </c>
      <c r="I1519">
        <v>76244223</v>
      </c>
      <c r="J1519">
        <v>111433669</v>
      </c>
      <c r="K1519">
        <v>1776206</v>
      </c>
      <c r="L1519">
        <v>26962965</v>
      </c>
      <c r="M1519">
        <v>-93912895</v>
      </c>
      <c r="N1519">
        <v>-43320824</v>
      </c>
      <c r="O1519">
        <v>-7538707</v>
      </c>
      <c r="P1519">
        <v>151</v>
      </c>
      <c r="Q1519" t="s">
        <v>3085</v>
      </c>
    </row>
    <row r="1520" spans="1:17" x14ac:dyDescent="0.3">
      <c r="A1520" t="s">
        <v>17</v>
      </c>
      <c r="B1520" t="str">
        <f>"688309"</f>
        <v>688309</v>
      </c>
      <c r="C1520" t="s">
        <v>3086</v>
      </c>
      <c r="D1520" t="s">
        <v>1334</v>
      </c>
      <c r="E1520">
        <v>-3114912</v>
      </c>
      <c r="F1520">
        <v>-18230219</v>
      </c>
      <c r="G1520">
        <v>-1834517</v>
      </c>
      <c r="H1520">
        <v>-35990652</v>
      </c>
      <c r="P1520">
        <v>30</v>
      </c>
      <c r="Q1520" t="s">
        <v>3087</v>
      </c>
    </row>
    <row r="1521" spans="1:17" x14ac:dyDescent="0.3">
      <c r="A1521" t="s">
        <v>32</v>
      </c>
      <c r="B1521" t="str">
        <f>"300289"</f>
        <v>300289</v>
      </c>
      <c r="C1521" t="s">
        <v>3088</v>
      </c>
      <c r="D1521" t="s">
        <v>98</v>
      </c>
      <c r="E1521">
        <v>-3236382</v>
      </c>
      <c r="F1521">
        <v>5448870</v>
      </c>
      <c r="G1521">
        <v>-12304988</v>
      </c>
      <c r="H1521">
        <v>34955879</v>
      </c>
      <c r="I1521">
        <v>-22943518</v>
      </c>
      <c r="J1521">
        <v>-5663596</v>
      </c>
      <c r="K1521">
        <v>195353</v>
      </c>
      <c r="L1521">
        <v>15556025</v>
      </c>
      <c r="M1521">
        <v>-15326685</v>
      </c>
      <c r="N1521">
        <v>-14863511</v>
      </c>
      <c r="O1521">
        <v>-42515658</v>
      </c>
      <c r="P1521">
        <v>132</v>
      </c>
      <c r="Q1521" t="s">
        <v>3089</v>
      </c>
    </row>
    <row r="1522" spans="1:17" x14ac:dyDescent="0.3">
      <c r="A1522" t="s">
        <v>32</v>
      </c>
      <c r="B1522" t="str">
        <f>"000711"</f>
        <v>000711</v>
      </c>
      <c r="C1522" t="s">
        <v>3090</v>
      </c>
      <c r="D1522" t="s">
        <v>1334</v>
      </c>
      <c r="E1522">
        <v>-3286623</v>
      </c>
      <c r="F1522">
        <v>-35548199</v>
      </c>
      <c r="G1522">
        <v>-93176035</v>
      </c>
      <c r="H1522">
        <v>-277555658</v>
      </c>
      <c r="I1522">
        <v>-365558717</v>
      </c>
      <c r="J1522">
        <v>-288144096</v>
      </c>
      <c r="K1522">
        <v>-31927251</v>
      </c>
      <c r="L1522">
        <v>-9738662</v>
      </c>
      <c r="M1522">
        <v>23500666</v>
      </c>
      <c r="N1522">
        <v>-17571801</v>
      </c>
      <c r="O1522">
        <v>4448577</v>
      </c>
      <c r="P1522">
        <v>109</v>
      </c>
      <c r="Q1522" t="s">
        <v>3091</v>
      </c>
    </row>
    <row r="1523" spans="1:17" x14ac:dyDescent="0.3">
      <c r="A1523" t="s">
        <v>17</v>
      </c>
      <c r="B1523" t="str">
        <f>"600469"</f>
        <v>600469</v>
      </c>
      <c r="C1523" t="s">
        <v>3092</v>
      </c>
      <c r="D1523" t="s">
        <v>199</v>
      </c>
      <c r="E1523">
        <v>-3296052</v>
      </c>
      <c r="F1523">
        <v>53926043</v>
      </c>
      <c r="G1523">
        <v>56565452</v>
      </c>
      <c r="H1523">
        <v>28334229</v>
      </c>
      <c r="I1523">
        <v>-254319135</v>
      </c>
      <c r="J1523">
        <v>-312743656</v>
      </c>
      <c r="K1523">
        <v>-83253504</v>
      </c>
      <c r="L1523">
        <v>49818529</v>
      </c>
      <c r="M1523">
        <v>-92601334</v>
      </c>
      <c r="N1523">
        <v>195409016</v>
      </c>
      <c r="O1523">
        <v>109983768</v>
      </c>
      <c r="P1523">
        <v>99</v>
      </c>
      <c r="Q1523" t="s">
        <v>3093</v>
      </c>
    </row>
    <row r="1524" spans="1:17" x14ac:dyDescent="0.3">
      <c r="A1524" t="s">
        <v>32</v>
      </c>
      <c r="B1524" t="str">
        <f>"300736"</f>
        <v>300736</v>
      </c>
      <c r="C1524" t="s">
        <v>3094</v>
      </c>
      <c r="D1524" t="s">
        <v>124</v>
      </c>
      <c r="E1524">
        <v>-3342404</v>
      </c>
      <c r="F1524">
        <v>4721861</v>
      </c>
      <c r="G1524">
        <v>-15716915</v>
      </c>
      <c r="H1524">
        <v>-35451865</v>
      </c>
      <c r="I1524">
        <v>23007949</v>
      </c>
      <c r="J1524">
        <v>28376692</v>
      </c>
      <c r="P1524">
        <v>114</v>
      </c>
      <c r="Q1524" t="s">
        <v>3095</v>
      </c>
    </row>
    <row r="1525" spans="1:17" x14ac:dyDescent="0.3">
      <c r="A1525" t="s">
        <v>32</v>
      </c>
      <c r="B1525" t="str">
        <f>"300089"</f>
        <v>300089</v>
      </c>
      <c r="C1525" t="s">
        <v>3096</v>
      </c>
      <c r="D1525" t="s">
        <v>497</v>
      </c>
      <c r="E1525">
        <v>-3351667</v>
      </c>
      <c r="F1525">
        <v>-12349564</v>
      </c>
      <c r="G1525">
        <v>-17007906</v>
      </c>
      <c r="H1525">
        <v>-16242768</v>
      </c>
      <c r="I1525">
        <v>-22057834</v>
      </c>
      <c r="J1525">
        <v>-64926863</v>
      </c>
      <c r="K1525">
        <v>-10139366</v>
      </c>
      <c r="L1525">
        <v>-15915668</v>
      </c>
      <c r="M1525">
        <v>-178610888</v>
      </c>
      <c r="N1525">
        <v>7288311</v>
      </c>
      <c r="O1525">
        <v>20960570</v>
      </c>
      <c r="P1525">
        <v>101</v>
      </c>
      <c r="Q1525" t="s">
        <v>3097</v>
      </c>
    </row>
    <row r="1526" spans="1:17" x14ac:dyDescent="0.3">
      <c r="A1526" t="s">
        <v>17</v>
      </c>
      <c r="B1526" t="str">
        <f>"600838"</f>
        <v>600838</v>
      </c>
      <c r="C1526" t="s">
        <v>3098</v>
      </c>
      <c r="D1526" t="s">
        <v>218</v>
      </c>
      <c r="E1526">
        <v>-3488255</v>
      </c>
      <c r="F1526">
        <v>-7671613</v>
      </c>
      <c r="G1526">
        <v>-3239506</v>
      </c>
      <c r="H1526">
        <v>-6101928</v>
      </c>
      <c r="I1526">
        <v>-8464623</v>
      </c>
      <c r="J1526">
        <v>-8518503</v>
      </c>
      <c r="K1526">
        <v>-8811912</v>
      </c>
      <c r="L1526">
        <v>-12709622</v>
      </c>
      <c r="M1526">
        <v>-33838575</v>
      </c>
      <c r="N1526">
        <v>-12849792</v>
      </c>
      <c r="O1526">
        <v>-39427012</v>
      </c>
      <c r="P1526">
        <v>79</v>
      </c>
      <c r="Q1526" t="s">
        <v>3099</v>
      </c>
    </row>
    <row r="1527" spans="1:17" x14ac:dyDescent="0.3">
      <c r="A1527" t="s">
        <v>17</v>
      </c>
      <c r="B1527" t="str">
        <f>"688313"</f>
        <v>688313</v>
      </c>
      <c r="C1527" t="s">
        <v>3100</v>
      </c>
      <c r="D1527" t="s">
        <v>57</v>
      </c>
      <c r="E1527">
        <v>-3507287</v>
      </c>
      <c r="F1527">
        <v>-22447340</v>
      </c>
      <c r="G1527">
        <v>-4630704</v>
      </c>
      <c r="H1527">
        <v>-20956085</v>
      </c>
      <c r="P1527">
        <v>50</v>
      </c>
      <c r="Q1527" t="s">
        <v>3101</v>
      </c>
    </row>
    <row r="1528" spans="1:17" x14ac:dyDescent="0.3">
      <c r="A1528" t="s">
        <v>32</v>
      </c>
      <c r="B1528" t="str">
        <f>"002348"</f>
        <v>002348</v>
      </c>
      <c r="C1528" t="s">
        <v>3102</v>
      </c>
      <c r="D1528" t="s">
        <v>455</v>
      </c>
      <c r="E1528">
        <v>-3512496</v>
      </c>
      <c r="F1528">
        <v>11814948</v>
      </c>
      <c r="G1528">
        <v>-29171770</v>
      </c>
      <c r="H1528">
        <v>-36409328</v>
      </c>
      <c r="I1528">
        <v>-65726874</v>
      </c>
      <c r="J1528">
        <v>-36781115</v>
      </c>
      <c r="K1528">
        <v>-36069331</v>
      </c>
      <c r="L1528">
        <v>-30940284</v>
      </c>
      <c r="M1528">
        <v>-30874869</v>
      </c>
      <c r="N1528">
        <v>-25097530</v>
      </c>
      <c r="O1528">
        <v>-5153602</v>
      </c>
      <c r="P1528">
        <v>112</v>
      </c>
      <c r="Q1528" t="s">
        <v>3103</v>
      </c>
    </row>
    <row r="1529" spans="1:17" x14ac:dyDescent="0.3">
      <c r="A1529" t="s">
        <v>32</v>
      </c>
      <c r="B1529" t="str">
        <f>"300488"</f>
        <v>300488</v>
      </c>
      <c r="C1529" t="s">
        <v>3104</v>
      </c>
      <c r="D1529" t="s">
        <v>135</v>
      </c>
      <c r="E1529">
        <v>-3539975</v>
      </c>
      <c r="F1529">
        <v>23283434</v>
      </c>
      <c r="G1529">
        <v>-25366180</v>
      </c>
      <c r="H1529">
        <v>4224860</v>
      </c>
      <c r="I1529">
        <v>-11631202</v>
      </c>
      <c r="J1529">
        <v>-5664505</v>
      </c>
      <c r="K1529">
        <v>-15945854</v>
      </c>
      <c r="L1529">
        <v>21756000</v>
      </c>
      <c r="M1529">
        <v>20820500</v>
      </c>
      <c r="P1529">
        <v>120</v>
      </c>
      <c r="Q1529" t="s">
        <v>3105</v>
      </c>
    </row>
    <row r="1530" spans="1:17" x14ac:dyDescent="0.3">
      <c r="A1530" t="s">
        <v>17</v>
      </c>
      <c r="B1530" t="str">
        <f>"688270"</f>
        <v>688270</v>
      </c>
      <c r="C1530" t="s">
        <v>3106</v>
      </c>
      <c r="E1530">
        <v>-3589752</v>
      </c>
      <c r="P1530">
        <v>12</v>
      </c>
      <c r="Q1530" t="s">
        <v>3107</v>
      </c>
    </row>
    <row r="1531" spans="1:17" x14ac:dyDescent="0.3">
      <c r="A1531" t="s">
        <v>32</v>
      </c>
      <c r="B1531" t="str">
        <f>"300334"</f>
        <v>300334</v>
      </c>
      <c r="C1531" t="s">
        <v>3108</v>
      </c>
      <c r="D1531" t="s">
        <v>1334</v>
      </c>
      <c r="E1531">
        <v>-3666217</v>
      </c>
      <c r="F1531">
        <v>-7353191</v>
      </c>
      <c r="G1531">
        <v>51037890</v>
      </c>
      <c r="H1531">
        <v>-58552455</v>
      </c>
      <c r="I1531">
        <v>-52455013</v>
      </c>
      <c r="J1531">
        <v>-80716635</v>
      </c>
      <c r="K1531">
        <v>-96379741</v>
      </c>
      <c r="L1531">
        <v>-81708280</v>
      </c>
      <c r="M1531">
        <v>-121051582</v>
      </c>
      <c r="N1531">
        <v>-34493615</v>
      </c>
      <c r="O1531">
        <v>-46009403</v>
      </c>
      <c r="P1531">
        <v>80</v>
      </c>
      <c r="Q1531" t="s">
        <v>3109</v>
      </c>
    </row>
    <row r="1532" spans="1:17" x14ac:dyDescent="0.3">
      <c r="A1532" t="s">
        <v>32</v>
      </c>
      <c r="B1532" t="str">
        <f>"000504"</f>
        <v>000504</v>
      </c>
      <c r="C1532" t="s">
        <v>3110</v>
      </c>
      <c r="D1532" t="s">
        <v>98</v>
      </c>
      <c r="E1532">
        <v>-3737434</v>
      </c>
      <c r="F1532">
        <v>2259320</v>
      </c>
      <c r="G1532">
        <v>-2357735</v>
      </c>
      <c r="H1532">
        <v>-9017220</v>
      </c>
      <c r="I1532">
        <v>-14504604</v>
      </c>
      <c r="J1532">
        <v>-4105894</v>
      </c>
      <c r="K1532">
        <v>-5023468</v>
      </c>
      <c r="L1532">
        <v>-5110765</v>
      </c>
      <c r="M1532">
        <v>-10569560</v>
      </c>
      <c r="N1532">
        <v>-1818541</v>
      </c>
      <c r="O1532">
        <v>-3312424</v>
      </c>
      <c r="P1532">
        <v>85</v>
      </c>
      <c r="Q1532" t="s">
        <v>3111</v>
      </c>
    </row>
    <row r="1533" spans="1:17" x14ac:dyDescent="0.3">
      <c r="A1533" t="s">
        <v>17</v>
      </c>
      <c r="B1533" t="str">
        <f>"603022"</f>
        <v>603022</v>
      </c>
      <c r="C1533" t="s">
        <v>3112</v>
      </c>
      <c r="D1533" t="s">
        <v>455</v>
      </c>
      <c r="E1533">
        <v>-3792797</v>
      </c>
      <c r="F1533">
        <v>11456891</v>
      </c>
      <c r="G1533">
        <v>-1646555</v>
      </c>
      <c r="H1533">
        <v>-9821313</v>
      </c>
      <c r="I1533">
        <v>-2096132</v>
      </c>
      <c r="J1533">
        <v>-57692669</v>
      </c>
      <c r="K1533">
        <v>-15669037</v>
      </c>
      <c r="L1533">
        <v>-23952386</v>
      </c>
      <c r="M1533">
        <v>-10185857</v>
      </c>
      <c r="P1533">
        <v>51</v>
      </c>
      <c r="Q1533" t="s">
        <v>3113</v>
      </c>
    </row>
    <row r="1534" spans="1:17" x14ac:dyDescent="0.3">
      <c r="A1534" t="s">
        <v>17</v>
      </c>
      <c r="B1534" t="str">
        <f>"603116"</f>
        <v>603116</v>
      </c>
      <c r="C1534" t="s">
        <v>3114</v>
      </c>
      <c r="D1534" t="s">
        <v>130</v>
      </c>
      <c r="E1534">
        <v>-3830625</v>
      </c>
      <c r="F1534">
        <v>-140217693</v>
      </c>
      <c r="G1534">
        <v>-91654949</v>
      </c>
      <c r="H1534">
        <v>-11049886</v>
      </c>
      <c r="I1534">
        <v>-18424588</v>
      </c>
      <c r="J1534">
        <v>-174856974</v>
      </c>
      <c r="K1534">
        <v>-122364094</v>
      </c>
      <c r="L1534">
        <v>-40709197</v>
      </c>
      <c r="M1534">
        <v>105804535</v>
      </c>
      <c r="P1534">
        <v>102</v>
      </c>
      <c r="Q1534" t="s">
        <v>3115</v>
      </c>
    </row>
    <row r="1535" spans="1:17" x14ac:dyDescent="0.3">
      <c r="A1535" t="s">
        <v>32</v>
      </c>
      <c r="B1535" t="str">
        <f>"300915"</f>
        <v>300915</v>
      </c>
      <c r="C1535" t="s">
        <v>3116</v>
      </c>
      <c r="D1535" t="s">
        <v>172</v>
      </c>
      <c r="E1535">
        <v>-3877526</v>
      </c>
      <c r="F1535">
        <v>-48181062</v>
      </c>
      <c r="G1535">
        <v>-92197580</v>
      </c>
      <c r="P1535">
        <v>102</v>
      </c>
      <c r="Q1535" t="s">
        <v>3117</v>
      </c>
    </row>
    <row r="1536" spans="1:17" x14ac:dyDescent="0.3">
      <c r="A1536" t="s">
        <v>32</v>
      </c>
      <c r="B1536" t="str">
        <f>"003022"</f>
        <v>003022</v>
      </c>
      <c r="C1536" t="s">
        <v>3118</v>
      </c>
      <c r="D1536" t="s">
        <v>464</v>
      </c>
      <c r="E1536">
        <v>-3953324</v>
      </c>
      <c r="F1536">
        <v>220216531</v>
      </c>
      <c r="G1536">
        <v>-11667428</v>
      </c>
      <c r="P1536">
        <v>205</v>
      </c>
      <c r="Q1536" t="s">
        <v>3119</v>
      </c>
    </row>
    <row r="1537" spans="1:17" x14ac:dyDescent="0.3">
      <c r="A1537" t="s">
        <v>17</v>
      </c>
      <c r="B1537" t="str">
        <f>"600697"</f>
        <v>600697</v>
      </c>
      <c r="C1537" t="s">
        <v>3120</v>
      </c>
      <c r="D1537" t="s">
        <v>218</v>
      </c>
      <c r="E1537">
        <v>-4014403</v>
      </c>
      <c r="F1537">
        <v>-166857428</v>
      </c>
      <c r="G1537">
        <v>-314905951</v>
      </c>
      <c r="H1537">
        <v>-449874986</v>
      </c>
      <c r="I1537">
        <v>-153892514</v>
      </c>
      <c r="J1537">
        <v>-556302626</v>
      </c>
      <c r="K1537">
        <v>-1035507095</v>
      </c>
      <c r="L1537">
        <v>-785967500</v>
      </c>
      <c r="M1537">
        <v>-635858094</v>
      </c>
      <c r="N1537">
        <v>-232425238</v>
      </c>
      <c r="O1537">
        <v>-411919814</v>
      </c>
      <c r="P1537">
        <v>275</v>
      </c>
      <c r="Q1537" t="s">
        <v>3121</v>
      </c>
    </row>
    <row r="1538" spans="1:17" x14ac:dyDescent="0.3">
      <c r="A1538" t="s">
        <v>32</v>
      </c>
      <c r="B1538" t="str">
        <f>"000995"</f>
        <v>000995</v>
      </c>
      <c r="C1538" t="s">
        <v>3122</v>
      </c>
      <c r="D1538" t="s">
        <v>172</v>
      </c>
      <c r="E1538">
        <v>-4147170</v>
      </c>
      <c r="F1538">
        <v>1844263</v>
      </c>
      <c r="G1538">
        <v>-17332154</v>
      </c>
      <c r="H1538">
        <v>396845</v>
      </c>
      <c r="I1538">
        <v>-394835</v>
      </c>
      <c r="J1538">
        <v>-2582313</v>
      </c>
      <c r="K1538">
        <v>-49550654</v>
      </c>
      <c r="L1538">
        <v>2038927</v>
      </c>
      <c r="M1538">
        <v>-17937652</v>
      </c>
      <c r="N1538">
        <v>-18285436</v>
      </c>
      <c r="O1538">
        <v>5601918</v>
      </c>
      <c r="P1538">
        <v>175</v>
      </c>
      <c r="Q1538" t="s">
        <v>3123</v>
      </c>
    </row>
    <row r="1539" spans="1:17" x14ac:dyDescent="0.3">
      <c r="A1539" t="s">
        <v>32</v>
      </c>
      <c r="B1539" t="str">
        <f>"301199"</f>
        <v>301199</v>
      </c>
      <c r="C1539" t="s">
        <v>3124</v>
      </c>
      <c r="D1539" t="s">
        <v>135</v>
      </c>
      <c r="E1539">
        <v>-4167457</v>
      </c>
      <c r="P1539">
        <v>10</v>
      </c>
      <c r="Q1539" t="s">
        <v>3125</v>
      </c>
    </row>
    <row r="1540" spans="1:17" x14ac:dyDescent="0.3">
      <c r="A1540" t="s">
        <v>17</v>
      </c>
      <c r="B1540" t="str">
        <f>"688655"</f>
        <v>688655</v>
      </c>
      <c r="C1540" t="s">
        <v>3126</v>
      </c>
      <c r="D1540" t="s">
        <v>124</v>
      </c>
      <c r="E1540">
        <v>-4178271</v>
      </c>
      <c r="F1540">
        <v>-15260124</v>
      </c>
      <c r="G1540">
        <v>17124895</v>
      </c>
      <c r="P1540">
        <v>21</v>
      </c>
      <c r="Q1540" t="s">
        <v>3127</v>
      </c>
    </row>
    <row r="1541" spans="1:17" x14ac:dyDescent="0.3">
      <c r="A1541" t="s">
        <v>32</v>
      </c>
      <c r="B1541" t="str">
        <f>"000586"</f>
        <v>000586</v>
      </c>
      <c r="C1541" t="s">
        <v>3128</v>
      </c>
      <c r="D1541" t="s">
        <v>57</v>
      </c>
      <c r="E1541">
        <v>-4212245</v>
      </c>
      <c r="F1541">
        <v>-16102331</v>
      </c>
      <c r="G1541">
        <v>-34825664</v>
      </c>
      <c r="H1541">
        <v>-22015576</v>
      </c>
      <c r="I1541">
        <v>-12737864</v>
      </c>
      <c r="J1541">
        <v>-54370602</v>
      </c>
      <c r="K1541">
        <v>-38677582</v>
      </c>
      <c r="L1541">
        <v>-36600141</v>
      </c>
      <c r="M1541">
        <v>-49059354</v>
      </c>
      <c r="N1541">
        <v>-31069645</v>
      </c>
      <c r="O1541">
        <v>-18644852</v>
      </c>
      <c r="P1541">
        <v>145</v>
      </c>
      <c r="Q1541" t="s">
        <v>3129</v>
      </c>
    </row>
    <row r="1542" spans="1:17" x14ac:dyDescent="0.3">
      <c r="A1542" t="s">
        <v>17</v>
      </c>
      <c r="B1542" t="str">
        <f>"605507"</f>
        <v>605507</v>
      </c>
      <c r="C1542" t="s">
        <v>3130</v>
      </c>
      <c r="D1542" t="s">
        <v>98</v>
      </c>
      <c r="E1542">
        <v>-4414024</v>
      </c>
      <c r="F1542">
        <v>-129807377</v>
      </c>
      <c r="G1542">
        <v>45541080</v>
      </c>
      <c r="P1542">
        <v>25</v>
      </c>
      <c r="Q1542" t="s">
        <v>3131</v>
      </c>
    </row>
    <row r="1543" spans="1:17" x14ac:dyDescent="0.3">
      <c r="A1543" t="s">
        <v>32</v>
      </c>
      <c r="B1543" t="str">
        <f>"300470"</f>
        <v>300470</v>
      </c>
      <c r="C1543" t="s">
        <v>3132</v>
      </c>
      <c r="D1543" t="s">
        <v>135</v>
      </c>
      <c r="E1543">
        <v>-4648813</v>
      </c>
      <c r="F1543">
        <v>30167274</v>
      </c>
      <c r="G1543">
        <v>51004594</v>
      </c>
      <c r="H1543">
        <v>10992786</v>
      </c>
      <c r="I1543">
        <v>-13820084</v>
      </c>
      <c r="J1543">
        <v>1377521</v>
      </c>
      <c r="K1543">
        <v>-1720742</v>
      </c>
      <c r="L1543">
        <v>2952473</v>
      </c>
      <c r="M1543">
        <v>2314706</v>
      </c>
      <c r="P1543">
        <v>348</v>
      </c>
      <c r="Q1543" t="s">
        <v>3133</v>
      </c>
    </row>
    <row r="1544" spans="1:17" x14ac:dyDescent="0.3">
      <c r="A1544" t="s">
        <v>17</v>
      </c>
      <c r="B1544" t="str">
        <f>"600082"</f>
        <v>600082</v>
      </c>
      <c r="C1544" t="s">
        <v>3134</v>
      </c>
      <c r="D1544" t="s">
        <v>151</v>
      </c>
      <c r="E1544">
        <v>-4670686</v>
      </c>
      <c r="F1544">
        <v>-46028920</v>
      </c>
      <c r="G1544">
        <v>1253732</v>
      </c>
      <c r="H1544">
        <v>26098029</v>
      </c>
      <c r="I1544">
        <v>-28594614</v>
      </c>
      <c r="J1544">
        <v>-5491319</v>
      </c>
      <c r="K1544">
        <v>-127264728</v>
      </c>
      <c r="L1544">
        <v>-112563322</v>
      </c>
      <c r="M1544">
        <v>-104344782</v>
      </c>
      <c r="N1544">
        <v>-66454391</v>
      </c>
      <c r="O1544">
        <v>-323168017</v>
      </c>
      <c r="P1544">
        <v>75</v>
      </c>
      <c r="Q1544" t="s">
        <v>3135</v>
      </c>
    </row>
    <row r="1545" spans="1:17" x14ac:dyDescent="0.3">
      <c r="A1545" t="s">
        <v>17</v>
      </c>
      <c r="B1545" t="str">
        <f>"603838"</f>
        <v>603838</v>
      </c>
      <c r="C1545" t="s">
        <v>3136</v>
      </c>
      <c r="D1545" t="s">
        <v>455</v>
      </c>
      <c r="E1545">
        <v>-4673296</v>
      </c>
      <c r="F1545">
        <v>-13563024</v>
      </c>
      <c r="G1545">
        <v>-228391123</v>
      </c>
      <c r="H1545">
        <v>-37795885</v>
      </c>
      <c r="I1545">
        <v>-7547085</v>
      </c>
      <c r="J1545">
        <v>-18330284</v>
      </c>
      <c r="K1545">
        <v>-16183217</v>
      </c>
      <c r="L1545">
        <v>-10901100</v>
      </c>
      <c r="M1545">
        <v>89195100</v>
      </c>
      <c r="P1545">
        <v>49</v>
      </c>
      <c r="Q1545" t="s">
        <v>3137</v>
      </c>
    </row>
    <row r="1546" spans="1:17" x14ac:dyDescent="0.3">
      <c r="A1546" t="s">
        <v>17</v>
      </c>
      <c r="B1546" t="str">
        <f>"603320"</f>
        <v>603320</v>
      </c>
      <c r="C1546" t="s">
        <v>3138</v>
      </c>
      <c r="D1546" t="s">
        <v>464</v>
      </c>
      <c r="E1546">
        <v>-4706910</v>
      </c>
      <c r="F1546">
        <v>-11721555</v>
      </c>
      <c r="G1546">
        <v>21812186</v>
      </c>
      <c r="H1546">
        <v>8634167</v>
      </c>
      <c r="I1546">
        <v>15345840</v>
      </c>
      <c r="J1546">
        <v>13812467</v>
      </c>
      <c r="P1546">
        <v>94</v>
      </c>
      <c r="Q1546" t="s">
        <v>3139</v>
      </c>
    </row>
    <row r="1547" spans="1:17" x14ac:dyDescent="0.3">
      <c r="A1547" t="s">
        <v>32</v>
      </c>
      <c r="B1547" t="str">
        <f>"300411"</f>
        <v>300411</v>
      </c>
      <c r="C1547" t="s">
        <v>3140</v>
      </c>
      <c r="D1547" t="s">
        <v>135</v>
      </c>
      <c r="E1547">
        <v>-4777202</v>
      </c>
      <c r="F1547">
        <v>-63839397</v>
      </c>
      <c r="G1547">
        <v>63256128</v>
      </c>
      <c r="H1547">
        <v>-13061864</v>
      </c>
      <c r="I1547">
        <v>-98861412</v>
      </c>
      <c r="J1547">
        <v>-20167363</v>
      </c>
      <c r="K1547">
        <v>-20630206</v>
      </c>
      <c r="L1547">
        <v>-64229395</v>
      </c>
      <c r="M1547">
        <v>-36458099</v>
      </c>
      <c r="P1547">
        <v>73</v>
      </c>
      <c r="Q1547" t="s">
        <v>3141</v>
      </c>
    </row>
    <row r="1548" spans="1:17" x14ac:dyDescent="0.3">
      <c r="A1548" t="s">
        <v>32</v>
      </c>
      <c r="B1548" t="str">
        <f>"300994"</f>
        <v>300994</v>
      </c>
      <c r="C1548" t="s">
        <v>3142</v>
      </c>
      <c r="D1548" t="s">
        <v>199</v>
      </c>
      <c r="E1548">
        <v>-4792810</v>
      </c>
      <c r="F1548">
        <v>-160570945</v>
      </c>
      <c r="G1548">
        <v>-57379306</v>
      </c>
      <c r="P1548">
        <v>21</v>
      </c>
      <c r="Q1548" t="s">
        <v>3143</v>
      </c>
    </row>
    <row r="1549" spans="1:17" x14ac:dyDescent="0.3">
      <c r="A1549" t="s">
        <v>32</v>
      </c>
      <c r="B1549" t="str">
        <f>"002989"</f>
        <v>002989</v>
      </c>
      <c r="C1549" t="s">
        <v>3144</v>
      </c>
      <c r="D1549" t="s">
        <v>645</v>
      </c>
      <c r="E1549">
        <v>-4835679</v>
      </c>
      <c r="F1549">
        <v>-207368988</v>
      </c>
      <c r="G1549">
        <v>-191121325</v>
      </c>
      <c r="H1549">
        <v>-86640505</v>
      </c>
      <c r="P1549">
        <v>137</v>
      </c>
      <c r="Q1549" t="s">
        <v>3145</v>
      </c>
    </row>
    <row r="1550" spans="1:17" x14ac:dyDescent="0.3">
      <c r="A1550" t="s">
        <v>17</v>
      </c>
      <c r="B1550" t="str">
        <f>"600615"</f>
        <v>600615</v>
      </c>
      <c r="C1550" t="s">
        <v>3146</v>
      </c>
      <c r="D1550" t="s">
        <v>121</v>
      </c>
      <c r="E1550">
        <v>-4885359</v>
      </c>
      <c r="F1550">
        <v>-15929365</v>
      </c>
      <c r="G1550">
        <v>-9438891</v>
      </c>
      <c r="H1550">
        <v>4987859</v>
      </c>
      <c r="I1550">
        <v>3297399</v>
      </c>
      <c r="J1550">
        <v>-96471283</v>
      </c>
      <c r="K1550">
        <v>-13487843</v>
      </c>
      <c r="L1550">
        <v>-8767957</v>
      </c>
      <c r="M1550">
        <v>-971389</v>
      </c>
      <c r="N1550">
        <v>-2974022</v>
      </c>
      <c r="O1550">
        <v>-10389232</v>
      </c>
      <c r="P1550">
        <v>66</v>
      </c>
      <c r="Q1550" t="s">
        <v>3147</v>
      </c>
    </row>
    <row r="1551" spans="1:17" x14ac:dyDescent="0.3">
      <c r="A1551" t="s">
        <v>17</v>
      </c>
      <c r="B1551" t="str">
        <f>"688171"</f>
        <v>688171</v>
      </c>
      <c r="C1551" t="s">
        <v>3148</v>
      </c>
      <c r="E1551">
        <v>-4945299</v>
      </c>
      <c r="G1551">
        <v>-2968013</v>
      </c>
      <c r="P1551">
        <v>12</v>
      </c>
      <c r="Q1551" t="s">
        <v>3149</v>
      </c>
    </row>
    <row r="1552" spans="1:17" x14ac:dyDescent="0.3">
      <c r="A1552" t="s">
        <v>32</v>
      </c>
      <c r="B1552" t="str">
        <f>"300297"</f>
        <v>300297</v>
      </c>
      <c r="C1552" t="s">
        <v>3150</v>
      </c>
      <c r="D1552" t="s">
        <v>342</v>
      </c>
      <c r="E1552">
        <v>-5037535</v>
      </c>
      <c r="F1552">
        <v>8275317</v>
      </c>
      <c r="G1552">
        <v>-32047281</v>
      </c>
      <c r="H1552">
        <v>-803513074</v>
      </c>
      <c r="I1552">
        <v>-1130971482</v>
      </c>
      <c r="J1552">
        <v>-596077846</v>
      </c>
      <c r="K1552">
        <v>-282412930</v>
      </c>
      <c r="L1552">
        <v>-225100007</v>
      </c>
      <c r="M1552">
        <v>-126775903</v>
      </c>
      <c r="N1552">
        <v>-111588188</v>
      </c>
      <c r="O1552">
        <v>-24204353</v>
      </c>
      <c r="P1552">
        <v>342</v>
      </c>
      <c r="Q1552" t="s">
        <v>3151</v>
      </c>
    </row>
    <row r="1553" spans="1:17" x14ac:dyDescent="0.3">
      <c r="A1553" t="s">
        <v>32</v>
      </c>
      <c r="B1553" t="str">
        <f>"000585"</f>
        <v>000585</v>
      </c>
      <c r="C1553" t="s">
        <v>3152</v>
      </c>
      <c r="D1553" t="s">
        <v>464</v>
      </c>
      <c r="E1553">
        <v>-5039833</v>
      </c>
      <c r="F1553">
        <v>-5430408</v>
      </c>
      <c r="G1553">
        <v>-1886869</v>
      </c>
      <c r="H1553">
        <v>-7266964</v>
      </c>
      <c r="I1553">
        <v>-4194230</v>
      </c>
      <c r="J1553">
        <v>34013102</v>
      </c>
      <c r="K1553">
        <v>-20772205</v>
      </c>
      <c r="L1553">
        <v>-24200951</v>
      </c>
      <c r="M1553">
        <v>-32068592</v>
      </c>
      <c r="N1553">
        <v>-23260107</v>
      </c>
      <c r="O1553">
        <v>12606720</v>
      </c>
      <c r="P1553">
        <v>73</v>
      </c>
      <c r="Q1553" t="s">
        <v>3153</v>
      </c>
    </row>
    <row r="1554" spans="1:17" x14ac:dyDescent="0.3">
      <c r="A1554" t="s">
        <v>32</v>
      </c>
      <c r="B1554" t="str">
        <f>"002770"</f>
        <v>002770</v>
      </c>
      <c r="C1554" t="s">
        <v>3154</v>
      </c>
      <c r="D1554" t="s">
        <v>172</v>
      </c>
      <c r="E1554">
        <v>-5054149</v>
      </c>
      <c r="F1554">
        <v>1141882</v>
      </c>
      <c r="G1554">
        <v>617849</v>
      </c>
      <c r="H1554">
        <v>119492111</v>
      </c>
      <c r="I1554">
        <v>91083559</v>
      </c>
      <c r="J1554">
        <v>-56630483</v>
      </c>
      <c r="K1554">
        <v>-55083207</v>
      </c>
      <c r="L1554">
        <v>19253231</v>
      </c>
      <c r="M1554">
        <v>-1239933</v>
      </c>
      <c r="P1554">
        <v>163</v>
      </c>
      <c r="Q1554" t="s">
        <v>3155</v>
      </c>
    </row>
    <row r="1555" spans="1:17" x14ac:dyDescent="0.3">
      <c r="A1555" t="s">
        <v>32</v>
      </c>
      <c r="B1555" t="str">
        <f>"300660"</f>
        <v>300660</v>
      </c>
      <c r="C1555" t="s">
        <v>3156</v>
      </c>
      <c r="D1555" t="s">
        <v>464</v>
      </c>
      <c r="E1555">
        <v>-5056885</v>
      </c>
      <c r="F1555">
        <v>63998847</v>
      </c>
      <c r="G1555">
        <v>174063700</v>
      </c>
      <c r="H1555">
        <v>55283833</v>
      </c>
      <c r="I1555">
        <v>-66897288</v>
      </c>
      <c r="J1555">
        <v>-14369928</v>
      </c>
      <c r="K1555">
        <v>39907054</v>
      </c>
      <c r="P1555">
        <v>108</v>
      </c>
      <c r="Q1555" t="s">
        <v>3157</v>
      </c>
    </row>
    <row r="1556" spans="1:17" x14ac:dyDescent="0.3">
      <c r="A1556" t="s">
        <v>17</v>
      </c>
      <c r="B1556" t="str">
        <f>"600874"</f>
        <v>600874</v>
      </c>
      <c r="C1556" t="s">
        <v>3158</v>
      </c>
      <c r="D1556" t="s">
        <v>1334</v>
      </c>
      <c r="E1556">
        <v>-5074000</v>
      </c>
      <c r="F1556">
        <v>-261964000</v>
      </c>
      <c r="G1556">
        <v>-474369000</v>
      </c>
      <c r="H1556">
        <v>-490595000</v>
      </c>
      <c r="I1556">
        <v>-436624000</v>
      </c>
      <c r="J1556">
        <v>-67158000</v>
      </c>
      <c r="K1556">
        <v>-156407000</v>
      </c>
      <c r="L1556">
        <v>371052000</v>
      </c>
      <c r="M1556">
        <v>-227459000</v>
      </c>
      <c r="N1556">
        <v>-290590000</v>
      </c>
      <c r="O1556">
        <v>-110287000</v>
      </c>
      <c r="P1556">
        <v>201</v>
      </c>
      <c r="Q1556" t="s">
        <v>3159</v>
      </c>
    </row>
    <row r="1557" spans="1:17" x14ac:dyDescent="0.3">
      <c r="A1557" t="s">
        <v>32</v>
      </c>
      <c r="B1557" t="str">
        <f>"002645"</f>
        <v>002645</v>
      </c>
      <c r="C1557" t="s">
        <v>3160</v>
      </c>
      <c r="D1557" t="s">
        <v>1334</v>
      </c>
      <c r="E1557">
        <v>-5077923</v>
      </c>
      <c r="F1557">
        <v>56643149</v>
      </c>
      <c r="G1557">
        <v>-44583769</v>
      </c>
      <c r="H1557">
        <v>-14820015</v>
      </c>
      <c r="I1557">
        <v>-62210324</v>
      </c>
      <c r="J1557">
        <v>29093345</v>
      </c>
      <c r="K1557">
        <v>-41556305</v>
      </c>
      <c r="L1557">
        <v>-13268296</v>
      </c>
      <c r="M1557">
        <v>-43445625</v>
      </c>
      <c r="N1557">
        <v>-3101620</v>
      </c>
      <c r="O1557">
        <v>-54054659</v>
      </c>
      <c r="P1557">
        <v>205</v>
      </c>
      <c r="Q1557" t="s">
        <v>3161</v>
      </c>
    </row>
    <row r="1558" spans="1:17" x14ac:dyDescent="0.3">
      <c r="A1558" t="s">
        <v>17</v>
      </c>
      <c r="B1558" t="str">
        <f>"603109"</f>
        <v>603109</v>
      </c>
      <c r="C1558" t="s">
        <v>3162</v>
      </c>
      <c r="D1558" t="s">
        <v>199</v>
      </c>
      <c r="E1558">
        <v>-5080363</v>
      </c>
      <c r="F1558">
        <v>-162009648</v>
      </c>
      <c r="G1558">
        <v>-11809582</v>
      </c>
      <c r="H1558">
        <v>-63183145</v>
      </c>
      <c r="P1558">
        <v>80</v>
      </c>
      <c r="Q1558" t="s">
        <v>3163</v>
      </c>
    </row>
    <row r="1559" spans="1:17" x14ac:dyDescent="0.3">
      <c r="A1559" t="s">
        <v>17</v>
      </c>
      <c r="B1559" t="str">
        <f>"688613"</f>
        <v>688613</v>
      </c>
      <c r="C1559" t="s">
        <v>3164</v>
      </c>
      <c r="D1559" t="s">
        <v>98</v>
      </c>
      <c r="E1559">
        <v>-5183691</v>
      </c>
      <c r="F1559">
        <v>6132677</v>
      </c>
      <c r="G1559">
        <v>-32724336</v>
      </c>
      <c r="P1559">
        <v>51</v>
      </c>
      <c r="Q1559" t="s">
        <v>3165</v>
      </c>
    </row>
    <row r="1560" spans="1:17" x14ac:dyDescent="0.3">
      <c r="A1560" t="s">
        <v>17</v>
      </c>
      <c r="B1560" t="str">
        <f>"605305"</f>
        <v>605305</v>
      </c>
      <c r="C1560" t="s">
        <v>3166</v>
      </c>
      <c r="D1560" t="s">
        <v>135</v>
      </c>
      <c r="E1560">
        <v>-5188384</v>
      </c>
      <c r="F1560">
        <v>37131137</v>
      </c>
      <c r="G1560">
        <v>10988080</v>
      </c>
      <c r="P1560">
        <v>81</v>
      </c>
      <c r="Q1560" t="s">
        <v>3167</v>
      </c>
    </row>
    <row r="1561" spans="1:17" x14ac:dyDescent="0.3">
      <c r="A1561" t="s">
        <v>17</v>
      </c>
      <c r="B1561" t="str">
        <f>"603703"</f>
        <v>603703</v>
      </c>
      <c r="C1561" t="s">
        <v>3168</v>
      </c>
      <c r="D1561" t="s">
        <v>124</v>
      </c>
      <c r="E1561">
        <v>-5198342</v>
      </c>
      <c r="F1561">
        <v>8098777</v>
      </c>
      <c r="G1561">
        <v>-18775144</v>
      </c>
      <c r="H1561">
        <v>-4501095</v>
      </c>
      <c r="I1561">
        <v>39773670</v>
      </c>
      <c r="J1561">
        <v>48178754</v>
      </c>
      <c r="K1561">
        <v>9768369</v>
      </c>
      <c r="L1561">
        <v>-26748651</v>
      </c>
      <c r="P1561">
        <v>78</v>
      </c>
      <c r="Q1561" t="s">
        <v>3169</v>
      </c>
    </row>
    <row r="1562" spans="1:17" x14ac:dyDescent="0.3">
      <c r="A1562" t="s">
        <v>32</v>
      </c>
      <c r="B1562" t="str">
        <f>"002248"</f>
        <v>002248</v>
      </c>
      <c r="C1562" t="s">
        <v>3170</v>
      </c>
      <c r="D1562" t="s">
        <v>135</v>
      </c>
      <c r="E1562">
        <v>-5215253</v>
      </c>
      <c r="F1562">
        <v>10891498</v>
      </c>
      <c r="G1562">
        <v>-34354344</v>
      </c>
      <c r="H1562">
        <v>-6718896</v>
      </c>
      <c r="I1562">
        <v>-24836726</v>
      </c>
      <c r="J1562">
        <v>-3780264</v>
      </c>
      <c r="K1562">
        <v>-7354778</v>
      </c>
      <c r="L1562">
        <v>-1602210</v>
      </c>
      <c r="M1562">
        <v>-1148692</v>
      </c>
      <c r="N1562">
        <v>7395677</v>
      </c>
      <c r="O1562">
        <v>-78778287</v>
      </c>
      <c r="P1562">
        <v>109</v>
      </c>
      <c r="Q1562" t="s">
        <v>3171</v>
      </c>
    </row>
    <row r="1563" spans="1:17" x14ac:dyDescent="0.3">
      <c r="A1563" t="s">
        <v>32</v>
      </c>
      <c r="B1563" t="str">
        <f>"002306"</f>
        <v>002306</v>
      </c>
      <c r="C1563" t="s">
        <v>3172</v>
      </c>
      <c r="D1563" t="s">
        <v>497</v>
      </c>
      <c r="E1563">
        <v>-5239662</v>
      </c>
      <c r="F1563">
        <v>-22766227</v>
      </c>
      <c r="G1563">
        <v>-9684458</v>
      </c>
      <c r="H1563">
        <v>-9841556</v>
      </c>
      <c r="I1563">
        <v>-21418313</v>
      </c>
      <c r="J1563">
        <v>-10712983</v>
      </c>
      <c r="K1563">
        <v>-2884336</v>
      </c>
      <c r="L1563">
        <v>-11750751</v>
      </c>
      <c r="M1563">
        <v>105224137</v>
      </c>
      <c r="N1563">
        <v>-54644921</v>
      </c>
      <c r="O1563">
        <v>-6833659</v>
      </c>
      <c r="P1563">
        <v>68</v>
      </c>
      <c r="Q1563" t="s">
        <v>3173</v>
      </c>
    </row>
    <row r="1564" spans="1:17" x14ac:dyDescent="0.3">
      <c r="A1564" t="s">
        <v>17</v>
      </c>
      <c r="B1564" t="str">
        <f>"603516"</f>
        <v>603516</v>
      </c>
      <c r="C1564" t="s">
        <v>3174</v>
      </c>
      <c r="D1564" t="s">
        <v>342</v>
      </c>
      <c r="E1564">
        <v>-5267530</v>
      </c>
      <c r="F1564">
        <v>-12823388</v>
      </c>
      <c r="G1564">
        <v>-3531520</v>
      </c>
      <c r="H1564">
        <v>-24263012</v>
      </c>
      <c r="I1564">
        <v>-4115790</v>
      </c>
      <c r="J1564">
        <v>-11023861</v>
      </c>
      <c r="P1564">
        <v>203</v>
      </c>
      <c r="Q1564" t="s">
        <v>3175</v>
      </c>
    </row>
    <row r="1565" spans="1:17" x14ac:dyDescent="0.3">
      <c r="A1565" t="s">
        <v>32</v>
      </c>
      <c r="B1565" t="str">
        <f>"000409"</f>
        <v>000409</v>
      </c>
      <c r="C1565" t="s">
        <v>3176</v>
      </c>
      <c r="D1565" t="s">
        <v>345</v>
      </c>
      <c r="E1565">
        <v>-5325044</v>
      </c>
      <c r="F1565">
        <v>-34421766</v>
      </c>
      <c r="G1565">
        <v>-115876502</v>
      </c>
      <c r="H1565">
        <v>-2516988</v>
      </c>
      <c r="I1565">
        <v>-17272575</v>
      </c>
      <c r="J1565">
        <v>-23421391</v>
      </c>
      <c r="K1565">
        <v>-81094667</v>
      </c>
      <c r="L1565">
        <v>-61022849</v>
      </c>
      <c r="M1565">
        <v>-82810637</v>
      </c>
      <c r="N1565">
        <v>-50813523</v>
      </c>
      <c r="O1565">
        <v>4388245</v>
      </c>
      <c r="P1565">
        <v>75</v>
      </c>
      <c r="Q1565" t="s">
        <v>3177</v>
      </c>
    </row>
    <row r="1566" spans="1:17" x14ac:dyDescent="0.3">
      <c r="A1566" t="s">
        <v>32</v>
      </c>
      <c r="B1566" t="str">
        <f>"002808"</f>
        <v>002808</v>
      </c>
      <c r="C1566" t="s">
        <v>3178</v>
      </c>
      <c r="D1566" t="s">
        <v>124</v>
      </c>
      <c r="E1566">
        <v>-5391533</v>
      </c>
      <c r="F1566">
        <v>-935178</v>
      </c>
      <c r="G1566">
        <v>13880137</v>
      </c>
      <c r="H1566">
        <v>-1612693</v>
      </c>
      <c r="I1566">
        <v>-31206544</v>
      </c>
      <c r="J1566">
        <v>-6752627</v>
      </c>
      <c r="K1566">
        <v>-7765095</v>
      </c>
      <c r="L1566">
        <v>-2730906</v>
      </c>
      <c r="P1566">
        <v>73</v>
      </c>
      <c r="Q1566" t="s">
        <v>3179</v>
      </c>
    </row>
    <row r="1567" spans="1:17" x14ac:dyDescent="0.3">
      <c r="A1567" t="s">
        <v>32</v>
      </c>
      <c r="B1567" t="str">
        <f>"002137"</f>
        <v>002137</v>
      </c>
      <c r="C1567" t="s">
        <v>3180</v>
      </c>
      <c r="D1567" t="s">
        <v>245</v>
      </c>
      <c r="E1567">
        <v>-5398460</v>
      </c>
      <c r="F1567">
        <v>1858178</v>
      </c>
      <c r="G1567">
        <v>36170290</v>
      </c>
      <c r="H1567">
        <v>15420610</v>
      </c>
      <c r="I1567">
        <v>-8921888</v>
      </c>
      <c r="J1567">
        <v>42338434</v>
      </c>
      <c r="K1567">
        <v>-541841</v>
      </c>
      <c r="L1567">
        <v>11146664</v>
      </c>
      <c r="M1567">
        <v>-16552209</v>
      </c>
      <c r="N1567">
        <v>-29607885</v>
      </c>
      <c r="O1567">
        <v>14759157</v>
      </c>
      <c r="P1567">
        <v>148</v>
      </c>
      <c r="Q1567" t="s">
        <v>3181</v>
      </c>
    </row>
    <row r="1568" spans="1:17" x14ac:dyDescent="0.3">
      <c r="A1568" t="s">
        <v>17</v>
      </c>
      <c r="B1568" t="str">
        <f>"600868"</f>
        <v>600868</v>
      </c>
      <c r="C1568" t="s">
        <v>3182</v>
      </c>
      <c r="D1568" t="s">
        <v>158</v>
      </c>
      <c r="E1568">
        <v>-5423399</v>
      </c>
      <c r="F1568">
        <v>3229149</v>
      </c>
      <c r="G1568">
        <v>16699242</v>
      </c>
      <c r="H1568">
        <v>-3628296</v>
      </c>
      <c r="I1568">
        <v>-6245187</v>
      </c>
      <c r="J1568">
        <v>22947151</v>
      </c>
      <c r="K1568">
        <v>38265811</v>
      </c>
      <c r="L1568">
        <v>7046222</v>
      </c>
      <c r="M1568">
        <v>-13365798</v>
      </c>
      <c r="N1568">
        <v>38844507</v>
      </c>
      <c r="O1568">
        <v>31551794</v>
      </c>
      <c r="P1568">
        <v>125</v>
      </c>
      <c r="Q1568" t="s">
        <v>3183</v>
      </c>
    </row>
    <row r="1569" spans="1:17" x14ac:dyDescent="0.3">
      <c r="A1569" t="s">
        <v>17</v>
      </c>
      <c r="B1569" t="str">
        <f>"688588"</f>
        <v>688588</v>
      </c>
      <c r="C1569" t="s">
        <v>3184</v>
      </c>
      <c r="D1569" t="s">
        <v>342</v>
      </c>
      <c r="E1569">
        <v>-5520151</v>
      </c>
      <c r="F1569">
        <v>-9918423</v>
      </c>
      <c r="G1569">
        <v>-14734317</v>
      </c>
      <c r="H1569">
        <v>-6054069</v>
      </c>
      <c r="I1569">
        <v>-35535997</v>
      </c>
      <c r="P1569">
        <v>80</v>
      </c>
      <c r="Q1569" t="s">
        <v>3185</v>
      </c>
    </row>
    <row r="1570" spans="1:17" x14ac:dyDescent="0.3">
      <c r="A1570" t="s">
        <v>17</v>
      </c>
      <c r="B1570" t="str">
        <f>"688112"</f>
        <v>688112</v>
      </c>
      <c r="C1570" t="s">
        <v>3186</v>
      </c>
      <c r="D1570" t="s">
        <v>135</v>
      </c>
      <c r="E1570">
        <v>-5534332</v>
      </c>
      <c r="P1570">
        <v>42</v>
      </c>
      <c r="Q1570" t="s">
        <v>3187</v>
      </c>
    </row>
    <row r="1571" spans="1:17" x14ac:dyDescent="0.3">
      <c r="A1571" t="s">
        <v>32</v>
      </c>
      <c r="B1571" t="str">
        <f>"002520"</f>
        <v>002520</v>
      </c>
      <c r="C1571" t="s">
        <v>3188</v>
      </c>
      <c r="D1571" t="s">
        <v>135</v>
      </c>
      <c r="E1571">
        <v>-5545121</v>
      </c>
      <c r="F1571">
        <v>-48918580</v>
      </c>
      <c r="G1571">
        <v>-129050215</v>
      </c>
      <c r="H1571">
        <v>-311308410</v>
      </c>
      <c r="I1571">
        <v>-77803492</v>
      </c>
      <c r="J1571">
        <v>-39062900</v>
      </c>
      <c r="K1571">
        <v>-85068075</v>
      </c>
      <c r="L1571">
        <v>-19875784</v>
      </c>
      <c r="M1571">
        <v>27400438</v>
      </c>
      <c r="N1571">
        <v>-38539016</v>
      </c>
      <c r="O1571">
        <v>-30042122</v>
      </c>
      <c r="P1571">
        <v>99</v>
      </c>
      <c r="Q1571" t="s">
        <v>3189</v>
      </c>
    </row>
    <row r="1572" spans="1:17" x14ac:dyDescent="0.3">
      <c r="A1572" t="s">
        <v>32</v>
      </c>
      <c r="B1572" t="str">
        <f>"301007"</f>
        <v>301007</v>
      </c>
      <c r="C1572" t="s">
        <v>3190</v>
      </c>
      <c r="D1572" t="s">
        <v>199</v>
      </c>
      <c r="E1572">
        <v>-5571928</v>
      </c>
      <c r="F1572">
        <v>-38087079</v>
      </c>
      <c r="G1572">
        <v>-29090164</v>
      </c>
      <c r="P1572">
        <v>44</v>
      </c>
      <c r="Q1572" t="s">
        <v>3191</v>
      </c>
    </row>
    <row r="1573" spans="1:17" x14ac:dyDescent="0.3">
      <c r="A1573" t="s">
        <v>17</v>
      </c>
      <c r="B1573" t="str">
        <f>"688597"</f>
        <v>688597</v>
      </c>
      <c r="C1573" t="s">
        <v>3192</v>
      </c>
      <c r="D1573" t="s">
        <v>464</v>
      </c>
      <c r="E1573">
        <v>-5572258</v>
      </c>
      <c r="F1573">
        <v>5087539</v>
      </c>
      <c r="G1573">
        <v>-47323080</v>
      </c>
      <c r="P1573">
        <v>17</v>
      </c>
      <c r="Q1573" t="s">
        <v>3193</v>
      </c>
    </row>
    <row r="1574" spans="1:17" x14ac:dyDescent="0.3">
      <c r="A1574" t="s">
        <v>32</v>
      </c>
      <c r="B1574" t="str">
        <f>"002165"</f>
        <v>002165</v>
      </c>
      <c r="C1574" t="s">
        <v>3194</v>
      </c>
      <c r="D1574" t="s">
        <v>144</v>
      </c>
      <c r="E1574">
        <v>-5592807</v>
      </c>
      <c r="F1574">
        <v>-243471957</v>
      </c>
      <c r="G1574">
        <v>-190186193</v>
      </c>
      <c r="H1574">
        <v>-226288270</v>
      </c>
      <c r="I1574">
        <v>-156223461</v>
      </c>
      <c r="J1574">
        <v>-213897701</v>
      </c>
      <c r="K1574">
        <v>40177081</v>
      </c>
      <c r="L1574">
        <v>5439348</v>
      </c>
      <c r="M1574">
        <v>-28363607</v>
      </c>
      <c r="N1574">
        <v>27748991</v>
      </c>
      <c r="O1574">
        <v>44322987</v>
      </c>
      <c r="P1574">
        <v>100</v>
      </c>
      <c r="Q1574" t="s">
        <v>3195</v>
      </c>
    </row>
    <row r="1575" spans="1:17" x14ac:dyDescent="0.3">
      <c r="A1575" t="s">
        <v>17</v>
      </c>
      <c r="B1575" t="str">
        <f>"688080"</f>
        <v>688080</v>
      </c>
      <c r="C1575" t="s">
        <v>3196</v>
      </c>
      <c r="D1575" t="s">
        <v>57</v>
      </c>
      <c r="E1575">
        <v>-5610637</v>
      </c>
      <c r="F1575">
        <v>2887147</v>
      </c>
      <c r="G1575">
        <v>-6719663</v>
      </c>
      <c r="H1575">
        <v>-8439602</v>
      </c>
      <c r="P1575">
        <v>87</v>
      </c>
      <c r="Q1575" t="s">
        <v>3197</v>
      </c>
    </row>
    <row r="1576" spans="1:17" x14ac:dyDescent="0.3">
      <c r="A1576" t="s">
        <v>32</v>
      </c>
      <c r="B1576" t="str">
        <f>"002957"</f>
        <v>002957</v>
      </c>
      <c r="C1576" t="s">
        <v>3198</v>
      </c>
      <c r="D1576" t="s">
        <v>135</v>
      </c>
      <c r="E1576">
        <v>-5612033</v>
      </c>
      <c r="F1576">
        <v>6255814</v>
      </c>
      <c r="G1576">
        <v>267437208</v>
      </c>
      <c r="H1576">
        <v>120821000</v>
      </c>
      <c r="I1576">
        <v>122213000</v>
      </c>
      <c r="P1576">
        <v>182</v>
      </c>
      <c r="Q1576" t="s">
        <v>3199</v>
      </c>
    </row>
    <row r="1577" spans="1:17" x14ac:dyDescent="0.3">
      <c r="A1577" t="s">
        <v>32</v>
      </c>
      <c r="B1577" t="str">
        <f>"301186"</f>
        <v>301186</v>
      </c>
      <c r="C1577" t="s">
        <v>3200</v>
      </c>
      <c r="D1577" t="s">
        <v>199</v>
      </c>
      <c r="E1577">
        <v>-5644066</v>
      </c>
      <c r="P1577">
        <v>10</v>
      </c>
      <c r="Q1577" t="s">
        <v>3201</v>
      </c>
    </row>
    <row r="1578" spans="1:17" x14ac:dyDescent="0.3">
      <c r="A1578" t="s">
        <v>32</v>
      </c>
      <c r="B1578" t="str">
        <f>"002725"</f>
        <v>002725</v>
      </c>
      <c r="C1578" t="s">
        <v>3202</v>
      </c>
      <c r="D1578" t="s">
        <v>199</v>
      </c>
      <c r="E1578">
        <v>-5655597</v>
      </c>
      <c r="F1578">
        <v>-19716251</v>
      </c>
      <c r="G1578">
        <v>-44612438</v>
      </c>
      <c r="H1578">
        <v>2395562</v>
      </c>
      <c r="I1578">
        <v>-67727217</v>
      </c>
      <c r="J1578">
        <v>-24618484</v>
      </c>
      <c r="K1578">
        <v>-25532815</v>
      </c>
      <c r="L1578">
        <v>7026505</v>
      </c>
      <c r="M1578">
        <v>-17148609</v>
      </c>
      <c r="N1578">
        <v>20302508</v>
      </c>
      <c r="P1578">
        <v>135</v>
      </c>
      <c r="Q1578" t="s">
        <v>3203</v>
      </c>
    </row>
    <row r="1579" spans="1:17" x14ac:dyDescent="0.3">
      <c r="A1579" t="s">
        <v>17</v>
      </c>
      <c r="B1579" t="str">
        <f>"600616"</f>
        <v>600616</v>
      </c>
      <c r="C1579" t="s">
        <v>3204</v>
      </c>
      <c r="D1579" t="s">
        <v>172</v>
      </c>
      <c r="E1579">
        <v>-5711330</v>
      </c>
      <c r="F1579">
        <v>-12097854</v>
      </c>
      <c r="G1579">
        <v>-65931659</v>
      </c>
      <c r="H1579">
        <v>-74460105</v>
      </c>
      <c r="I1579">
        <v>-35782122</v>
      </c>
      <c r="J1579">
        <v>20517363</v>
      </c>
      <c r="K1579">
        <v>-70723757</v>
      </c>
      <c r="L1579">
        <v>-1324651</v>
      </c>
      <c r="M1579">
        <v>-65083054</v>
      </c>
      <c r="N1579">
        <v>19203960</v>
      </c>
      <c r="O1579">
        <v>-290299</v>
      </c>
      <c r="P1579">
        <v>180</v>
      </c>
      <c r="Q1579" t="s">
        <v>3205</v>
      </c>
    </row>
    <row r="1580" spans="1:17" x14ac:dyDescent="0.3">
      <c r="A1580" t="s">
        <v>32</v>
      </c>
      <c r="B1580" t="str">
        <f>"300913"</f>
        <v>300913</v>
      </c>
      <c r="C1580" t="s">
        <v>3206</v>
      </c>
      <c r="D1580" t="s">
        <v>57</v>
      </c>
      <c r="E1580">
        <v>-5727938</v>
      </c>
      <c r="F1580">
        <v>-23478238</v>
      </c>
      <c r="G1580">
        <v>27088177</v>
      </c>
      <c r="H1580">
        <v>-3767715</v>
      </c>
      <c r="P1580">
        <v>33</v>
      </c>
      <c r="Q1580" t="s">
        <v>3207</v>
      </c>
    </row>
    <row r="1581" spans="1:17" x14ac:dyDescent="0.3">
      <c r="A1581" t="s">
        <v>17</v>
      </c>
      <c r="B1581" t="str">
        <f>"600306"</f>
        <v>600306</v>
      </c>
      <c r="C1581" t="s">
        <v>3208</v>
      </c>
      <c r="D1581" t="s">
        <v>218</v>
      </c>
      <c r="E1581">
        <v>-5745799</v>
      </c>
      <c r="F1581">
        <v>21706949</v>
      </c>
      <c r="G1581">
        <v>4926947</v>
      </c>
      <c r="H1581">
        <v>-5074505</v>
      </c>
      <c r="I1581">
        <v>882909</v>
      </c>
      <c r="J1581">
        <v>11548484</v>
      </c>
      <c r="K1581">
        <v>11618512</v>
      </c>
      <c r="L1581">
        <v>-80158136</v>
      </c>
      <c r="M1581">
        <v>-27543273</v>
      </c>
      <c r="N1581">
        <v>-27050002</v>
      </c>
      <c r="O1581">
        <v>-71575544</v>
      </c>
      <c r="P1581">
        <v>71</v>
      </c>
      <c r="Q1581" t="s">
        <v>3209</v>
      </c>
    </row>
    <row r="1582" spans="1:17" x14ac:dyDescent="0.3">
      <c r="A1582" t="s">
        <v>17</v>
      </c>
      <c r="B1582" t="str">
        <f>"600671"</f>
        <v>600671</v>
      </c>
      <c r="C1582" t="s">
        <v>3210</v>
      </c>
      <c r="D1582" t="s">
        <v>98</v>
      </c>
      <c r="E1582">
        <v>-5778177</v>
      </c>
      <c r="F1582">
        <v>-2491457</v>
      </c>
      <c r="G1582">
        <v>-6446877</v>
      </c>
      <c r="H1582">
        <v>37818151</v>
      </c>
      <c r="I1582">
        <v>42474159</v>
      </c>
      <c r="J1582">
        <v>-18020205</v>
      </c>
      <c r="K1582">
        <v>-6671022</v>
      </c>
      <c r="L1582">
        <v>-6798340</v>
      </c>
      <c r="M1582">
        <v>-9445472</v>
      </c>
      <c r="N1582">
        <v>-4916056</v>
      </c>
      <c r="O1582">
        <v>-21835929</v>
      </c>
      <c r="P1582">
        <v>104</v>
      </c>
      <c r="Q1582" t="s">
        <v>3211</v>
      </c>
    </row>
    <row r="1583" spans="1:17" x14ac:dyDescent="0.3">
      <c r="A1583" t="s">
        <v>32</v>
      </c>
      <c r="B1583" t="str">
        <f>"300264"</f>
        <v>300264</v>
      </c>
      <c r="C1583" t="s">
        <v>3212</v>
      </c>
      <c r="D1583" t="s">
        <v>342</v>
      </c>
      <c r="E1583">
        <v>-5782257</v>
      </c>
      <c r="F1583">
        <v>-16715998</v>
      </c>
      <c r="G1583">
        <v>-11631024</v>
      </c>
      <c r="H1583">
        <v>-21756706</v>
      </c>
      <c r="I1583">
        <v>-59215191</v>
      </c>
      <c r="J1583">
        <v>-55127621</v>
      </c>
      <c r="K1583">
        <v>-16781670</v>
      </c>
      <c r="L1583">
        <v>-28269653</v>
      </c>
      <c r="M1583">
        <v>-18324917</v>
      </c>
      <c r="N1583">
        <v>-42652198</v>
      </c>
      <c r="O1583">
        <v>-35915431</v>
      </c>
      <c r="P1583">
        <v>132</v>
      </c>
      <c r="Q1583" t="s">
        <v>3213</v>
      </c>
    </row>
    <row r="1584" spans="1:17" x14ac:dyDescent="0.3">
      <c r="A1584" t="s">
        <v>32</v>
      </c>
      <c r="B1584" t="str">
        <f>"300467"</f>
        <v>300467</v>
      </c>
      <c r="C1584" t="s">
        <v>3214</v>
      </c>
      <c r="D1584" t="s">
        <v>245</v>
      </c>
      <c r="E1584">
        <v>-5803805</v>
      </c>
      <c r="F1584">
        <v>51184091</v>
      </c>
      <c r="G1584">
        <v>45450737</v>
      </c>
      <c r="H1584">
        <v>77437225</v>
      </c>
      <c r="I1584">
        <v>65280741</v>
      </c>
      <c r="J1584">
        <v>-14687908</v>
      </c>
      <c r="K1584">
        <v>8092845</v>
      </c>
      <c r="L1584">
        <v>10948324</v>
      </c>
      <c r="M1584">
        <v>16748781</v>
      </c>
      <c r="P1584">
        <v>187</v>
      </c>
      <c r="Q1584" t="s">
        <v>3215</v>
      </c>
    </row>
    <row r="1585" spans="1:17" x14ac:dyDescent="0.3">
      <c r="A1585" t="s">
        <v>32</v>
      </c>
      <c r="B1585" t="str">
        <f>"000976"</f>
        <v>000976</v>
      </c>
      <c r="C1585" t="s">
        <v>3216</v>
      </c>
      <c r="D1585" t="s">
        <v>135</v>
      </c>
      <c r="E1585">
        <v>-5817466</v>
      </c>
      <c r="F1585">
        <v>-238462396</v>
      </c>
      <c r="G1585">
        <v>-169394202</v>
      </c>
      <c r="H1585">
        <v>-109379654</v>
      </c>
      <c r="I1585">
        <v>-171259639</v>
      </c>
      <c r="J1585">
        <v>-140827905</v>
      </c>
      <c r="K1585">
        <v>-371414560</v>
      </c>
      <c r="L1585">
        <v>-52033405</v>
      </c>
      <c r="M1585">
        <v>-31015640</v>
      </c>
      <c r="N1585">
        <v>-74673629</v>
      </c>
      <c r="O1585">
        <v>-102715895</v>
      </c>
      <c r="P1585">
        <v>146</v>
      </c>
      <c r="Q1585" t="s">
        <v>3217</v>
      </c>
    </row>
    <row r="1586" spans="1:17" x14ac:dyDescent="0.3">
      <c r="A1586" t="s">
        <v>32</v>
      </c>
      <c r="B1586" t="str">
        <f>"002524"</f>
        <v>002524</v>
      </c>
      <c r="C1586" t="s">
        <v>3218</v>
      </c>
      <c r="D1586" t="s">
        <v>98</v>
      </c>
      <c r="E1586">
        <v>-5885307</v>
      </c>
      <c r="F1586">
        <v>-24095122</v>
      </c>
      <c r="G1586">
        <v>-8730848</v>
      </c>
      <c r="H1586">
        <v>-75263703</v>
      </c>
      <c r="I1586">
        <v>-3394738</v>
      </c>
      <c r="J1586">
        <v>2847029</v>
      </c>
      <c r="K1586">
        <v>17326736</v>
      </c>
      <c r="L1586">
        <v>-30981248</v>
      </c>
      <c r="M1586">
        <v>-54808846</v>
      </c>
      <c r="N1586">
        <v>-41240523</v>
      </c>
      <c r="O1586">
        <v>-41786603</v>
      </c>
      <c r="P1586">
        <v>180</v>
      </c>
      <c r="Q1586" t="s">
        <v>3219</v>
      </c>
    </row>
    <row r="1587" spans="1:17" x14ac:dyDescent="0.3">
      <c r="A1587" t="s">
        <v>32</v>
      </c>
      <c r="B1587" t="str">
        <f>"301168"</f>
        <v>301168</v>
      </c>
      <c r="C1587" t="s">
        <v>3220</v>
      </c>
      <c r="D1587" t="s">
        <v>464</v>
      </c>
      <c r="E1587">
        <v>-5905131</v>
      </c>
      <c r="P1587">
        <v>14</v>
      </c>
      <c r="Q1587" t="s">
        <v>3221</v>
      </c>
    </row>
    <row r="1588" spans="1:17" x14ac:dyDescent="0.3">
      <c r="A1588" t="s">
        <v>32</v>
      </c>
      <c r="B1588" t="str">
        <f>"000788"</f>
        <v>000788</v>
      </c>
      <c r="C1588" t="s">
        <v>3222</v>
      </c>
      <c r="D1588" t="s">
        <v>98</v>
      </c>
      <c r="E1588">
        <v>-5937357</v>
      </c>
      <c r="F1588">
        <v>-19832387</v>
      </c>
      <c r="G1588">
        <v>-38135049</v>
      </c>
      <c r="H1588">
        <v>112352676</v>
      </c>
      <c r="I1588">
        <v>-99889802</v>
      </c>
      <c r="J1588">
        <v>-63880288</v>
      </c>
      <c r="K1588">
        <v>-160165182</v>
      </c>
      <c r="L1588">
        <v>80010564</v>
      </c>
      <c r="M1588">
        <v>-58868968</v>
      </c>
      <c r="N1588">
        <v>-69123467</v>
      </c>
      <c r="O1588">
        <v>-126711145</v>
      </c>
      <c r="P1588">
        <v>137</v>
      </c>
      <c r="Q1588" t="s">
        <v>3223</v>
      </c>
    </row>
    <row r="1589" spans="1:17" x14ac:dyDescent="0.3">
      <c r="A1589" t="s">
        <v>17</v>
      </c>
      <c r="B1589" t="str">
        <f>"600331"</f>
        <v>600331</v>
      </c>
      <c r="C1589" t="s">
        <v>3224</v>
      </c>
      <c r="D1589" t="s">
        <v>121</v>
      </c>
      <c r="E1589">
        <v>-6009177</v>
      </c>
      <c r="F1589">
        <v>-28365432</v>
      </c>
      <c r="G1589">
        <v>20468309</v>
      </c>
      <c r="H1589">
        <v>32183588</v>
      </c>
      <c r="I1589">
        <v>207866689</v>
      </c>
      <c r="J1589">
        <v>-295958357</v>
      </c>
      <c r="K1589">
        <v>74475445</v>
      </c>
      <c r="L1589">
        <v>-12156024</v>
      </c>
      <c r="M1589">
        <v>-17869550</v>
      </c>
      <c r="N1589">
        <v>-229417773</v>
      </c>
      <c r="O1589">
        <v>285964404</v>
      </c>
      <c r="P1589">
        <v>117</v>
      </c>
      <c r="Q1589" t="s">
        <v>3225</v>
      </c>
    </row>
    <row r="1590" spans="1:17" x14ac:dyDescent="0.3">
      <c r="A1590" t="s">
        <v>32</v>
      </c>
      <c r="B1590" t="str">
        <f>"300281"</f>
        <v>300281</v>
      </c>
      <c r="C1590" t="s">
        <v>3226</v>
      </c>
      <c r="D1590" t="s">
        <v>135</v>
      </c>
      <c r="E1590">
        <v>-6145700</v>
      </c>
      <c r="F1590">
        <v>4288919</v>
      </c>
      <c r="G1590">
        <v>-4979100</v>
      </c>
      <c r="H1590">
        <v>-25546882</v>
      </c>
      <c r="I1590">
        <v>21820566</v>
      </c>
      <c r="J1590">
        <v>-13423020</v>
      </c>
      <c r="K1590">
        <v>-39682353</v>
      </c>
      <c r="L1590">
        <v>-35385437</v>
      </c>
      <c r="M1590">
        <v>-48810355</v>
      </c>
      <c r="N1590">
        <v>-61182547</v>
      </c>
      <c r="O1590">
        <v>-56029309</v>
      </c>
      <c r="P1590">
        <v>48</v>
      </c>
      <c r="Q1590" t="s">
        <v>3227</v>
      </c>
    </row>
    <row r="1591" spans="1:17" x14ac:dyDescent="0.3">
      <c r="A1591" t="s">
        <v>17</v>
      </c>
      <c r="B1591" t="str">
        <f>"603196"</f>
        <v>603196</v>
      </c>
      <c r="C1591" t="s">
        <v>3228</v>
      </c>
      <c r="D1591" t="s">
        <v>130</v>
      </c>
      <c r="E1591">
        <v>-6164704</v>
      </c>
      <c r="F1591">
        <v>14035566</v>
      </c>
      <c r="G1591">
        <v>-8746629</v>
      </c>
      <c r="H1591">
        <v>-8949270</v>
      </c>
      <c r="I1591">
        <v>18488852</v>
      </c>
      <c r="J1591">
        <v>52835085</v>
      </c>
      <c r="K1591">
        <v>49543200</v>
      </c>
      <c r="P1591">
        <v>70</v>
      </c>
      <c r="Q1591" t="s">
        <v>3229</v>
      </c>
    </row>
    <row r="1592" spans="1:17" x14ac:dyDescent="0.3">
      <c r="A1592" t="s">
        <v>32</v>
      </c>
      <c r="B1592" t="str">
        <f>"300614"</f>
        <v>300614</v>
      </c>
      <c r="C1592" t="s">
        <v>3230</v>
      </c>
      <c r="D1592" t="s">
        <v>1334</v>
      </c>
      <c r="E1592">
        <v>-6239912</v>
      </c>
      <c r="F1592">
        <v>-3657294</v>
      </c>
      <c r="G1592">
        <v>10076618</v>
      </c>
      <c r="P1592">
        <v>41</v>
      </c>
      <c r="Q1592" t="s">
        <v>3231</v>
      </c>
    </row>
    <row r="1593" spans="1:17" x14ac:dyDescent="0.3">
      <c r="A1593" t="s">
        <v>17</v>
      </c>
      <c r="B1593" t="str">
        <f>"605300"</f>
        <v>605300</v>
      </c>
      <c r="C1593" t="s">
        <v>3232</v>
      </c>
      <c r="D1593" t="s">
        <v>172</v>
      </c>
      <c r="E1593">
        <v>-6317160</v>
      </c>
      <c r="F1593">
        <v>-60501469</v>
      </c>
      <c r="G1593">
        <v>-192847915</v>
      </c>
      <c r="P1593">
        <v>56</v>
      </c>
      <c r="Q1593" t="s">
        <v>3233</v>
      </c>
    </row>
    <row r="1594" spans="1:17" x14ac:dyDescent="0.3">
      <c r="A1594" t="s">
        <v>32</v>
      </c>
      <c r="B1594" t="str">
        <f>"300787"</f>
        <v>300787</v>
      </c>
      <c r="C1594" t="s">
        <v>3234</v>
      </c>
      <c r="D1594" t="s">
        <v>124</v>
      </c>
      <c r="E1594">
        <v>-6377083</v>
      </c>
      <c r="F1594">
        <v>-192812346</v>
      </c>
      <c r="G1594">
        <v>-149338336</v>
      </c>
      <c r="H1594">
        <v>-69988768</v>
      </c>
      <c r="I1594">
        <v>-49658192</v>
      </c>
      <c r="P1594">
        <v>87</v>
      </c>
      <c r="Q1594" t="s">
        <v>3235</v>
      </c>
    </row>
    <row r="1595" spans="1:17" x14ac:dyDescent="0.3">
      <c r="A1595" t="s">
        <v>32</v>
      </c>
      <c r="B1595" t="str">
        <f>"300464"</f>
        <v>300464</v>
      </c>
      <c r="C1595" t="s">
        <v>3236</v>
      </c>
      <c r="D1595" t="s">
        <v>218</v>
      </c>
      <c r="E1595">
        <v>-6468739</v>
      </c>
      <c r="F1595">
        <v>175976887</v>
      </c>
      <c r="G1595">
        <v>-107802584</v>
      </c>
      <c r="H1595">
        <v>-53312670</v>
      </c>
      <c r="I1595">
        <v>-37090561</v>
      </c>
      <c r="J1595">
        <v>-84271153</v>
      </c>
      <c r="K1595">
        <v>-32104118</v>
      </c>
      <c r="L1595">
        <v>-29813579</v>
      </c>
      <c r="M1595">
        <v>-16536429</v>
      </c>
      <c r="P1595">
        <v>121</v>
      </c>
      <c r="Q1595" t="s">
        <v>3237</v>
      </c>
    </row>
    <row r="1596" spans="1:17" x14ac:dyDescent="0.3">
      <c r="A1596" t="s">
        <v>32</v>
      </c>
      <c r="B1596" t="str">
        <f>"300110"</f>
        <v>300110</v>
      </c>
      <c r="C1596" t="s">
        <v>3238</v>
      </c>
      <c r="D1596" t="s">
        <v>98</v>
      </c>
      <c r="E1596">
        <v>-6493498</v>
      </c>
      <c r="F1596">
        <v>-560822244</v>
      </c>
      <c r="G1596">
        <v>71062552</v>
      </c>
      <c r="H1596">
        <v>20765294</v>
      </c>
      <c r="I1596">
        <v>41313109</v>
      </c>
      <c r="J1596">
        <v>8725443</v>
      </c>
      <c r="K1596">
        <v>-9491221</v>
      </c>
      <c r="L1596">
        <v>-43802207</v>
      </c>
      <c r="M1596">
        <v>-46554371</v>
      </c>
      <c r="N1596">
        <v>-31454922</v>
      </c>
      <c r="O1596">
        <v>-45314927</v>
      </c>
      <c r="P1596">
        <v>126</v>
      </c>
      <c r="Q1596" t="s">
        <v>3239</v>
      </c>
    </row>
    <row r="1597" spans="1:17" x14ac:dyDescent="0.3">
      <c r="A1597" t="s">
        <v>32</v>
      </c>
      <c r="B1597" t="str">
        <f>"000007"</f>
        <v>000007</v>
      </c>
      <c r="C1597" t="s">
        <v>3240</v>
      </c>
      <c r="D1597" t="s">
        <v>218</v>
      </c>
      <c r="E1597">
        <v>-6515812</v>
      </c>
      <c r="F1597">
        <v>5829955</v>
      </c>
      <c r="G1597">
        <v>-5160522</v>
      </c>
      <c r="H1597">
        <v>14067132</v>
      </c>
      <c r="I1597">
        <v>-4429840</v>
      </c>
      <c r="J1597">
        <v>-25802108</v>
      </c>
      <c r="K1597">
        <v>-7519534</v>
      </c>
      <c r="L1597">
        <v>-16499236</v>
      </c>
      <c r="M1597">
        <v>-81517822</v>
      </c>
      <c r="N1597">
        <v>4262093</v>
      </c>
      <c r="O1597">
        <v>-74096642</v>
      </c>
      <c r="P1597">
        <v>93</v>
      </c>
      <c r="Q1597" t="s">
        <v>3241</v>
      </c>
    </row>
    <row r="1598" spans="1:17" x14ac:dyDescent="0.3">
      <c r="A1598" t="s">
        <v>32</v>
      </c>
      <c r="B1598" t="str">
        <f>"003002"</f>
        <v>003002</v>
      </c>
      <c r="C1598" t="s">
        <v>3242</v>
      </c>
      <c r="D1598" t="s">
        <v>144</v>
      </c>
      <c r="E1598">
        <v>-6542971</v>
      </c>
      <c r="F1598">
        <v>-19463609</v>
      </c>
      <c r="G1598">
        <v>-14600831</v>
      </c>
      <c r="P1598">
        <v>39</v>
      </c>
      <c r="Q1598" t="s">
        <v>3243</v>
      </c>
    </row>
    <row r="1599" spans="1:17" x14ac:dyDescent="0.3">
      <c r="A1599" t="s">
        <v>32</v>
      </c>
      <c r="B1599" t="str">
        <f>"000606"</f>
        <v>000606</v>
      </c>
      <c r="C1599" t="s">
        <v>3244</v>
      </c>
      <c r="D1599" t="s">
        <v>342</v>
      </c>
      <c r="E1599">
        <v>-6558965</v>
      </c>
      <c r="F1599">
        <v>-102147641</v>
      </c>
      <c r="G1599">
        <v>-48452106</v>
      </c>
      <c r="H1599">
        <v>125180</v>
      </c>
      <c r="I1599">
        <v>-104052517</v>
      </c>
      <c r="J1599">
        <v>-95591516</v>
      </c>
      <c r="K1599">
        <v>-26985877</v>
      </c>
      <c r="L1599">
        <v>-15259233</v>
      </c>
      <c r="M1599">
        <v>-6422584</v>
      </c>
      <c r="N1599">
        <v>-22447545</v>
      </c>
      <c r="O1599">
        <v>-9103939</v>
      </c>
      <c r="P1599">
        <v>99</v>
      </c>
      <c r="Q1599" t="s">
        <v>3245</v>
      </c>
    </row>
    <row r="1600" spans="1:17" x14ac:dyDescent="0.3">
      <c r="A1600" t="s">
        <v>32</v>
      </c>
      <c r="B1600" t="str">
        <f>"000799"</f>
        <v>000799</v>
      </c>
      <c r="C1600" t="s">
        <v>3246</v>
      </c>
      <c r="D1600" t="s">
        <v>172</v>
      </c>
      <c r="E1600">
        <v>-6568120</v>
      </c>
      <c r="F1600">
        <v>172484733</v>
      </c>
      <c r="G1600">
        <v>-51265661</v>
      </c>
      <c r="H1600">
        <v>-19635593</v>
      </c>
      <c r="I1600">
        <v>-3873010</v>
      </c>
      <c r="J1600">
        <v>-28280894</v>
      </c>
      <c r="K1600">
        <v>26589480</v>
      </c>
      <c r="L1600">
        <v>14982068</v>
      </c>
      <c r="M1600">
        <v>-116810407</v>
      </c>
      <c r="N1600">
        <v>-244545035</v>
      </c>
      <c r="O1600">
        <v>141380830</v>
      </c>
      <c r="P1600">
        <v>1661</v>
      </c>
      <c r="Q1600" t="s">
        <v>3247</v>
      </c>
    </row>
    <row r="1601" spans="1:17" x14ac:dyDescent="0.3">
      <c r="A1601" t="s">
        <v>32</v>
      </c>
      <c r="B1601" t="str">
        <f>"300847"</f>
        <v>300847</v>
      </c>
      <c r="C1601" t="s">
        <v>3248</v>
      </c>
      <c r="D1601" t="s">
        <v>144</v>
      </c>
      <c r="E1601">
        <v>-6579681</v>
      </c>
      <c r="F1601">
        <v>-46849351</v>
      </c>
      <c r="G1601">
        <v>-22248536</v>
      </c>
      <c r="H1601">
        <v>-30894948</v>
      </c>
      <c r="P1601">
        <v>53</v>
      </c>
      <c r="Q1601" t="s">
        <v>3249</v>
      </c>
    </row>
    <row r="1602" spans="1:17" x14ac:dyDescent="0.3">
      <c r="A1602" t="s">
        <v>17</v>
      </c>
      <c r="B1602" t="str">
        <f>"688533"</f>
        <v>688533</v>
      </c>
      <c r="C1602" t="s">
        <v>3250</v>
      </c>
      <c r="D1602" t="s">
        <v>199</v>
      </c>
      <c r="E1602">
        <v>-6601006</v>
      </c>
      <c r="P1602">
        <v>39</v>
      </c>
      <c r="Q1602" t="s">
        <v>3251</v>
      </c>
    </row>
    <row r="1603" spans="1:17" x14ac:dyDescent="0.3">
      <c r="A1603" t="s">
        <v>32</v>
      </c>
      <c r="B1603" t="str">
        <f>"002826"</f>
        <v>002826</v>
      </c>
      <c r="C1603" t="s">
        <v>3252</v>
      </c>
      <c r="D1603" t="s">
        <v>98</v>
      </c>
      <c r="E1603">
        <v>-6636260</v>
      </c>
      <c r="F1603">
        <v>-29412605</v>
      </c>
      <c r="G1603">
        <v>-35200773</v>
      </c>
      <c r="H1603">
        <v>-23654387</v>
      </c>
      <c r="I1603">
        <v>-28908692</v>
      </c>
      <c r="J1603">
        <v>-18063032</v>
      </c>
      <c r="K1603">
        <v>-14733477</v>
      </c>
      <c r="P1603">
        <v>127</v>
      </c>
      <c r="Q1603" t="s">
        <v>3253</v>
      </c>
    </row>
    <row r="1604" spans="1:17" x14ac:dyDescent="0.3">
      <c r="A1604" t="s">
        <v>32</v>
      </c>
      <c r="B1604" t="str">
        <f>"300521"</f>
        <v>300521</v>
      </c>
      <c r="C1604" t="s">
        <v>3254</v>
      </c>
      <c r="D1604" t="s">
        <v>135</v>
      </c>
      <c r="E1604">
        <v>-6788383</v>
      </c>
      <c r="F1604">
        <v>-7640407</v>
      </c>
      <c r="G1604">
        <v>-11367705</v>
      </c>
      <c r="H1604">
        <v>-48224981</v>
      </c>
      <c r="I1604">
        <v>-13839444</v>
      </c>
      <c r="J1604">
        <v>5151346</v>
      </c>
      <c r="K1604">
        <v>-2407871</v>
      </c>
      <c r="L1604">
        <v>-2047870</v>
      </c>
      <c r="P1604">
        <v>57</v>
      </c>
      <c r="Q1604" t="s">
        <v>3255</v>
      </c>
    </row>
    <row r="1605" spans="1:17" x14ac:dyDescent="0.3">
      <c r="A1605" t="s">
        <v>17</v>
      </c>
      <c r="B1605" t="str">
        <f>"600861"</f>
        <v>600861</v>
      </c>
      <c r="C1605" t="s">
        <v>3256</v>
      </c>
      <c r="D1605" t="s">
        <v>218</v>
      </c>
      <c r="E1605">
        <v>-6840066</v>
      </c>
      <c r="F1605">
        <v>36654004</v>
      </c>
      <c r="G1605">
        <v>40386500</v>
      </c>
      <c r="H1605">
        <v>-19014566</v>
      </c>
      <c r="I1605">
        <v>9571949</v>
      </c>
      <c r="J1605">
        <v>113764032</v>
      </c>
      <c r="K1605">
        <v>-20849081</v>
      </c>
      <c r="L1605">
        <v>-77347343</v>
      </c>
      <c r="M1605">
        <v>322087497</v>
      </c>
      <c r="N1605">
        <v>-112653917</v>
      </c>
      <c r="O1605">
        <v>-30730173</v>
      </c>
      <c r="P1605">
        <v>72</v>
      </c>
      <c r="Q1605" t="s">
        <v>3257</v>
      </c>
    </row>
    <row r="1606" spans="1:17" x14ac:dyDescent="0.3">
      <c r="A1606" t="s">
        <v>32</v>
      </c>
      <c r="B1606" t="str">
        <f>"301113"</f>
        <v>301113</v>
      </c>
      <c r="C1606" t="s">
        <v>3258</v>
      </c>
      <c r="D1606" t="s">
        <v>455</v>
      </c>
      <c r="E1606">
        <v>-6885461</v>
      </c>
      <c r="P1606">
        <v>27</v>
      </c>
      <c r="Q1606" t="s">
        <v>3259</v>
      </c>
    </row>
    <row r="1607" spans="1:17" x14ac:dyDescent="0.3">
      <c r="A1607" t="s">
        <v>32</v>
      </c>
      <c r="B1607" t="str">
        <f>"300755"</f>
        <v>300755</v>
      </c>
      <c r="C1607" t="s">
        <v>3260</v>
      </c>
      <c r="D1607" t="s">
        <v>218</v>
      </c>
      <c r="E1607">
        <v>-6886776</v>
      </c>
      <c r="F1607">
        <v>-515251959</v>
      </c>
      <c r="G1607">
        <v>-300038366</v>
      </c>
      <c r="H1607">
        <v>-3524629</v>
      </c>
      <c r="I1607">
        <v>-131198931</v>
      </c>
      <c r="P1607">
        <v>247</v>
      </c>
      <c r="Q1607" t="s">
        <v>3261</v>
      </c>
    </row>
    <row r="1608" spans="1:17" x14ac:dyDescent="0.3">
      <c r="A1608" t="s">
        <v>32</v>
      </c>
      <c r="B1608" t="str">
        <f>"300689"</f>
        <v>300689</v>
      </c>
      <c r="C1608" t="s">
        <v>3262</v>
      </c>
      <c r="D1608" t="s">
        <v>57</v>
      </c>
      <c r="E1608">
        <v>-7023233</v>
      </c>
      <c r="F1608">
        <v>-12873177</v>
      </c>
      <c r="G1608">
        <v>3908662</v>
      </c>
      <c r="H1608">
        <v>-13846792</v>
      </c>
      <c r="I1608">
        <v>-2116005</v>
      </c>
      <c r="J1608">
        <v>14966939</v>
      </c>
      <c r="P1608">
        <v>76</v>
      </c>
      <c r="Q1608" t="s">
        <v>3263</v>
      </c>
    </row>
    <row r="1609" spans="1:17" x14ac:dyDescent="0.3">
      <c r="A1609" t="s">
        <v>32</v>
      </c>
      <c r="B1609" t="str">
        <f>"300337"</f>
        <v>300337</v>
      </c>
      <c r="C1609" t="s">
        <v>3264</v>
      </c>
      <c r="D1609" t="s">
        <v>121</v>
      </c>
      <c r="E1609">
        <v>-7081717</v>
      </c>
      <c r="F1609">
        <v>-31085307</v>
      </c>
      <c r="G1609">
        <v>-69412270</v>
      </c>
      <c r="H1609">
        <v>-67494652</v>
      </c>
      <c r="I1609">
        <v>-33103268</v>
      </c>
      <c r="J1609">
        <v>-79596744</v>
      </c>
      <c r="K1609">
        <v>-109100216</v>
      </c>
      <c r="L1609">
        <v>-123283923</v>
      </c>
      <c r="M1609">
        <v>-50495875</v>
      </c>
      <c r="N1609">
        <v>-103463202</v>
      </c>
      <c r="O1609">
        <v>-35467014</v>
      </c>
      <c r="P1609">
        <v>142</v>
      </c>
      <c r="Q1609" t="s">
        <v>3265</v>
      </c>
    </row>
    <row r="1610" spans="1:17" x14ac:dyDescent="0.3">
      <c r="A1610" t="s">
        <v>17</v>
      </c>
      <c r="B1610" t="str">
        <f>"601698"</f>
        <v>601698</v>
      </c>
      <c r="C1610" t="s">
        <v>3266</v>
      </c>
      <c r="D1610" t="s">
        <v>188</v>
      </c>
      <c r="E1610">
        <v>-7118605</v>
      </c>
      <c r="F1610">
        <v>-134983213</v>
      </c>
      <c r="G1610">
        <v>160096147</v>
      </c>
      <c r="H1610">
        <v>199225667</v>
      </c>
      <c r="I1610">
        <v>319244444</v>
      </c>
      <c r="P1610">
        <v>316</v>
      </c>
      <c r="Q1610" t="s">
        <v>3267</v>
      </c>
    </row>
    <row r="1611" spans="1:17" x14ac:dyDescent="0.3">
      <c r="A1611" t="s">
        <v>17</v>
      </c>
      <c r="B1611" t="str">
        <f>"600825"</f>
        <v>600825</v>
      </c>
      <c r="C1611" t="s">
        <v>3268</v>
      </c>
      <c r="D1611" t="s">
        <v>245</v>
      </c>
      <c r="E1611">
        <v>-7211258</v>
      </c>
      <c r="F1611">
        <v>5286524</v>
      </c>
      <c r="G1611">
        <v>-146983045</v>
      </c>
      <c r="H1611">
        <v>-263786348</v>
      </c>
      <c r="I1611">
        <v>-79224364</v>
      </c>
      <c r="J1611">
        <v>-72936814</v>
      </c>
      <c r="K1611">
        <v>20049684</v>
      </c>
      <c r="L1611">
        <v>-57528198</v>
      </c>
      <c r="M1611">
        <v>-151253839</v>
      </c>
      <c r="N1611">
        <v>-60853281</v>
      </c>
      <c r="O1611">
        <v>-93504270</v>
      </c>
      <c r="P1611">
        <v>84</v>
      </c>
      <c r="Q1611" t="s">
        <v>3269</v>
      </c>
    </row>
    <row r="1612" spans="1:17" x14ac:dyDescent="0.3">
      <c r="A1612" t="s">
        <v>32</v>
      </c>
      <c r="B1612" t="str">
        <f>"300268"</f>
        <v>300268</v>
      </c>
      <c r="C1612" t="s">
        <v>3270</v>
      </c>
      <c r="D1612" t="s">
        <v>175</v>
      </c>
      <c r="E1612">
        <v>-7261442</v>
      </c>
      <c r="F1612">
        <v>46410227</v>
      </c>
      <c r="G1612">
        <v>-76561908</v>
      </c>
      <c r="H1612">
        <v>-72543415</v>
      </c>
      <c r="I1612">
        <v>-36408212</v>
      </c>
      <c r="J1612">
        <v>-4836770</v>
      </c>
      <c r="K1612">
        <v>-3637282</v>
      </c>
      <c r="L1612">
        <v>-18523852</v>
      </c>
      <c r="M1612">
        <v>-5044729</v>
      </c>
      <c r="N1612">
        <v>-10174667</v>
      </c>
      <c r="O1612">
        <v>-64585717</v>
      </c>
      <c r="P1612">
        <v>87</v>
      </c>
      <c r="Q1612" t="s">
        <v>3271</v>
      </c>
    </row>
    <row r="1613" spans="1:17" x14ac:dyDescent="0.3">
      <c r="A1613" t="s">
        <v>32</v>
      </c>
      <c r="B1613" t="str">
        <f>"300635"</f>
        <v>300635</v>
      </c>
      <c r="C1613" t="s">
        <v>3272</v>
      </c>
      <c r="D1613" t="s">
        <v>645</v>
      </c>
      <c r="E1613">
        <v>-7274223</v>
      </c>
      <c r="F1613">
        <v>-18533135</v>
      </c>
      <c r="G1613">
        <v>-75994744</v>
      </c>
      <c r="H1613">
        <v>-22712496</v>
      </c>
      <c r="I1613">
        <v>-25517385</v>
      </c>
      <c r="J1613">
        <v>-43523160</v>
      </c>
      <c r="K1613">
        <v>18701514</v>
      </c>
      <c r="P1613">
        <v>113</v>
      </c>
      <c r="Q1613" t="s">
        <v>3273</v>
      </c>
    </row>
    <row r="1614" spans="1:17" x14ac:dyDescent="0.3">
      <c r="A1614" t="s">
        <v>17</v>
      </c>
      <c r="B1614" t="str">
        <f>"688259"</f>
        <v>688259</v>
      </c>
      <c r="C1614" t="s">
        <v>3274</v>
      </c>
      <c r="D1614" t="s">
        <v>124</v>
      </c>
      <c r="E1614">
        <v>-7317901</v>
      </c>
      <c r="P1614">
        <v>17</v>
      </c>
      <c r="Q1614" t="s">
        <v>3275</v>
      </c>
    </row>
    <row r="1615" spans="1:17" x14ac:dyDescent="0.3">
      <c r="A1615" t="s">
        <v>32</v>
      </c>
      <c r="B1615" t="str">
        <f>"001317"</f>
        <v>001317</v>
      </c>
      <c r="C1615" t="s">
        <v>3276</v>
      </c>
      <c r="D1615" t="s">
        <v>46</v>
      </c>
      <c r="E1615">
        <v>-7331516</v>
      </c>
      <c r="P1615">
        <v>23</v>
      </c>
      <c r="Q1615" t="s">
        <v>3277</v>
      </c>
    </row>
    <row r="1616" spans="1:17" x14ac:dyDescent="0.3">
      <c r="A1616" t="s">
        <v>32</v>
      </c>
      <c r="B1616" t="str">
        <f>"300370"</f>
        <v>300370</v>
      </c>
      <c r="C1616" t="s">
        <v>3278</v>
      </c>
      <c r="D1616" t="s">
        <v>135</v>
      </c>
      <c r="E1616">
        <v>-7405782</v>
      </c>
      <c r="F1616">
        <v>-24445058</v>
      </c>
      <c r="G1616">
        <v>-14819557</v>
      </c>
      <c r="H1616">
        <v>-6802258</v>
      </c>
      <c r="I1616">
        <v>-206777760</v>
      </c>
      <c r="J1616">
        <v>-185774268</v>
      </c>
      <c r="K1616">
        <v>-22784191</v>
      </c>
      <c r="L1616">
        <v>-60559835</v>
      </c>
      <c r="M1616">
        <v>-82994059</v>
      </c>
      <c r="N1616">
        <v>-78007075</v>
      </c>
      <c r="P1616">
        <v>103</v>
      </c>
      <c r="Q1616" t="s">
        <v>3279</v>
      </c>
    </row>
    <row r="1617" spans="1:17" x14ac:dyDescent="0.3">
      <c r="A1617" t="s">
        <v>32</v>
      </c>
      <c r="B1617" t="str">
        <f>"002294"</f>
        <v>002294</v>
      </c>
      <c r="C1617" t="s">
        <v>3280</v>
      </c>
      <c r="D1617" t="s">
        <v>98</v>
      </c>
      <c r="E1617">
        <v>-7451634</v>
      </c>
      <c r="F1617">
        <v>-30860054</v>
      </c>
      <c r="G1617">
        <v>360285965</v>
      </c>
      <c r="H1617">
        <v>366948026</v>
      </c>
      <c r="I1617">
        <v>197433218</v>
      </c>
      <c r="J1617">
        <v>380671524</v>
      </c>
      <c r="K1617">
        <v>263167626</v>
      </c>
      <c r="L1617">
        <v>162739510</v>
      </c>
      <c r="M1617">
        <v>93881562</v>
      </c>
      <c r="N1617">
        <v>-118741030</v>
      </c>
      <c r="O1617">
        <v>80885694</v>
      </c>
      <c r="P1617">
        <v>25590</v>
      </c>
      <c r="Q1617" t="s">
        <v>3281</v>
      </c>
    </row>
    <row r="1618" spans="1:17" x14ac:dyDescent="0.3">
      <c r="A1618" t="s">
        <v>32</v>
      </c>
      <c r="B1618" t="str">
        <f>"300549"</f>
        <v>300549</v>
      </c>
      <c r="C1618" t="s">
        <v>3282</v>
      </c>
      <c r="D1618" t="s">
        <v>135</v>
      </c>
      <c r="E1618">
        <v>-7507340</v>
      </c>
      <c r="F1618">
        <v>-20260997</v>
      </c>
      <c r="G1618">
        <v>6455983</v>
      </c>
      <c r="H1618">
        <v>-3422579</v>
      </c>
      <c r="I1618">
        <v>1592706</v>
      </c>
      <c r="J1618">
        <v>-11756234</v>
      </c>
      <c r="K1618">
        <v>13534048</v>
      </c>
      <c r="P1618">
        <v>92</v>
      </c>
      <c r="Q1618" t="s">
        <v>3283</v>
      </c>
    </row>
    <row r="1619" spans="1:17" x14ac:dyDescent="0.3">
      <c r="A1619" t="s">
        <v>32</v>
      </c>
      <c r="B1619" t="str">
        <f>"300046"</f>
        <v>300046</v>
      </c>
      <c r="C1619" t="s">
        <v>3284</v>
      </c>
      <c r="D1619" t="s">
        <v>124</v>
      </c>
      <c r="E1619">
        <v>-7510098</v>
      </c>
      <c r="F1619">
        <v>-14955090</v>
      </c>
      <c r="G1619">
        <v>5216446</v>
      </c>
      <c r="H1619">
        <v>13802447</v>
      </c>
      <c r="I1619">
        <v>921129</v>
      </c>
      <c r="J1619">
        <v>34455280</v>
      </c>
      <c r="K1619">
        <v>13949168</v>
      </c>
      <c r="L1619">
        <v>-12236499</v>
      </c>
      <c r="M1619">
        <v>16446828</v>
      </c>
      <c r="N1619">
        <v>-10476340</v>
      </c>
      <c r="O1619">
        <v>31604838</v>
      </c>
      <c r="P1619">
        <v>225</v>
      </c>
      <c r="Q1619" t="s">
        <v>3285</v>
      </c>
    </row>
    <row r="1620" spans="1:17" x14ac:dyDescent="0.3">
      <c r="A1620" t="s">
        <v>17</v>
      </c>
      <c r="B1620" t="str">
        <f>"688067"</f>
        <v>688067</v>
      </c>
      <c r="C1620" t="s">
        <v>3286</v>
      </c>
      <c r="D1620" t="s">
        <v>98</v>
      </c>
      <c r="E1620">
        <v>-7537484</v>
      </c>
      <c r="F1620">
        <v>-14831532</v>
      </c>
      <c r="G1620">
        <v>9758</v>
      </c>
      <c r="P1620">
        <v>35</v>
      </c>
      <c r="Q1620" t="s">
        <v>3287</v>
      </c>
    </row>
    <row r="1621" spans="1:17" x14ac:dyDescent="0.3">
      <c r="A1621" t="s">
        <v>32</v>
      </c>
      <c r="B1621" t="str">
        <f>"000150"</f>
        <v>000150</v>
      </c>
      <c r="C1621" t="s">
        <v>3288</v>
      </c>
      <c r="D1621" t="s">
        <v>98</v>
      </c>
      <c r="E1621">
        <v>-7541799</v>
      </c>
      <c r="F1621">
        <v>-18933622</v>
      </c>
      <c r="G1621">
        <v>-339380545</v>
      </c>
      <c r="H1621">
        <v>-93459041</v>
      </c>
      <c r="I1621">
        <v>136082411</v>
      </c>
      <c r="J1621">
        <v>-404342372</v>
      </c>
      <c r="K1621">
        <v>-453579813</v>
      </c>
      <c r="L1621">
        <v>75630267</v>
      </c>
      <c r="M1621">
        <v>-40805842</v>
      </c>
      <c r="N1621">
        <v>-244377903</v>
      </c>
      <c r="O1621">
        <v>170598</v>
      </c>
      <c r="P1621">
        <v>184</v>
      </c>
      <c r="Q1621" t="s">
        <v>3289</v>
      </c>
    </row>
    <row r="1622" spans="1:17" x14ac:dyDescent="0.3">
      <c r="A1622" t="s">
        <v>32</v>
      </c>
      <c r="B1622" t="str">
        <f>"300580"</f>
        <v>300580</v>
      </c>
      <c r="C1622" t="s">
        <v>3290</v>
      </c>
      <c r="D1622" t="s">
        <v>199</v>
      </c>
      <c r="E1622">
        <v>-7573504</v>
      </c>
      <c r="F1622">
        <v>-17793475</v>
      </c>
      <c r="G1622">
        <v>11003405</v>
      </c>
      <c r="H1622">
        <v>-1171042</v>
      </c>
      <c r="I1622">
        <v>-96310438</v>
      </c>
      <c r="J1622">
        <v>2157669</v>
      </c>
      <c r="K1622">
        <v>-31177091</v>
      </c>
      <c r="P1622">
        <v>148</v>
      </c>
      <c r="Q1622" t="s">
        <v>3291</v>
      </c>
    </row>
    <row r="1623" spans="1:17" x14ac:dyDescent="0.3">
      <c r="A1623" t="s">
        <v>17</v>
      </c>
      <c r="B1623" t="str">
        <f>"600421"</f>
        <v>600421</v>
      </c>
      <c r="C1623" t="s">
        <v>3292</v>
      </c>
      <c r="D1623" t="s">
        <v>135</v>
      </c>
      <c r="E1623">
        <v>-7587698</v>
      </c>
      <c r="F1623">
        <v>-10423991</v>
      </c>
      <c r="G1623">
        <v>-21474230</v>
      </c>
      <c r="H1623">
        <v>-3516947</v>
      </c>
      <c r="I1623">
        <v>-220998</v>
      </c>
      <c r="J1623">
        <v>1072087</v>
      </c>
      <c r="K1623">
        <v>-1398120</v>
      </c>
      <c r="L1623">
        <v>-9512146</v>
      </c>
      <c r="M1623">
        <v>4104985</v>
      </c>
      <c r="N1623">
        <v>-99041323</v>
      </c>
      <c r="O1623">
        <v>258997</v>
      </c>
      <c r="P1623">
        <v>44</v>
      </c>
      <c r="Q1623" t="s">
        <v>3293</v>
      </c>
    </row>
    <row r="1624" spans="1:17" x14ac:dyDescent="0.3">
      <c r="A1624" t="s">
        <v>32</v>
      </c>
      <c r="B1624" t="str">
        <f>"002231"</f>
        <v>002231</v>
      </c>
      <c r="C1624" t="s">
        <v>3294</v>
      </c>
      <c r="D1624" t="s">
        <v>188</v>
      </c>
      <c r="E1624">
        <v>-7612274</v>
      </c>
      <c r="F1624">
        <v>42996388</v>
      </c>
      <c r="G1624">
        <v>-51282676</v>
      </c>
      <c r="H1624">
        <v>-73562419</v>
      </c>
      <c r="I1624">
        <v>21572037</v>
      </c>
      <c r="J1624">
        <v>-66296741</v>
      </c>
      <c r="K1624">
        <v>-64875640</v>
      </c>
      <c r="L1624">
        <v>-503892</v>
      </c>
      <c r="M1624">
        <v>-48178780</v>
      </c>
      <c r="N1624">
        <v>-80834642</v>
      </c>
      <c r="O1624">
        <v>-53532239</v>
      </c>
      <c r="P1624">
        <v>155</v>
      </c>
      <c r="Q1624" t="s">
        <v>3295</v>
      </c>
    </row>
    <row r="1625" spans="1:17" x14ac:dyDescent="0.3">
      <c r="A1625" t="s">
        <v>32</v>
      </c>
      <c r="B1625" t="str">
        <f>"300299"</f>
        <v>300299</v>
      </c>
      <c r="C1625" t="s">
        <v>3296</v>
      </c>
      <c r="D1625" t="s">
        <v>245</v>
      </c>
      <c r="E1625">
        <v>-7624230</v>
      </c>
      <c r="F1625">
        <v>-423751</v>
      </c>
      <c r="G1625">
        <v>25882462</v>
      </c>
      <c r="H1625">
        <v>-31436807</v>
      </c>
      <c r="I1625">
        <v>-43596194</v>
      </c>
      <c r="J1625">
        <v>-2041212</v>
      </c>
      <c r="K1625">
        <v>-9162581</v>
      </c>
      <c r="L1625">
        <v>-52157668</v>
      </c>
      <c r="M1625">
        <v>-28052525</v>
      </c>
      <c r="N1625">
        <v>-15198415</v>
      </c>
      <c r="O1625">
        <v>-32137293</v>
      </c>
      <c r="P1625">
        <v>187</v>
      </c>
      <c r="Q1625" t="s">
        <v>3297</v>
      </c>
    </row>
    <row r="1626" spans="1:17" x14ac:dyDescent="0.3">
      <c r="A1626" t="s">
        <v>17</v>
      </c>
      <c r="B1626" t="str">
        <f>"600770"</f>
        <v>600770</v>
      </c>
      <c r="C1626" t="s">
        <v>3298</v>
      </c>
      <c r="D1626" t="s">
        <v>345</v>
      </c>
      <c r="E1626">
        <v>-7702429</v>
      </c>
      <c r="F1626">
        <v>-60179428</v>
      </c>
      <c r="G1626">
        <v>-19013116</v>
      </c>
      <c r="H1626">
        <v>-22700162</v>
      </c>
      <c r="I1626">
        <v>2390565</v>
      </c>
      <c r="J1626">
        <v>-62350642</v>
      </c>
      <c r="K1626">
        <v>-60770587</v>
      </c>
      <c r="L1626">
        <v>-87713429</v>
      </c>
      <c r="M1626">
        <v>-169094599</v>
      </c>
      <c r="N1626">
        <v>-16728068</v>
      </c>
      <c r="O1626">
        <v>-336351926</v>
      </c>
      <c r="P1626">
        <v>3055</v>
      </c>
      <c r="Q1626" t="s">
        <v>3299</v>
      </c>
    </row>
    <row r="1627" spans="1:17" x14ac:dyDescent="0.3">
      <c r="A1627" t="s">
        <v>32</v>
      </c>
      <c r="B1627" t="str">
        <f>"002897"</f>
        <v>002897</v>
      </c>
      <c r="C1627" t="s">
        <v>3300</v>
      </c>
      <c r="D1627" t="s">
        <v>57</v>
      </c>
      <c r="E1627">
        <v>-7716867</v>
      </c>
      <c r="F1627">
        <v>-149023614</v>
      </c>
      <c r="G1627">
        <v>-29139755</v>
      </c>
      <c r="H1627">
        <v>-41605865</v>
      </c>
      <c r="I1627">
        <v>-34505186</v>
      </c>
      <c r="J1627">
        <v>-17392845</v>
      </c>
      <c r="P1627">
        <v>235</v>
      </c>
      <c r="Q1627" t="s">
        <v>3301</v>
      </c>
    </row>
    <row r="1628" spans="1:17" x14ac:dyDescent="0.3">
      <c r="A1628" t="s">
        <v>32</v>
      </c>
      <c r="B1628" t="str">
        <f>"002113"</f>
        <v>002113</v>
      </c>
      <c r="C1628" t="s">
        <v>3302</v>
      </c>
      <c r="D1628" t="s">
        <v>245</v>
      </c>
      <c r="E1628">
        <v>-7728508</v>
      </c>
      <c r="F1628">
        <v>-42026557</v>
      </c>
      <c r="G1628">
        <v>-39585901</v>
      </c>
      <c r="H1628">
        <v>2600949</v>
      </c>
      <c r="I1628">
        <v>61577017</v>
      </c>
      <c r="J1628">
        <v>-9908294</v>
      </c>
      <c r="K1628">
        <v>3497726</v>
      </c>
      <c r="L1628">
        <v>1893982</v>
      </c>
      <c r="M1628">
        <v>2168378</v>
      </c>
      <c r="N1628">
        <v>4972631</v>
      </c>
      <c r="O1628">
        <v>12038385</v>
      </c>
      <c r="P1628">
        <v>77</v>
      </c>
      <c r="Q1628" t="s">
        <v>3303</v>
      </c>
    </row>
    <row r="1629" spans="1:17" x14ac:dyDescent="0.3">
      <c r="A1629" t="s">
        <v>17</v>
      </c>
      <c r="B1629" t="str">
        <f>"603083"</f>
        <v>603083</v>
      </c>
      <c r="C1629" t="s">
        <v>3304</v>
      </c>
      <c r="D1629" t="s">
        <v>57</v>
      </c>
      <c r="E1629">
        <v>-7735483</v>
      </c>
      <c r="F1629">
        <v>-134493109</v>
      </c>
      <c r="G1629">
        <v>-176861705</v>
      </c>
      <c r="H1629">
        <v>70568212</v>
      </c>
      <c r="I1629">
        <v>-173691807</v>
      </c>
      <c r="J1629">
        <v>-149844123</v>
      </c>
      <c r="P1629">
        <v>272</v>
      </c>
      <c r="Q1629" t="s">
        <v>3305</v>
      </c>
    </row>
    <row r="1630" spans="1:17" x14ac:dyDescent="0.3">
      <c r="A1630" t="s">
        <v>17</v>
      </c>
      <c r="B1630" t="str">
        <f>"605060"</f>
        <v>605060</v>
      </c>
      <c r="C1630" t="s">
        <v>3306</v>
      </c>
      <c r="D1630" t="s">
        <v>135</v>
      </c>
      <c r="E1630">
        <v>-7753497</v>
      </c>
      <c r="F1630">
        <v>20860730</v>
      </c>
      <c r="G1630">
        <v>15271474</v>
      </c>
      <c r="P1630">
        <v>43</v>
      </c>
      <c r="Q1630" t="s">
        <v>3307</v>
      </c>
    </row>
    <row r="1631" spans="1:17" x14ac:dyDescent="0.3">
      <c r="A1631" t="s">
        <v>17</v>
      </c>
      <c r="B1631" t="str">
        <f>"900934"</f>
        <v>900934</v>
      </c>
      <c r="C1631" t="s">
        <v>3308</v>
      </c>
      <c r="E1631">
        <v>-7850850.2888000002</v>
      </c>
      <c r="F1631">
        <v>-85648548.844799995</v>
      </c>
      <c r="G1631">
        <v>-215500764.0429</v>
      </c>
      <c r="H1631">
        <v>-33764518.542999998</v>
      </c>
      <c r="I1631">
        <v>-2670221.2988</v>
      </c>
      <c r="J1631">
        <v>27424258.976399999</v>
      </c>
      <c r="K1631">
        <v>8373431.0038999999</v>
      </c>
      <c r="L1631">
        <v>-8371599.6852000002</v>
      </c>
      <c r="M1631">
        <v>-7303317.9551999997</v>
      </c>
      <c r="N1631">
        <v>-6259038.0930000003</v>
      </c>
      <c r="O1631">
        <v>2496153.38</v>
      </c>
      <c r="P1631">
        <v>47</v>
      </c>
      <c r="Q1631" t="s">
        <v>3309</v>
      </c>
    </row>
    <row r="1632" spans="1:17" x14ac:dyDescent="0.3">
      <c r="A1632" t="s">
        <v>32</v>
      </c>
      <c r="B1632" t="str">
        <f>"300774"</f>
        <v>300774</v>
      </c>
      <c r="C1632" t="s">
        <v>3310</v>
      </c>
      <c r="D1632" t="s">
        <v>1334</v>
      </c>
      <c r="E1632">
        <v>-7877030</v>
      </c>
      <c r="F1632">
        <v>-159843663</v>
      </c>
      <c r="G1632">
        <v>-18514017</v>
      </c>
      <c r="P1632">
        <v>25</v>
      </c>
      <c r="Q1632" t="s">
        <v>3311</v>
      </c>
    </row>
    <row r="1633" spans="1:17" x14ac:dyDescent="0.3">
      <c r="A1633" t="s">
        <v>17</v>
      </c>
      <c r="B1633" t="str">
        <f>"603009"</f>
        <v>603009</v>
      </c>
      <c r="C1633" t="s">
        <v>3312</v>
      </c>
      <c r="D1633" t="s">
        <v>199</v>
      </c>
      <c r="E1633">
        <v>-7925378</v>
      </c>
      <c r="F1633">
        <v>69922394</v>
      </c>
      <c r="G1633">
        <v>68825307</v>
      </c>
      <c r="H1633">
        <v>-58083943</v>
      </c>
      <c r="I1633">
        <v>-18371420</v>
      </c>
      <c r="J1633">
        <v>-27651217</v>
      </c>
      <c r="K1633">
        <v>-43165572</v>
      </c>
      <c r="L1633">
        <v>80263113</v>
      </c>
      <c r="M1633">
        <v>-16720496</v>
      </c>
      <c r="P1633">
        <v>84</v>
      </c>
      <c r="Q1633" t="s">
        <v>3313</v>
      </c>
    </row>
    <row r="1634" spans="1:17" x14ac:dyDescent="0.3">
      <c r="A1634" t="s">
        <v>32</v>
      </c>
      <c r="B1634" t="str">
        <f>"002499"</f>
        <v>002499</v>
      </c>
      <c r="C1634" t="s">
        <v>3314</v>
      </c>
      <c r="D1634" t="s">
        <v>158</v>
      </c>
      <c r="E1634">
        <v>-7976043</v>
      </c>
      <c r="F1634">
        <v>-80660</v>
      </c>
      <c r="G1634">
        <v>-4689536</v>
      </c>
      <c r="H1634">
        <v>-11376913</v>
      </c>
      <c r="I1634">
        <v>-89411025</v>
      </c>
      <c r="J1634">
        <v>-103526487</v>
      </c>
      <c r="K1634">
        <v>44927124</v>
      </c>
      <c r="L1634">
        <v>-23078307</v>
      </c>
      <c r="M1634">
        <v>-9134871</v>
      </c>
      <c r="N1634">
        <v>-20524934</v>
      </c>
      <c r="O1634">
        <v>-13256859</v>
      </c>
      <c r="P1634">
        <v>51</v>
      </c>
      <c r="Q1634" t="s">
        <v>3315</v>
      </c>
    </row>
    <row r="1635" spans="1:17" x14ac:dyDescent="0.3">
      <c r="A1635" t="s">
        <v>32</v>
      </c>
      <c r="B1635" t="str">
        <f>"000985"</f>
        <v>000985</v>
      </c>
      <c r="C1635" t="s">
        <v>3316</v>
      </c>
      <c r="D1635" t="s">
        <v>64</v>
      </c>
      <c r="E1635">
        <v>-8064934</v>
      </c>
      <c r="F1635">
        <v>18749982</v>
      </c>
      <c r="G1635">
        <v>-50635592</v>
      </c>
      <c r="H1635">
        <v>2780</v>
      </c>
      <c r="I1635">
        <v>-4423040</v>
      </c>
      <c r="J1635">
        <v>15723993</v>
      </c>
      <c r="K1635">
        <v>-7756255</v>
      </c>
      <c r="L1635">
        <v>-6782537</v>
      </c>
      <c r="M1635">
        <v>25007540</v>
      </c>
      <c r="N1635">
        <v>-39366911</v>
      </c>
      <c r="O1635">
        <v>-40693221</v>
      </c>
      <c r="P1635">
        <v>82</v>
      </c>
      <c r="Q1635" t="s">
        <v>3317</v>
      </c>
    </row>
    <row r="1636" spans="1:17" x14ac:dyDescent="0.3">
      <c r="A1636" t="s">
        <v>17</v>
      </c>
      <c r="B1636" t="str">
        <f>"603706"</f>
        <v>603706</v>
      </c>
      <c r="C1636" t="s">
        <v>3318</v>
      </c>
      <c r="D1636" t="s">
        <v>158</v>
      </c>
      <c r="E1636">
        <v>-8084731</v>
      </c>
      <c r="F1636">
        <v>-4135328</v>
      </c>
      <c r="G1636">
        <v>18741826</v>
      </c>
      <c r="H1636">
        <v>-10595060</v>
      </c>
      <c r="I1636">
        <v>-43472471</v>
      </c>
      <c r="J1636">
        <v>-55658000</v>
      </c>
      <c r="P1636">
        <v>91</v>
      </c>
      <c r="Q1636" t="s">
        <v>3319</v>
      </c>
    </row>
    <row r="1637" spans="1:17" x14ac:dyDescent="0.3">
      <c r="A1637" t="s">
        <v>32</v>
      </c>
      <c r="B1637" t="str">
        <f>"300813"</f>
        <v>300813</v>
      </c>
      <c r="C1637" t="s">
        <v>3320</v>
      </c>
      <c r="D1637" t="s">
        <v>135</v>
      </c>
      <c r="E1637">
        <v>-8088291</v>
      </c>
      <c r="F1637">
        <v>-13838784</v>
      </c>
      <c r="G1637">
        <v>15133532</v>
      </c>
      <c r="H1637">
        <v>-12667455</v>
      </c>
      <c r="P1637">
        <v>106</v>
      </c>
      <c r="Q1637" t="s">
        <v>3321</v>
      </c>
    </row>
    <row r="1638" spans="1:17" x14ac:dyDescent="0.3">
      <c r="A1638" t="s">
        <v>32</v>
      </c>
      <c r="B1638" t="str">
        <f>"000611"</f>
        <v>000611</v>
      </c>
      <c r="C1638" t="s">
        <v>3322</v>
      </c>
      <c r="D1638" t="s">
        <v>73</v>
      </c>
      <c r="E1638">
        <v>-8110216</v>
      </c>
      <c r="F1638">
        <v>-31630908</v>
      </c>
      <c r="G1638">
        <v>863927</v>
      </c>
      <c r="H1638">
        <v>-413449</v>
      </c>
      <c r="I1638">
        <v>4698569</v>
      </c>
      <c r="J1638">
        <v>-45347945</v>
      </c>
      <c r="K1638">
        <v>1095555</v>
      </c>
      <c r="L1638">
        <v>-2661242</v>
      </c>
      <c r="M1638">
        <v>-14813712</v>
      </c>
      <c r="N1638">
        <v>56732210</v>
      </c>
      <c r="O1638">
        <v>11574096</v>
      </c>
      <c r="P1638">
        <v>68</v>
      </c>
      <c r="Q1638" t="s">
        <v>3323</v>
      </c>
    </row>
    <row r="1639" spans="1:17" x14ac:dyDescent="0.3">
      <c r="A1639" t="s">
        <v>32</v>
      </c>
      <c r="B1639" t="str">
        <f>"300023"</f>
        <v>300023</v>
      </c>
      <c r="C1639" t="s">
        <v>3324</v>
      </c>
      <c r="D1639" t="s">
        <v>26</v>
      </c>
      <c r="E1639">
        <v>-8114194</v>
      </c>
      <c r="F1639">
        <v>958900</v>
      </c>
      <c r="G1639">
        <v>-7406279</v>
      </c>
      <c r="H1639">
        <v>-82763407</v>
      </c>
      <c r="I1639">
        <v>272290907</v>
      </c>
      <c r="J1639">
        <v>601346167</v>
      </c>
      <c r="K1639">
        <v>165452283</v>
      </c>
      <c r="L1639">
        <v>-23387961</v>
      </c>
      <c r="M1639">
        <v>-6164253</v>
      </c>
      <c r="N1639">
        <v>-8628824</v>
      </c>
      <c r="O1639">
        <v>-22484519</v>
      </c>
      <c r="P1639">
        <v>61</v>
      </c>
      <c r="Q1639" t="s">
        <v>3325</v>
      </c>
    </row>
    <row r="1640" spans="1:17" x14ac:dyDescent="0.3">
      <c r="A1640" t="s">
        <v>32</v>
      </c>
      <c r="B1640" t="str">
        <f>"002494"</f>
        <v>002494</v>
      </c>
      <c r="C1640" t="s">
        <v>3326</v>
      </c>
      <c r="D1640" t="s">
        <v>130</v>
      </c>
      <c r="E1640">
        <v>-8126441</v>
      </c>
      <c r="F1640">
        <v>-6454790</v>
      </c>
      <c r="G1640">
        <v>-13835801</v>
      </c>
      <c r="H1640">
        <v>-52231814</v>
      </c>
      <c r="I1640">
        <v>-125230983</v>
      </c>
      <c r="J1640">
        <v>-16650082</v>
      </c>
      <c r="K1640">
        <v>-12470180</v>
      </c>
      <c r="L1640">
        <v>-50192956</v>
      </c>
      <c r="M1640">
        <v>-158950969</v>
      </c>
      <c r="N1640">
        <v>-70094630</v>
      </c>
      <c r="O1640">
        <v>-73882351</v>
      </c>
      <c r="P1640">
        <v>81</v>
      </c>
      <c r="Q1640" t="s">
        <v>3327</v>
      </c>
    </row>
    <row r="1641" spans="1:17" x14ac:dyDescent="0.3">
      <c r="A1641" t="s">
        <v>32</v>
      </c>
      <c r="B1641" t="str">
        <f>"300492"</f>
        <v>300492</v>
      </c>
      <c r="C1641" t="s">
        <v>3328</v>
      </c>
      <c r="D1641" t="s">
        <v>645</v>
      </c>
      <c r="E1641">
        <v>-8156817</v>
      </c>
      <c r="F1641">
        <v>-2569259</v>
      </c>
      <c r="G1641">
        <v>-17287762</v>
      </c>
      <c r="H1641">
        <v>-15378813</v>
      </c>
      <c r="I1641">
        <v>6512153</v>
      </c>
      <c r="J1641">
        <v>-9168859</v>
      </c>
      <c r="K1641">
        <v>-17675719</v>
      </c>
      <c r="L1641">
        <v>-11799049</v>
      </c>
      <c r="M1641">
        <v>-26826904</v>
      </c>
      <c r="P1641">
        <v>94</v>
      </c>
      <c r="Q1641" t="s">
        <v>3329</v>
      </c>
    </row>
    <row r="1642" spans="1:17" x14ac:dyDescent="0.3">
      <c r="A1642" t="s">
        <v>32</v>
      </c>
      <c r="B1642" t="str">
        <f>"002552"</f>
        <v>002552</v>
      </c>
      <c r="C1642" t="s">
        <v>3330</v>
      </c>
      <c r="D1642" t="s">
        <v>135</v>
      </c>
      <c r="E1642">
        <v>-8200887</v>
      </c>
      <c r="F1642">
        <v>27743192</v>
      </c>
      <c r="G1642">
        <v>-2807554</v>
      </c>
      <c r="H1642">
        <v>-10231466</v>
      </c>
      <c r="I1642">
        <v>-17457383</v>
      </c>
      <c r="J1642">
        <v>-873975</v>
      </c>
      <c r="K1642">
        <v>26979162</v>
      </c>
      <c r="L1642">
        <v>11129491</v>
      </c>
      <c r="M1642">
        <v>-22568892</v>
      </c>
      <c r="N1642">
        <v>-33485152</v>
      </c>
      <c r="O1642">
        <v>-9289871</v>
      </c>
      <c r="P1642">
        <v>83</v>
      </c>
      <c r="Q1642" t="s">
        <v>3331</v>
      </c>
    </row>
    <row r="1643" spans="1:17" x14ac:dyDescent="0.3">
      <c r="A1643" t="s">
        <v>17</v>
      </c>
      <c r="B1643" t="str">
        <f>"600980"</f>
        <v>600980</v>
      </c>
      <c r="C1643" t="s">
        <v>3332</v>
      </c>
      <c r="D1643" t="s">
        <v>121</v>
      </c>
      <c r="E1643">
        <v>-8211249</v>
      </c>
      <c r="F1643">
        <v>7277378</v>
      </c>
      <c r="G1643">
        <v>11348820</v>
      </c>
      <c r="H1643">
        <v>22240427</v>
      </c>
      <c r="I1643">
        <v>-25735627</v>
      </c>
      <c r="J1643">
        <v>-22890884</v>
      </c>
      <c r="K1643">
        <v>-51904170</v>
      </c>
      <c r="L1643">
        <v>-23114946</v>
      </c>
      <c r="M1643">
        <v>-9945588</v>
      </c>
      <c r="N1643">
        <v>-46865</v>
      </c>
      <c r="O1643">
        <v>-17167550</v>
      </c>
      <c r="P1643">
        <v>97</v>
      </c>
      <c r="Q1643" t="s">
        <v>3333</v>
      </c>
    </row>
    <row r="1644" spans="1:17" x14ac:dyDescent="0.3">
      <c r="A1644" t="s">
        <v>32</v>
      </c>
      <c r="B1644" t="str">
        <f>"300585"</f>
        <v>300585</v>
      </c>
      <c r="C1644" t="s">
        <v>3334</v>
      </c>
      <c r="D1644" t="s">
        <v>199</v>
      </c>
      <c r="E1644">
        <v>-8227560</v>
      </c>
      <c r="F1644">
        <v>-11081907</v>
      </c>
      <c r="G1644">
        <v>7199350</v>
      </c>
      <c r="H1644">
        <v>7949400</v>
      </c>
      <c r="I1644">
        <v>-3255994</v>
      </c>
      <c r="J1644">
        <v>-23953240</v>
      </c>
      <c r="K1644">
        <v>5521354</v>
      </c>
      <c r="P1644">
        <v>92</v>
      </c>
      <c r="Q1644" t="s">
        <v>3335</v>
      </c>
    </row>
    <row r="1645" spans="1:17" x14ac:dyDescent="0.3">
      <c r="A1645" t="s">
        <v>17</v>
      </c>
      <c r="B1645" t="str">
        <f>"600289"</f>
        <v>600289</v>
      </c>
      <c r="C1645" t="s">
        <v>3336</v>
      </c>
      <c r="D1645" t="s">
        <v>57</v>
      </c>
      <c r="E1645">
        <v>-8264458</v>
      </c>
      <c r="F1645">
        <v>-154448692</v>
      </c>
      <c r="G1645">
        <v>-91842801</v>
      </c>
      <c r="H1645">
        <v>-82400884</v>
      </c>
      <c r="I1645">
        <v>-112489755</v>
      </c>
      <c r="J1645">
        <v>-165931339</v>
      </c>
      <c r="K1645">
        <v>-170524745</v>
      </c>
      <c r="L1645">
        <v>-80450850</v>
      </c>
      <c r="M1645">
        <v>-71107951</v>
      </c>
      <c r="N1645">
        <v>-158371752</v>
      </c>
      <c r="O1645">
        <v>-23736760</v>
      </c>
      <c r="P1645">
        <v>74</v>
      </c>
      <c r="Q1645" t="s">
        <v>3337</v>
      </c>
    </row>
    <row r="1646" spans="1:17" x14ac:dyDescent="0.3">
      <c r="A1646" t="s">
        <v>17</v>
      </c>
      <c r="B1646" t="str">
        <f>"605178"</f>
        <v>605178</v>
      </c>
      <c r="C1646" t="s">
        <v>3338</v>
      </c>
      <c r="D1646" t="s">
        <v>645</v>
      </c>
      <c r="E1646">
        <v>-8273813</v>
      </c>
      <c r="F1646">
        <v>-145695398</v>
      </c>
      <c r="G1646">
        <v>-71535012</v>
      </c>
      <c r="H1646">
        <v>-245176242</v>
      </c>
      <c r="P1646">
        <v>49</v>
      </c>
      <c r="Q1646" t="s">
        <v>3339</v>
      </c>
    </row>
    <row r="1647" spans="1:17" x14ac:dyDescent="0.3">
      <c r="A1647" t="s">
        <v>17</v>
      </c>
      <c r="B1647" t="str">
        <f>"603991"</f>
        <v>603991</v>
      </c>
      <c r="C1647" t="s">
        <v>3340</v>
      </c>
      <c r="D1647" t="s">
        <v>144</v>
      </c>
      <c r="E1647">
        <v>-8321582</v>
      </c>
      <c r="F1647">
        <v>25222538</v>
      </c>
      <c r="G1647">
        <v>4708682</v>
      </c>
      <c r="H1647">
        <v>-51866617</v>
      </c>
      <c r="I1647">
        <v>-69362546</v>
      </c>
      <c r="J1647">
        <v>-60593990</v>
      </c>
      <c r="K1647">
        <v>-22573535</v>
      </c>
      <c r="P1647">
        <v>96</v>
      </c>
      <c r="Q1647" t="s">
        <v>3341</v>
      </c>
    </row>
    <row r="1648" spans="1:17" x14ac:dyDescent="0.3">
      <c r="A1648" t="s">
        <v>32</v>
      </c>
      <c r="B1648" t="str">
        <f>"300795"</f>
        <v>300795</v>
      </c>
      <c r="C1648" t="s">
        <v>3342</v>
      </c>
      <c r="D1648" t="s">
        <v>497</v>
      </c>
      <c r="E1648">
        <v>-8549996</v>
      </c>
      <c r="F1648">
        <v>-16663417</v>
      </c>
      <c r="G1648">
        <v>-25718749</v>
      </c>
      <c r="H1648">
        <v>-25398081</v>
      </c>
      <c r="P1648">
        <v>109</v>
      </c>
      <c r="Q1648" t="s">
        <v>3343</v>
      </c>
    </row>
    <row r="1649" spans="1:17" x14ac:dyDescent="0.3">
      <c r="A1649" t="s">
        <v>32</v>
      </c>
      <c r="B1649" t="str">
        <f>"301187"</f>
        <v>301187</v>
      </c>
      <c r="C1649" t="s">
        <v>3344</v>
      </c>
      <c r="E1649">
        <v>-8596362</v>
      </c>
      <c r="G1649">
        <v>-20663067</v>
      </c>
      <c r="P1649">
        <v>1</v>
      </c>
      <c r="Q1649" t="s">
        <v>3345</v>
      </c>
    </row>
    <row r="1650" spans="1:17" x14ac:dyDescent="0.3">
      <c r="A1650" t="s">
        <v>32</v>
      </c>
      <c r="B1650" t="str">
        <f>"002691"</f>
        <v>002691</v>
      </c>
      <c r="C1650" t="s">
        <v>3346</v>
      </c>
      <c r="D1650" t="s">
        <v>135</v>
      </c>
      <c r="E1650">
        <v>-8687324</v>
      </c>
      <c r="F1650">
        <v>-4327180</v>
      </c>
      <c r="G1650">
        <v>-12361339</v>
      </c>
      <c r="H1650">
        <v>-11716623</v>
      </c>
      <c r="I1650">
        <v>-19821500</v>
      </c>
      <c r="J1650">
        <v>-33023</v>
      </c>
      <c r="K1650">
        <v>-43611352</v>
      </c>
      <c r="L1650">
        <v>-102110388</v>
      </c>
      <c r="M1650">
        <v>-6377757</v>
      </c>
      <c r="N1650">
        <v>-23645170</v>
      </c>
      <c r="O1650">
        <v>24665159</v>
      </c>
      <c r="P1650">
        <v>54</v>
      </c>
      <c r="Q1650" t="s">
        <v>3347</v>
      </c>
    </row>
    <row r="1651" spans="1:17" x14ac:dyDescent="0.3">
      <c r="A1651" t="s">
        <v>17</v>
      </c>
      <c r="B1651" t="str">
        <f>"605378"</f>
        <v>605378</v>
      </c>
      <c r="C1651" t="s">
        <v>3348</v>
      </c>
      <c r="D1651" t="s">
        <v>464</v>
      </c>
      <c r="E1651">
        <v>-8727462</v>
      </c>
      <c r="F1651">
        <v>-60097070</v>
      </c>
      <c r="G1651">
        <v>-14597067</v>
      </c>
      <c r="P1651">
        <v>32</v>
      </c>
      <c r="Q1651" t="s">
        <v>3349</v>
      </c>
    </row>
    <row r="1652" spans="1:17" x14ac:dyDescent="0.3">
      <c r="A1652" t="s">
        <v>17</v>
      </c>
      <c r="B1652" t="str">
        <f>"600191"</f>
        <v>600191</v>
      </c>
      <c r="C1652" t="s">
        <v>3350</v>
      </c>
      <c r="D1652" t="s">
        <v>175</v>
      </c>
      <c r="E1652">
        <v>-8888588</v>
      </c>
      <c r="F1652">
        <v>-6197865</v>
      </c>
      <c r="G1652">
        <v>-5078831</v>
      </c>
      <c r="H1652">
        <v>-9587912</v>
      </c>
      <c r="I1652">
        <v>-4468429</v>
      </c>
      <c r="J1652">
        <v>-11168640</v>
      </c>
      <c r="K1652">
        <v>-15742743</v>
      </c>
      <c r="L1652">
        <v>-20247393</v>
      </c>
      <c r="M1652">
        <v>-12894821</v>
      </c>
      <c r="N1652">
        <v>-31774468</v>
      </c>
      <c r="O1652">
        <v>-30637227</v>
      </c>
      <c r="P1652">
        <v>121</v>
      </c>
      <c r="Q1652" t="s">
        <v>3351</v>
      </c>
    </row>
    <row r="1653" spans="1:17" x14ac:dyDescent="0.3">
      <c r="A1653" t="s">
        <v>32</v>
      </c>
      <c r="B1653" t="str">
        <f>"000017"</f>
        <v>000017</v>
      </c>
      <c r="C1653" t="s">
        <v>3352</v>
      </c>
      <c r="D1653" t="s">
        <v>199</v>
      </c>
      <c r="E1653">
        <v>-8930327</v>
      </c>
      <c r="F1653">
        <v>1393205</v>
      </c>
      <c r="G1653">
        <v>459866</v>
      </c>
      <c r="H1653">
        <v>-6105394</v>
      </c>
      <c r="I1653">
        <v>832924</v>
      </c>
      <c r="J1653">
        <v>-1437760</v>
      </c>
      <c r="K1653">
        <v>-2231999</v>
      </c>
      <c r="L1653">
        <v>-2974767</v>
      </c>
      <c r="M1653">
        <v>2521352</v>
      </c>
      <c r="N1653">
        <v>-18024320</v>
      </c>
      <c r="O1653">
        <v>-1171810</v>
      </c>
      <c r="P1653">
        <v>64</v>
      </c>
      <c r="Q1653" t="s">
        <v>3353</v>
      </c>
    </row>
    <row r="1654" spans="1:17" x14ac:dyDescent="0.3">
      <c r="A1654" t="s">
        <v>17</v>
      </c>
      <c r="B1654" t="str">
        <f>"603648"</f>
        <v>603648</v>
      </c>
      <c r="C1654" t="s">
        <v>3354</v>
      </c>
      <c r="D1654" t="s">
        <v>46</v>
      </c>
      <c r="E1654">
        <v>-9107443</v>
      </c>
      <c r="F1654">
        <v>12095868</v>
      </c>
      <c r="G1654">
        <v>-9811065</v>
      </c>
      <c r="H1654">
        <v>-100017993</v>
      </c>
      <c r="I1654">
        <v>-189595855</v>
      </c>
      <c r="J1654">
        <v>82701819</v>
      </c>
      <c r="P1654">
        <v>72</v>
      </c>
      <c r="Q1654" t="s">
        <v>3355</v>
      </c>
    </row>
    <row r="1655" spans="1:17" x14ac:dyDescent="0.3">
      <c r="A1655" t="s">
        <v>32</v>
      </c>
      <c r="B1655" t="str">
        <f>"002820"</f>
        <v>002820</v>
      </c>
      <c r="C1655" t="s">
        <v>3356</v>
      </c>
      <c r="D1655" t="s">
        <v>172</v>
      </c>
      <c r="E1655">
        <v>-9123493</v>
      </c>
      <c r="F1655">
        <v>22872973</v>
      </c>
      <c r="G1655">
        <v>14827319</v>
      </c>
      <c r="H1655">
        <v>26256520</v>
      </c>
      <c r="I1655">
        <v>22644595</v>
      </c>
      <c r="J1655">
        <v>14960882</v>
      </c>
      <c r="K1655">
        <v>23345114</v>
      </c>
      <c r="P1655">
        <v>146</v>
      </c>
      <c r="Q1655" t="s">
        <v>3357</v>
      </c>
    </row>
    <row r="1656" spans="1:17" x14ac:dyDescent="0.3">
      <c r="A1656" t="s">
        <v>32</v>
      </c>
      <c r="B1656" t="str">
        <f>"300731"</f>
        <v>300731</v>
      </c>
      <c r="C1656" t="s">
        <v>3358</v>
      </c>
      <c r="D1656" t="s">
        <v>144</v>
      </c>
      <c r="E1656">
        <v>-9138739</v>
      </c>
      <c r="F1656">
        <v>-50483520</v>
      </c>
      <c r="G1656">
        <v>-5528475</v>
      </c>
      <c r="H1656">
        <v>-6845187</v>
      </c>
      <c r="I1656">
        <v>10561535</v>
      </c>
      <c r="J1656">
        <v>5969691</v>
      </c>
      <c r="P1656">
        <v>186</v>
      </c>
      <c r="Q1656" t="s">
        <v>3359</v>
      </c>
    </row>
    <row r="1657" spans="1:17" x14ac:dyDescent="0.3">
      <c r="A1657" t="s">
        <v>32</v>
      </c>
      <c r="B1657" t="str">
        <f>"000518"</f>
        <v>000518</v>
      </c>
      <c r="C1657" t="s">
        <v>3360</v>
      </c>
      <c r="D1657" t="s">
        <v>98</v>
      </c>
      <c r="E1657">
        <v>-9153283</v>
      </c>
      <c r="F1657">
        <v>-18535991</v>
      </c>
      <c r="G1657">
        <v>33442828</v>
      </c>
      <c r="H1657">
        <v>-15014317</v>
      </c>
      <c r="I1657">
        <v>3370767</v>
      </c>
      <c r="J1657">
        <v>-33451080</v>
      </c>
      <c r="K1657">
        <v>21536178</v>
      </c>
      <c r="L1657">
        <v>-1290507</v>
      </c>
      <c r="M1657">
        <v>-11742997</v>
      </c>
      <c r="N1657">
        <v>-8316547</v>
      </c>
      <c r="O1657">
        <v>-15631725</v>
      </c>
      <c r="P1657">
        <v>171</v>
      </c>
      <c r="Q1657" t="s">
        <v>3361</v>
      </c>
    </row>
    <row r="1658" spans="1:17" x14ac:dyDescent="0.3">
      <c r="A1658" t="s">
        <v>17</v>
      </c>
      <c r="B1658" t="str">
        <f>"600695"</f>
        <v>600695</v>
      </c>
      <c r="C1658" t="s">
        <v>3362</v>
      </c>
      <c r="D1658" t="s">
        <v>26</v>
      </c>
      <c r="E1658">
        <v>-9163295</v>
      </c>
      <c r="F1658">
        <v>-10555407</v>
      </c>
      <c r="G1658">
        <v>-18454422</v>
      </c>
      <c r="H1658">
        <v>-4253269</v>
      </c>
      <c r="I1658">
        <v>-16913590</v>
      </c>
      <c r="J1658">
        <v>35727041</v>
      </c>
      <c r="K1658">
        <v>-72327695</v>
      </c>
      <c r="L1658">
        <v>28375409</v>
      </c>
      <c r="M1658">
        <v>-9381372</v>
      </c>
      <c r="N1658">
        <v>-24244277</v>
      </c>
      <c r="O1658">
        <v>-40518676</v>
      </c>
      <c r="P1658">
        <v>74</v>
      </c>
      <c r="Q1658" t="s">
        <v>3363</v>
      </c>
    </row>
    <row r="1659" spans="1:17" x14ac:dyDescent="0.3">
      <c r="A1659" t="s">
        <v>17</v>
      </c>
      <c r="B1659" t="str">
        <f>"688318"</f>
        <v>688318</v>
      </c>
      <c r="C1659" t="s">
        <v>3364</v>
      </c>
      <c r="D1659" t="s">
        <v>342</v>
      </c>
      <c r="E1659">
        <v>-9185341</v>
      </c>
      <c r="F1659">
        <v>6998079</v>
      </c>
      <c r="G1659">
        <v>-6453435</v>
      </c>
      <c r="H1659">
        <v>2008491</v>
      </c>
      <c r="P1659">
        <v>155</v>
      </c>
      <c r="Q1659" t="s">
        <v>3365</v>
      </c>
    </row>
    <row r="1660" spans="1:17" x14ac:dyDescent="0.3">
      <c r="A1660" t="s">
        <v>32</v>
      </c>
      <c r="B1660" t="str">
        <f>"000663"</f>
        <v>000663</v>
      </c>
      <c r="C1660" t="s">
        <v>3366</v>
      </c>
      <c r="D1660" t="s">
        <v>455</v>
      </c>
      <c r="E1660">
        <v>-9189378</v>
      </c>
      <c r="F1660">
        <v>-22580065</v>
      </c>
      <c r="G1660">
        <v>4521181</v>
      </c>
      <c r="H1660">
        <v>-6695037</v>
      </c>
      <c r="I1660">
        <v>-159376293</v>
      </c>
      <c r="J1660">
        <v>-33504954</v>
      </c>
      <c r="K1660">
        <v>-47307232</v>
      </c>
      <c r="L1660">
        <v>-12101284</v>
      </c>
      <c r="M1660">
        <v>-32781668</v>
      </c>
      <c r="N1660">
        <v>-16943823</v>
      </c>
      <c r="O1660">
        <v>5589820</v>
      </c>
      <c r="P1660">
        <v>93</v>
      </c>
      <c r="Q1660" t="s">
        <v>3367</v>
      </c>
    </row>
    <row r="1661" spans="1:17" x14ac:dyDescent="0.3">
      <c r="A1661" t="s">
        <v>17</v>
      </c>
      <c r="B1661" t="str">
        <f>"688190"</f>
        <v>688190</v>
      </c>
      <c r="C1661" t="s">
        <v>3368</v>
      </c>
      <c r="D1661" t="s">
        <v>121</v>
      </c>
      <c r="E1661">
        <v>-9263952</v>
      </c>
      <c r="P1661">
        <v>15</v>
      </c>
      <c r="Q1661" t="s">
        <v>3369</v>
      </c>
    </row>
    <row r="1662" spans="1:17" x14ac:dyDescent="0.3">
      <c r="A1662" t="s">
        <v>17</v>
      </c>
      <c r="B1662" t="str">
        <f>"603507"</f>
        <v>603507</v>
      </c>
      <c r="C1662" t="s">
        <v>3370</v>
      </c>
      <c r="D1662" t="s">
        <v>464</v>
      </c>
      <c r="E1662">
        <v>-9267220</v>
      </c>
      <c r="F1662">
        <v>-26781330</v>
      </c>
      <c r="G1662">
        <v>1716485</v>
      </c>
      <c r="H1662">
        <v>-153947387</v>
      </c>
      <c r="I1662">
        <v>-95179067</v>
      </c>
      <c r="J1662">
        <v>-26119726</v>
      </c>
      <c r="P1662">
        <v>135</v>
      </c>
      <c r="Q1662" t="s">
        <v>3371</v>
      </c>
    </row>
    <row r="1663" spans="1:17" x14ac:dyDescent="0.3">
      <c r="A1663" t="s">
        <v>17</v>
      </c>
      <c r="B1663" t="str">
        <f>"600766"</f>
        <v>600766</v>
      </c>
      <c r="C1663" t="s">
        <v>3372</v>
      </c>
      <c r="D1663" t="s">
        <v>121</v>
      </c>
      <c r="E1663">
        <v>-9322751</v>
      </c>
      <c r="F1663">
        <v>-1081631</v>
      </c>
      <c r="G1663">
        <v>63910</v>
      </c>
      <c r="H1663">
        <v>-83931</v>
      </c>
      <c r="I1663">
        <v>1333620</v>
      </c>
      <c r="J1663">
        <v>-1025115</v>
      </c>
      <c r="K1663">
        <v>-1528943</v>
      </c>
      <c r="L1663">
        <v>994086</v>
      </c>
      <c r="M1663">
        <v>1713972</v>
      </c>
      <c r="N1663">
        <v>-1751797</v>
      </c>
      <c r="O1663">
        <v>59775335</v>
      </c>
      <c r="P1663">
        <v>79</v>
      </c>
      <c r="Q1663" t="s">
        <v>3373</v>
      </c>
    </row>
    <row r="1664" spans="1:17" x14ac:dyDescent="0.3">
      <c r="A1664" t="s">
        <v>17</v>
      </c>
      <c r="B1664" t="str">
        <f>"600226"</f>
        <v>600226</v>
      </c>
      <c r="C1664" t="s">
        <v>3374</v>
      </c>
      <c r="D1664" t="s">
        <v>245</v>
      </c>
      <c r="E1664">
        <v>-9359091</v>
      </c>
      <c r="F1664">
        <v>102200708</v>
      </c>
      <c r="G1664">
        <v>-25206832</v>
      </c>
      <c r="H1664">
        <v>-299534794</v>
      </c>
      <c r="I1664">
        <v>-233278042</v>
      </c>
      <c r="J1664">
        <v>-77849430</v>
      </c>
      <c r="K1664">
        <v>-72649451</v>
      </c>
      <c r="L1664">
        <v>897511</v>
      </c>
      <c r="M1664">
        <v>-47591518</v>
      </c>
      <c r="N1664">
        <v>-65726056</v>
      </c>
      <c r="O1664">
        <v>8530700</v>
      </c>
      <c r="P1664">
        <v>109</v>
      </c>
      <c r="Q1664" t="s">
        <v>3375</v>
      </c>
    </row>
    <row r="1665" spans="1:17" x14ac:dyDescent="0.3">
      <c r="A1665" t="s">
        <v>32</v>
      </c>
      <c r="B1665" t="str">
        <f>"000159"</f>
        <v>000159</v>
      </c>
      <c r="C1665" t="s">
        <v>3376</v>
      </c>
      <c r="D1665" t="s">
        <v>64</v>
      </c>
      <c r="E1665">
        <v>-9471007</v>
      </c>
      <c r="F1665">
        <v>-66335765</v>
      </c>
      <c r="G1665">
        <v>-43834954</v>
      </c>
      <c r="H1665">
        <v>-134585357</v>
      </c>
      <c r="I1665">
        <v>-18585111</v>
      </c>
      <c r="J1665">
        <v>-81790394</v>
      </c>
      <c r="K1665">
        <v>-41768633</v>
      </c>
      <c r="L1665">
        <v>-105361876</v>
      </c>
      <c r="M1665">
        <v>25419481</v>
      </c>
      <c r="N1665">
        <v>-27155888</v>
      </c>
      <c r="O1665">
        <v>-21705733</v>
      </c>
      <c r="P1665">
        <v>100</v>
      </c>
      <c r="Q1665" t="s">
        <v>3377</v>
      </c>
    </row>
    <row r="1666" spans="1:17" x14ac:dyDescent="0.3">
      <c r="A1666" t="s">
        <v>17</v>
      </c>
      <c r="B1666" t="str">
        <f>"688085"</f>
        <v>688085</v>
      </c>
      <c r="C1666" t="s">
        <v>3378</v>
      </c>
      <c r="D1666" t="s">
        <v>98</v>
      </c>
      <c r="E1666">
        <v>-9552014</v>
      </c>
      <c r="F1666">
        <v>-26500933</v>
      </c>
      <c r="G1666">
        <v>-9486325</v>
      </c>
      <c r="H1666">
        <v>-1584685</v>
      </c>
      <c r="P1666">
        <v>197</v>
      </c>
      <c r="Q1666" t="s">
        <v>3379</v>
      </c>
    </row>
    <row r="1667" spans="1:17" x14ac:dyDescent="0.3">
      <c r="A1667" t="s">
        <v>17</v>
      </c>
      <c r="B1667" t="str">
        <f>"688668"</f>
        <v>688668</v>
      </c>
      <c r="C1667" t="s">
        <v>3380</v>
      </c>
      <c r="D1667" t="s">
        <v>57</v>
      </c>
      <c r="E1667">
        <v>-9590672</v>
      </c>
      <c r="F1667">
        <v>-25476434</v>
      </c>
      <c r="G1667">
        <v>-19000845</v>
      </c>
      <c r="P1667">
        <v>44</v>
      </c>
      <c r="Q1667" t="s">
        <v>3381</v>
      </c>
    </row>
    <row r="1668" spans="1:17" x14ac:dyDescent="0.3">
      <c r="A1668" t="s">
        <v>32</v>
      </c>
      <c r="B1668" t="str">
        <f>"002175"</f>
        <v>002175</v>
      </c>
      <c r="C1668" t="s">
        <v>3382</v>
      </c>
      <c r="D1668" t="s">
        <v>345</v>
      </c>
      <c r="E1668">
        <v>-9625925</v>
      </c>
      <c r="F1668">
        <v>-22718944</v>
      </c>
      <c r="G1668">
        <v>-524492</v>
      </c>
      <c r="H1668">
        <v>-29357941</v>
      </c>
      <c r="I1668">
        <v>-33131441</v>
      </c>
      <c r="J1668">
        <v>-27305780</v>
      </c>
      <c r="K1668">
        <v>-108256883</v>
      </c>
      <c r="L1668">
        <v>-66386589</v>
      </c>
      <c r="M1668">
        <v>-13212462</v>
      </c>
      <c r="N1668">
        <v>-7141633</v>
      </c>
      <c r="O1668">
        <v>-5364988</v>
      </c>
      <c r="P1668">
        <v>79</v>
      </c>
      <c r="Q1668" t="s">
        <v>3383</v>
      </c>
    </row>
    <row r="1669" spans="1:17" x14ac:dyDescent="0.3">
      <c r="A1669" t="s">
        <v>17</v>
      </c>
      <c r="B1669" t="str">
        <f>"600847"</f>
        <v>600847</v>
      </c>
      <c r="C1669" t="s">
        <v>3384</v>
      </c>
      <c r="D1669" t="s">
        <v>464</v>
      </c>
      <c r="E1669">
        <v>-9630615</v>
      </c>
      <c r="F1669">
        <v>-48855233</v>
      </c>
      <c r="G1669">
        <v>-29837066</v>
      </c>
      <c r="H1669">
        <v>-17953879</v>
      </c>
      <c r="I1669">
        <v>-3730876</v>
      </c>
      <c r="J1669">
        <v>-49651018</v>
      </c>
      <c r="K1669">
        <v>-16042198</v>
      </c>
      <c r="L1669">
        <v>-13845256</v>
      </c>
      <c r="M1669">
        <v>-57220875</v>
      </c>
      <c r="N1669">
        <v>2609810</v>
      </c>
      <c r="O1669">
        <v>4082160</v>
      </c>
      <c r="P1669">
        <v>54</v>
      </c>
      <c r="Q1669" t="s">
        <v>3385</v>
      </c>
    </row>
    <row r="1670" spans="1:17" x14ac:dyDescent="0.3">
      <c r="A1670" t="s">
        <v>32</v>
      </c>
      <c r="B1670" t="str">
        <f>"300400"</f>
        <v>300400</v>
      </c>
      <c r="C1670" t="s">
        <v>3386</v>
      </c>
      <c r="D1670" t="s">
        <v>135</v>
      </c>
      <c r="E1670">
        <v>-9670560</v>
      </c>
      <c r="F1670">
        <v>38265669</v>
      </c>
      <c r="G1670">
        <v>43479284</v>
      </c>
      <c r="H1670">
        <v>-7545215</v>
      </c>
      <c r="I1670">
        <v>-28610366</v>
      </c>
      <c r="J1670">
        <v>14000511</v>
      </c>
      <c r="K1670">
        <v>1443352</v>
      </c>
      <c r="L1670">
        <v>3413167</v>
      </c>
      <c r="M1670">
        <v>488187</v>
      </c>
      <c r="P1670">
        <v>273</v>
      </c>
      <c r="Q1670" t="s">
        <v>3387</v>
      </c>
    </row>
    <row r="1671" spans="1:17" x14ac:dyDescent="0.3">
      <c r="A1671" t="s">
        <v>32</v>
      </c>
      <c r="B1671" t="str">
        <f>"002597"</f>
        <v>002597</v>
      </c>
      <c r="C1671" t="s">
        <v>3388</v>
      </c>
      <c r="D1671" t="s">
        <v>144</v>
      </c>
      <c r="E1671">
        <v>-9729031</v>
      </c>
      <c r="F1671">
        <v>-364694106</v>
      </c>
      <c r="G1671">
        <v>-63581638</v>
      </c>
      <c r="H1671">
        <v>-244930641</v>
      </c>
      <c r="I1671">
        <v>39947283</v>
      </c>
      <c r="J1671">
        <v>-67989723</v>
      </c>
      <c r="K1671">
        <v>146881569</v>
      </c>
      <c r="L1671">
        <v>2386354</v>
      </c>
      <c r="M1671">
        <v>-43277444</v>
      </c>
      <c r="N1671">
        <v>-79382470</v>
      </c>
      <c r="O1671">
        <v>-77351080</v>
      </c>
      <c r="P1671">
        <v>1880</v>
      </c>
      <c r="Q1671" t="s">
        <v>3389</v>
      </c>
    </row>
    <row r="1672" spans="1:17" x14ac:dyDescent="0.3">
      <c r="A1672" t="s">
        <v>32</v>
      </c>
      <c r="B1672" t="str">
        <f>"000691"</f>
        <v>000691</v>
      </c>
      <c r="C1672" t="s">
        <v>3390</v>
      </c>
      <c r="D1672" t="s">
        <v>151</v>
      </c>
      <c r="E1672">
        <v>-9884779</v>
      </c>
      <c r="F1672">
        <v>2477967</v>
      </c>
      <c r="G1672">
        <v>-20732671</v>
      </c>
      <c r="H1672">
        <v>1979100</v>
      </c>
      <c r="I1672">
        <v>-1038793</v>
      </c>
      <c r="J1672">
        <v>10251909</v>
      </c>
      <c r="K1672">
        <v>-9645483</v>
      </c>
      <c r="L1672">
        <v>-294536</v>
      </c>
      <c r="M1672">
        <v>4470845</v>
      </c>
      <c r="N1672">
        <v>4105084</v>
      </c>
      <c r="O1672">
        <v>-798904</v>
      </c>
      <c r="P1672">
        <v>91</v>
      </c>
      <c r="Q1672" t="s">
        <v>3391</v>
      </c>
    </row>
    <row r="1673" spans="1:17" x14ac:dyDescent="0.3">
      <c r="A1673" t="s">
        <v>17</v>
      </c>
      <c r="B1673" t="str">
        <f>"600137"</f>
        <v>600137</v>
      </c>
      <c r="C1673" t="s">
        <v>3392</v>
      </c>
      <c r="D1673" t="s">
        <v>130</v>
      </c>
      <c r="E1673">
        <v>-9912985</v>
      </c>
      <c r="F1673">
        <v>-17820372</v>
      </c>
      <c r="G1673">
        <v>-30483510</v>
      </c>
      <c r="H1673">
        <v>-7575352</v>
      </c>
      <c r="I1673">
        <v>-13150228</v>
      </c>
      <c r="J1673">
        <v>-18366401</v>
      </c>
      <c r="K1673">
        <v>-6872804</v>
      </c>
      <c r="L1673">
        <v>-7477885</v>
      </c>
      <c r="M1673">
        <v>-15293500</v>
      </c>
      <c r="N1673">
        <v>-11908480</v>
      </c>
      <c r="O1673">
        <v>-37184909</v>
      </c>
      <c r="P1673">
        <v>76</v>
      </c>
      <c r="Q1673" t="s">
        <v>3393</v>
      </c>
    </row>
    <row r="1674" spans="1:17" x14ac:dyDescent="0.3">
      <c r="A1674" t="s">
        <v>32</v>
      </c>
      <c r="B1674" t="str">
        <f>"000802"</f>
        <v>000802</v>
      </c>
      <c r="C1674" t="s">
        <v>3394</v>
      </c>
      <c r="D1674" t="s">
        <v>245</v>
      </c>
      <c r="E1674">
        <v>-9919671</v>
      </c>
      <c r="F1674">
        <v>707935778</v>
      </c>
      <c r="G1674">
        <v>-130973498</v>
      </c>
      <c r="H1674">
        <v>-628363026</v>
      </c>
      <c r="I1674">
        <v>-159089587</v>
      </c>
      <c r="J1674">
        <v>-373280378</v>
      </c>
      <c r="K1674">
        <v>-76962295</v>
      </c>
      <c r="L1674">
        <v>34576058</v>
      </c>
      <c r="M1674">
        <v>-49777856</v>
      </c>
      <c r="N1674">
        <v>-10187154</v>
      </c>
      <c r="O1674">
        <v>-6239069</v>
      </c>
      <c r="P1674">
        <v>205</v>
      </c>
      <c r="Q1674" t="s">
        <v>3395</v>
      </c>
    </row>
    <row r="1675" spans="1:17" x14ac:dyDescent="0.3">
      <c r="A1675" t="s">
        <v>32</v>
      </c>
      <c r="B1675" t="str">
        <f>"002326"</f>
        <v>002326</v>
      </c>
      <c r="C1675" t="s">
        <v>3396</v>
      </c>
      <c r="D1675" t="s">
        <v>144</v>
      </c>
      <c r="E1675">
        <v>-9952007</v>
      </c>
      <c r="F1675">
        <v>-262065719</v>
      </c>
      <c r="G1675">
        <v>-151710354</v>
      </c>
      <c r="H1675">
        <v>-122053138</v>
      </c>
      <c r="I1675">
        <v>-174587532</v>
      </c>
      <c r="J1675">
        <v>-243065754</v>
      </c>
      <c r="K1675">
        <v>15200296</v>
      </c>
      <c r="L1675">
        <v>-2444391</v>
      </c>
      <c r="M1675">
        <v>67709250</v>
      </c>
      <c r="N1675">
        <v>-116713738</v>
      </c>
      <c r="O1675">
        <v>11408820</v>
      </c>
      <c r="P1675">
        <v>299</v>
      </c>
      <c r="Q1675" t="s">
        <v>3397</v>
      </c>
    </row>
    <row r="1676" spans="1:17" x14ac:dyDescent="0.3">
      <c r="A1676" t="s">
        <v>17</v>
      </c>
      <c r="B1676" t="str">
        <f>"688206"</f>
        <v>688206</v>
      </c>
      <c r="C1676" t="s">
        <v>3398</v>
      </c>
      <c r="D1676" t="s">
        <v>124</v>
      </c>
      <c r="E1676">
        <v>-10042634</v>
      </c>
      <c r="P1676">
        <v>26</v>
      </c>
      <c r="Q1676" t="s">
        <v>3399</v>
      </c>
    </row>
    <row r="1677" spans="1:17" x14ac:dyDescent="0.3">
      <c r="A1677" t="s">
        <v>17</v>
      </c>
      <c r="B1677" t="str">
        <f>"688689"</f>
        <v>688689</v>
      </c>
      <c r="C1677" t="s">
        <v>3400</v>
      </c>
      <c r="D1677" t="s">
        <v>124</v>
      </c>
      <c r="E1677">
        <v>-10100777</v>
      </c>
      <c r="F1677">
        <v>-3670172</v>
      </c>
      <c r="G1677">
        <v>9170700</v>
      </c>
      <c r="H1677">
        <v>17945000</v>
      </c>
      <c r="P1677">
        <v>46</v>
      </c>
      <c r="Q1677" t="s">
        <v>3401</v>
      </c>
    </row>
    <row r="1678" spans="1:17" x14ac:dyDescent="0.3">
      <c r="A1678" t="s">
        <v>32</v>
      </c>
      <c r="B1678" t="str">
        <f>"002729"</f>
        <v>002729</v>
      </c>
      <c r="C1678" t="s">
        <v>3402</v>
      </c>
      <c r="D1678" t="s">
        <v>124</v>
      </c>
      <c r="E1678">
        <v>-10106040</v>
      </c>
      <c r="F1678">
        <v>-4025903</v>
      </c>
      <c r="G1678">
        <v>14270996</v>
      </c>
      <c r="H1678">
        <v>12213453</v>
      </c>
      <c r="I1678">
        <v>-6580741</v>
      </c>
      <c r="J1678">
        <v>4518333</v>
      </c>
      <c r="K1678">
        <v>-11972142</v>
      </c>
      <c r="L1678">
        <v>-8457628</v>
      </c>
      <c r="M1678">
        <v>-4230370</v>
      </c>
      <c r="P1678">
        <v>71</v>
      </c>
      <c r="Q1678" t="s">
        <v>3403</v>
      </c>
    </row>
    <row r="1679" spans="1:17" x14ac:dyDescent="0.3">
      <c r="A1679" t="s">
        <v>32</v>
      </c>
      <c r="B1679" t="str">
        <f>"002883"</f>
        <v>002883</v>
      </c>
      <c r="C1679" t="s">
        <v>3404</v>
      </c>
      <c r="D1679" t="s">
        <v>645</v>
      </c>
      <c r="E1679">
        <v>-10171806</v>
      </c>
      <c r="F1679">
        <v>-9928354</v>
      </c>
      <c r="G1679">
        <v>10971568</v>
      </c>
      <c r="H1679">
        <v>24949755</v>
      </c>
      <c r="I1679">
        <v>30572014</v>
      </c>
      <c r="J1679">
        <v>16581865</v>
      </c>
      <c r="K1679">
        <v>21477200</v>
      </c>
      <c r="P1679">
        <v>102</v>
      </c>
      <c r="Q1679" t="s">
        <v>3405</v>
      </c>
    </row>
    <row r="1680" spans="1:17" x14ac:dyDescent="0.3">
      <c r="A1680" t="s">
        <v>17</v>
      </c>
      <c r="B1680" t="str">
        <f>"600243"</f>
        <v>600243</v>
      </c>
      <c r="C1680" t="s">
        <v>3406</v>
      </c>
      <c r="D1680" t="s">
        <v>135</v>
      </c>
      <c r="E1680">
        <v>-10273419</v>
      </c>
      <c r="F1680">
        <v>-72499545</v>
      </c>
      <c r="G1680">
        <v>-22190235</v>
      </c>
      <c r="H1680">
        <v>-39362422</v>
      </c>
      <c r="I1680">
        <v>12215985</v>
      </c>
      <c r="J1680">
        <v>-53688743</v>
      </c>
      <c r="K1680">
        <v>-181930074</v>
      </c>
      <c r="L1680">
        <v>-102497205</v>
      </c>
      <c r="M1680">
        <v>-64462263</v>
      </c>
      <c r="N1680">
        <v>-55246996</v>
      </c>
      <c r="O1680">
        <v>-76148382</v>
      </c>
      <c r="P1680">
        <v>72</v>
      </c>
      <c r="Q1680" t="s">
        <v>3407</v>
      </c>
    </row>
    <row r="1681" spans="1:17" x14ac:dyDescent="0.3">
      <c r="A1681" t="s">
        <v>32</v>
      </c>
      <c r="B1681" t="str">
        <f>"001266"</f>
        <v>001266</v>
      </c>
      <c r="C1681" t="s">
        <v>3408</v>
      </c>
      <c r="E1681">
        <v>-10292822</v>
      </c>
      <c r="F1681">
        <v>-108196056</v>
      </c>
      <c r="P1681">
        <v>8</v>
      </c>
      <c r="Q1681" t="s">
        <v>3409</v>
      </c>
    </row>
    <row r="1682" spans="1:17" x14ac:dyDescent="0.3">
      <c r="A1682" t="s">
        <v>32</v>
      </c>
      <c r="B1682" t="str">
        <f>"002328"</f>
        <v>002328</v>
      </c>
      <c r="C1682" t="s">
        <v>3410</v>
      </c>
      <c r="D1682" t="s">
        <v>199</v>
      </c>
      <c r="E1682">
        <v>-10294216</v>
      </c>
      <c r="F1682">
        <v>13751214</v>
      </c>
      <c r="G1682">
        <v>61756269</v>
      </c>
      <c r="H1682">
        <v>71394241</v>
      </c>
      <c r="I1682">
        <v>-15105603</v>
      </c>
      <c r="J1682">
        <v>-51828181</v>
      </c>
      <c r="K1682">
        <v>87063374</v>
      </c>
      <c r="L1682">
        <v>-159065688</v>
      </c>
      <c r="M1682">
        <v>61036804</v>
      </c>
      <c r="N1682">
        <v>-118708005</v>
      </c>
      <c r="O1682">
        <v>-101285927</v>
      </c>
      <c r="P1682">
        <v>110</v>
      </c>
      <c r="Q1682" t="s">
        <v>3411</v>
      </c>
    </row>
    <row r="1683" spans="1:17" x14ac:dyDescent="0.3">
      <c r="A1683" t="s">
        <v>17</v>
      </c>
      <c r="B1683" t="str">
        <f>"688095"</f>
        <v>688095</v>
      </c>
      <c r="C1683" t="s">
        <v>3412</v>
      </c>
      <c r="D1683" t="s">
        <v>342</v>
      </c>
      <c r="E1683">
        <v>-10337705</v>
      </c>
      <c r="F1683">
        <v>7190319</v>
      </c>
      <c r="G1683">
        <v>12845762</v>
      </c>
      <c r="P1683">
        <v>141</v>
      </c>
      <c r="Q1683" t="s">
        <v>3413</v>
      </c>
    </row>
    <row r="1684" spans="1:17" x14ac:dyDescent="0.3">
      <c r="A1684" t="s">
        <v>32</v>
      </c>
      <c r="B1684" t="str">
        <f>"300463"</f>
        <v>300463</v>
      </c>
      <c r="C1684" t="s">
        <v>3414</v>
      </c>
      <c r="D1684" t="s">
        <v>98</v>
      </c>
      <c r="E1684">
        <v>-10361083</v>
      </c>
      <c r="F1684">
        <v>-32668493</v>
      </c>
      <c r="G1684">
        <v>14520302</v>
      </c>
      <c r="H1684">
        <v>-158799976</v>
      </c>
      <c r="I1684">
        <v>-213627348</v>
      </c>
      <c r="J1684">
        <v>-137232630</v>
      </c>
      <c r="K1684">
        <v>-127082931</v>
      </c>
      <c r="L1684">
        <v>-94249025</v>
      </c>
      <c r="M1684">
        <v>-102722048</v>
      </c>
      <c r="P1684">
        <v>1102</v>
      </c>
      <c r="Q1684" t="s">
        <v>3415</v>
      </c>
    </row>
    <row r="1685" spans="1:17" x14ac:dyDescent="0.3">
      <c r="A1685" t="s">
        <v>17</v>
      </c>
      <c r="B1685" t="str">
        <f>"688222"</f>
        <v>688222</v>
      </c>
      <c r="C1685" t="s">
        <v>3416</v>
      </c>
      <c r="D1685" t="s">
        <v>98</v>
      </c>
      <c r="E1685">
        <v>-10568858</v>
      </c>
      <c r="F1685">
        <v>2720626</v>
      </c>
      <c r="G1685">
        <v>-5957397</v>
      </c>
      <c r="H1685">
        <v>16261742</v>
      </c>
      <c r="P1685">
        <v>128</v>
      </c>
      <c r="Q1685" t="s">
        <v>3417</v>
      </c>
    </row>
    <row r="1686" spans="1:17" x14ac:dyDescent="0.3">
      <c r="A1686" t="s">
        <v>32</v>
      </c>
      <c r="B1686" t="str">
        <f>"301226"</f>
        <v>301226</v>
      </c>
      <c r="C1686" t="s">
        <v>3418</v>
      </c>
      <c r="E1686">
        <v>-10570198</v>
      </c>
      <c r="P1686">
        <v>4</v>
      </c>
      <c r="Q1686" t="s">
        <v>3419</v>
      </c>
    </row>
    <row r="1687" spans="1:17" x14ac:dyDescent="0.3">
      <c r="A1687" t="s">
        <v>17</v>
      </c>
      <c r="B1687" t="str">
        <f>"601279"</f>
        <v>601279</v>
      </c>
      <c r="C1687" t="s">
        <v>3420</v>
      </c>
      <c r="D1687" t="s">
        <v>199</v>
      </c>
      <c r="E1687">
        <v>-10625120</v>
      </c>
      <c r="F1687">
        <v>75355576</v>
      </c>
      <c r="G1687">
        <v>332692081</v>
      </c>
      <c r="P1687">
        <v>43</v>
      </c>
      <c r="Q1687" t="s">
        <v>3421</v>
      </c>
    </row>
    <row r="1688" spans="1:17" x14ac:dyDescent="0.3">
      <c r="A1688" t="s">
        <v>32</v>
      </c>
      <c r="B1688" t="str">
        <f>"002970"</f>
        <v>002970</v>
      </c>
      <c r="C1688" t="s">
        <v>3422</v>
      </c>
      <c r="D1688" t="s">
        <v>342</v>
      </c>
      <c r="E1688">
        <v>-10631421</v>
      </c>
      <c r="F1688">
        <v>-94938682</v>
      </c>
      <c r="G1688">
        <v>-33332807</v>
      </c>
      <c r="H1688">
        <v>-82553838</v>
      </c>
      <c r="P1688">
        <v>563</v>
      </c>
      <c r="Q1688" t="s">
        <v>3423</v>
      </c>
    </row>
    <row r="1689" spans="1:17" x14ac:dyDescent="0.3">
      <c r="A1689" t="s">
        <v>32</v>
      </c>
      <c r="B1689" t="str">
        <f>"002576"</f>
        <v>002576</v>
      </c>
      <c r="C1689" t="s">
        <v>3424</v>
      </c>
      <c r="D1689" t="s">
        <v>464</v>
      </c>
      <c r="E1689">
        <v>-10659264</v>
      </c>
      <c r="F1689">
        <v>-851032</v>
      </c>
      <c r="G1689">
        <v>928108</v>
      </c>
      <c r="H1689">
        <v>35836165</v>
      </c>
      <c r="I1689">
        <v>59940822</v>
      </c>
      <c r="J1689">
        <v>-10952207</v>
      </c>
      <c r="K1689">
        <v>-18374653</v>
      </c>
      <c r="L1689">
        <v>17104037</v>
      </c>
      <c r="M1689">
        <v>-25835191</v>
      </c>
      <c r="N1689">
        <v>-10214868</v>
      </c>
      <c r="O1689">
        <v>-4820467</v>
      </c>
      <c r="P1689">
        <v>123</v>
      </c>
      <c r="Q1689" t="s">
        <v>3425</v>
      </c>
    </row>
    <row r="1690" spans="1:17" x14ac:dyDescent="0.3">
      <c r="A1690" t="s">
        <v>17</v>
      </c>
      <c r="B1690" t="str">
        <f>"600386"</f>
        <v>600386</v>
      </c>
      <c r="C1690" t="s">
        <v>3426</v>
      </c>
      <c r="D1690" t="s">
        <v>199</v>
      </c>
      <c r="E1690">
        <v>-10747070</v>
      </c>
      <c r="F1690">
        <v>-29808091</v>
      </c>
      <c r="G1690">
        <v>-41626545</v>
      </c>
      <c r="H1690">
        <v>-115637361</v>
      </c>
      <c r="I1690">
        <v>-169221754</v>
      </c>
      <c r="J1690">
        <v>17213623</v>
      </c>
      <c r="K1690">
        <v>26898584</v>
      </c>
      <c r="L1690">
        <v>64485275</v>
      </c>
      <c r="M1690">
        <v>81076996</v>
      </c>
      <c r="N1690">
        <v>-22929397</v>
      </c>
      <c r="O1690">
        <v>68821778</v>
      </c>
      <c r="P1690">
        <v>96</v>
      </c>
      <c r="Q1690" t="s">
        <v>3427</v>
      </c>
    </row>
    <row r="1691" spans="1:17" x14ac:dyDescent="0.3">
      <c r="A1691" t="s">
        <v>32</v>
      </c>
      <c r="B1691" t="str">
        <f>"300638"</f>
        <v>300638</v>
      </c>
      <c r="C1691" t="s">
        <v>3428</v>
      </c>
      <c r="D1691" t="s">
        <v>57</v>
      </c>
      <c r="E1691">
        <v>-10790749</v>
      </c>
      <c r="F1691">
        <v>56370001</v>
      </c>
      <c r="G1691">
        <v>34437191</v>
      </c>
      <c r="H1691">
        <v>99464619</v>
      </c>
      <c r="I1691">
        <v>4232696</v>
      </c>
      <c r="J1691">
        <v>-57167211</v>
      </c>
      <c r="K1691">
        <v>-34165769</v>
      </c>
      <c r="P1691">
        <v>760</v>
      </c>
      <c r="Q1691" t="s">
        <v>3429</v>
      </c>
    </row>
    <row r="1692" spans="1:17" x14ac:dyDescent="0.3">
      <c r="A1692" t="s">
        <v>32</v>
      </c>
      <c r="B1692" t="str">
        <f>"300631"</f>
        <v>300631</v>
      </c>
      <c r="C1692" t="s">
        <v>3430</v>
      </c>
      <c r="D1692" t="s">
        <v>1334</v>
      </c>
      <c r="E1692">
        <v>-10890643</v>
      </c>
      <c r="F1692">
        <v>18242138</v>
      </c>
      <c r="G1692">
        <v>-10499040</v>
      </c>
      <c r="H1692">
        <v>-33684073</v>
      </c>
      <c r="I1692">
        <v>25777275</v>
      </c>
      <c r="J1692">
        <v>-38042597</v>
      </c>
      <c r="K1692">
        <v>3179503</v>
      </c>
      <c r="P1692">
        <v>136</v>
      </c>
      <c r="Q1692" t="s">
        <v>3431</v>
      </c>
    </row>
    <row r="1693" spans="1:17" x14ac:dyDescent="0.3">
      <c r="A1693" t="s">
        <v>17</v>
      </c>
      <c r="B1693" t="str">
        <f>"600136"</f>
        <v>600136</v>
      </c>
      <c r="C1693" t="s">
        <v>3432</v>
      </c>
      <c r="D1693" t="s">
        <v>497</v>
      </c>
      <c r="E1693">
        <v>-10916147</v>
      </c>
      <c r="F1693">
        <v>417489228</v>
      </c>
      <c r="G1693">
        <v>411774702</v>
      </c>
      <c r="H1693">
        <v>14469628</v>
      </c>
      <c r="I1693">
        <v>-154359139</v>
      </c>
      <c r="J1693">
        <v>-236471972</v>
      </c>
      <c r="K1693">
        <v>-60386008</v>
      </c>
      <c r="L1693">
        <v>-13887286</v>
      </c>
      <c r="M1693">
        <v>-8589900</v>
      </c>
      <c r="N1693">
        <v>10747188</v>
      </c>
      <c r="O1693">
        <v>-664597</v>
      </c>
      <c r="P1693">
        <v>136</v>
      </c>
      <c r="Q1693" t="s">
        <v>3433</v>
      </c>
    </row>
    <row r="1694" spans="1:17" x14ac:dyDescent="0.3">
      <c r="A1694" t="s">
        <v>17</v>
      </c>
      <c r="B1694" t="str">
        <f>"603098"</f>
        <v>603098</v>
      </c>
      <c r="C1694" t="s">
        <v>3434</v>
      </c>
      <c r="D1694" t="s">
        <v>645</v>
      </c>
      <c r="E1694">
        <v>-10996927</v>
      </c>
      <c r="F1694">
        <v>-149734251</v>
      </c>
      <c r="G1694">
        <v>-156522917</v>
      </c>
      <c r="H1694">
        <v>-98589358</v>
      </c>
      <c r="I1694">
        <v>-123171953</v>
      </c>
      <c r="J1694">
        <v>7631470</v>
      </c>
      <c r="K1694">
        <v>52356594</v>
      </c>
      <c r="P1694">
        <v>158</v>
      </c>
      <c r="Q1694" t="s">
        <v>3435</v>
      </c>
    </row>
    <row r="1695" spans="1:17" x14ac:dyDescent="0.3">
      <c r="A1695" t="s">
        <v>17</v>
      </c>
      <c r="B1695" t="str">
        <f>"600448"</f>
        <v>600448</v>
      </c>
      <c r="C1695" t="s">
        <v>3436</v>
      </c>
      <c r="D1695" t="s">
        <v>130</v>
      </c>
      <c r="E1695">
        <v>-10997037</v>
      </c>
      <c r="F1695">
        <v>-129638649</v>
      </c>
      <c r="G1695">
        <v>-17488718</v>
      </c>
      <c r="H1695">
        <v>16854317</v>
      </c>
      <c r="I1695">
        <v>-2689062</v>
      </c>
      <c r="J1695">
        <v>-24647631</v>
      </c>
      <c r="K1695">
        <v>-11339619</v>
      </c>
      <c r="L1695">
        <v>-64607613</v>
      </c>
      <c r="M1695">
        <v>-130178262</v>
      </c>
      <c r="N1695">
        <v>5024963</v>
      </c>
      <c r="O1695">
        <v>-10644138</v>
      </c>
      <c r="P1695">
        <v>97</v>
      </c>
      <c r="Q1695" t="s">
        <v>3437</v>
      </c>
    </row>
    <row r="1696" spans="1:17" x14ac:dyDescent="0.3">
      <c r="A1696" t="s">
        <v>32</v>
      </c>
      <c r="B1696" t="str">
        <f>"200017"</f>
        <v>200017</v>
      </c>
      <c r="C1696" t="s">
        <v>3438</v>
      </c>
      <c r="E1696">
        <v>-11020023.517999999</v>
      </c>
      <c r="F1696">
        <v>1650251.3225</v>
      </c>
      <c r="G1696">
        <v>502587.5514</v>
      </c>
      <c r="H1696">
        <v>-7137816.1254000003</v>
      </c>
      <c r="I1696">
        <v>1041571.4620000001</v>
      </c>
      <c r="J1696">
        <v>-1622080.8319999999</v>
      </c>
      <c r="K1696">
        <v>-2681300.3986999998</v>
      </c>
      <c r="L1696">
        <v>-3718458.75</v>
      </c>
      <c r="M1696">
        <v>3147655.8368000002</v>
      </c>
      <c r="N1696">
        <v>-22526795.136</v>
      </c>
      <c r="O1696">
        <v>-1444841.73</v>
      </c>
      <c r="P1696">
        <v>3</v>
      </c>
      <c r="Q1696" t="s">
        <v>3439</v>
      </c>
    </row>
    <row r="1697" spans="1:17" x14ac:dyDescent="0.3">
      <c r="A1697" t="s">
        <v>32</v>
      </c>
      <c r="B1697" t="str">
        <f>"300906"</f>
        <v>300906</v>
      </c>
      <c r="C1697" t="s">
        <v>3440</v>
      </c>
      <c r="D1697" t="s">
        <v>135</v>
      </c>
      <c r="E1697">
        <v>-11085992</v>
      </c>
      <c r="F1697">
        <v>-4805834</v>
      </c>
      <c r="G1697">
        <v>-18247457</v>
      </c>
      <c r="P1697">
        <v>60</v>
      </c>
      <c r="Q1697" t="s">
        <v>3441</v>
      </c>
    </row>
    <row r="1698" spans="1:17" x14ac:dyDescent="0.3">
      <c r="A1698" t="s">
        <v>17</v>
      </c>
      <c r="B1698" t="str">
        <f>"605009"</f>
        <v>605009</v>
      </c>
      <c r="C1698" t="s">
        <v>3442</v>
      </c>
      <c r="D1698" t="s">
        <v>544</v>
      </c>
      <c r="E1698">
        <v>-11091483</v>
      </c>
      <c r="F1698">
        <v>12042330</v>
      </c>
      <c r="G1698">
        <v>47394563</v>
      </c>
      <c r="P1698">
        <v>355</v>
      </c>
      <c r="Q1698" t="s">
        <v>3443</v>
      </c>
    </row>
    <row r="1699" spans="1:17" x14ac:dyDescent="0.3">
      <c r="A1699" t="s">
        <v>32</v>
      </c>
      <c r="B1699" t="str">
        <f>"000820"</f>
        <v>000820</v>
      </c>
      <c r="C1699" t="s">
        <v>3444</v>
      </c>
      <c r="D1699" t="s">
        <v>1334</v>
      </c>
      <c r="E1699">
        <v>-11142411</v>
      </c>
      <c r="F1699">
        <v>-76273</v>
      </c>
      <c r="G1699">
        <v>-428791</v>
      </c>
      <c r="H1699">
        <v>2780084</v>
      </c>
      <c r="I1699">
        <v>-116106053</v>
      </c>
      <c r="J1699">
        <v>317371721</v>
      </c>
      <c r="K1699">
        <v>15363691</v>
      </c>
      <c r="L1699">
        <v>-8958768</v>
      </c>
      <c r="M1699">
        <v>15788147</v>
      </c>
      <c r="N1699">
        <v>-6068939</v>
      </c>
      <c r="O1699">
        <v>3018663</v>
      </c>
      <c r="P1699">
        <v>156</v>
      </c>
      <c r="Q1699" t="s">
        <v>3445</v>
      </c>
    </row>
    <row r="1700" spans="1:17" x14ac:dyDescent="0.3">
      <c r="A1700" t="s">
        <v>17</v>
      </c>
      <c r="B1700" t="str">
        <f>"603110"</f>
        <v>603110</v>
      </c>
      <c r="C1700" t="s">
        <v>3446</v>
      </c>
      <c r="D1700" t="s">
        <v>144</v>
      </c>
      <c r="E1700">
        <v>-11170835</v>
      </c>
      <c r="F1700">
        <v>-6158528</v>
      </c>
      <c r="G1700">
        <v>-13846628</v>
      </c>
      <c r="H1700">
        <v>-4333858</v>
      </c>
      <c r="I1700">
        <v>-2897190</v>
      </c>
      <c r="J1700">
        <v>12032679</v>
      </c>
      <c r="P1700">
        <v>71</v>
      </c>
      <c r="Q1700" t="s">
        <v>3447</v>
      </c>
    </row>
    <row r="1701" spans="1:17" x14ac:dyDescent="0.3">
      <c r="A1701" t="s">
        <v>32</v>
      </c>
      <c r="B1701" t="str">
        <f>"300076"</f>
        <v>300076</v>
      </c>
      <c r="C1701" t="s">
        <v>3448</v>
      </c>
      <c r="D1701" t="s">
        <v>124</v>
      </c>
      <c r="E1701">
        <v>-11178584</v>
      </c>
      <c r="F1701">
        <v>-137895114</v>
      </c>
      <c r="G1701">
        <v>-4573719</v>
      </c>
      <c r="H1701">
        <v>-16981495</v>
      </c>
      <c r="I1701">
        <v>-27011436</v>
      </c>
      <c r="J1701">
        <v>-24656161</v>
      </c>
      <c r="K1701">
        <v>-12877126</v>
      </c>
      <c r="L1701">
        <v>-4267598</v>
      </c>
      <c r="M1701">
        <v>-12344963</v>
      </c>
      <c r="N1701">
        <v>-30283681</v>
      </c>
      <c r="O1701">
        <v>-37792693</v>
      </c>
      <c r="P1701">
        <v>93</v>
      </c>
      <c r="Q1701" t="s">
        <v>3449</v>
      </c>
    </row>
    <row r="1702" spans="1:17" x14ac:dyDescent="0.3">
      <c r="A1702" t="s">
        <v>32</v>
      </c>
      <c r="B1702" t="str">
        <f>"000587"</f>
        <v>000587</v>
      </c>
      <c r="C1702" t="s">
        <v>3450</v>
      </c>
      <c r="D1702" t="s">
        <v>130</v>
      </c>
      <c r="E1702">
        <v>-11212369</v>
      </c>
      <c r="F1702">
        <v>4938147</v>
      </c>
      <c r="G1702">
        <v>-826128225</v>
      </c>
      <c r="H1702">
        <v>-1172134392</v>
      </c>
      <c r="I1702">
        <v>-883734244</v>
      </c>
      <c r="J1702">
        <v>223350403</v>
      </c>
      <c r="K1702">
        <v>-1244377350</v>
      </c>
      <c r="L1702">
        <v>43742467</v>
      </c>
      <c r="M1702">
        <v>353039838</v>
      </c>
      <c r="N1702">
        <v>156196807</v>
      </c>
      <c r="O1702">
        <v>-76197234</v>
      </c>
      <c r="P1702">
        <v>114</v>
      </c>
      <c r="Q1702" t="s">
        <v>3451</v>
      </c>
    </row>
    <row r="1703" spans="1:17" x14ac:dyDescent="0.3">
      <c r="A1703" t="s">
        <v>17</v>
      </c>
      <c r="B1703" t="str">
        <f>"603650"</f>
        <v>603650</v>
      </c>
      <c r="C1703" t="s">
        <v>3452</v>
      </c>
      <c r="D1703" t="s">
        <v>144</v>
      </c>
      <c r="E1703">
        <v>-11255167</v>
      </c>
      <c r="F1703">
        <v>-6641869</v>
      </c>
      <c r="G1703">
        <v>-17609475</v>
      </c>
      <c r="H1703">
        <v>-6642478</v>
      </c>
      <c r="I1703">
        <v>-10405400</v>
      </c>
      <c r="J1703">
        <v>40699600</v>
      </c>
      <c r="P1703">
        <v>258</v>
      </c>
      <c r="Q1703" t="s">
        <v>3453</v>
      </c>
    </row>
    <row r="1704" spans="1:17" x14ac:dyDescent="0.3">
      <c r="A1704" t="s">
        <v>32</v>
      </c>
      <c r="B1704" t="str">
        <f>"002192"</f>
        <v>002192</v>
      </c>
      <c r="C1704" t="s">
        <v>3454</v>
      </c>
      <c r="D1704" t="s">
        <v>464</v>
      </c>
      <c r="E1704">
        <v>-11278118</v>
      </c>
      <c r="F1704">
        <v>-23553465</v>
      </c>
      <c r="G1704">
        <v>-32306623</v>
      </c>
      <c r="H1704">
        <v>-38631671</v>
      </c>
      <c r="I1704">
        <v>-29627474</v>
      </c>
      <c r="J1704">
        <v>-16129549</v>
      </c>
      <c r="K1704">
        <v>-44764021</v>
      </c>
      <c r="L1704">
        <v>5692031</v>
      </c>
      <c r="M1704">
        <v>-7715852</v>
      </c>
      <c r="N1704">
        <v>-40788534</v>
      </c>
      <c r="O1704">
        <v>558015</v>
      </c>
      <c r="P1704">
        <v>230</v>
      </c>
      <c r="Q1704" t="s">
        <v>3455</v>
      </c>
    </row>
    <row r="1705" spans="1:17" x14ac:dyDescent="0.3">
      <c r="A1705" t="s">
        <v>17</v>
      </c>
      <c r="B1705" t="str">
        <f>"605277"</f>
        <v>605277</v>
      </c>
      <c r="C1705" t="s">
        <v>3456</v>
      </c>
      <c r="D1705" t="s">
        <v>124</v>
      </c>
      <c r="E1705">
        <v>-11286549</v>
      </c>
      <c r="F1705">
        <v>-104284099</v>
      </c>
      <c r="G1705">
        <v>-5209139</v>
      </c>
      <c r="P1705">
        <v>68</v>
      </c>
      <c r="Q1705" t="s">
        <v>3457</v>
      </c>
    </row>
    <row r="1706" spans="1:17" x14ac:dyDescent="0.3">
      <c r="A1706" t="s">
        <v>32</v>
      </c>
      <c r="B1706" t="str">
        <f>"001217"</f>
        <v>001217</v>
      </c>
      <c r="C1706" t="s">
        <v>3458</v>
      </c>
      <c r="D1706" t="s">
        <v>144</v>
      </c>
      <c r="E1706">
        <v>-11316229</v>
      </c>
      <c r="F1706">
        <v>-3339553</v>
      </c>
      <c r="P1706">
        <v>27</v>
      </c>
      <c r="Q1706" t="s">
        <v>3459</v>
      </c>
    </row>
    <row r="1707" spans="1:17" x14ac:dyDescent="0.3">
      <c r="A1707" t="s">
        <v>17</v>
      </c>
      <c r="B1707" t="str">
        <f>"603679"</f>
        <v>603679</v>
      </c>
      <c r="C1707" t="s">
        <v>3460</v>
      </c>
      <c r="D1707" t="s">
        <v>124</v>
      </c>
      <c r="E1707">
        <v>-11363954</v>
      </c>
      <c r="F1707">
        <v>69944044</v>
      </c>
      <c r="G1707">
        <v>-58324445</v>
      </c>
      <c r="H1707">
        <v>-45799359</v>
      </c>
      <c r="I1707">
        <v>-34216253</v>
      </c>
      <c r="J1707">
        <v>-14900415</v>
      </c>
      <c r="P1707">
        <v>164</v>
      </c>
      <c r="Q1707" t="s">
        <v>3461</v>
      </c>
    </row>
    <row r="1708" spans="1:17" x14ac:dyDescent="0.3">
      <c r="A1708" t="s">
        <v>17</v>
      </c>
      <c r="B1708" t="str">
        <f>"603289"</f>
        <v>603289</v>
      </c>
      <c r="C1708" t="s">
        <v>3462</v>
      </c>
      <c r="D1708" t="s">
        <v>135</v>
      </c>
      <c r="E1708">
        <v>-11436225</v>
      </c>
      <c r="F1708">
        <v>23452958</v>
      </c>
      <c r="G1708">
        <v>-38891684</v>
      </c>
      <c r="H1708">
        <v>-1754764</v>
      </c>
      <c r="I1708">
        <v>-15208552</v>
      </c>
      <c r="J1708">
        <v>9216944</v>
      </c>
      <c r="P1708">
        <v>115</v>
      </c>
      <c r="Q1708" t="s">
        <v>3463</v>
      </c>
    </row>
    <row r="1709" spans="1:17" x14ac:dyDescent="0.3">
      <c r="A1709" t="s">
        <v>32</v>
      </c>
      <c r="B1709" t="str">
        <f>"301106"</f>
        <v>301106</v>
      </c>
      <c r="C1709" t="s">
        <v>3464</v>
      </c>
      <c r="E1709">
        <v>-11454733</v>
      </c>
      <c r="P1709">
        <v>8</v>
      </c>
      <c r="Q1709" t="s">
        <v>3465</v>
      </c>
    </row>
    <row r="1710" spans="1:17" x14ac:dyDescent="0.3">
      <c r="A1710" t="s">
        <v>32</v>
      </c>
      <c r="B1710" t="str">
        <f>"002370"</f>
        <v>002370</v>
      </c>
      <c r="C1710" t="s">
        <v>3466</v>
      </c>
      <c r="D1710" t="s">
        <v>98</v>
      </c>
      <c r="E1710">
        <v>-11494458</v>
      </c>
      <c r="F1710">
        <v>42355940</v>
      </c>
      <c r="G1710">
        <v>-5543216</v>
      </c>
      <c r="H1710">
        <v>-141714904</v>
      </c>
      <c r="I1710">
        <v>-184033618</v>
      </c>
      <c r="J1710">
        <v>48149483</v>
      </c>
      <c r="K1710">
        <v>-137359708</v>
      </c>
      <c r="L1710">
        <v>-6152050</v>
      </c>
      <c r="M1710">
        <v>-5864936</v>
      </c>
      <c r="N1710">
        <v>-40834434</v>
      </c>
      <c r="O1710">
        <v>1114458</v>
      </c>
      <c r="P1710">
        <v>201</v>
      </c>
      <c r="Q1710" t="s">
        <v>3467</v>
      </c>
    </row>
    <row r="1711" spans="1:17" x14ac:dyDescent="0.3">
      <c r="A1711" t="s">
        <v>17</v>
      </c>
      <c r="B1711" t="str">
        <f>"688163"</f>
        <v>688163</v>
      </c>
      <c r="C1711" t="s">
        <v>3468</v>
      </c>
      <c r="E1711">
        <v>-11512097</v>
      </c>
      <c r="P1711">
        <v>12</v>
      </c>
      <c r="Q1711" t="s">
        <v>3469</v>
      </c>
    </row>
    <row r="1712" spans="1:17" x14ac:dyDescent="0.3">
      <c r="A1712" t="s">
        <v>32</v>
      </c>
      <c r="B1712" t="str">
        <f>"002707"</f>
        <v>002707</v>
      </c>
      <c r="C1712" t="s">
        <v>3470</v>
      </c>
      <c r="D1712" t="s">
        <v>497</v>
      </c>
      <c r="E1712">
        <v>-11669362</v>
      </c>
      <c r="F1712">
        <v>-42728797</v>
      </c>
      <c r="G1712">
        <v>227738457</v>
      </c>
      <c r="H1712">
        <v>-138938448</v>
      </c>
      <c r="I1712">
        <v>-424585664</v>
      </c>
      <c r="J1712">
        <v>-222201934</v>
      </c>
      <c r="K1712">
        <v>-394344406</v>
      </c>
      <c r="L1712">
        <v>-114860274</v>
      </c>
      <c r="M1712">
        <v>-150325203</v>
      </c>
      <c r="N1712">
        <v>-117781318</v>
      </c>
      <c r="P1712">
        <v>295</v>
      </c>
      <c r="Q1712" t="s">
        <v>3471</v>
      </c>
    </row>
    <row r="1713" spans="1:17" x14ac:dyDescent="0.3">
      <c r="A1713" t="s">
        <v>17</v>
      </c>
      <c r="B1713" t="str">
        <f>"601619"</f>
        <v>601619</v>
      </c>
      <c r="C1713" t="s">
        <v>3472</v>
      </c>
      <c r="D1713" t="s">
        <v>158</v>
      </c>
      <c r="E1713">
        <v>-11680181</v>
      </c>
      <c r="F1713">
        <v>16536490</v>
      </c>
      <c r="G1713">
        <v>-12080986</v>
      </c>
      <c r="H1713">
        <v>64924110</v>
      </c>
      <c r="I1713">
        <v>44565879</v>
      </c>
      <c r="J1713">
        <v>8381906</v>
      </c>
      <c r="K1713">
        <v>59715900</v>
      </c>
      <c r="P1713">
        <v>184</v>
      </c>
      <c r="Q1713" t="s">
        <v>3473</v>
      </c>
    </row>
    <row r="1714" spans="1:17" x14ac:dyDescent="0.3">
      <c r="A1714" t="s">
        <v>32</v>
      </c>
      <c r="B1714" t="str">
        <f>"300899"</f>
        <v>300899</v>
      </c>
      <c r="C1714" t="s">
        <v>3474</v>
      </c>
      <c r="D1714" t="s">
        <v>1334</v>
      </c>
      <c r="E1714">
        <v>-11740447</v>
      </c>
      <c r="F1714">
        <v>4105247</v>
      </c>
      <c r="G1714">
        <v>-22121629</v>
      </c>
      <c r="P1714">
        <v>58</v>
      </c>
      <c r="Q1714" t="s">
        <v>3475</v>
      </c>
    </row>
    <row r="1715" spans="1:17" x14ac:dyDescent="0.3">
      <c r="A1715" t="s">
        <v>32</v>
      </c>
      <c r="B1715" t="str">
        <f>"002750"</f>
        <v>002750</v>
      </c>
      <c r="C1715" t="s">
        <v>3476</v>
      </c>
      <c r="D1715" t="s">
        <v>98</v>
      </c>
      <c r="E1715">
        <v>-11743363</v>
      </c>
      <c r="F1715">
        <v>-35814349</v>
      </c>
      <c r="G1715">
        <v>-11716838</v>
      </c>
      <c r="H1715">
        <v>-9501583</v>
      </c>
      <c r="I1715">
        <v>-5359042</v>
      </c>
      <c r="J1715">
        <v>-6700733</v>
      </c>
      <c r="K1715">
        <v>28708088</v>
      </c>
      <c r="L1715">
        <v>2677050</v>
      </c>
      <c r="M1715">
        <v>11021938</v>
      </c>
      <c r="P1715">
        <v>142</v>
      </c>
      <c r="Q1715" t="s">
        <v>3477</v>
      </c>
    </row>
    <row r="1716" spans="1:17" x14ac:dyDescent="0.3">
      <c r="A1716" t="s">
        <v>32</v>
      </c>
      <c r="B1716" t="str">
        <f>"002651"</f>
        <v>002651</v>
      </c>
      <c r="C1716" t="s">
        <v>3478</v>
      </c>
      <c r="D1716" t="s">
        <v>135</v>
      </c>
      <c r="E1716">
        <v>-11757712</v>
      </c>
      <c r="F1716">
        <v>31862127</v>
      </c>
      <c r="G1716">
        <v>-21587955</v>
      </c>
      <c r="H1716">
        <v>-3976994</v>
      </c>
      <c r="I1716">
        <v>8243923</v>
      </c>
      <c r="J1716">
        <v>18308783</v>
      </c>
      <c r="K1716">
        <v>-4573597</v>
      </c>
      <c r="L1716">
        <v>-14033682</v>
      </c>
      <c r="M1716">
        <v>53615078</v>
      </c>
      <c r="N1716">
        <v>-171652</v>
      </c>
      <c r="O1716">
        <v>-34365076</v>
      </c>
      <c r="P1716">
        <v>121</v>
      </c>
      <c r="Q1716" t="s">
        <v>3479</v>
      </c>
    </row>
    <row r="1717" spans="1:17" x14ac:dyDescent="0.3">
      <c r="A1717" t="s">
        <v>17</v>
      </c>
      <c r="B1717" t="str">
        <f>"688103"</f>
        <v>688103</v>
      </c>
      <c r="C1717" t="s">
        <v>3480</v>
      </c>
      <c r="D1717" t="s">
        <v>124</v>
      </c>
      <c r="E1717">
        <v>-11807913</v>
      </c>
      <c r="P1717">
        <v>13</v>
      </c>
      <c r="Q1717" t="s">
        <v>3481</v>
      </c>
    </row>
    <row r="1718" spans="1:17" x14ac:dyDescent="0.3">
      <c r="A1718" t="s">
        <v>17</v>
      </c>
      <c r="B1718" t="str">
        <f>"600589"</f>
        <v>600589</v>
      </c>
      <c r="C1718" t="s">
        <v>3482</v>
      </c>
      <c r="D1718" t="s">
        <v>144</v>
      </c>
      <c r="E1718">
        <v>-11869858</v>
      </c>
      <c r="F1718">
        <v>-427856002</v>
      </c>
      <c r="G1718">
        <v>-790370038</v>
      </c>
      <c r="H1718">
        <v>-324921593</v>
      </c>
      <c r="I1718">
        <v>-119008257</v>
      </c>
      <c r="J1718">
        <v>-227014537</v>
      </c>
      <c r="K1718">
        <v>-230016336</v>
      </c>
      <c r="L1718">
        <v>49729132</v>
      </c>
      <c r="M1718">
        <v>-95345508</v>
      </c>
      <c r="N1718">
        <v>-164916826</v>
      </c>
      <c r="O1718">
        <v>-286069381</v>
      </c>
      <c r="P1718">
        <v>74</v>
      </c>
      <c r="Q1718" t="s">
        <v>3483</v>
      </c>
    </row>
    <row r="1719" spans="1:17" x14ac:dyDescent="0.3">
      <c r="A1719" t="s">
        <v>32</v>
      </c>
      <c r="B1719" t="str">
        <f>"000698"</f>
        <v>000698</v>
      </c>
      <c r="C1719" t="s">
        <v>3484</v>
      </c>
      <c r="D1719" t="s">
        <v>64</v>
      </c>
      <c r="E1719">
        <v>-11887759</v>
      </c>
      <c r="F1719">
        <v>651282524</v>
      </c>
      <c r="G1719">
        <v>-637103159</v>
      </c>
      <c r="H1719">
        <v>360366950</v>
      </c>
      <c r="I1719">
        <v>-258848861</v>
      </c>
      <c r="J1719">
        <v>108087364</v>
      </c>
      <c r="K1719">
        <v>285693137</v>
      </c>
      <c r="L1719">
        <v>-180410049</v>
      </c>
      <c r="M1719">
        <v>-327211473</v>
      </c>
      <c r="N1719">
        <v>-227217902</v>
      </c>
      <c r="O1719">
        <v>-149045424</v>
      </c>
      <c r="P1719">
        <v>166</v>
      </c>
      <c r="Q1719" t="s">
        <v>3485</v>
      </c>
    </row>
    <row r="1720" spans="1:17" x14ac:dyDescent="0.3">
      <c r="A1720" t="s">
        <v>17</v>
      </c>
      <c r="B1720" t="str">
        <f>"603628"</f>
        <v>603628</v>
      </c>
      <c r="C1720" t="s">
        <v>3486</v>
      </c>
      <c r="D1720" t="s">
        <v>464</v>
      </c>
      <c r="E1720">
        <v>-11918506</v>
      </c>
      <c r="F1720">
        <v>-40725557</v>
      </c>
      <c r="G1720">
        <v>36987171</v>
      </c>
      <c r="H1720">
        <v>7665064</v>
      </c>
      <c r="I1720">
        <v>-72480598</v>
      </c>
      <c r="J1720">
        <v>-110892836</v>
      </c>
      <c r="K1720">
        <v>-44417728</v>
      </c>
      <c r="P1720">
        <v>80</v>
      </c>
      <c r="Q1720" t="s">
        <v>3487</v>
      </c>
    </row>
    <row r="1721" spans="1:17" x14ac:dyDescent="0.3">
      <c r="A1721" t="s">
        <v>17</v>
      </c>
      <c r="B1721" t="str">
        <f>"688799"</f>
        <v>688799</v>
      </c>
      <c r="C1721" t="s">
        <v>3488</v>
      </c>
      <c r="D1721" t="s">
        <v>98</v>
      </c>
      <c r="E1721">
        <v>-11920368</v>
      </c>
      <c r="F1721">
        <v>37360645</v>
      </c>
      <c r="G1721">
        <v>8663459</v>
      </c>
      <c r="P1721">
        <v>35</v>
      </c>
      <c r="Q1721" t="s">
        <v>3489</v>
      </c>
    </row>
    <row r="1722" spans="1:17" x14ac:dyDescent="0.3">
      <c r="A1722" t="s">
        <v>17</v>
      </c>
      <c r="B1722" t="str">
        <f>"605001"</f>
        <v>605001</v>
      </c>
      <c r="C1722" t="s">
        <v>3490</v>
      </c>
      <c r="D1722" t="s">
        <v>135</v>
      </c>
      <c r="E1722">
        <v>-11956037</v>
      </c>
      <c r="F1722">
        <v>-67023634</v>
      </c>
      <c r="G1722">
        <v>-75135080</v>
      </c>
      <c r="H1722">
        <v>-204641718</v>
      </c>
      <c r="P1722">
        <v>48</v>
      </c>
      <c r="Q1722" t="s">
        <v>3491</v>
      </c>
    </row>
    <row r="1723" spans="1:17" x14ac:dyDescent="0.3">
      <c r="A1723" t="s">
        <v>32</v>
      </c>
      <c r="B1723" t="str">
        <f>"001215"</f>
        <v>001215</v>
      </c>
      <c r="C1723" t="s">
        <v>3492</v>
      </c>
      <c r="D1723" t="s">
        <v>172</v>
      </c>
      <c r="E1723">
        <v>-12057427</v>
      </c>
      <c r="F1723">
        <v>-105204903</v>
      </c>
      <c r="P1723">
        <v>59</v>
      </c>
      <c r="Q1723" t="s">
        <v>3493</v>
      </c>
    </row>
    <row r="1724" spans="1:17" x14ac:dyDescent="0.3">
      <c r="A1724" t="s">
        <v>32</v>
      </c>
      <c r="B1724" t="str">
        <f>"300636"</f>
        <v>300636</v>
      </c>
      <c r="C1724" t="s">
        <v>3494</v>
      </c>
      <c r="D1724" t="s">
        <v>98</v>
      </c>
      <c r="E1724">
        <v>-12093740</v>
      </c>
      <c r="F1724">
        <v>-86957718</v>
      </c>
      <c r="G1724">
        <v>-10647922</v>
      </c>
      <c r="H1724">
        <v>-84893229</v>
      </c>
      <c r="I1724">
        <v>-45037945</v>
      </c>
      <c r="J1724">
        <v>-21479996</v>
      </c>
      <c r="K1724">
        <v>19619201</v>
      </c>
      <c r="P1724">
        <v>137</v>
      </c>
      <c r="Q1724" t="s">
        <v>3495</v>
      </c>
    </row>
    <row r="1725" spans="1:17" x14ac:dyDescent="0.3">
      <c r="A1725" t="s">
        <v>32</v>
      </c>
      <c r="B1725" t="str">
        <f>"300987"</f>
        <v>300987</v>
      </c>
      <c r="C1725" t="s">
        <v>3496</v>
      </c>
      <c r="D1725" t="s">
        <v>245</v>
      </c>
      <c r="E1725">
        <v>-12138966</v>
      </c>
      <c r="F1725">
        <v>-14243177</v>
      </c>
      <c r="G1725">
        <v>-12564999</v>
      </c>
      <c r="P1725">
        <v>24</v>
      </c>
      <c r="Q1725" t="s">
        <v>3497</v>
      </c>
    </row>
    <row r="1726" spans="1:17" x14ac:dyDescent="0.3">
      <c r="A1726" t="s">
        <v>17</v>
      </c>
      <c r="B1726" t="str">
        <f>"603041"</f>
        <v>603041</v>
      </c>
      <c r="C1726" t="s">
        <v>3498</v>
      </c>
      <c r="D1726" t="s">
        <v>144</v>
      </c>
      <c r="E1726">
        <v>-12160068</v>
      </c>
      <c r="F1726">
        <v>3477991</v>
      </c>
      <c r="G1726">
        <v>11210017</v>
      </c>
      <c r="H1726">
        <v>6287388</v>
      </c>
      <c r="I1726">
        <v>-27569412</v>
      </c>
      <c r="J1726">
        <v>-5359885</v>
      </c>
      <c r="K1726">
        <v>13645</v>
      </c>
      <c r="P1726">
        <v>98</v>
      </c>
      <c r="Q1726" t="s">
        <v>3499</v>
      </c>
    </row>
    <row r="1727" spans="1:17" x14ac:dyDescent="0.3">
      <c r="A1727" t="s">
        <v>32</v>
      </c>
      <c r="B1727" t="str">
        <f>"002289"</f>
        <v>002289</v>
      </c>
      <c r="C1727" t="s">
        <v>3500</v>
      </c>
      <c r="D1727" t="s">
        <v>124</v>
      </c>
      <c r="E1727">
        <v>-12172649</v>
      </c>
      <c r="F1727">
        <v>-18356573</v>
      </c>
      <c r="G1727">
        <v>295620</v>
      </c>
      <c r="H1727">
        <v>-5393196</v>
      </c>
      <c r="I1727">
        <v>-33201423</v>
      </c>
      <c r="J1727">
        <v>6100026</v>
      </c>
      <c r="K1727">
        <v>-12363338</v>
      </c>
      <c r="L1727">
        <v>-123661915</v>
      </c>
      <c r="M1727">
        <v>-193092256</v>
      </c>
      <c r="N1727">
        <v>167413267</v>
      </c>
      <c r="O1727">
        <v>-59850249</v>
      </c>
      <c r="P1727">
        <v>70</v>
      </c>
      <c r="Q1727" t="s">
        <v>3501</v>
      </c>
    </row>
    <row r="1728" spans="1:17" x14ac:dyDescent="0.3">
      <c r="A1728" t="s">
        <v>32</v>
      </c>
      <c r="B1728" t="str">
        <f>"300404"</f>
        <v>300404</v>
      </c>
      <c r="C1728" t="s">
        <v>3502</v>
      </c>
      <c r="D1728" t="s">
        <v>98</v>
      </c>
      <c r="E1728">
        <v>-12175451</v>
      </c>
      <c r="F1728">
        <v>-6545042</v>
      </c>
      <c r="G1728">
        <v>-8476606</v>
      </c>
      <c r="H1728">
        <v>-175116</v>
      </c>
      <c r="I1728">
        <v>10841761</v>
      </c>
      <c r="J1728">
        <v>-16888028</v>
      </c>
      <c r="K1728">
        <v>-17363537</v>
      </c>
      <c r="L1728">
        <v>-9144145</v>
      </c>
      <c r="M1728">
        <v>-12160337</v>
      </c>
      <c r="P1728">
        <v>150</v>
      </c>
      <c r="Q1728" t="s">
        <v>3503</v>
      </c>
    </row>
    <row r="1729" spans="1:17" x14ac:dyDescent="0.3">
      <c r="A1729" t="s">
        <v>32</v>
      </c>
      <c r="B1729" t="str">
        <f>"300260"</f>
        <v>300260</v>
      </c>
      <c r="C1729" t="s">
        <v>3504</v>
      </c>
      <c r="D1729" t="s">
        <v>135</v>
      </c>
      <c r="E1729">
        <v>-12240571</v>
      </c>
      <c r="F1729">
        <v>-39196765</v>
      </c>
      <c r="G1729">
        <v>-27875541</v>
      </c>
      <c r="H1729">
        <v>-4324039</v>
      </c>
      <c r="I1729">
        <v>-7891385</v>
      </c>
      <c r="J1729">
        <v>-21484931</v>
      </c>
      <c r="K1729">
        <v>-9758020</v>
      </c>
      <c r="L1729">
        <v>-3184988</v>
      </c>
      <c r="M1729">
        <v>-15784881</v>
      </c>
      <c r="N1729">
        <v>-32919549</v>
      </c>
      <c r="O1729">
        <v>-44521599</v>
      </c>
      <c r="P1729">
        <v>212</v>
      </c>
      <c r="Q1729" t="s">
        <v>3505</v>
      </c>
    </row>
    <row r="1730" spans="1:17" x14ac:dyDescent="0.3">
      <c r="A1730" t="s">
        <v>17</v>
      </c>
      <c r="B1730" t="str">
        <f>"900927"</f>
        <v>900927</v>
      </c>
      <c r="C1730" t="s">
        <v>3506</v>
      </c>
      <c r="E1730">
        <v>-12315325.509099999</v>
      </c>
      <c r="F1730">
        <v>-42204517.876800001</v>
      </c>
      <c r="G1730">
        <v>-32249852.902100001</v>
      </c>
      <c r="H1730">
        <v>4185782.202</v>
      </c>
      <c r="I1730">
        <v>9313183.1436000001</v>
      </c>
      <c r="J1730">
        <v>-51588902.389200002</v>
      </c>
      <c r="K1730">
        <v>-34640339.666000001</v>
      </c>
      <c r="L1730">
        <v>-109830.6217</v>
      </c>
      <c r="M1730">
        <v>-42567425.596799999</v>
      </c>
      <c r="N1730">
        <v>-90411855.037</v>
      </c>
      <c r="O1730">
        <v>-67332640.474800006</v>
      </c>
      <c r="P1730">
        <v>5</v>
      </c>
      <c r="Q1730" t="s">
        <v>3507</v>
      </c>
    </row>
    <row r="1731" spans="1:17" x14ac:dyDescent="0.3">
      <c r="A1731" t="s">
        <v>32</v>
      </c>
      <c r="B1731" t="str">
        <f>"300817"</f>
        <v>300817</v>
      </c>
      <c r="C1731" t="s">
        <v>3508</v>
      </c>
      <c r="D1731" t="s">
        <v>135</v>
      </c>
      <c r="E1731">
        <v>-12374519</v>
      </c>
      <c r="F1731">
        <v>-80523077</v>
      </c>
      <c r="G1731">
        <v>-20948778</v>
      </c>
      <c r="H1731">
        <v>-12519098</v>
      </c>
      <c r="P1731">
        <v>63</v>
      </c>
      <c r="Q1731" t="s">
        <v>3509</v>
      </c>
    </row>
    <row r="1732" spans="1:17" x14ac:dyDescent="0.3">
      <c r="A1732" t="s">
        <v>17</v>
      </c>
      <c r="B1732" t="str">
        <f>"600897"</f>
        <v>600897</v>
      </c>
      <c r="C1732" t="s">
        <v>3510</v>
      </c>
      <c r="D1732" t="s">
        <v>46</v>
      </c>
      <c r="E1732">
        <v>-12401430</v>
      </c>
      <c r="F1732">
        <v>28097538</v>
      </c>
      <c r="G1732">
        <v>51494405</v>
      </c>
      <c r="H1732">
        <v>-660940</v>
      </c>
      <c r="I1732">
        <v>36548538</v>
      </c>
      <c r="J1732">
        <v>-50430900</v>
      </c>
      <c r="K1732">
        <v>80912633</v>
      </c>
      <c r="L1732">
        <v>-1481867</v>
      </c>
      <c r="M1732">
        <v>80341988</v>
      </c>
      <c r="N1732">
        <v>24644992</v>
      </c>
      <c r="O1732">
        <v>44906247</v>
      </c>
      <c r="P1732">
        <v>479</v>
      </c>
      <c r="Q1732" t="s">
        <v>3511</v>
      </c>
    </row>
    <row r="1733" spans="1:17" x14ac:dyDescent="0.3">
      <c r="A1733" t="s">
        <v>17</v>
      </c>
      <c r="B1733" t="str">
        <f>"688681"</f>
        <v>688681</v>
      </c>
      <c r="C1733" t="s">
        <v>3512</v>
      </c>
      <c r="D1733" t="s">
        <v>464</v>
      </c>
      <c r="E1733">
        <v>-12406174</v>
      </c>
      <c r="F1733">
        <v>-26040978</v>
      </c>
      <c r="G1733">
        <v>-18111493</v>
      </c>
      <c r="P1733">
        <v>31</v>
      </c>
      <c r="Q1733" t="s">
        <v>3513</v>
      </c>
    </row>
    <row r="1734" spans="1:17" x14ac:dyDescent="0.3">
      <c r="A1734" t="s">
        <v>17</v>
      </c>
      <c r="B1734" t="str">
        <f>"603331"</f>
        <v>603331</v>
      </c>
      <c r="C1734" t="s">
        <v>3514</v>
      </c>
      <c r="D1734" t="s">
        <v>135</v>
      </c>
      <c r="E1734">
        <v>-12418104</v>
      </c>
      <c r="F1734">
        <v>-89285719</v>
      </c>
      <c r="G1734">
        <v>-106366761</v>
      </c>
      <c r="H1734">
        <v>-31537043</v>
      </c>
      <c r="I1734">
        <v>-17792464</v>
      </c>
      <c r="J1734">
        <v>-25710922</v>
      </c>
      <c r="K1734">
        <v>12000240</v>
      </c>
      <c r="P1734">
        <v>83</v>
      </c>
      <c r="Q1734" t="s">
        <v>3515</v>
      </c>
    </row>
    <row r="1735" spans="1:17" x14ac:dyDescent="0.3">
      <c r="A1735" t="s">
        <v>17</v>
      </c>
      <c r="B1735" t="str">
        <f>"600265"</f>
        <v>600265</v>
      </c>
      <c r="C1735" t="s">
        <v>3516</v>
      </c>
      <c r="D1735" t="s">
        <v>175</v>
      </c>
      <c r="E1735">
        <v>-12482294</v>
      </c>
      <c r="F1735">
        <v>9295920</v>
      </c>
      <c r="G1735">
        <v>5031516</v>
      </c>
      <c r="H1735">
        <v>-3594393</v>
      </c>
      <c r="I1735">
        <v>-909540</v>
      </c>
      <c r="J1735">
        <v>-1646233</v>
      </c>
      <c r="K1735">
        <v>2113790</v>
      </c>
      <c r="L1735">
        <v>-1127515</v>
      </c>
      <c r="M1735">
        <v>-17908952</v>
      </c>
      <c r="N1735">
        <v>-918594</v>
      </c>
      <c r="O1735">
        <v>2155394</v>
      </c>
      <c r="P1735">
        <v>46</v>
      </c>
      <c r="Q1735" t="s">
        <v>3517</v>
      </c>
    </row>
    <row r="1736" spans="1:17" x14ac:dyDescent="0.3">
      <c r="A1736" t="s">
        <v>32</v>
      </c>
      <c r="B1736" t="str">
        <f>"300364"</f>
        <v>300364</v>
      </c>
      <c r="C1736" t="s">
        <v>3518</v>
      </c>
      <c r="D1736" t="s">
        <v>245</v>
      </c>
      <c r="E1736">
        <v>-12527226</v>
      </c>
      <c r="F1736">
        <v>-23497117</v>
      </c>
      <c r="G1736">
        <v>-26476244</v>
      </c>
      <c r="H1736">
        <v>-59846596</v>
      </c>
      <c r="I1736">
        <v>-173065260</v>
      </c>
      <c r="J1736">
        <v>-101024638</v>
      </c>
      <c r="K1736">
        <v>-3881814</v>
      </c>
      <c r="L1736">
        <v>-41124103</v>
      </c>
      <c r="M1736">
        <v>-25945543</v>
      </c>
      <c r="P1736">
        <v>153</v>
      </c>
      <c r="Q1736" t="s">
        <v>3519</v>
      </c>
    </row>
    <row r="1737" spans="1:17" x14ac:dyDescent="0.3">
      <c r="A1737" t="s">
        <v>32</v>
      </c>
      <c r="B1737" t="str">
        <f>"300518"</f>
        <v>300518</v>
      </c>
      <c r="C1737" t="s">
        <v>3520</v>
      </c>
      <c r="D1737" t="s">
        <v>245</v>
      </c>
      <c r="E1737">
        <v>-12549928</v>
      </c>
      <c r="F1737">
        <v>40832900</v>
      </c>
      <c r="G1737">
        <v>167615561</v>
      </c>
      <c r="H1737">
        <v>18997466</v>
      </c>
      <c r="I1737">
        <v>-26715813</v>
      </c>
      <c r="J1737">
        <v>-3587112</v>
      </c>
      <c r="K1737">
        <v>-33592709</v>
      </c>
      <c r="L1737">
        <v>-1096741</v>
      </c>
      <c r="P1737">
        <v>91</v>
      </c>
      <c r="Q1737" t="s">
        <v>3521</v>
      </c>
    </row>
    <row r="1738" spans="1:17" x14ac:dyDescent="0.3">
      <c r="A1738" t="s">
        <v>32</v>
      </c>
      <c r="B1738" t="str">
        <f>"002935"</f>
        <v>002935</v>
      </c>
      <c r="C1738" t="s">
        <v>3522</v>
      </c>
      <c r="D1738" t="s">
        <v>188</v>
      </c>
      <c r="E1738">
        <v>-12718279</v>
      </c>
      <c r="F1738">
        <v>-131736606</v>
      </c>
      <c r="G1738">
        <v>-152473020</v>
      </c>
      <c r="H1738">
        <v>-102563486</v>
      </c>
      <c r="I1738">
        <v>-73910678</v>
      </c>
      <c r="P1738">
        <v>203</v>
      </c>
      <c r="Q1738" t="s">
        <v>3523</v>
      </c>
    </row>
    <row r="1739" spans="1:17" x14ac:dyDescent="0.3">
      <c r="A1739" t="s">
        <v>17</v>
      </c>
      <c r="B1739" t="str">
        <f>"600520"</f>
        <v>600520</v>
      </c>
      <c r="C1739" t="s">
        <v>3524</v>
      </c>
      <c r="D1739" t="s">
        <v>135</v>
      </c>
      <c r="E1739">
        <v>-12781009</v>
      </c>
      <c r="F1739">
        <v>-44011518</v>
      </c>
      <c r="G1739">
        <v>-1379605</v>
      </c>
      <c r="H1739">
        <v>-16659234</v>
      </c>
      <c r="I1739">
        <v>-40804252</v>
      </c>
      <c r="J1739">
        <v>-16227098</v>
      </c>
      <c r="K1739">
        <v>-15306602</v>
      </c>
      <c r="L1739">
        <v>21795853</v>
      </c>
      <c r="M1739">
        <v>-27499256</v>
      </c>
      <c r="N1739">
        <v>-43963843</v>
      </c>
      <c r="O1739">
        <v>-1828861</v>
      </c>
      <c r="P1739">
        <v>73</v>
      </c>
      <c r="Q1739" t="s">
        <v>3525</v>
      </c>
    </row>
    <row r="1740" spans="1:17" x14ac:dyDescent="0.3">
      <c r="A1740" t="s">
        <v>32</v>
      </c>
      <c r="B1740" t="str">
        <f>"000886"</f>
        <v>000886</v>
      </c>
      <c r="C1740" t="s">
        <v>3526</v>
      </c>
      <c r="D1740" t="s">
        <v>46</v>
      </c>
      <c r="E1740">
        <v>-12784756</v>
      </c>
      <c r="F1740">
        <v>-50656074</v>
      </c>
      <c r="G1740">
        <v>-33967576</v>
      </c>
      <c r="H1740">
        <v>-19242524</v>
      </c>
      <c r="I1740">
        <v>143313241</v>
      </c>
      <c r="J1740">
        <v>215268236</v>
      </c>
      <c r="K1740">
        <v>-39540169</v>
      </c>
      <c r="L1740">
        <v>-79012409</v>
      </c>
      <c r="M1740">
        <v>-39763914</v>
      </c>
      <c r="N1740">
        <v>-14653432</v>
      </c>
      <c r="O1740">
        <v>325411499</v>
      </c>
      <c r="P1740">
        <v>130</v>
      </c>
      <c r="Q1740" t="s">
        <v>3527</v>
      </c>
    </row>
    <row r="1741" spans="1:17" x14ac:dyDescent="0.3">
      <c r="A1741" t="s">
        <v>32</v>
      </c>
      <c r="B1741" t="str">
        <f>"300816"</f>
        <v>300816</v>
      </c>
      <c r="C1741" t="s">
        <v>3528</v>
      </c>
      <c r="D1741" t="s">
        <v>199</v>
      </c>
      <c r="E1741">
        <v>-12830254</v>
      </c>
      <c r="F1741">
        <v>31844789</v>
      </c>
      <c r="G1741">
        <v>-36554071</v>
      </c>
      <c r="H1741">
        <v>-186724</v>
      </c>
      <c r="P1741">
        <v>151</v>
      </c>
      <c r="Q1741" t="s">
        <v>3529</v>
      </c>
    </row>
    <row r="1742" spans="1:17" x14ac:dyDescent="0.3">
      <c r="A1742" t="s">
        <v>32</v>
      </c>
      <c r="B1742" t="str">
        <f>"300141"</f>
        <v>300141</v>
      </c>
      <c r="C1742" t="s">
        <v>3530</v>
      </c>
      <c r="D1742" t="s">
        <v>464</v>
      </c>
      <c r="E1742">
        <v>-12844137</v>
      </c>
      <c r="F1742">
        <v>-21254662</v>
      </c>
      <c r="G1742">
        <v>5710259</v>
      </c>
      <c r="H1742">
        <v>-34586148</v>
      </c>
      <c r="I1742">
        <v>-65535357</v>
      </c>
      <c r="J1742">
        <v>-2301791</v>
      </c>
      <c r="K1742">
        <v>-31201382</v>
      </c>
      <c r="L1742">
        <v>-51550338</v>
      </c>
      <c r="M1742">
        <v>-53115515</v>
      </c>
      <c r="N1742">
        <v>-11971611</v>
      </c>
      <c r="O1742">
        <v>-63043726</v>
      </c>
      <c r="P1742">
        <v>91</v>
      </c>
      <c r="Q1742" t="s">
        <v>3531</v>
      </c>
    </row>
    <row r="1743" spans="1:17" x14ac:dyDescent="0.3">
      <c r="A1743" t="s">
        <v>32</v>
      </c>
      <c r="B1743" t="str">
        <f>"300461"</f>
        <v>300461</v>
      </c>
      <c r="C1743" t="s">
        <v>3532</v>
      </c>
      <c r="D1743" t="s">
        <v>135</v>
      </c>
      <c r="E1743">
        <v>-12859112</v>
      </c>
      <c r="F1743">
        <v>16086114</v>
      </c>
      <c r="G1743">
        <v>25714993</v>
      </c>
      <c r="H1743">
        <v>15537546</v>
      </c>
      <c r="I1743">
        <v>-43820695</v>
      </c>
      <c r="J1743">
        <v>-26524991</v>
      </c>
      <c r="K1743">
        <v>4968999</v>
      </c>
      <c r="L1743">
        <v>5074768</v>
      </c>
      <c r="M1743">
        <v>3263748</v>
      </c>
      <c r="P1743">
        <v>153</v>
      </c>
      <c r="Q1743" t="s">
        <v>3533</v>
      </c>
    </row>
    <row r="1744" spans="1:17" x14ac:dyDescent="0.3">
      <c r="A1744" t="s">
        <v>17</v>
      </c>
      <c r="B1744" t="str">
        <f>"600721"</f>
        <v>600721</v>
      </c>
      <c r="C1744" t="s">
        <v>3534</v>
      </c>
      <c r="D1744" t="s">
        <v>98</v>
      </c>
      <c r="E1744">
        <v>-12908023</v>
      </c>
      <c r="F1744">
        <v>-13946088</v>
      </c>
      <c r="G1744">
        <v>-26051888</v>
      </c>
      <c r="H1744">
        <v>-52141010</v>
      </c>
      <c r="I1744">
        <v>-28891462</v>
      </c>
      <c r="J1744">
        <v>18932234</v>
      </c>
      <c r="K1744">
        <v>-89634515</v>
      </c>
      <c r="L1744">
        <v>-27984217</v>
      </c>
      <c r="M1744">
        <v>57483847</v>
      </c>
      <c r="N1744">
        <v>-47629817</v>
      </c>
      <c r="O1744">
        <v>-76839400</v>
      </c>
      <c r="P1744">
        <v>78</v>
      </c>
      <c r="Q1744" t="s">
        <v>3535</v>
      </c>
    </row>
    <row r="1745" spans="1:17" x14ac:dyDescent="0.3">
      <c r="A1745" t="s">
        <v>17</v>
      </c>
      <c r="B1745" t="str">
        <f>"605155"</f>
        <v>605155</v>
      </c>
      <c r="C1745" t="s">
        <v>3536</v>
      </c>
      <c r="D1745" t="s">
        <v>455</v>
      </c>
      <c r="E1745">
        <v>-12974506</v>
      </c>
      <c r="F1745">
        <v>-30803944</v>
      </c>
      <c r="G1745">
        <v>8452462</v>
      </c>
      <c r="P1745">
        <v>46</v>
      </c>
      <c r="Q1745" t="s">
        <v>3537</v>
      </c>
    </row>
    <row r="1746" spans="1:17" x14ac:dyDescent="0.3">
      <c r="A1746" t="s">
        <v>17</v>
      </c>
      <c r="B1746" t="str">
        <f>"603818"</f>
        <v>603818</v>
      </c>
      <c r="C1746" t="s">
        <v>3538</v>
      </c>
      <c r="D1746" t="s">
        <v>455</v>
      </c>
      <c r="E1746">
        <v>-12988185</v>
      </c>
      <c r="F1746">
        <v>-92070390</v>
      </c>
      <c r="G1746">
        <v>-64728927</v>
      </c>
      <c r="H1746">
        <v>39235615</v>
      </c>
      <c r="I1746">
        <v>-117377312</v>
      </c>
      <c r="J1746">
        <v>-63094517</v>
      </c>
      <c r="K1746">
        <v>-13659926</v>
      </c>
      <c r="L1746">
        <v>-25832767</v>
      </c>
      <c r="M1746">
        <v>-68263067</v>
      </c>
      <c r="P1746">
        <v>203</v>
      </c>
      <c r="Q1746" t="s">
        <v>3539</v>
      </c>
    </row>
    <row r="1747" spans="1:17" x14ac:dyDescent="0.3">
      <c r="A1747" t="s">
        <v>32</v>
      </c>
      <c r="B1747" t="str">
        <f>"300163"</f>
        <v>300163</v>
      </c>
      <c r="C1747" t="s">
        <v>3540</v>
      </c>
      <c r="D1747" t="s">
        <v>144</v>
      </c>
      <c r="E1747">
        <v>-12999197</v>
      </c>
      <c r="F1747">
        <v>-38360238</v>
      </c>
      <c r="G1747">
        <v>-19199735</v>
      </c>
      <c r="H1747">
        <v>558434</v>
      </c>
      <c r="I1747">
        <v>-35251306</v>
      </c>
      <c r="J1747">
        <v>-28258139</v>
      </c>
      <c r="K1747">
        <v>21119969</v>
      </c>
      <c r="L1747">
        <v>-25669790</v>
      </c>
      <c r="M1747">
        <v>6049699</v>
      </c>
      <c r="N1747">
        <v>-5796350</v>
      </c>
      <c r="O1747">
        <v>-42504577</v>
      </c>
      <c r="P1747">
        <v>75</v>
      </c>
      <c r="Q1747" t="s">
        <v>3541</v>
      </c>
    </row>
    <row r="1748" spans="1:17" x14ac:dyDescent="0.3">
      <c r="A1748" t="s">
        <v>32</v>
      </c>
      <c r="B1748" t="str">
        <f>"000026"</f>
        <v>000026</v>
      </c>
      <c r="C1748" t="s">
        <v>3542</v>
      </c>
      <c r="D1748" t="s">
        <v>130</v>
      </c>
      <c r="E1748">
        <v>-13013993</v>
      </c>
      <c r="F1748">
        <v>-16482420</v>
      </c>
      <c r="G1748">
        <v>-131089699</v>
      </c>
      <c r="H1748">
        <v>-39999343</v>
      </c>
      <c r="I1748">
        <v>46734531</v>
      </c>
      <c r="J1748">
        <v>95395628</v>
      </c>
      <c r="K1748">
        <v>47590672</v>
      </c>
      <c r="L1748">
        <v>49145748</v>
      </c>
      <c r="M1748">
        <v>-14379941</v>
      </c>
      <c r="N1748">
        <v>34300123</v>
      </c>
      <c r="O1748">
        <v>-86449916</v>
      </c>
      <c r="P1748">
        <v>321</v>
      </c>
      <c r="Q1748" t="s">
        <v>3543</v>
      </c>
    </row>
    <row r="1749" spans="1:17" x14ac:dyDescent="0.3">
      <c r="A1749" t="s">
        <v>17</v>
      </c>
      <c r="B1749" t="str">
        <f>"600883"</f>
        <v>600883</v>
      </c>
      <c r="C1749" t="s">
        <v>3544</v>
      </c>
      <c r="D1749" t="s">
        <v>400</v>
      </c>
      <c r="E1749">
        <v>-13029714</v>
      </c>
      <c r="F1749">
        <v>-2422235</v>
      </c>
      <c r="G1749">
        <v>-5000195</v>
      </c>
      <c r="H1749">
        <v>-2594807</v>
      </c>
      <c r="I1749">
        <v>-593940</v>
      </c>
      <c r="J1749">
        <v>2518266</v>
      </c>
      <c r="K1749">
        <v>-6242275</v>
      </c>
      <c r="L1749">
        <v>1112532</v>
      </c>
      <c r="M1749">
        <v>864333</v>
      </c>
      <c r="N1749">
        <v>-1354474</v>
      </c>
      <c r="O1749">
        <v>61510</v>
      </c>
      <c r="P1749">
        <v>78</v>
      </c>
      <c r="Q1749" t="s">
        <v>3545</v>
      </c>
    </row>
    <row r="1750" spans="1:17" x14ac:dyDescent="0.3">
      <c r="A1750" t="s">
        <v>32</v>
      </c>
      <c r="B1750" t="str">
        <f>"301025"</f>
        <v>301025</v>
      </c>
      <c r="C1750" t="s">
        <v>3546</v>
      </c>
      <c r="D1750" t="s">
        <v>245</v>
      </c>
      <c r="E1750">
        <v>-13087578</v>
      </c>
      <c r="F1750">
        <v>-21663492</v>
      </c>
      <c r="G1750">
        <v>-12064271</v>
      </c>
      <c r="P1750">
        <v>24</v>
      </c>
      <c r="Q1750" t="s">
        <v>3547</v>
      </c>
    </row>
    <row r="1751" spans="1:17" x14ac:dyDescent="0.3">
      <c r="A1751" t="s">
        <v>32</v>
      </c>
      <c r="B1751" t="str">
        <f>"300859"</f>
        <v>300859</v>
      </c>
      <c r="C1751" t="s">
        <v>3548</v>
      </c>
      <c r="D1751" t="s">
        <v>497</v>
      </c>
      <c r="E1751">
        <v>-13102993</v>
      </c>
      <c r="F1751">
        <v>-14383510</v>
      </c>
      <c r="G1751">
        <v>-19226657</v>
      </c>
      <c r="H1751">
        <v>-17618183</v>
      </c>
      <c r="P1751">
        <v>69</v>
      </c>
      <c r="Q1751" t="s">
        <v>3549</v>
      </c>
    </row>
    <row r="1752" spans="1:17" x14ac:dyDescent="0.3">
      <c r="A1752" t="s">
        <v>32</v>
      </c>
      <c r="B1752" t="str">
        <f>"300948"</f>
        <v>300948</v>
      </c>
      <c r="C1752" t="s">
        <v>3550</v>
      </c>
      <c r="D1752" t="s">
        <v>645</v>
      </c>
      <c r="E1752">
        <v>-13103820</v>
      </c>
      <c r="F1752">
        <v>-45089020</v>
      </c>
      <c r="G1752">
        <v>-27609906</v>
      </c>
      <c r="P1752">
        <v>38</v>
      </c>
      <c r="Q1752" t="s">
        <v>3551</v>
      </c>
    </row>
    <row r="1753" spans="1:17" x14ac:dyDescent="0.3">
      <c r="A1753" t="s">
        <v>17</v>
      </c>
      <c r="B1753" t="str">
        <f>"600091"</f>
        <v>600091</v>
      </c>
      <c r="C1753" t="s">
        <v>3552</v>
      </c>
      <c r="D1753" t="s">
        <v>144</v>
      </c>
      <c r="E1753">
        <v>-13121814</v>
      </c>
      <c r="F1753">
        <v>-13492677</v>
      </c>
      <c r="G1753">
        <v>-15012536</v>
      </c>
      <c r="H1753">
        <v>-14518079</v>
      </c>
      <c r="I1753">
        <v>-21808684</v>
      </c>
      <c r="J1753">
        <v>15822915</v>
      </c>
      <c r="K1753">
        <v>-24409107</v>
      </c>
      <c r="L1753">
        <v>-16165038</v>
      </c>
      <c r="M1753">
        <v>-7432959</v>
      </c>
      <c r="N1753">
        <v>-64408504</v>
      </c>
      <c r="O1753">
        <v>-13701006</v>
      </c>
      <c r="P1753">
        <v>58</v>
      </c>
      <c r="Q1753" t="s">
        <v>3553</v>
      </c>
    </row>
    <row r="1754" spans="1:17" x14ac:dyDescent="0.3">
      <c r="A1754" t="s">
        <v>32</v>
      </c>
      <c r="B1754" t="str">
        <f>"300392"</f>
        <v>300392</v>
      </c>
      <c r="C1754" t="s">
        <v>3554</v>
      </c>
      <c r="D1754" t="s">
        <v>245</v>
      </c>
      <c r="E1754">
        <v>-13144112</v>
      </c>
      <c r="F1754">
        <v>-84161462</v>
      </c>
      <c r="G1754">
        <v>-44251766</v>
      </c>
      <c r="H1754">
        <v>-381286119</v>
      </c>
      <c r="I1754">
        <v>30684037</v>
      </c>
      <c r="J1754">
        <v>13282270</v>
      </c>
      <c r="K1754">
        <v>-48251032</v>
      </c>
      <c r="L1754">
        <v>-181757043</v>
      </c>
      <c r="M1754">
        <v>-32897372</v>
      </c>
      <c r="P1754">
        <v>66</v>
      </c>
      <c r="Q1754" t="s">
        <v>3555</v>
      </c>
    </row>
    <row r="1755" spans="1:17" x14ac:dyDescent="0.3">
      <c r="A1755" t="s">
        <v>17</v>
      </c>
      <c r="B1755" t="str">
        <f>"600774"</f>
        <v>600774</v>
      </c>
      <c r="C1755" t="s">
        <v>3556</v>
      </c>
      <c r="D1755" t="s">
        <v>218</v>
      </c>
      <c r="E1755">
        <v>-13255310</v>
      </c>
      <c r="F1755">
        <v>31945685</v>
      </c>
      <c r="G1755">
        <v>-23619528</v>
      </c>
      <c r="H1755">
        <v>-32038352</v>
      </c>
      <c r="I1755">
        <v>-21271976</v>
      </c>
      <c r="J1755">
        <v>-26119369</v>
      </c>
      <c r="K1755">
        <v>-18579314</v>
      </c>
      <c r="L1755">
        <v>-14134436</v>
      </c>
      <c r="M1755">
        <v>-18538756</v>
      </c>
      <c r="N1755">
        <v>-18462696</v>
      </c>
      <c r="O1755">
        <v>-19882491</v>
      </c>
      <c r="P1755">
        <v>84</v>
      </c>
      <c r="Q1755" t="s">
        <v>3557</v>
      </c>
    </row>
    <row r="1756" spans="1:17" x14ac:dyDescent="0.3">
      <c r="A1756" t="s">
        <v>32</v>
      </c>
      <c r="B1756" t="str">
        <f>"002086"</f>
        <v>002086</v>
      </c>
      <c r="C1756" t="s">
        <v>3558</v>
      </c>
      <c r="D1756" t="s">
        <v>175</v>
      </c>
      <c r="E1756">
        <v>-13262215</v>
      </c>
      <c r="F1756">
        <v>5148178</v>
      </c>
      <c r="G1756">
        <v>-736580964</v>
      </c>
      <c r="H1756">
        <v>871837560</v>
      </c>
      <c r="I1756">
        <v>-36562221</v>
      </c>
      <c r="J1756">
        <v>-38939411</v>
      </c>
      <c r="K1756">
        <v>-37660821</v>
      </c>
      <c r="L1756">
        <v>39696397</v>
      </c>
      <c r="M1756">
        <v>-59293943</v>
      </c>
      <c r="N1756">
        <v>-13958506</v>
      </c>
      <c r="O1756">
        <v>-7805413</v>
      </c>
      <c r="P1756">
        <v>70</v>
      </c>
      <c r="Q1756" t="s">
        <v>3559</v>
      </c>
    </row>
    <row r="1757" spans="1:17" x14ac:dyDescent="0.3">
      <c r="A1757" t="s">
        <v>17</v>
      </c>
      <c r="B1757" t="str">
        <f>"603755"</f>
        <v>603755</v>
      </c>
      <c r="C1757" t="s">
        <v>3560</v>
      </c>
      <c r="D1757" t="s">
        <v>172</v>
      </c>
      <c r="E1757">
        <v>-13282373</v>
      </c>
      <c r="F1757">
        <v>-37148584</v>
      </c>
      <c r="G1757">
        <v>-5618246</v>
      </c>
      <c r="H1757">
        <v>273877</v>
      </c>
      <c r="P1757">
        <v>371</v>
      </c>
      <c r="Q1757" t="s">
        <v>3561</v>
      </c>
    </row>
    <row r="1758" spans="1:17" x14ac:dyDescent="0.3">
      <c r="A1758" t="s">
        <v>32</v>
      </c>
      <c r="B1758" t="str">
        <f>"002486"</f>
        <v>002486</v>
      </c>
      <c r="C1758" t="s">
        <v>3562</v>
      </c>
      <c r="D1758" t="s">
        <v>130</v>
      </c>
      <c r="E1758">
        <v>-13288462</v>
      </c>
      <c r="F1758">
        <v>-62985588</v>
      </c>
      <c r="G1758">
        <v>19191295</v>
      </c>
      <c r="H1758">
        <v>-25068171</v>
      </c>
      <c r="I1758">
        <v>-37435339</v>
      </c>
      <c r="J1758">
        <v>3643265</v>
      </c>
      <c r="K1758">
        <v>-20394618</v>
      </c>
      <c r="L1758">
        <v>-98400179</v>
      </c>
      <c r="M1758">
        <v>733839</v>
      </c>
      <c r="N1758">
        <v>-36229179</v>
      </c>
      <c r="O1758">
        <v>-3474053</v>
      </c>
      <c r="P1758">
        <v>88</v>
      </c>
      <c r="Q1758" t="s">
        <v>3563</v>
      </c>
    </row>
    <row r="1759" spans="1:17" x14ac:dyDescent="0.3">
      <c r="A1759" t="s">
        <v>32</v>
      </c>
      <c r="B1759" t="str">
        <f>"002098"</f>
        <v>002098</v>
      </c>
      <c r="C1759" t="s">
        <v>3564</v>
      </c>
      <c r="D1759" t="s">
        <v>130</v>
      </c>
      <c r="E1759">
        <v>-13291901</v>
      </c>
      <c r="F1759">
        <v>-41546818</v>
      </c>
      <c r="G1759">
        <v>54050937</v>
      </c>
      <c r="H1759">
        <v>6510025</v>
      </c>
      <c r="I1759">
        <v>-34761881</v>
      </c>
      <c r="J1759">
        <v>-15923133</v>
      </c>
      <c r="K1759">
        <v>-10887235</v>
      </c>
      <c r="L1759">
        <v>13148551</v>
      </c>
      <c r="M1759">
        <v>14898401</v>
      </c>
      <c r="N1759">
        <v>54248986</v>
      </c>
      <c r="O1759">
        <v>-8213529</v>
      </c>
      <c r="P1759">
        <v>111</v>
      </c>
      <c r="Q1759" t="s">
        <v>3565</v>
      </c>
    </row>
    <row r="1760" spans="1:17" x14ac:dyDescent="0.3">
      <c r="A1760" t="s">
        <v>32</v>
      </c>
      <c r="B1760" t="str">
        <f>"300591"</f>
        <v>300591</v>
      </c>
      <c r="C1760" t="s">
        <v>3566</v>
      </c>
      <c r="D1760" t="s">
        <v>130</v>
      </c>
      <c r="E1760">
        <v>-13382071</v>
      </c>
      <c r="F1760">
        <v>20546053</v>
      </c>
      <c r="G1760">
        <v>-43738163</v>
      </c>
      <c r="H1760">
        <v>-56432389</v>
      </c>
      <c r="I1760">
        <v>33176291</v>
      </c>
      <c r="J1760">
        <v>-75743438</v>
      </c>
      <c r="K1760">
        <v>-101808259</v>
      </c>
      <c r="P1760">
        <v>88</v>
      </c>
      <c r="Q1760" t="s">
        <v>3567</v>
      </c>
    </row>
    <row r="1761" spans="1:17" x14ac:dyDescent="0.3">
      <c r="A1761" t="s">
        <v>32</v>
      </c>
      <c r="B1761" t="str">
        <f>"301000"</f>
        <v>301000</v>
      </c>
      <c r="C1761" t="s">
        <v>3568</v>
      </c>
      <c r="D1761" t="s">
        <v>199</v>
      </c>
      <c r="E1761">
        <v>-13405674</v>
      </c>
      <c r="F1761">
        <v>-11896218</v>
      </c>
      <c r="G1761">
        <v>2639138</v>
      </c>
      <c r="P1761">
        <v>25</v>
      </c>
      <c r="Q1761" t="s">
        <v>3569</v>
      </c>
    </row>
    <row r="1762" spans="1:17" x14ac:dyDescent="0.3">
      <c r="A1762" t="s">
        <v>32</v>
      </c>
      <c r="B1762" t="str">
        <f>"002282"</f>
        <v>002282</v>
      </c>
      <c r="C1762" t="s">
        <v>3570</v>
      </c>
      <c r="D1762" t="s">
        <v>135</v>
      </c>
      <c r="E1762">
        <v>-13431644</v>
      </c>
      <c r="F1762">
        <v>20748250</v>
      </c>
      <c r="G1762">
        <v>-22656146</v>
      </c>
      <c r="H1762">
        <v>12777056</v>
      </c>
      <c r="I1762">
        <v>-45195391</v>
      </c>
      <c r="J1762">
        <v>-9083059</v>
      </c>
      <c r="K1762">
        <v>-17351571</v>
      </c>
      <c r="L1762">
        <v>-9258250</v>
      </c>
      <c r="M1762">
        <v>25025328</v>
      </c>
      <c r="N1762">
        <v>-58097838</v>
      </c>
      <c r="O1762">
        <v>-48268878</v>
      </c>
      <c r="P1762">
        <v>97</v>
      </c>
      <c r="Q1762" t="s">
        <v>3571</v>
      </c>
    </row>
    <row r="1763" spans="1:17" x14ac:dyDescent="0.3">
      <c r="A1763" t="s">
        <v>32</v>
      </c>
      <c r="B1763" t="str">
        <f>"300909"</f>
        <v>300909</v>
      </c>
      <c r="C1763" t="s">
        <v>3572</v>
      </c>
      <c r="D1763" t="s">
        <v>124</v>
      </c>
      <c r="E1763">
        <v>-13464142</v>
      </c>
      <c r="F1763">
        <v>-84253469</v>
      </c>
      <c r="G1763">
        <v>18698105</v>
      </c>
      <c r="P1763">
        <v>65</v>
      </c>
      <c r="Q1763" t="s">
        <v>3573</v>
      </c>
    </row>
    <row r="1764" spans="1:17" x14ac:dyDescent="0.3">
      <c r="A1764" t="s">
        <v>17</v>
      </c>
      <c r="B1764" t="str">
        <f>"603309"</f>
        <v>603309</v>
      </c>
      <c r="C1764" t="s">
        <v>3574</v>
      </c>
      <c r="D1764" t="s">
        <v>98</v>
      </c>
      <c r="E1764">
        <v>-13526209</v>
      </c>
      <c r="F1764">
        <v>-23246275</v>
      </c>
      <c r="G1764">
        <v>4440959</v>
      </c>
      <c r="H1764">
        <v>-5676166</v>
      </c>
      <c r="I1764">
        <v>-25258775</v>
      </c>
      <c r="J1764">
        <v>-21604838</v>
      </c>
      <c r="K1764">
        <v>-12716849</v>
      </c>
      <c r="L1764">
        <v>8203167</v>
      </c>
      <c r="M1764">
        <v>-2761289</v>
      </c>
      <c r="P1764">
        <v>148</v>
      </c>
      <c r="Q1764" t="s">
        <v>3575</v>
      </c>
    </row>
    <row r="1765" spans="1:17" x14ac:dyDescent="0.3">
      <c r="A1765" t="s">
        <v>32</v>
      </c>
      <c r="B1765" t="str">
        <f>"301189"</f>
        <v>301189</v>
      </c>
      <c r="C1765" t="s">
        <v>3576</v>
      </c>
      <c r="D1765" t="s">
        <v>124</v>
      </c>
      <c r="E1765">
        <v>-13539526</v>
      </c>
      <c r="P1765">
        <v>10</v>
      </c>
      <c r="Q1765" t="s">
        <v>3577</v>
      </c>
    </row>
    <row r="1766" spans="1:17" x14ac:dyDescent="0.3">
      <c r="A1766" t="s">
        <v>17</v>
      </c>
      <c r="B1766" t="str">
        <f>"603960"</f>
        <v>603960</v>
      </c>
      <c r="C1766" t="s">
        <v>3578</v>
      </c>
      <c r="D1766" t="s">
        <v>135</v>
      </c>
      <c r="E1766">
        <v>-13568476</v>
      </c>
      <c r="F1766">
        <v>-32975210</v>
      </c>
      <c r="G1766">
        <v>43351478</v>
      </c>
      <c r="H1766">
        <v>-37583804</v>
      </c>
      <c r="I1766">
        <v>17201983</v>
      </c>
      <c r="J1766">
        <v>-24309859</v>
      </c>
      <c r="K1766">
        <v>24940527</v>
      </c>
      <c r="P1766">
        <v>383</v>
      </c>
      <c r="Q1766" t="s">
        <v>3579</v>
      </c>
    </row>
    <row r="1767" spans="1:17" x14ac:dyDescent="0.3">
      <c r="A1767" t="s">
        <v>32</v>
      </c>
      <c r="B1767" t="str">
        <f>"300323"</f>
        <v>300323</v>
      </c>
      <c r="C1767" t="s">
        <v>3580</v>
      </c>
      <c r="D1767" t="s">
        <v>124</v>
      </c>
      <c r="E1767">
        <v>-13598896</v>
      </c>
      <c r="F1767">
        <v>-157435482</v>
      </c>
      <c r="G1767">
        <v>-164951845</v>
      </c>
      <c r="H1767">
        <v>-85187290</v>
      </c>
      <c r="I1767">
        <v>-67154314</v>
      </c>
      <c r="J1767">
        <v>-548195029</v>
      </c>
      <c r="K1767">
        <v>20830089</v>
      </c>
      <c r="L1767">
        <v>-50553663</v>
      </c>
      <c r="M1767">
        <v>-200943138</v>
      </c>
      <c r="N1767">
        <v>-192555856</v>
      </c>
      <c r="O1767">
        <v>40455668</v>
      </c>
      <c r="P1767">
        <v>293</v>
      </c>
      <c r="Q1767" t="s">
        <v>3581</v>
      </c>
    </row>
    <row r="1768" spans="1:17" x14ac:dyDescent="0.3">
      <c r="A1768" t="s">
        <v>32</v>
      </c>
      <c r="B1768" t="str">
        <f>"301057"</f>
        <v>301057</v>
      </c>
      <c r="C1768" t="s">
        <v>3582</v>
      </c>
      <c r="D1768" t="s">
        <v>144</v>
      </c>
      <c r="E1768">
        <v>-13720688</v>
      </c>
      <c r="P1768">
        <v>16</v>
      </c>
      <c r="Q1768" t="s">
        <v>3583</v>
      </c>
    </row>
    <row r="1769" spans="1:17" x14ac:dyDescent="0.3">
      <c r="A1769" t="s">
        <v>17</v>
      </c>
      <c r="B1769" t="str">
        <f>"603667"</f>
        <v>603667</v>
      </c>
      <c r="C1769" t="s">
        <v>3584</v>
      </c>
      <c r="D1769" t="s">
        <v>135</v>
      </c>
      <c r="E1769">
        <v>-13727039</v>
      </c>
      <c r="F1769">
        <v>67286632</v>
      </c>
      <c r="G1769">
        <v>50576790</v>
      </c>
      <c r="H1769">
        <v>11069740</v>
      </c>
      <c r="I1769">
        <v>-29262405</v>
      </c>
      <c r="J1769">
        <v>17417202</v>
      </c>
      <c r="K1769">
        <v>22725367</v>
      </c>
      <c r="P1769">
        <v>116</v>
      </c>
      <c r="Q1769" t="s">
        <v>3585</v>
      </c>
    </row>
    <row r="1770" spans="1:17" x14ac:dyDescent="0.3">
      <c r="A1770" t="s">
        <v>17</v>
      </c>
      <c r="B1770" t="str">
        <f>"603856"</f>
        <v>603856</v>
      </c>
      <c r="C1770" t="s">
        <v>3586</v>
      </c>
      <c r="D1770" t="s">
        <v>400</v>
      </c>
      <c r="E1770">
        <v>-13738552</v>
      </c>
      <c r="F1770">
        <v>-190323561</v>
      </c>
      <c r="G1770">
        <v>-25966985</v>
      </c>
      <c r="H1770">
        <v>22987062</v>
      </c>
      <c r="I1770">
        <v>-89922214</v>
      </c>
      <c r="J1770">
        <v>26163436</v>
      </c>
      <c r="P1770">
        <v>138</v>
      </c>
      <c r="Q1770" t="s">
        <v>3587</v>
      </c>
    </row>
    <row r="1771" spans="1:17" x14ac:dyDescent="0.3">
      <c r="A1771" t="s">
        <v>32</v>
      </c>
      <c r="B1771" t="str">
        <f>"300615"</f>
        <v>300615</v>
      </c>
      <c r="C1771" t="s">
        <v>3588</v>
      </c>
      <c r="D1771" t="s">
        <v>57</v>
      </c>
      <c r="E1771">
        <v>-13748182</v>
      </c>
      <c r="F1771">
        <v>-1770065</v>
      </c>
      <c r="G1771">
        <v>5574309</v>
      </c>
      <c r="H1771">
        <v>17720962</v>
      </c>
      <c r="I1771">
        <v>-9287826</v>
      </c>
      <c r="J1771">
        <v>-2759447</v>
      </c>
      <c r="K1771">
        <v>-928821</v>
      </c>
      <c r="P1771">
        <v>156</v>
      </c>
      <c r="Q1771" t="s">
        <v>3589</v>
      </c>
    </row>
    <row r="1772" spans="1:17" x14ac:dyDescent="0.3">
      <c r="A1772" t="s">
        <v>17</v>
      </c>
      <c r="B1772" t="str">
        <f>"603088"</f>
        <v>603088</v>
      </c>
      <c r="C1772" t="s">
        <v>3590</v>
      </c>
      <c r="D1772" t="s">
        <v>135</v>
      </c>
      <c r="E1772">
        <v>-13768268</v>
      </c>
      <c r="F1772">
        <v>-2524948</v>
      </c>
      <c r="G1772">
        <v>27138968</v>
      </c>
      <c r="H1772">
        <v>-30161293</v>
      </c>
      <c r="I1772">
        <v>-8608294</v>
      </c>
      <c r="J1772">
        <v>-5767741</v>
      </c>
      <c r="K1772">
        <v>6936562</v>
      </c>
      <c r="L1772">
        <v>-23966100</v>
      </c>
      <c r="M1772">
        <v>-2273258</v>
      </c>
      <c r="P1772">
        <v>107</v>
      </c>
      <c r="Q1772" t="s">
        <v>3591</v>
      </c>
    </row>
    <row r="1773" spans="1:17" x14ac:dyDescent="0.3">
      <c r="A1773" t="s">
        <v>32</v>
      </c>
      <c r="B1773" t="str">
        <f>"300446"</f>
        <v>300446</v>
      </c>
      <c r="C1773" t="s">
        <v>3592</v>
      </c>
      <c r="D1773" t="s">
        <v>124</v>
      </c>
      <c r="E1773">
        <v>-13881202</v>
      </c>
      <c r="F1773">
        <v>-20877407</v>
      </c>
      <c r="G1773">
        <v>-2526904</v>
      </c>
      <c r="H1773">
        <v>-7352468</v>
      </c>
      <c r="I1773">
        <v>2941617</v>
      </c>
      <c r="J1773">
        <v>9566648</v>
      </c>
      <c r="K1773">
        <v>22900083</v>
      </c>
      <c r="L1773">
        <v>21882409</v>
      </c>
      <c r="M1773">
        <v>8793581</v>
      </c>
      <c r="P1773">
        <v>980</v>
      </c>
      <c r="Q1773" t="s">
        <v>3593</v>
      </c>
    </row>
    <row r="1774" spans="1:17" x14ac:dyDescent="0.3">
      <c r="A1774" t="s">
        <v>32</v>
      </c>
      <c r="B1774" t="str">
        <f>"300084"</f>
        <v>300084</v>
      </c>
      <c r="C1774" t="s">
        <v>3594</v>
      </c>
      <c r="D1774" t="s">
        <v>135</v>
      </c>
      <c r="E1774">
        <v>-13883513</v>
      </c>
      <c r="F1774">
        <v>45189184</v>
      </c>
      <c r="G1774">
        <v>-9932502</v>
      </c>
      <c r="H1774">
        <v>-21357803</v>
      </c>
      <c r="I1774">
        <v>-59715891</v>
      </c>
      <c r="J1774">
        <v>-13808178</v>
      </c>
      <c r="K1774">
        <v>-19432690</v>
      </c>
      <c r="L1774">
        <v>-6745176</v>
      </c>
      <c r="M1774">
        <v>19973713</v>
      </c>
      <c r="N1774">
        <v>-21823192</v>
      </c>
      <c r="O1774">
        <v>-15115091</v>
      </c>
      <c r="P1774">
        <v>69</v>
      </c>
      <c r="Q1774" t="s">
        <v>3595</v>
      </c>
    </row>
    <row r="1775" spans="1:17" x14ac:dyDescent="0.3">
      <c r="A1775" t="s">
        <v>32</v>
      </c>
      <c r="B1775" t="str">
        <f>"002285"</f>
        <v>002285</v>
      </c>
      <c r="C1775" t="s">
        <v>3596</v>
      </c>
      <c r="D1775" t="s">
        <v>151</v>
      </c>
      <c r="E1775">
        <v>-13894018</v>
      </c>
      <c r="F1775">
        <v>-44250947</v>
      </c>
      <c r="G1775">
        <v>-285621905</v>
      </c>
      <c r="H1775">
        <v>86812978</v>
      </c>
      <c r="I1775">
        <v>-738983890</v>
      </c>
      <c r="J1775">
        <v>-307999696</v>
      </c>
      <c r="K1775">
        <v>339486008</v>
      </c>
      <c r="L1775">
        <v>-197088136</v>
      </c>
      <c r="M1775">
        <v>-129618810</v>
      </c>
      <c r="N1775">
        <v>-4740895</v>
      </c>
      <c r="O1775">
        <v>-124866664</v>
      </c>
      <c r="P1775">
        <v>477</v>
      </c>
      <c r="Q1775" t="s">
        <v>3597</v>
      </c>
    </row>
    <row r="1776" spans="1:17" x14ac:dyDescent="0.3">
      <c r="A1776" t="s">
        <v>32</v>
      </c>
      <c r="B1776" t="str">
        <f>"002022"</f>
        <v>002022</v>
      </c>
      <c r="C1776" t="s">
        <v>3598</v>
      </c>
      <c r="D1776" t="s">
        <v>98</v>
      </c>
      <c r="E1776">
        <v>-13913875</v>
      </c>
      <c r="F1776">
        <v>304718050</v>
      </c>
      <c r="G1776">
        <v>-21317788</v>
      </c>
      <c r="H1776">
        <v>-92305650</v>
      </c>
      <c r="I1776">
        <v>-30680449</v>
      </c>
      <c r="J1776">
        <v>30782643</v>
      </c>
      <c r="K1776">
        <v>-36914946</v>
      </c>
      <c r="L1776">
        <v>46858585</v>
      </c>
      <c r="M1776">
        <v>28381848</v>
      </c>
      <c r="N1776">
        <v>-7639259</v>
      </c>
      <c r="O1776">
        <v>1392242</v>
      </c>
      <c r="P1776">
        <v>1024</v>
      </c>
      <c r="Q1776" t="s">
        <v>3599</v>
      </c>
    </row>
    <row r="1777" spans="1:17" x14ac:dyDescent="0.3">
      <c r="A1777" t="s">
        <v>32</v>
      </c>
      <c r="B1777" t="str">
        <f>"300711"</f>
        <v>300711</v>
      </c>
      <c r="C1777" t="s">
        <v>3600</v>
      </c>
      <c r="D1777" t="s">
        <v>57</v>
      </c>
      <c r="E1777">
        <v>-13914881</v>
      </c>
      <c r="F1777">
        <v>-36084924</v>
      </c>
      <c r="G1777">
        <v>16357497</v>
      </c>
      <c r="H1777">
        <v>-492836</v>
      </c>
      <c r="I1777">
        <v>-8843062</v>
      </c>
      <c r="J1777">
        <v>-17857812</v>
      </c>
      <c r="P1777">
        <v>130</v>
      </c>
      <c r="Q1777" t="s">
        <v>3601</v>
      </c>
    </row>
    <row r="1778" spans="1:17" x14ac:dyDescent="0.3">
      <c r="A1778" t="s">
        <v>32</v>
      </c>
      <c r="B1778" t="str">
        <f>"000809"</f>
        <v>000809</v>
      </c>
      <c r="C1778" t="s">
        <v>3602</v>
      </c>
      <c r="D1778" t="s">
        <v>151</v>
      </c>
      <c r="E1778">
        <v>-13915023</v>
      </c>
      <c r="F1778">
        <v>-44440489</v>
      </c>
      <c r="G1778">
        <v>10318737</v>
      </c>
      <c r="H1778">
        <v>32986356</v>
      </c>
      <c r="I1778">
        <v>28475600</v>
      </c>
      <c r="J1778">
        <v>-49324431</v>
      </c>
      <c r="K1778">
        <v>-189026231</v>
      </c>
      <c r="L1778">
        <v>-42115723</v>
      </c>
      <c r="M1778">
        <v>-472573510</v>
      </c>
      <c r="N1778">
        <v>-134334259</v>
      </c>
      <c r="O1778">
        <v>-87435562</v>
      </c>
      <c r="P1778">
        <v>72</v>
      </c>
      <c r="Q1778" t="s">
        <v>3603</v>
      </c>
    </row>
    <row r="1779" spans="1:17" x14ac:dyDescent="0.3">
      <c r="A1779" t="s">
        <v>32</v>
      </c>
      <c r="B1779" t="str">
        <f>"301110"</f>
        <v>301110</v>
      </c>
      <c r="C1779" t="s">
        <v>3604</v>
      </c>
      <c r="E1779">
        <v>-14027431</v>
      </c>
      <c r="F1779">
        <v>18509194</v>
      </c>
      <c r="P1779">
        <v>9</v>
      </c>
      <c r="Q1779" t="s">
        <v>3605</v>
      </c>
    </row>
    <row r="1780" spans="1:17" x14ac:dyDescent="0.3">
      <c r="A1780" t="s">
        <v>32</v>
      </c>
      <c r="B1780" t="str">
        <f>"301027"</f>
        <v>301027</v>
      </c>
      <c r="C1780" t="s">
        <v>3606</v>
      </c>
      <c r="D1780" t="s">
        <v>645</v>
      </c>
      <c r="E1780">
        <v>-14046632</v>
      </c>
      <c r="F1780">
        <v>-139133077</v>
      </c>
      <c r="G1780">
        <v>-154631629</v>
      </c>
      <c r="P1780">
        <v>25</v>
      </c>
      <c r="Q1780" t="s">
        <v>3607</v>
      </c>
    </row>
    <row r="1781" spans="1:17" x14ac:dyDescent="0.3">
      <c r="A1781" t="s">
        <v>32</v>
      </c>
      <c r="B1781" t="str">
        <f>"300607"</f>
        <v>300607</v>
      </c>
      <c r="C1781" t="s">
        <v>3608</v>
      </c>
      <c r="D1781" t="s">
        <v>135</v>
      </c>
      <c r="E1781">
        <v>-14129174</v>
      </c>
      <c r="F1781">
        <v>-537927142</v>
      </c>
      <c r="G1781">
        <v>510653911</v>
      </c>
      <c r="H1781">
        <v>-58384688</v>
      </c>
      <c r="I1781">
        <v>-61631357</v>
      </c>
      <c r="J1781">
        <v>-42784141</v>
      </c>
      <c r="K1781">
        <v>-6541497</v>
      </c>
      <c r="P1781">
        <v>1388</v>
      </c>
      <c r="Q1781" t="s">
        <v>3609</v>
      </c>
    </row>
    <row r="1782" spans="1:17" x14ac:dyDescent="0.3">
      <c r="A1782" t="s">
        <v>17</v>
      </c>
      <c r="B1782" t="str">
        <f>"600756"</f>
        <v>600756</v>
      </c>
      <c r="C1782" t="s">
        <v>3610</v>
      </c>
      <c r="D1782" t="s">
        <v>342</v>
      </c>
      <c r="E1782">
        <v>-14146911</v>
      </c>
      <c r="F1782">
        <v>-138923832</v>
      </c>
      <c r="G1782">
        <v>-141112566</v>
      </c>
      <c r="H1782">
        <v>-231569479</v>
      </c>
      <c r="I1782">
        <v>-105457518</v>
      </c>
      <c r="J1782">
        <v>-145556344</v>
      </c>
      <c r="K1782">
        <v>-119244923</v>
      </c>
      <c r="L1782">
        <v>-150106313</v>
      </c>
      <c r="M1782">
        <v>-67851652</v>
      </c>
      <c r="N1782">
        <v>-47761487</v>
      </c>
      <c r="O1782">
        <v>-38227822</v>
      </c>
      <c r="P1782">
        <v>265</v>
      </c>
      <c r="Q1782" t="s">
        <v>3611</v>
      </c>
    </row>
    <row r="1783" spans="1:17" x14ac:dyDescent="0.3">
      <c r="A1783" t="s">
        <v>32</v>
      </c>
      <c r="B1783" t="str">
        <f>"300235"</f>
        <v>300235</v>
      </c>
      <c r="C1783" t="s">
        <v>3612</v>
      </c>
      <c r="D1783" t="s">
        <v>342</v>
      </c>
      <c r="E1783">
        <v>-14159882</v>
      </c>
      <c r="F1783">
        <v>2224457</v>
      </c>
      <c r="G1783">
        <v>-17726</v>
      </c>
      <c r="H1783">
        <v>-5336676</v>
      </c>
      <c r="I1783">
        <v>-15922875</v>
      </c>
      <c r="J1783">
        <v>-13736905</v>
      </c>
      <c r="K1783">
        <v>-6570597</v>
      </c>
      <c r="L1783">
        <v>234996</v>
      </c>
      <c r="M1783">
        <v>-625740</v>
      </c>
      <c r="N1783">
        <v>-14961027</v>
      </c>
      <c r="O1783">
        <v>5709028</v>
      </c>
      <c r="P1783">
        <v>114</v>
      </c>
      <c r="Q1783" t="s">
        <v>3613</v>
      </c>
    </row>
    <row r="1784" spans="1:17" x14ac:dyDescent="0.3">
      <c r="A1784" t="s">
        <v>32</v>
      </c>
      <c r="B1784" t="str">
        <f>"300069"</f>
        <v>300069</v>
      </c>
      <c r="C1784" t="s">
        <v>3614</v>
      </c>
      <c r="D1784" t="s">
        <v>464</v>
      </c>
      <c r="E1784">
        <v>-14261395</v>
      </c>
      <c r="F1784">
        <v>-8450499</v>
      </c>
      <c r="G1784">
        <v>262323</v>
      </c>
      <c r="H1784">
        <v>9255988</v>
      </c>
      <c r="I1784">
        <v>27535759</v>
      </c>
      <c r="J1784">
        <v>-9350914</v>
      </c>
      <c r="K1784">
        <v>-13074273</v>
      </c>
      <c r="L1784">
        <v>-1661581</v>
      </c>
      <c r="M1784">
        <v>-16055998</v>
      </c>
      <c r="N1784">
        <v>33151496</v>
      </c>
      <c r="O1784">
        <v>-19783322</v>
      </c>
      <c r="P1784">
        <v>57</v>
      </c>
      <c r="Q1784" t="s">
        <v>3615</v>
      </c>
    </row>
    <row r="1785" spans="1:17" x14ac:dyDescent="0.3">
      <c r="A1785" t="s">
        <v>32</v>
      </c>
      <c r="B1785" t="str">
        <f>"300578"</f>
        <v>300578</v>
      </c>
      <c r="C1785" t="s">
        <v>3616</v>
      </c>
      <c r="D1785" t="s">
        <v>57</v>
      </c>
      <c r="E1785">
        <v>-14322063</v>
      </c>
      <c r="F1785">
        <v>-17375199</v>
      </c>
      <c r="G1785">
        <v>-1781178</v>
      </c>
      <c r="H1785">
        <v>-44270820</v>
      </c>
      <c r="I1785">
        <v>12319729</v>
      </c>
      <c r="J1785">
        <v>-12355630</v>
      </c>
      <c r="K1785">
        <v>-161521</v>
      </c>
      <c r="P1785">
        <v>305</v>
      </c>
      <c r="Q1785" t="s">
        <v>3617</v>
      </c>
    </row>
    <row r="1786" spans="1:17" x14ac:dyDescent="0.3">
      <c r="A1786" t="s">
        <v>17</v>
      </c>
      <c r="B1786" t="str">
        <f>"600652"</f>
        <v>600652</v>
      </c>
      <c r="C1786" t="s">
        <v>3618</v>
      </c>
      <c r="D1786" t="s">
        <v>245</v>
      </c>
      <c r="E1786">
        <v>-14385315</v>
      </c>
      <c r="F1786">
        <v>-18785532</v>
      </c>
      <c r="G1786">
        <v>-46751518</v>
      </c>
      <c r="H1786">
        <v>-10068049</v>
      </c>
      <c r="I1786">
        <v>-25414719</v>
      </c>
      <c r="J1786">
        <v>74922478</v>
      </c>
      <c r="K1786">
        <v>11818089</v>
      </c>
      <c r="L1786">
        <v>241244116</v>
      </c>
      <c r="M1786">
        <v>-48536411</v>
      </c>
      <c r="N1786">
        <v>-86235475</v>
      </c>
      <c r="O1786">
        <v>213295436</v>
      </c>
      <c r="P1786">
        <v>79</v>
      </c>
      <c r="Q1786" t="s">
        <v>3619</v>
      </c>
    </row>
    <row r="1787" spans="1:17" x14ac:dyDescent="0.3">
      <c r="A1787" t="s">
        <v>32</v>
      </c>
      <c r="B1787" t="str">
        <f>"300952"</f>
        <v>300952</v>
      </c>
      <c r="C1787" t="s">
        <v>3620</v>
      </c>
      <c r="D1787" t="s">
        <v>130</v>
      </c>
      <c r="E1787">
        <v>-14407487</v>
      </c>
      <c r="F1787">
        <v>-43849337</v>
      </c>
      <c r="G1787">
        <v>-26559721</v>
      </c>
      <c r="P1787">
        <v>38</v>
      </c>
      <c r="Q1787" t="s">
        <v>3621</v>
      </c>
    </row>
    <row r="1788" spans="1:17" x14ac:dyDescent="0.3">
      <c r="A1788" t="s">
        <v>17</v>
      </c>
      <c r="B1788" t="str">
        <f>"603963"</f>
        <v>603963</v>
      </c>
      <c r="C1788" t="s">
        <v>3622</v>
      </c>
      <c r="D1788" t="s">
        <v>98</v>
      </c>
      <c r="E1788">
        <v>-14445421</v>
      </c>
      <c r="F1788">
        <v>-7558827</v>
      </c>
      <c r="G1788">
        <v>-17149045</v>
      </c>
      <c r="H1788">
        <v>-1319170</v>
      </c>
      <c r="I1788">
        <v>20692561</v>
      </c>
      <c r="J1788">
        <v>-27410263</v>
      </c>
      <c r="P1788">
        <v>109</v>
      </c>
      <c r="Q1788" t="s">
        <v>3623</v>
      </c>
    </row>
    <row r="1789" spans="1:17" x14ac:dyDescent="0.3">
      <c r="A1789" t="s">
        <v>17</v>
      </c>
      <c r="B1789" t="str">
        <f>"605580"</f>
        <v>605580</v>
      </c>
      <c r="C1789" t="s">
        <v>3624</v>
      </c>
      <c r="D1789" t="s">
        <v>158</v>
      </c>
      <c r="E1789">
        <v>-14484810</v>
      </c>
      <c r="F1789">
        <v>29884183</v>
      </c>
      <c r="G1789">
        <v>-36830943</v>
      </c>
      <c r="P1789">
        <v>30</v>
      </c>
      <c r="Q1789" t="s">
        <v>3625</v>
      </c>
    </row>
    <row r="1790" spans="1:17" x14ac:dyDescent="0.3">
      <c r="A1790" t="s">
        <v>17</v>
      </c>
      <c r="B1790" t="str">
        <f>"603158"</f>
        <v>603158</v>
      </c>
      <c r="C1790" t="s">
        <v>3626</v>
      </c>
      <c r="D1790" t="s">
        <v>199</v>
      </c>
      <c r="E1790">
        <v>-14562401</v>
      </c>
      <c r="F1790">
        <v>-43572648</v>
      </c>
      <c r="G1790">
        <v>15766375</v>
      </c>
      <c r="H1790">
        <v>-5716438</v>
      </c>
      <c r="I1790">
        <v>-6559903</v>
      </c>
      <c r="J1790">
        <v>-11108743</v>
      </c>
      <c r="K1790">
        <v>-2956936</v>
      </c>
      <c r="L1790">
        <v>21481544</v>
      </c>
      <c r="M1790">
        <v>6488064</v>
      </c>
      <c r="P1790">
        <v>145</v>
      </c>
      <c r="Q1790" t="s">
        <v>3627</v>
      </c>
    </row>
    <row r="1791" spans="1:17" x14ac:dyDescent="0.3">
      <c r="A1791" t="s">
        <v>32</v>
      </c>
      <c r="B1791" t="str">
        <f>"002993"</f>
        <v>002993</v>
      </c>
      <c r="C1791" t="s">
        <v>3628</v>
      </c>
      <c r="D1791" t="s">
        <v>124</v>
      </c>
      <c r="E1791">
        <v>-14584142</v>
      </c>
      <c r="F1791">
        <v>-56600506</v>
      </c>
      <c r="G1791">
        <v>78387090</v>
      </c>
      <c r="H1791">
        <v>88450714</v>
      </c>
      <c r="P1791">
        <v>146</v>
      </c>
      <c r="Q1791" t="s">
        <v>3629</v>
      </c>
    </row>
    <row r="1792" spans="1:17" x14ac:dyDescent="0.3">
      <c r="A1792" t="s">
        <v>17</v>
      </c>
      <c r="B1792" t="str">
        <f>"603630"</f>
        <v>603630</v>
      </c>
      <c r="C1792" t="s">
        <v>3630</v>
      </c>
      <c r="D1792" t="s">
        <v>544</v>
      </c>
      <c r="E1792">
        <v>-14617775</v>
      </c>
      <c r="F1792">
        <v>-6539832</v>
      </c>
      <c r="G1792">
        <v>-6566374</v>
      </c>
      <c r="H1792">
        <v>50423815</v>
      </c>
      <c r="I1792">
        <v>-4155871</v>
      </c>
      <c r="J1792">
        <v>-42134300</v>
      </c>
      <c r="K1792">
        <v>12689770</v>
      </c>
      <c r="P1792">
        <v>148</v>
      </c>
      <c r="Q1792" t="s">
        <v>3631</v>
      </c>
    </row>
    <row r="1793" spans="1:17" x14ac:dyDescent="0.3">
      <c r="A1793" t="s">
        <v>17</v>
      </c>
      <c r="B1793" t="str">
        <f>"600556"</f>
        <v>600556</v>
      </c>
      <c r="C1793" t="s">
        <v>3632</v>
      </c>
      <c r="D1793" t="s">
        <v>245</v>
      </c>
      <c r="E1793">
        <v>-14646025</v>
      </c>
      <c r="F1793">
        <v>-110341826</v>
      </c>
      <c r="G1793">
        <v>-47449859</v>
      </c>
      <c r="H1793">
        <v>-4327945</v>
      </c>
      <c r="I1793">
        <v>-31659917</v>
      </c>
      <c r="J1793">
        <v>1283230</v>
      </c>
      <c r="K1793">
        <v>-11898504</v>
      </c>
      <c r="L1793">
        <v>-18417011</v>
      </c>
      <c r="M1793">
        <v>-4907022</v>
      </c>
      <c r="N1793">
        <v>-2506853</v>
      </c>
      <c r="O1793">
        <v>6440022</v>
      </c>
      <c r="P1793">
        <v>219</v>
      </c>
      <c r="Q1793" t="s">
        <v>3633</v>
      </c>
    </row>
    <row r="1794" spans="1:17" x14ac:dyDescent="0.3">
      <c r="A1794" t="s">
        <v>17</v>
      </c>
      <c r="B1794" t="str">
        <f>"600322"</f>
        <v>600322</v>
      </c>
      <c r="C1794" t="s">
        <v>3634</v>
      </c>
      <c r="D1794" t="s">
        <v>151</v>
      </c>
      <c r="E1794">
        <v>-14693446</v>
      </c>
      <c r="F1794">
        <v>389241866</v>
      </c>
      <c r="G1794">
        <v>-103448910</v>
      </c>
      <c r="H1794">
        <v>-12258878</v>
      </c>
      <c r="I1794">
        <v>146556122</v>
      </c>
      <c r="J1794">
        <v>-1433015190</v>
      </c>
      <c r="K1794">
        <v>-60931983</v>
      </c>
      <c r="L1794">
        <v>-446838610</v>
      </c>
      <c r="M1794">
        <v>-225036890</v>
      </c>
      <c r="N1794">
        <v>-18450200</v>
      </c>
      <c r="O1794">
        <v>-153260043</v>
      </c>
      <c r="P1794">
        <v>84</v>
      </c>
      <c r="Q1794" t="s">
        <v>3635</v>
      </c>
    </row>
    <row r="1795" spans="1:17" x14ac:dyDescent="0.3">
      <c r="A1795" t="s">
        <v>32</v>
      </c>
      <c r="B1795" t="str">
        <f>"300191"</f>
        <v>300191</v>
      </c>
      <c r="C1795" t="s">
        <v>3636</v>
      </c>
      <c r="D1795" t="s">
        <v>64</v>
      </c>
      <c r="E1795">
        <v>-14745300</v>
      </c>
      <c r="F1795">
        <v>-53913097</v>
      </c>
      <c r="G1795">
        <v>82842964</v>
      </c>
      <c r="H1795">
        <v>-21758248</v>
      </c>
      <c r="I1795">
        <v>-24781420</v>
      </c>
      <c r="J1795">
        <v>-9065708</v>
      </c>
      <c r="K1795">
        <v>-35367836</v>
      </c>
      <c r="L1795">
        <v>-5712432</v>
      </c>
      <c r="M1795">
        <v>12439905</v>
      </c>
      <c r="N1795">
        <v>-21911871</v>
      </c>
      <c r="O1795">
        <v>-1955423</v>
      </c>
      <c r="P1795">
        <v>75</v>
      </c>
      <c r="Q1795" t="s">
        <v>3637</v>
      </c>
    </row>
    <row r="1796" spans="1:17" x14ac:dyDescent="0.3">
      <c r="A1796" t="s">
        <v>32</v>
      </c>
      <c r="B1796" t="str">
        <f>"300936"</f>
        <v>300936</v>
      </c>
      <c r="C1796" t="s">
        <v>3638</v>
      </c>
      <c r="D1796" t="s">
        <v>124</v>
      </c>
      <c r="E1796">
        <v>-14750510</v>
      </c>
      <c r="F1796">
        <v>-38556030</v>
      </c>
      <c r="G1796">
        <v>-11422211</v>
      </c>
      <c r="I1796">
        <v>-24777342</v>
      </c>
      <c r="P1796">
        <v>54</v>
      </c>
      <c r="Q1796" t="s">
        <v>3639</v>
      </c>
    </row>
    <row r="1797" spans="1:17" x14ac:dyDescent="0.3">
      <c r="A1797" t="s">
        <v>17</v>
      </c>
      <c r="B1797" t="str">
        <f>"688508"</f>
        <v>688508</v>
      </c>
      <c r="C1797" t="s">
        <v>3640</v>
      </c>
      <c r="D1797" t="s">
        <v>124</v>
      </c>
      <c r="E1797">
        <v>-14751350</v>
      </c>
      <c r="F1797">
        <v>3139678</v>
      </c>
      <c r="G1797">
        <v>-4410469</v>
      </c>
      <c r="H1797">
        <v>4342763</v>
      </c>
      <c r="P1797">
        <v>165</v>
      </c>
      <c r="Q1797" t="s">
        <v>3641</v>
      </c>
    </row>
    <row r="1798" spans="1:17" x14ac:dyDescent="0.3">
      <c r="A1798" t="s">
        <v>17</v>
      </c>
      <c r="B1798" t="str">
        <f>"688580"</f>
        <v>688580</v>
      </c>
      <c r="C1798" t="s">
        <v>3642</v>
      </c>
      <c r="D1798" t="s">
        <v>98</v>
      </c>
      <c r="E1798">
        <v>-14809668</v>
      </c>
      <c r="F1798">
        <v>3152407</v>
      </c>
      <c r="G1798">
        <v>-34554023</v>
      </c>
      <c r="H1798">
        <v>-1213591</v>
      </c>
      <c r="P1798">
        <v>247</v>
      </c>
      <c r="Q1798" t="s">
        <v>3643</v>
      </c>
    </row>
    <row r="1799" spans="1:17" x14ac:dyDescent="0.3">
      <c r="A1799" t="s">
        <v>17</v>
      </c>
      <c r="B1799" t="str">
        <f>"600462"</f>
        <v>600462</v>
      </c>
      <c r="C1799" t="s">
        <v>3644</v>
      </c>
      <c r="D1799" t="s">
        <v>57</v>
      </c>
      <c r="E1799">
        <v>-14958739</v>
      </c>
      <c r="F1799">
        <v>-50838088</v>
      </c>
      <c r="G1799">
        <v>-17244459</v>
      </c>
      <c r="H1799">
        <v>3590750</v>
      </c>
      <c r="I1799">
        <v>41651724</v>
      </c>
      <c r="J1799">
        <v>-43783329</v>
      </c>
      <c r="K1799">
        <v>-16492954</v>
      </c>
      <c r="L1799">
        <v>9924165</v>
      </c>
      <c r="M1799">
        <v>11041734</v>
      </c>
      <c r="N1799">
        <v>-51249373</v>
      </c>
      <c r="O1799">
        <v>12682165</v>
      </c>
      <c r="P1799">
        <v>51</v>
      </c>
      <c r="Q1799" t="s">
        <v>3645</v>
      </c>
    </row>
    <row r="1800" spans="1:17" x14ac:dyDescent="0.3">
      <c r="A1800" t="s">
        <v>17</v>
      </c>
      <c r="B1800" t="str">
        <f>"688019"</f>
        <v>688019</v>
      </c>
      <c r="C1800" t="s">
        <v>3646</v>
      </c>
      <c r="D1800" t="s">
        <v>124</v>
      </c>
      <c r="E1800">
        <v>-14983849</v>
      </c>
      <c r="F1800">
        <v>-57988887</v>
      </c>
      <c r="G1800">
        <v>-20628813</v>
      </c>
      <c r="H1800">
        <v>-31144381</v>
      </c>
      <c r="I1800">
        <v>10972100</v>
      </c>
      <c r="P1800">
        <v>286</v>
      </c>
      <c r="Q1800" t="s">
        <v>3647</v>
      </c>
    </row>
    <row r="1801" spans="1:17" x14ac:dyDescent="0.3">
      <c r="A1801" t="s">
        <v>32</v>
      </c>
      <c r="B1801" t="str">
        <f>"300975"</f>
        <v>300975</v>
      </c>
      <c r="C1801" t="s">
        <v>3648</v>
      </c>
      <c r="D1801" t="s">
        <v>124</v>
      </c>
      <c r="E1801">
        <v>-15032374</v>
      </c>
      <c r="F1801">
        <v>-195997409</v>
      </c>
      <c r="G1801">
        <v>-99720536</v>
      </c>
      <c r="P1801">
        <v>30</v>
      </c>
      <c r="Q1801" t="s">
        <v>3649</v>
      </c>
    </row>
    <row r="1802" spans="1:17" x14ac:dyDescent="0.3">
      <c r="A1802" t="s">
        <v>17</v>
      </c>
      <c r="B1802" t="str">
        <f>"900953"</f>
        <v>900953</v>
      </c>
      <c r="C1802" t="s">
        <v>3650</v>
      </c>
      <c r="E1802">
        <v>-15130906.0701</v>
      </c>
      <c r="F1802">
        <v>-20352014.16</v>
      </c>
      <c r="G1802">
        <v>-17347303.697700001</v>
      </c>
      <c r="H1802">
        <v>10680419.979</v>
      </c>
      <c r="I1802">
        <v>-12667401.956800001</v>
      </c>
      <c r="J1802">
        <v>16361297.6076</v>
      </c>
      <c r="K1802">
        <v>14954018.2729</v>
      </c>
      <c r="L1802">
        <v>5428548.4353</v>
      </c>
      <c r="M1802">
        <v>-9009041.0999999996</v>
      </c>
      <c r="N1802">
        <v>14099159.459000001</v>
      </c>
      <c r="O1802">
        <v>1603984.4904</v>
      </c>
      <c r="P1802">
        <v>6</v>
      </c>
      <c r="Q1802" t="s">
        <v>3651</v>
      </c>
    </row>
    <row r="1803" spans="1:17" x14ac:dyDescent="0.3">
      <c r="A1803" t="s">
        <v>17</v>
      </c>
      <c r="B1803" t="str">
        <f>"600078"</f>
        <v>600078</v>
      </c>
      <c r="C1803" t="s">
        <v>3652</v>
      </c>
      <c r="D1803" t="s">
        <v>144</v>
      </c>
      <c r="E1803">
        <v>-15182374</v>
      </c>
      <c r="F1803">
        <v>22096752</v>
      </c>
      <c r="G1803">
        <v>143770764</v>
      </c>
      <c r="H1803">
        <v>56347536</v>
      </c>
      <c r="I1803">
        <v>1031954</v>
      </c>
      <c r="J1803">
        <v>61728226</v>
      </c>
      <c r="K1803">
        <v>-227876917</v>
      </c>
      <c r="L1803">
        <v>-91384049</v>
      </c>
      <c r="M1803">
        <v>52102983</v>
      </c>
      <c r="N1803">
        <v>345323356</v>
      </c>
      <c r="O1803">
        <v>313067280</v>
      </c>
      <c r="P1803">
        <v>85</v>
      </c>
      <c r="Q1803" t="s">
        <v>3653</v>
      </c>
    </row>
    <row r="1804" spans="1:17" x14ac:dyDescent="0.3">
      <c r="A1804" t="s">
        <v>17</v>
      </c>
      <c r="B1804" t="str">
        <f>"688386"</f>
        <v>688386</v>
      </c>
      <c r="C1804" t="s">
        <v>3654</v>
      </c>
      <c r="D1804" t="s">
        <v>144</v>
      </c>
      <c r="E1804">
        <v>-15198888</v>
      </c>
      <c r="F1804">
        <v>4397592</v>
      </c>
      <c r="G1804">
        <v>-2482133</v>
      </c>
      <c r="H1804">
        <v>134025</v>
      </c>
      <c r="P1804">
        <v>43</v>
      </c>
      <c r="Q1804" t="s">
        <v>3655</v>
      </c>
    </row>
    <row r="1805" spans="1:17" x14ac:dyDescent="0.3">
      <c r="A1805" t="s">
        <v>32</v>
      </c>
      <c r="B1805" t="str">
        <f>"300980"</f>
        <v>300980</v>
      </c>
      <c r="C1805" t="s">
        <v>3656</v>
      </c>
      <c r="D1805" t="s">
        <v>144</v>
      </c>
      <c r="E1805">
        <v>-15226419</v>
      </c>
      <c r="F1805">
        <v>-62779753</v>
      </c>
      <c r="G1805">
        <v>3338077</v>
      </c>
      <c r="P1805">
        <v>77</v>
      </c>
      <c r="Q1805" t="s">
        <v>3657</v>
      </c>
    </row>
    <row r="1806" spans="1:17" x14ac:dyDescent="0.3">
      <c r="A1806" t="s">
        <v>32</v>
      </c>
      <c r="B1806" t="str">
        <f>"002058"</f>
        <v>002058</v>
      </c>
      <c r="C1806" t="s">
        <v>3658</v>
      </c>
      <c r="D1806" t="s">
        <v>464</v>
      </c>
      <c r="E1806">
        <v>-15233897</v>
      </c>
      <c r="F1806">
        <v>-5867614</v>
      </c>
      <c r="G1806">
        <v>-2858180</v>
      </c>
      <c r="H1806">
        <v>-10183811</v>
      </c>
      <c r="I1806">
        <v>-11586296</v>
      </c>
      <c r="J1806">
        <v>-3455510</v>
      </c>
      <c r="K1806">
        <v>-8421407</v>
      </c>
      <c r="L1806">
        <v>-13954573</v>
      </c>
      <c r="M1806">
        <v>-7285536</v>
      </c>
      <c r="N1806">
        <v>-240675</v>
      </c>
      <c r="O1806">
        <v>-3164476</v>
      </c>
      <c r="P1806">
        <v>55</v>
      </c>
      <c r="Q1806" t="s">
        <v>3659</v>
      </c>
    </row>
    <row r="1807" spans="1:17" x14ac:dyDescent="0.3">
      <c r="A1807" t="s">
        <v>32</v>
      </c>
      <c r="B1807" t="str">
        <f>"301019"</f>
        <v>301019</v>
      </c>
      <c r="C1807" t="s">
        <v>3660</v>
      </c>
      <c r="D1807" t="s">
        <v>144</v>
      </c>
      <c r="E1807">
        <v>-15282166</v>
      </c>
      <c r="F1807">
        <v>4814490</v>
      </c>
      <c r="G1807">
        <v>-27163541</v>
      </c>
      <c r="P1807">
        <v>39</v>
      </c>
      <c r="Q1807" t="s">
        <v>3661</v>
      </c>
    </row>
    <row r="1808" spans="1:17" x14ac:dyDescent="0.3">
      <c r="A1808" t="s">
        <v>32</v>
      </c>
      <c r="B1808" t="str">
        <f>"001216"</f>
        <v>001216</v>
      </c>
      <c r="C1808" t="s">
        <v>3662</v>
      </c>
      <c r="D1808" t="s">
        <v>455</v>
      </c>
      <c r="E1808">
        <v>-15331297</v>
      </c>
      <c r="F1808">
        <v>-74602335</v>
      </c>
      <c r="P1808">
        <v>19</v>
      </c>
      <c r="Q1808" t="s">
        <v>3663</v>
      </c>
    </row>
    <row r="1809" spans="1:17" x14ac:dyDescent="0.3">
      <c r="A1809" t="s">
        <v>32</v>
      </c>
      <c r="B1809" t="str">
        <f>"002467"</f>
        <v>002467</v>
      </c>
      <c r="C1809" t="s">
        <v>3664</v>
      </c>
      <c r="D1809" t="s">
        <v>57</v>
      </c>
      <c r="E1809">
        <v>-15375360</v>
      </c>
      <c r="F1809">
        <v>16621145</v>
      </c>
      <c r="G1809">
        <v>5438548</v>
      </c>
      <c r="H1809">
        <v>33786556</v>
      </c>
      <c r="I1809">
        <v>-619395</v>
      </c>
      <c r="J1809">
        <v>7007671</v>
      </c>
      <c r="K1809">
        <v>-1729057</v>
      </c>
      <c r="L1809">
        <v>14818836</v>
      </c>
      <c r="M1809">
        <v>21712668</v>
      </c>
      <c r="N1809">
        <v>39295897</v>
      </c>
      <c r="O1809">
        <v>4665933</v>
      </c>
      <c r="P1809">
        <v>200</v>
      </c>
      <c r="Q1809" t="s">
        <v>3665</v>
      </c>
    </row>
    <row r="1810" spans="1:17" x14ac:dyDescent="0.3">
      <c r="A1810" t="s">
        <v>32</v>
      </c>
      <c r="B1810" t="str">
        <f>"002119"</f>
        <v>002119</v>
      </c>
      <c r="C1810" t="s">
        <v>3666</v>
      </c>
      <c r="D1810" t="s">
        <v>124</v>
      </c>
      <c r="E1810">
        <v>-15433912</v>
      </c>
      <c r="F1810">
        <v>-39001249</v>
      </c>
      <c r="G1810">
        <v>6974305</v>
      </c>
      <c r="H1810">
        <v>-3942460</v>
      </c>
      <c r="I1810">
        <v>7438656</v>
      </c>
      <c r="J1810">
        <v>-7624574</v>
      </c>
      <c r="K1810">
        <v>-9648727</v>
      </c>
      <c r="L1810">
        <v>13917871</v>
      </c>
      <c r="M1810">
        <v>26280789</v>
      </c>
      <c r="N1810">
        <v>26558702</v>
      </c>
      <c r="O1810">
        <v>6871019</v>
      </c>
      <c r="P1810">
        <v>214</v>
      </c>
      <c r="Q1810" t="s">
        <v>3667</v>
      </c>
    </row>
    <row r="1811" spans="1:17" x14ac:dyDescent="0.3">
      <c r="A1811" t="s">
        <v>32</v>
      </c>
      <c r="B1811" t="str">
        <f>"002900"</f>
        <v>002900</v>
      </c>
      <c r="C1811" t="s">
        <v>3668</v>
      </c>
      <c r="D1811" t="s">
        <v>98</v>
      </c>
      <c r="E1811">
        <v>-15510133</v>
      </c>
      <c r="F1811">
        <v>-67561195</v>
      </c>
      <c r="G1811">
        <v>-104577858</v>
      </c>
      <c r="H1811">
        <v>-52229029</v>
      </c>
      <c r="I1811">
        <v>55021338</v>
      </c>
      <c r="J1811">
        <v>-45480435</v>
      </c>
      <c r="P1811">
        <v>196</v>
      </c>
      <c r="Q1811" t="s">
        <v>3669</v>
      </c>
    </row>
    <row r="1812" spans="1:17" x14ac:dyDescent="0.3">
      <c r="A1812" t="s">
        <v>17</v>
      </c>
      <c r="B1812" t="str">
        <f>"688216"</f>
        <v>688216</v>
      </c>
      <c r="C1812" t="s">
        <v>3670</v>
      </c>
      <c r="D1812" t="s">
        <v>124</v>
      </c>
      <c r="E1812">
        <v>-15512575</v>
      </c>
      <c r="F1812">
        <v>17050673</v>
      </c>
      <c r="G1812">
        <v>7445476</v>
      </c>
      <c r="P1812">
        <v>26</v>
      </c>
      <c r="Q1812" t="s">
        <v>3671</v>
      </c>
    </row>
    <row r="1813" spans="1:17" x14ac:dyDescent="0.3">
      <c r="A1813" t="s">
        <v>32</v>
      </c>
      <c r="B1813" t="str">
        <f>"300149"</f>
        <v>300149</v>
      </c>
      <c r="C1813" t="s">
        <v>3672</v>
      </c>
      <c r="D1813" t="s">
        <v>98</v>
      </c>
      <c r="E1813">
        <v>-15539453</v>
      </c>
      <c r="F1813">
        <v>-16762483</v>
      </c>
      <c r="G1813">
        <v>-80174508</v>
      </c>
      <c r="H1813">
        <v>-6807052</v>
      </c>
      <c r="I1813">
        <v>3337246</v>
      </c>
      <c r="J1813">
        <v>5366682</v>
      </c>
      <c r="K1813">
        <v>18359283</v>
      </c>
      <c r="L1813">
        <v>25498497</v>
      </c>
      <c r="M1813">
        <v>-16719440</v>
      </c>
      <c r="N1813">
        <v>-19475440</v>
      </c>
      <c r="O1813">
        <v>-22298423</v>
      </c>
      <c r="P1813">
        <v>193</v>
      </c>
      <c r="Q1813" t="s">
        <v>3673</v>
      </c>
    </row>
    <row r="1814" spans="1:17" x14ac:dyDescent="0.3">
      <c r="A1814" t="s">
        <v>32</v>
      </c>
      <c r="B1814" t="str">
        <f>"002420"</f>
        <v>002420</v>
      </c>
      <c r="C1814" t="s">
        <v>3674</v>
      </c>
      <c r="D1814" t="s">
        <v>127</v>
      </c>
      <c r="E1814">
        <v>-15546240</v>
      </c>
      <c r="F1814">
        <v>-99397399</v>
      </c>
      <c r="G1814">
        <v>-64320412</v>
      </c>
      <c r="H1814">
        <v>110108157</v>
      </c>
      <c r="I1814">
        <v>153137707</v>
      </c>
      <c r="J1814">
        <v>247575082</v>
      </c>
      <c r="K1814">
        <v>145442892</v>
      </c>
      <c r="L1814">
        <v>72720256</v>
      </c>
      <c r="M1814">
        <v>25735318</v>
      </c>
      <c r="N1814">
        <v>-34600686</v>
      </c>
      <c r="O1814">
        <v>46232458</v>
      </c>
      <c r="P1814">
        <v>82</v>
      </c>
      <c r="Q1814" t="s">
        <v>3675</v>
      </c>
    </row>
    <row r="1815" spans="1:17" x14ac:dyDescent="0.3">
      <c r="A1815" t="s">
        <v>17</v>
      </c>
      <c r="B1815" t="str">
        <f>"688283"</f>
        <v>688283</v>
      </c>
      <c r="C1815" t="s">
        <v>3676</v>
      </c>
      <c r="E1815">
        <v>-15549579</v>
      </c>
      <c r="P1815">
        <v>17</v>
      </c>
      <c r="Q1815" t="s">
        <v>3677</v>
      </c>
    </row>
    <row r="1816" spans="1:17" x14ac:dyDescent="0.3">
      <c r="A1816" t="s">
        <v>32</v>
      </c>
      <c r="B1816" t="str">
        <f>"300162"</f>
        <v>300162</v>
      </c>
      <c r="C1816" t="s">
        <v>3678</v>
      </c>
      <c r="D1816" t="s">
        <v>124</v>
      </c>
      <c r="E1816">
        <v>-15573016</v>
      </c>
      <c r="F1816">
        <v>-45596444</v>
      </c>
      <c r="G1816">
        <v>-111068544</v>
      </c>
      <c r="H1816">
        <v>-26681269</v>
      </c>
      <c r="I1816">
        <v>-46163144</v>
      </c>
      <c r="J1816">
        <v>-6164331</v>
      </c>
      <c r="K1816">
        <v>-3614561</v>
      </c>
      <c r="L1816">
        <v>-19225296</v>
      </c>
      <c r="M1816">
        <v>-11201265</v>
      </c>
      <c r="N1816">
        <v>-40692804</v>
      </c>
      <c r="O1816">
        <v>-10322534</v>
      </c>
      <c r="P1816">
        <v>76</v>
      </c>
      <c r="Q1816" t="s">
        <v>3679</v>
      </c>
    </row>
    <row r="1817" spans="1:17" x14ac:dyDescent="0.3">
      <c r="A1817" t="s">
        <v>17</v>
      </c>
      <c r="B1817" t="str">
        <f>"605080"</f>
        <v>605080</v>
      </c>
      <c r="C1817" t="s">
        <v>3680</v>
      </c>
      <c r="D1817" t="s">
        <v>455</v>
      </c>
      <c r="E1817">
        <v>-15616298</v>
      </c>
      <c r="F1817">
        <v>-10644974</v>
      </c>
      <c r="G1817">
        <v>6772262</v>
      </c>
      <c r="P1817">
        <v>49</v>
      </c>
      <c r="Q1817" t="s">
        <v>3681</v>
      </c>
    </row>
    <row r="1818" spans="1:17" x14ac:dyDescent="0.3">
      <c r="A1818" t="s">
        <v>32</v>
      </c>
      <c r="B1818" t="str">
        <f>"002629"</f>
        <v>002629</v>
      </c>
      <c r="C1818" t="s">
        <v>3682</v>
      </c>
      <c r="D1818" t="s">
        <v>64</v>
      </c>
      <c r="E1818">
        <v>-15640652</v>
      </c>
      <c r="F1818">
        <v>-27477525</v>
      </c>
      <c r="G1818">
        <v>-10267639</v>
      </c>
      <c r="H1818">
        <v>-8079159</v>
      </c>
      <c r="I1818">
        <v>3321295</v>
      </c>
      <c r="J1818">
        <v>-139041085</v>
      </c>
      <c r="K1818">
        <v>-10206995</v>
      </c>
      <c r="L1818">
        <v>59737835</v>
      </c>
      <c r="M1818">
        <v>106178882</v>
      </c>
      <c r="N1818">
        <v>-6093931</v>
      </c>
      <c r="O1818">
        <v>-13451191</v>
      </c>
      <c r="P1818">
        <v>60</v>
      </c>
      <c r="Q1818" t="s">
        <v>3683</v>
      </c>
    </row>
    <row r="1819" spans="1:17" x14ac:dyDescent="0.3">
      <c r="A1819" t="s">
        <v>17</v>
      </c>
      <c r="B1819" t="str">
        <f>"600768"</f>
        <v>600768</v>
      </c>
      <c r="C1819" t="s">
        <v>3684</v>
      </c>
      <c r="D1819" t="s">
        <v>121</v>
      </c>
      <c r="E1819">
        <v>-15664961</v>
      </c>
      <c r="F1819">
        <v>-22673586</v>
      </c>
      <c r="G1819">
        <v>-18246048</v>
      </c>
      <c r="H1819">
        <v>34277308</v>
      </c>
      <c r="I1819">
        <v>-34060433</v>
      </c>
      <c r="J1819">
        <v>-20904908</v>
      </c>
      <c r="K1819">
        <v>9968872</v>
      </c>
      <c r="L1819">
        <v>-29964548</v>
      </c>
      <c r="M1819">
        <v>-19216842</v>
      </c>
      <c r="N1819">
        <v>-32624912</v>
      </c>
      <c r="O1819">
        <v>-44043029</v>
      </c>
      <c r="P1819">
        <v>88</v>
      </c>
      <c r="Q1819" t="s">
        <v>3685</v>
      </c>
    </row>
    <row r="1820" spans="1:17" x14ac:dyDescent="0.3">
      <c r="A1820" t="s">
        <v>32</v>
      </c>
      <c r="B1820" t="str">
        <f>"301076"</f>
        <v>301076</v>
      </c>
      <c r="C1820" t="s">
        <v>3686</v>
      </c>
      <c r="D1820" t="s">
        <v>144</v>
      </c>
      <c r="E1820">
        <v>-15712635</v>
      </c>
      <c r="P1820">
        <v>20</v>
      </c>
      <c r="Q1820" t="s">
        <v>3687</v>
      </c>
    </row>
    <row r="1821" spans="1:17" x14ac:dyDescent="0.3">
      <c r="A1821" t="s">
        <v>32</v>
      </c>
      <c r="B1821" t="str">
        <f>"300354"</f>
        <v>300354</v>
      </c>
      <c r="C1821" t="s">
        <v>3688</v>
      </c>
      <c r="D1821" t="s">
        <v>135</v>
      </c>
      <c r="E1821">
        <v>-15835658</v>
      </c>
      <c r="F1821">
        <v>-29007676</v>
      </c>
      <c r="G1821">
        <v>-26140795</v>
      </c>
      <c r="H1821">
        <v>-11932971</v>
      </c>
      <c r="I1821">
        <v>-30508180</v>
      </c>
      <c r="J1821">
        <v>-12501334</v>
      </c>
      <c r="K1821">
        <v>-22101725</v>
      </c>
      <c r="L1821">
        <v>-17291840</v>
      </c>
      <c r="M1821">
        <v>-12637784</v>
      </c>
      <c r="N1821">
        <v>-19825866</v>
      </c>
      <c r="O1821">
        <v>-19996636</v>
      </c>
      <c r="P1821">
        <v>140</v>
      </c>
      <c r="Q1821" t="s">
        <v>3689</v>
      </c>
    </row>
    <row r="1822" spans="1:17" x14ac:dyDescent="0.3">
      <c r="A1822" t="s">
        <v>32</v>
      </c>
      <c r="B1822" t="str">
        <f>"300587"</f>
        <v>300587</v>
      </c>
      <c r="C1822" t="s">
        <v>3690</v>
      </c>
      <c r="D1822" t="s">
        <v>144</v>
      </c>
      <c r="E1822">
        <v>-15849544</v>
      </c>
      <c r="F1822">
        <v>-54977518</v>
      </c>
      <c r="G1822">
        <v>-90355565</v>
      </c>
      <c r="H1822">
        <v>-42826815</v>
      </c>
      <c r="I1822">
        <v>-61969078</v>
      </c>
      <c r="J1822">
        <v>-29592501</v>
      </c>
      <c r="K1822">
        <v>14772293</v>
      </c>
      <c r="P1822">
        <v>154</v>
      </c>
      <c r="Q1822" t="s">
        <v>3691</v>
      </c>
    </row>
    <row r="1823" spans="1:17" x14ac:dyDescent="0.3">
      <c r="A1823" t="s">
        <v>17</v>
      </c>
      <c r="B1823" t="str">
        <f>"600119"</f>
        <v>600119</v>
      </c>
      <c r="C1823" t="s">
        <v>3692</v>
      </c>
      <c r="D1823" t="s">
        <v>46</v>
      </c>
      <c r="E1823">
        <v>-15906048</v>
      </c>
      <c r="F1823">
        <v>-9637716</v>
      </c>
      <c r="G1823">
        <v>-10048015</v>
      </c>
      <c r="H1823">
        <v>25891613</v>
      </c>
      <c r="I1823">
        <v>84427310</v>
      </c>
      <c r="J1823">
        <v>-71068648</v>
      </c>
      <c r="K1823">
        <v>-2883988</v>
      </c>
      <c r="L1823">
        <v>74267633</v>
      </c>
      <c r="M1823">
        <v>90727192</v>
      </c>
      <c r="N1823">
        <v>-65765851</v>
      </c>
      <c r="O1823">
        <v>-32426435</v>
      </c>
      <c r="P1823">
        <v>55</v>
      </c>
      <c r="Q1823" t="s">
        <v>3693</v>
      </c>
    </row>
    <row r="1824" spans="1:17" x14ac:dyDescent="0.3">
      <c r="A1824" t="s">
        <v>32</v>
      </c>
      <c r="B1824" t="str">
        <f>"002980"</f>
        <v>002980</v>
      </c>
      <c r="C1824" t="s">
        <v>3694</v>
      </c>
      <c r="D1824" t="s">
        <v>464</v>
      </c>
      <c r="E1824">
        <v>-15907285</v>
      </c>
      <c r="F1824">
        <v>-3864265</v>
      </c>
      <c r="G1824">
        <v>177629747</v>
      </c>
      <c r="H1824">
        <v>27343423</v>
      </c>
      <c r="P1824">
        <v>154</v>
      </c>
      <c r="Q1824" t="s">
        <v>3695</v>
      </c>
    </row>
    <row r="1825" spans="1:17" x14ac:dyDescent="0.3">
      <c r="A1825" t="s">
        <v>17</v>
      </c>
      <c r="B1825" t="str">
        <f>"688089"</f>
        <v>688089</v>
      </c>
      <c r="C1825" t="s">
        <v>3696</v>
      </c>
      <c r="D1825" t="s">
        <v>144</v>
      </c>
      <c r="E1825">
        <v>-15943618</v>
      </c>
      <c r="F1825">
        <v>-20495915</v>
      </c>
      <c r="G1825">
        <v>55822279</v>
      </c>
      <c r="H1825">
        <v>19859817</v>
      </c>
      <c r="P1825">
        <v>150</v>
      </c>
      <c r="Q1825" t="s">
        <v>3697</v>
      </c>
    </row>
    <row r="1826" spans="1:17" x14ac:dyDescent="0.3">
      <c r="A1826" t="s">
        <v>17</v>
      </c>
      <c r="B1826" t="str">
        <f>"688389"</f>
        <v>688389</v>
      </c>
      <c r="C1826" t="s">
        <v>3698</v>
      </c>
      <c r="D1826" t="s">
        <v>98</v>
      </c>
      <c r="E1826">
        <v>-15984823</v>
      </c>
      <c r="F1826">
        <v>-12086892</v>
      </c>
      <c r="G1826">
        <v>-16042882</v>
      </c>
      <c r="H1826">
        <v>-22733705</v>
      </c>
      <c r="P1826">
        <v>162</v>
      </c>
      <c r="Q1826" t="s">
        <v>3699</v>
      </c>
    </row>
    <row r="1827" spans="1:17" x14ac:dyDescent="0.3">
      <c r="A1827" t="s">
        <v>17</v>
      </c>
      <c r="B1827" t="str">
        <f>"600538"</f>
        <v>600538</v>
      </c>
      <c r="C1827" t="s">
        <v>3700</v>
      </c>
      <c r="D1827" t="s">
        <v>98</v>
      </c>
      <c r="E1827">
        <v>-15991117</v>
      </c>
      <c r="F1827">
        <v>-29845458</v>
      </c>
      <c r="G1827">
        <v>6378340</v>
      </c>
      <c r="H1827">
        <v>-10322196</v>
      </c>
      <c r="I1827">
        <v>-14268693</v>
      </c>
      <c r="J1827">
        <v>-30442885</v>
      </c>
      <c r="K1827">
        <v>-26548848</v>
      </c>
      <c r="L1827">
        <v>-12120161</v>
      </c>
      <c r="M1827">
        <v>-2016038</v>
      </c>
      <c r="N1827">
        <v>-4817614</v>
      </c>
      <c r="O1827">
        <v>-11494199</v>
      </c>
      <c r="P1827">
        <v>69</v>
      </c>
      <c r="Q1827" t="s">
        <v>3701</v>
      </c>
    </row>
    <row r="1828" spans="1:17" x14ac:dyDescent="0.3">
      <c r="A1828" t="s">
        <v>32</v>
      </c>
      <c r="B1828" t="str">
        <f>"200026"</f>
        <v>200026</v>
      </c>
      <c r="C1828" t="s">
        <v>3702</v>
      </c>
      <c r="E1828">
        <v>-16059267.362</v>
      </c>
      <c r="F1828">
        <v>-19523426.489999998</v>
      </c>
      <c r="G1828">
        <v>-143267932.03709999</v>
      </c>
      <c r="H1828">
        <v>-46763231.901299998</v>
      </c>
      <c r="I1828">
        <v>58441531.015500002</v>
      </c>
      <c r="J1828">
        <v>107625347.5096</v>
      </c>
      <c r="K1828">
        <v>57170674.273599997</v>
      </c>
      <c r="L1828">
        <v>61432185</v>
      </c>
      <c r="M1828">
        <v>-17951918.3444</v>
      </c>
      <c r="N1828">
        <v>42868293.725400001</v>
      </c>
      <c r="O1828">
        <v>-106592746.428</v>
      </c>
      <c r="P1828">
        <v>52</v>
      </c>
      <c r="Q1828" t="s">
        <v>3703</v>
      </c>
    </row>
    <row r="1829" spans="1:17" x14ac:dyDescent="0.3">
      <c r="A1829" t="s">
        <v>32</v>
      </c>
      <c r="B1829" t="str">
        <f>"002872"</f>
        <v>002872</v>
      </c>
      <c r="C1829" t="s">
        <v>3704</v>
      </c>
      <c r="D1829" t="s">
        <v>98</v>
      </c>
      <c r="E1829">
        <v>-16112385</v>
      </c>
      <c r="F1829">
        <v>-44555761</v>
      </c>
      <c r="G1829">
        <v>-5231497</v>
      </c>
      <c r="H1829">
        <v>23896448</v>
      </c>
      <c r="I1829">
        <v>-214807803</v>
      </c>
      <c r="J1829">
        <v>-144991803</v>
      </c>
      <c r="K1829">
        <v>25963700</v>
      </c>
      <c r="P1829">
        <v>69</v>
      </c>
      <c r="Q1829" t="s">
        <v>3705</v>
      </c>
    </row>
    <row r="1830" spans="1:17" x14ac:dyDescent="0.3">
      <c r="A1830" t="s">
        <v>32</v>
      </c>
      <c r="B1830" t="str">
        <f>"002301"</f>
        <v>002301</v>
      </c>
      <c r="C1830" t="s">
        <v>3706</v>
      </c>
      <c r="D1830" t="s">
        <v>455</v>
      </c>
      <c r="E1830">
        <v>-16132954</v>
      </c>
      <c r="F1830">
        <v>46783640</v>
      </c>
      <c r="G1830">
        <v>-424646143</v>
      </c>
      <c r="H1830">
        <v>-696779281</v>
      </c>
      <c r="I1830">
        <v>-230390097</v>
      </c>
      <c r="J1830">
        <v>-269179141</v>
      </c>
      <c r="K1830">
        <v>-16339941</v>
      </c>
      <c r="L1830">
        <v>-120102512</v>
      </c>
      <c r="M1830">
        <v>-95833394</v>
      </c>
      <c r="N1830">
        <v>-120646547</v>
      </c>
      <c r="O1830">
        <v>-97081976</v>
      </c>
      <c r="P1830">
        <v>202</v>
      </c>
      <c r="Q1830" t="s">
        <v>3707</v>
      </c>
    </row>
    <row r="1831" spans="1:17" x14ac:dyDescent="0.3">
      <c r="A1831" t="s">
        <v>32</v>
      </c>
      <c r="B1831" t="str">
        <f>"301005"</f>
        <v>301005</v>
      </c>
      <c r="C1831" t="s">
        <v>3708</v>
      </c>
      <c r="D1831" t="s">
        <v>199</v>
      </c>
      <c r="E1831">
        <v>-16135829</v>
      </c>
      <c r="F1831">
        <v>-812462</v>
      </c>
      <c r="G1831">
        <v>12016927</v>
      </c>
      <c r="P1831">
        <v>23</v>
      </c>
      <c r="Q1831" t="s">
        <v>3709</v>
      </c>
    </row>
    <row r="1832" spans="1:17" x14ac:dyDescent="0.3">
      <c r="A1832" t="s">
        <v>32</v>
      </c>
      <c r="B1832" t="str">
        <f>"300535"</f>
        <v>300535</v>
      </c>
      <c r="C1832" t="s">
        <v>3710</v>
      </c>
      <c r="D1832" t="s">
        <v>144</v>
      </c>
      <c r="E1832">
        <v>-16137410</v>
      </c>
      <c r="F1832">
        <v>-18007812</v>
      </c>
      <c r="G1832">
        <v>-21892934</v>
      </c>
      <c r="H1832">
        <v>1095281</v>
      </c>
      <c r="I1832">
        <v>-11133344</v>
      </c>
      <c r="J1832">
        <v>-9264531</v>
      </c>
      <c r="K1832">
        <v>-7179065</v>
      </c>
      <c r="L1832">
        <v>1293856</v>
      </c>
      <c r="P1832">
        <v>73</v>
      </c>
      <c r="Q1832" t="s">
        <v>3711</v>
      </c>
    </row>
    <row r="1833" spans="1:17" x14ac:dyDescent="0.3">
      <c r="A1833" t="s">
        <v>17</v>
      </c>
      <c r="B1833" t="str">
        <f>"688092"</f>
        <v>688092</v>
      </c>
      <c r="C1833" t="s">
        <v>3712</v>
      </c>
      <c r="D1833" t="s">
        <v>135</v>
      </c>
      <c r="E1833">
        <v>-16153975</v>
      </c>
      <c r="F1833">
        <v>-22275902</v>
      </c>
      <c r="G1833">
        <v>-17141495</v>
      </c>
      <c r="P1833">
        <v>30</v>
      </c>
      <c r="Q1833" t="s">
        <v>3713</v>
      </c>
    </row>
    <row r="1834" spans="1:17" x14ac:dyDescent="0.3">
      <c r="A1834" t="s">
        <v>32</v>
      </c>
      <c r="B1834" t="str">
        <f>"300116"</f>
        <v>300116</v>
      </c>
      <c r="C1834" t="s">
        <v>3714</v>
      </c>
      <c r="D1834" t="s">
        <v>464</v>
      </c>
      <c r="E1834">
        <v>-16388762</v>
      </c>
      <c r="F1834">
        <v>-74803489</v>
      </c>
      <c r="G1834">
        <v>-39114973</v>
      </c>
      <c r="H1834">
        <v>-3288796</v>
      </c>
      <c r="I1834">
        <v>232497367</v>
      </c>
      <c r="J1834">
        <v>-1351472755</v>
      </c>
      <c r="K1834">
        <v>-23328171</v>
      </c>
      <c r="L1834">
        <v>-15606814</v>
      </c>
      <c r="M1834">
        <v>-10631117</v>
      </c>
      <c r="N1834">
        <v>-59270449</v>
      </c>
      <c r="O1834">
        <v>-36980024</v>
      </c>
      <c r="P1834">
        <v>173</v>
      </c>
      <c r="Q1834" t="s">
        <v>3715</v>
      </c>
    </row>
    <row r="1835" spans="1:17" x14ac:dyDescent="0.3">
      <c r="A1835" t="s">
        <v>32</v>
      </c>
      <c r="B1835" t="str">
        <f>"300851"</f>
        <v>300851</v>
      </c>
      <c r="C1835" t="s">
        <v>3716</v>
      </c>
      <c r="D1835" t="s">
        <v>135</v>
      </c>
      <c r="E1835">
        <v>-16484347</v>
      </c>
      <c r="F1835">
        <v>-944354</v>
      </c>
      <c r="G1835">
        <v>-66830218</v>
      </c>
      <c r="H1835">
        <v>-33142028</v>
      </c>
      <c r="P1835">
        <v>45</v>
      </c>
      <c r="Q1835" t="s">
        <v>3717</v>
      </c>
    </row>
    <row r="1836" spans="1:17" x14ac:dyDescent="0.3">
      <c r="A1836" t="s">
        <v>32</v>
      </c>
      <c r="B1836" t="str">
        <f>"300350"</f>
        <v>300350</v>
      </c>
      <c r="C1836" t="s">
        <v>3718</v>
      </c>
      <c r="D1836" t="s">
        <v>46</v>
      </c>
      <c r="E1836">
        <v>-16643594</v>
      </c>
      <c r="F1836">
        <v>146909214</v>
      </c>
      <c r="G1836">
        <v>-20028525</v>
      </c>
      <c r="H1836">
        <v>25149436</v>
      </c>
      <c r="I1836">
        <v>-11687377</v>
      </c>
      <c r="J1836">
        <v>16393174</v>
      </c>
      <c r="K1836">
        <v>125395386</v>
      </c>
      <c r="L1836">
        <v>-17735880</v>
      </c>
      <c r="M1836">
        <v>-68109780</v>
      </c>
      <c r="N1836">
        <v>-71356282</v>
      </c>
      <c r="O1836">
        <v>-43470633</v>
      </c>
      <c r="P1836">
        <v>106</v>
      </c>
      <c r="Q1836" t="s">
        <v>3719</v>
      </c>
    </row>
    <row r="1837" spans="1:17" x14ac:dyDescent="0.3">
      <c r="A1837" t="s">
        <v>32</v>
      </c>
      <c r="B1837" t="str">
        <f>"301008"</f>
        <v>301008</v>
      </c>
      <c r="C1837" t="s">
        <v>3720</v>
      </c>
      <c r="D1837" t="s">
        <v>127</v>
      </c>
      <c r="E1837">
        <v>-16757478</v>
      </c>
      <c r="F1837">
        <v>-23460007</v>
      </c>
      <c r="G1837">
        <v>-15201492</v>
      </c>
      <c r="P1837">
        <v>36</v>
      </c>
      <c r="Q1837" t="s">
        <v>3721</v>
      </c>
    </row>
    <row r="1838" spans="1:17" x14ac:dyDescent="0.3">
      <c r="A1838" t="s">
        <v>17</v>
      </c>
      <c r="B1838" t="str">
        <f>"603315"</f>
        <v>603315</v>
      </c>
      <c r="C1838" t="s">
        <v>3722</v>
      </c>
      <c r="D1838" t="s">
        <v>135</v>
      </c>
      <c r="E1838">
        <v>-16780921</v>
      </c>
      <c r="F1838">
        <v>-93880663</v>
      </c>
      <c r="G1838">
        <v>-11408386</v>
      </c>
      <c r="H1838">
        <v>13841870</v>
      </c>
      <c r="I1838">
        <v>-51988597</v>
      </c>
      <c r="J1838">
        <v>-55502928</v>
      </c>
      <c r="K1838">
        <v>7712821</v>
      </c>
      <c r="L1838">
        <v>-51180922</v>
      </c>
      <c r="M1838">
        <v>-23562544</v>
      </c>
      <c r="P1838">
        <v>57</v>
      </c>
      <c r="Q1838" t="s">
        <v>3723</v>
      </c>
    </row>
    <row r="1839" spans="1:17" x14ac:dyDescent="0.3">
      <c r="A1839" t="s">
        <v>32</v>
      </c>
      <c r="B1839" t="str">
        <f>"002084"</f>
        <v>002084</v>
      </c>
      <c r="C1839" t="s">
        <v>3724</v>
      </c>
      <c r="D1839" t="s">
        <v>455</v>
      </c>
      <c r="E1839">
        <v>-16823418</v>
      </c>
      <c r="F1839">
        <v>-14401982</v>
      </c>
      <c r="G1839">
        <v>31778793</v>
      </c>
      <c r="H1839">
        <v>46118725</v>
      </c>
      <c r="I1839">
        <v>-10979097</v>
      </c>
      <c r="J1839">
        <v>131710849</v>
      </c>
      <c r="K1839">
        <v>-18067768</v>
      </c>
      <c r="L1839">
        <v>48995402</v>
      </c>
      <c r="M1839">
        <v>46038351</v>
      </c>
      <c r="N1839">
        <v>35021432</v>
      </c>
      <c r="O1839">
        <v>11336194</v>
      </c>
      <c r="P1839">
        <v>148</v>
      </c>
      <c r="Q1839" t="s">
        <v>3725</v>
      </c>
    </row>
    <row r="1840" spans="1:17" x14ac:dyDescent="0.3">
      <c r="A1840" t="s">
        <v>32</v>
      </c>
      <c r="B1840" t="str">
        <f>"000584"</f>
        <v>000584</v>
      </c>
      <c r="C1840" t="s">
        <v>3726</v>
      </c>
      <c r="D1840" t="s">
        <v>135</v>
      </c>
      <c r="E1840">
        <v>-16831436</v>
      </c>
      <c r="F1840">
        <v>-114198850</v>
      </c>
      <c r="G1840">
        <v>-93737176</v>
      </c>
      <c r="H1840">
        <v>-110668285</v>
      </c>
      <c r="I1840">
        <v>34607910</v>
      </c>
      <c r="J1840">
        <v>-15852818</v>
      </c>
      <c r="K1840">
        <v>-22243170</v>
      </c>
      <c r="L1840">
        <v>3008958</v>
      </c>
      <c r="M1840">
        <v>185145482</v>
      </c>
      <c r="N1840">
        <v>-19989845</v>
      </c>
      <c r="O1840">
        <v>27787335</v>
      </c>
      <c r="P1840">
        <v>134</v>
      </c>
      <c r="Q1840" t="s">
        <v>3727</v>
      </c>
    </row>
    <row r="1841" spans="1:17" x14ac:dyDescent="0.3">
      <c r="A1841" t="s">
        <v>32</v>
      </c>
      <c r="B1841" t="str">
        <f>"301089"</f>
        <v>301089</v>
      </c>
      <c r="C1841" t="s">
        <v>3728</v>
      </c>
      <c r="D1841" t="s">
        <v>98</v>
      </c>
      <c r="E1841">
        <v>-16869635</v>
      </c>
      <c r="P1841">
        <v>37</v>
      </c>
      <c r="Q1841" t="s">
        <v>3729</v>
      </c>
    </row>
    <row r="1842" spans="1:17" x14ac:dyDescent="0.3">
      <c r="A1842" t="s">
        <v>32</v>
      </c>
      <c r="B1842" t="str">
        <f>"002613"</f>
        <v>002613</v>
      </c>
      <c r="C1842" t="s">
        <v>3730</v>
      </c>
      <c r="D1842" t="s">
        <v>400</v>
      </c>
      <c r="E1842">
        <v>-16886747</v>
      </c>
      <c r="F1842">
        <v>12425545</v>
      </c>
      <c r="G1842">
        <v>-7874886</v>
      </c>
      <c r="H1842">
        <v>4327454</v>
      </c>
      <c r="I1842">
        <v>3829849</v>
      </c>
      <c r="J1842">
        <v>10032757</v>
      </c>
      <c r="K1842">
        <v>-15695294</v>
      </c>
      <c r="L1842">
        <v>-19014840</v>
      </c>
      <c r="M1842">
        <v>-27437792</v>
      </c>
      <c r="N1842">
        <v>-38106101</v>
      </c>
      <c r="O1842">
        <v>-23577052</v>
      </c>
      <c r="P1842">
        <v>91</v>
      </c>
      <c r="Q1842" t="s">
        <v>3731</v>
      </c>
    </row>
    <row r="1843" spans="1:17" x14ac:dyDescent="0.3">
      <c r="A1843" t="s">
        <v>32</v>
      </c>
      <c r="B1843" t="str">
        <f>"300344"</f>
        <v>300344</v>
      </c>
      <c r="C1843" t="s">
        <v>3732</v>
      </c>
      <c r="D1843" t="s">
        <v>342</v>
      </c>
      <c r="E1843">
        <v>-16912437</v>
      </c>
      <c r="F1843">
        <v>-33795498</v>
      </c>
      <c r="G1843">
        <v>-9626083</v>
      </c>
      <c r="H1843">
        <v>-10200749</v>
      </c>
      <c r="I1843">
        <v>43044742</v>
      </c>
      <c r="J1843">
        <v>-28303647</v>
      </c>
      <c r="K1843">
        <v>-38167722</v>
      </c>
      <c r="L1843">
        <v>30073021</v>
      </c>
      <c r="M1843">
        <v>-28718995</v>
      </c>
      <c r="N1843">
        <v>-18541077</v>
      </c>
      <c r="O1843">
        <v>-39826840</v>
      </c>
      <c r="P1843">
        <v>64</v>
      </c>
      <c r="Q1843" t="s">
        <v>3733</v>
      </c>
    </row>
    <row r="1844" spans="1:17" x14ac:dyDescent="0.3">
      <c r="A1844" t="s">
        <v>17</v>
      </c>
      <c r="B1844" t="str">
        <f>"600113"</f>
        <v>600113</v>
      </c>
      <c r="C1844" t="s">
        <v>3734</v>
      </c>
      <c r="D1844" t="s">
        <v>218</v>
      </c>
      <c r="E1844">
        <v>-16949309</v>
      </c>
      <c r="F1844">
        <v>102867116</v>
      </c>
      <c r="G1844">
        <v>2814609</v>
      </c>
      <c r="H1844">
        <v>-324061909</v>
      </c>
      <c r="I1844">
        <v>-9304778</v>
      </c>
      <c r="J1844">
        <v>21411571</v>
      </c>
      <c r="K1844">
        <v>41270485</v>
      </c>
      <c r="L1844">
        <v>-2298212</v>
      </c>
      <c r="M1844">
        <v>8558962</v>
      </c>
      <c r="N1844">
        <v>6605567</v>
      </c>
      <c r="O1844">
        <v>-51957507</v>
      </c>
      <c r="P1844">
        <v>136</v>
      </c>
      <c r="Q1844" t="s">
        <v>3735</v>
      </c>
    </row>
    <row r="1845" spans="1:17" x14ac:dyDescent="0.3">
      <c r="A1845" t="s">
        <v>17</v>
      </c>
      <c r="B1845" t="str">
        <f>"600291"</f>
        <v>600291</v>
      </c>
      <c r="C1845" t="s">
        <v>3736</v>
      </c>
      <c r="D1845" t="s">
        <v>26</v>
      </c>
      <c r="E1845">
        <v>-16969459</v>
      </c>
      <c r="F1845">
        <v>67454070</v>
      </c>
      <c r="G1845">
        <v>-1433243280</v>
      </c>
      <c r="H1845">
        <v>-33531185712</v>
      </c>
      <c r="I1845">
        <v>-74193100808</v>
      </c>
      <c r="J1845">
        <v>-42963452563</v>
      </c>
      <c r="K1845">
        <v>90592010262</v>
      </c>
      <c r="L1845">
        <v>38223915147</v>
      </c>
      <c r="M1845">
        <v>2380952483.4000001</v>
      </c>
      <c r="N1845">
        <v>815150642.82000005</v>
      </c>
      <c r="O1845">
        <v>15918271.119999999</v>
      </c>
      <c r="P1845">
        <v>276</v>
      </c>
      <c r="Q1845" t="s">
        <v>3737</v>
      </c>
    </row>
    <row r="1846" spans="1:17" x14ac:dyDescent="0.3">
      <c r="A1846" t="s">
        <v>32</v>
      </c>
      <c r="B1846" t="str">
        <f>"301288"</f>
        <v>301288</v>
      </c>
      <c r="C1846" t="s">
        <v>3738</v>
      </c>
      <c r="E1846">
        <v>-16980602</v>
      </c>
      <c r="P1846">
        <v>4</v>
      </c>
      <c r="Q1846" t="s">
        <v>3739</v>
      </c>
    </row>
    <row r="1847" spans="1:17" x14ac:dyDescent="0.3">
      <c r="A1847" t="s">
        <v>17</v>
      </c>
      <c r="B1847" t="str">
        <f>"603297"</f>
        <v>603297</v>
      </c>
      <c r="C1847" t="s">
        <v>3740</v>
      </c>
      <c r="D1847" t="s">
        <v>124</v>
      </c>
      <c r="E1847">
        <v>-17147237</v>
      </c>
      <c r="F1847">
        <v>111269015</v>
      </c>
      <c r="G1847">
        <v>-3196871</v>
      </c>
      <c r="H1847">
        <v>-6266391</v>
      </c>
      <c r="I1847">
        <v>-11113146</v>
      </c>
      <c r="P1847">
        <v>238</v>
      </c>
      <c r="Q1847" t="s">
        <v>3741</v>
      </c>
    </row>
    <row r="1848" spans="1:17" x14ac:dyDescent="0.3">
      <c r="A1848" t="s">
        <v>17</v>
      </c>
      <c r="B1848" t="str">
        <f>"600523"</f>
        <v>600523</v>
      </c>
      <c r="C1848" t="s">
        <v>3742</v>
      </c>
      <c r="D1848" t="s">
        <v>199</v>
      </c>
      <c r="E1848">
        <v>-17193818</v>
      </c>
      <c r="F1848">
        <v>-90177320</v>
      </c>
      <c r="G1848">
        <v>-92007535</v>
      </c>
      <c r="H1848">
        <v>-15387080</v>
      </c>
      <c r="I1848">
        <v>-27301688</v>
      </c>
      <c r="J1848">
        <v>-4844923</v>
      </c>
      <c r="K1848">
        <v>-5669514</v>
      </c>
      <c r="L1848">
        <v>-68806621</v>
      </c>
      <c r="M1848">
        <v>-161522406</v>
      </c>
      <c r="N1848">
        <v>-75240248</v>
      </c>
      <c r="O1848">
        <v>1347323</v>
      </c>
      <c r="P1848">
        <v>96</v>
      </c>
      <c r="Q1848" t="s">
        <v>3743</v>
      </c>
    </row>
    <row r="1849" spans="1:17" x14ac:dyDescent="0.3">
      <c r="A1849" t="s">
        <v>32</v>
      </c>
      <c r="B1849" t="str">
        <f>"002843"</f>
        <v>002843</v>
      </c>
      <c r="C1849" t="s">
        <v>3744</v>
      </c>
      <c r="D1849" t="s">
        <v>135</v>
      </c>
      <c r="E1849">
        <v>-17194599</v>
      </c>
      <c r="F1849">
        <v>9201559</v>
      </c>
      <c r="G1849">
        <v>-11220911</v>
      </c>
      <c r="H1849">
        <v>18343613</v>
      </c>
      <c r="I1849">
        <v>-8456204</v>
      </c>
      <c r="J1849">
        <v>7453727</v>
      </c>
      <c r="K1849">
        <v>20046480</v>
      </c>
      <c r="P1849">
        <v>73</v>
      </c>
      <c r="Q1849" t="s">
        <v>3745</v>
      </c>
    </row>
    <row r="1850" spans="1:17" x14ac:dyDescent="0.3">
      <c r="A1850" t="s">
        <v>17</v>
      </c>
      <c r="B1850" t="str">
        <f>"688359"</f>
        <v>688359</v>
      </c>
      <c r="C1850" t="s">
        <v>3746</v>
      </c>
      <c r="D1850" t="s">
        <v>124</v>
      </c>
      <c r="E1850">
        <v>-17214557</v>
      </c>
      <c r="F1850">
        <v>-8274124</v>
      </c>
      <c r="G1850">
        <v>-3947948</v>
      </c>
      <c r="P1850">
        <v>23</v>
      </c>
      <c r="Q1850" t="s">
        <v>3747</v>
      </c>
    </row>
    <row r="1851" spans="1:17" x14ac:dyDescent="0.3">
      <c r="A1851" t="s">
        <v>17</v>
      </c>
      <c r="B1851" t="str">
        <f>"603096"</f>
        <v>603096</v>
      </c>
      <c r="C1851" t="s">
        <v>3748</v>
      </c>
      <c r="D1851" t="s">
        <v>245</v>
      </c>
      <c r="E1851">
        <v>-17298004</v>
      </c>
      <c r="F1851">
        <v>-50303555</v>
      </c>
      <c r="G1851">
        <v>7543630</v>
      </c>
      <c r="H1851">
        <v>44354345</v>
      </c>
      <c r="I1851">
        <v>-123041733</v>
      </c>
      <c r="J1851">
        <v>-14847935</v>
      </c>
      <c r="K1851">
        <v>17178953</v>
      </c>
      <c r="P1851">
        <v>222</v>
      </c>
      <c r="Q1851" t="s">
        <v>3749</v>
      </c>
    </row>
    <row r="1852" spans="1:17" x14ac:dyDescent="0.3">
      <c r="A1852" t="s">
        <v>32</v>
      </c>
      <c r="B1852" t="str">
        <f>"300986"</f>
        <v>300986</v>
      </c>
      <c r="C1852" t="s">
        <v>3750</v>
      </c>
      <c r="D1852" t="s">
        <v>121</v>
      </c>
      <c r="E1852">
        <v>-17319971</v>
      </c>
      <c r="F1852">
        <v>1614370</v>
      </c>
      <c r="G1852">
        <v>-39022029</v>
      </c>
      <c r="P1852">
        <v>34</v>
      </c>
      <c r="Q1852" t="s">
        <v>3751</v>
      </c>
    </row>
    <row r="1853" spans="1:17" x14ac:dyDescent="0.3">
      <c r="A1853" t="s">
        <v>32</v>
      </c>
      <c r="B1853" t="str">
        <f>"002514"</f>
        <v>002514</v>
      </c>
      <c r="C1853" t="s">
        <v>3752</v>
      </c>
      <c r="D1853" t="s">
        <v>135</v>
      </c>
      <c r="E1853">
        <v>-17326083</v>
      </c>
      <c r="F1853">
        <v>27068129</v>
      </c>
      <c r="G1853">
        <v>-9078522</v>
      </c>
      <c r="H1853">
        <v>8988823</v>
      </c>
      <c r="I1853">
        <v>-63825789</v>
      </c>
      <c r="J1853">
        <v>-24754785</v>
      </c>
      <c r="K1853">
        <v>-41911022</v>
      </c>
      <c r="L1853">
        <v>-17501450</v>
      </c>
      <c r="M1853">
        <v>-21921353</v>
      </c>
      <c r="N1853">
        <v>922856</v>
      </c>
      <c r="O1853">
        <v>6152227</v>
      </c>
      <c r="P1853">
        <v>61</v>
      </c>
      <c r="Q1853" t="s">
        <v>3753</v>
      </c>
    </row>
    <row r="1854" spans="1:17" x14ac:dyDescent="0.3">
      <c r="A1854" t="s">
        <v>17</v>
      </c>
      <c r="B1854" t="str">
        <f>"600880"</f>
        <v>600880</v>
      </c>
      <c r="C1854" t="s">
        <v>3754</v>
      </c>
      <c r="D1854" t="s">
        <v>497</v>
      </c>
      <c r="E1854">
        <v>-17328309</v>
      </c>
      <c r="F1854">
        <v>-27064463</v>
      </c>
      <c r="G1854">
        <v>-50426203</v>
      </c>
      <c r="H1854">
        <v>17825179</v>
      </c>
      <c r="I1854">
        <v>-68422922</v>
      </c>
      <c r="J1854">
        <v>-134113588</v>
      </c>
      <c r="K1854">
        <v>33993757</v>
      </c>
      <c r="L1854">
        <v>-25640618</v>
      </c>
      <c r="M1854">
        <v>69957714</v>
      </c>
      <c r="N1854">
        <v>5752475</v>
      </c>
      <c r="O1854">
        <v>-73299594</v>
      </c>
      <c r="P1854">
        <v>314</v>
      </c>
      <c r="Q1854" t="s">
        <v>3755</v>
      </c>
    </row>
    <row r="1855" spans="1:17" x14ac:dyDescent="0.3">
      <c r="A1855" t="s">
        <v>32</v>
      </c>
      <c r="B1855" t="str">
        <f>"000620"</f>
        <v>000620</v>
      </c>
      <c r="C1855" t="s">
        <v>3756</v>
      </c>
      <c r="D1855" t="s">
        <v>151</v>
      </c>
      <c r="E1855">
        <v>-17355361</v>
      </c>
      <c r="F1855">
        <v>235858496</v>
      </c>
      <c r="G1855">
        <v>168582029</v>
      </c>
      <c r="H1855">
        <v>-221869300</v>
      </c>
      <c r="I1855">
        <v>-1376783905</v>
      </c>
      <c r="J1855">
        <v>-1056898022</v>
      </c>
      <c r="K1855">
        <v>-1558401478</v>
      </c>
      <c r="L1855">
        <v>-1196015541</v>
      </c>
      <c r="M1855">
        <v>-1002542691</v>
      </c>
      <c r="N1855">
        <v>-313624734</v>
      </c>
      <c r="O1855">
        <v>-309599985</v>
      </c>
      <c r="P1855">
        <v>298</v>
      </c>
      <c r="Q1855" t="s">
        <v>3757</v>
      </c>
    </row>
    <row r="1856" spans="1:17" x14ac:dyDescent="0.3">
      <c r="A1856" t="s">
        <v>32</v>
      </c>
      <c r="B1856" t="str">
        <f>"002404"</f>
        <v>002404</v>
      </c>
      <c r="C1856" t="s">
        <v>3758</v>
      </c>
      <c r="D1856" t="s">
        <v>130</v>
      </c>
      <c r="E1856">
        <v>-17435842</v>
      </c>
      <c r="F1856">
        <v>54342822</v>
      </c>
      <c r="G1856">
        <v>65263417</v>
      </c>
      <c r="H1856">
        <v>39345820</v>
      </c>
      <c r="I1856">
        <v>250782727</v>
      </c>
      <c r="J1856">
        <v>74349178</v>
      </c>
      <c r="K1856">
        <v>15540910</v>
      </c>
      <c r="L1856">
        <v>22847364</v>
      </c>
      <c r="M1856">
        <v>-53718843</v>
      </c>
      <c r="N1856">
        <v>-16458551</v>
      </c>
      <c r="O1856">
        <v>-42595310</v>
      </c>
      <c r="P1856">
        <v>108</v>
      </c>
      <c r="Q1856" t="s">
        <v>3759</v>
      </c>
    </row>
    <row r="1857" spans="1:17" x14ac:dyDescent="0.3">
      <c r="A1857" t="s">
        <v>32</v>
      </c>
      <c r="B1857" t="str">
        <f>"002796"</f>
        <v>002796</v>
      </c>
      <c r="C1857" t="s">
        <v>3760</v>
      </c>
      <c r="D1857" t="s">
        <v>135</v>
      </c>
      <c r="E1857">
        <v>-17504140</v>
      </c>
      <c r="F1857">
        <v>62439650</v>
      </c>
      <c r="G1857">
        <v>-110192903</v>
      </c>
      <c r="H1857">
        <v>38703342</v>
      </c>
      <c r="I1857">
        <v>-66609092</v>
      </c>
      <c r="J1857">
        <v>-14560954</v>
      </c>
      <c r="K1857">
        <v>-9019022</v>
      </c>
      <c r="L1857">
        <v>-3676601</v>
      </c>
      <c r="P1857">
        <v>248</v>
      </c>
      <c r="Q1857" t="s">
        <v>3761</v>
      </c>
    </row>
    <row r="1858" spans="1:17" x14ac:dyDescent="0.3">
      <c r="A1858" t="s">
        <v>32</v>
      </c>
      <c r="B1858" t="str">
        <f>"300387"</f>
        <v>300387</v>
      </c>
      <c r="C1858" t="s">
        <v>3762</v>
      </c>
      <c r="D1858" t="s">
        <v>144</v>
      </c>
      <c r="E1858">
        <v>-17565770</v>
      </c>
      <c r="F1858">
        <v>-13543979</v>
      </c>
      <c r="G1858">
        <v>-27434012</v>
      </c>
      <c r="H1858">
        <v>-24793046</v>
      </c>
      <c r="I1858">
        <v>20697827</v>
      </c>
      <c r="J1858">
        <v>17881907</v>
      </c>
      <c r="K1858">
        <v>28276085</v>
      </c>
      <c r="L1858">
        <v>-19482410</v>
      </c>
      <c r="M1858">
        <v>-15388959</v>
      </c>
      <c r="P1858">
        <v>89</v>
      </c>
      <c r="Q1858" t="s">
        <v>3763</v>
      </c>
    </row>
    <row r="1859" spans="1:17" x14ac:dyDescent="0.3">
      <c r="A1859" t="s">
        <v>32</v>
      </c>
      <c r="B1859" t="str">
        <f>"300836"</f>
        <v>300836</v>
      </c>
      <c r="C1859" t="s">
        <v>3764</v>
      </c>
      <c r="D1859" t="s">
        <v>135</v>
      </c>
      <c r="E1859">
        <v>-17614687</v>
      </c>
      <c r="F1859">
        <v>-45610131</v>
      </c>
      <c r="G1859">
        <v>1330449</v>
      </c>
      <c r="H1859">
        <v>-3585087</v>
      </c>
      <c r="P1859">
        <v>61</v>
      </c>
      <c r="Q1859" t="s">
        <v>3765</v>
      </c>
    </row>
    <row r="1860" spans="1:17" x14ac:dyDescent="0.3">
      <c r="A1860" t="s">
        <v>17</v>
      </c>
      <c r="B1860" t="str">
        <f>"603030"</f>
        <v>603030</v>
      </c>
      <c r="C1860" t="s">
        <v>3766</v>
      </c>
      <c r="D1860" t="s">
        <v>645</v>
      </c>
      <c r="E1860">
        <v>-17679074</v>
      </c>
      <c r="F1860">
        <v>-318567083</v>
      </c>
      <c r="G1860">
        <v>-203598476</v>
      </c>
      <c r="H1860">
        <v>-358630413</v>
      </c>
      <c r="I1860">
        <v>-440647830</v>
      </c>
      <c r="J1860">
        <v>-83128260</v>
      </c>
      <c r="K1860">
        <v>-139024037</v>
      </c>
      <c r="L1860">
        <v>-157315429</v>
      </c>
      <c r="M1860">
        <v>-141920102</v>
      </c>
      <c r="P1860">
        <v>126</v>
      </c>
      <c r="Q1860" t="s">
        <v>3767</v>
      </c>
    </row>
    <row r="1861" spans="1:17" x14ac:dyDescent="0.3">
      <c r="A1861" t="s">
        <v>32</v>
      </c>
      <c r="B1861" t="str">
        <f>"300453"</f>
        <v>300453</v>
      </c>
      <c r="C1861" t="s">
        <v>3768</v>
      </c>
      <c r="D1861" t="s">
        <v>98</v>
      </c>
      <c r="E1861">
        <v>-17708554</v>
      </c>
      <c r="F1861">
        <v>-32031726</v>
      </c>
      <c r="G1861">
        <v>-3419227</v>
      </c>
      <c r="H1861">
        <v>-68613573</v>
      </c>
      <c r="I1861">
        <v>-20317178</v>
      </c>
      <c r="J1861">
        <v>-23043850</v>
      </c>
      <c r="K1861">
        <v>-25354223</v>
      </c>
      <c r="L1861">
        <v>-19013000</v>
      </c>
      <c r="P1861">
        <v>228</v>
      </c>
      <c r="Q1861" t="s">
        <v>3769</v>
      </c>
    </row>
    <row r="1862" spans="1:17" x14ac:dyDescent="0.3">
      <c r="A1862" t="s">
        <v>17</v>
      </c>
      <c r="B1862" t="str">
        <f>"688697"</f>
        <v>688697</v>
      </c>
      <c r="C1862" t="s">
        <v>3770</v>
      </c>
      <c r="D1862" t="s">
        <v>135</v>
      </c>
      <c r="E1862">
        <v>-17710791</v>
      </c>
      <c r="P1862">
        <v>16</v>
      </c>
      <c r="Q1862" t="s">
        <v>3771</v>
      </c>
    </row>
    <row r="1863" spans="1:17" x14ac:dyDescent="0.3">
      <c r="A1863" t="s">
        <v>32</v>
      </c>
      <c r="B1863" t="str">
        <f>"002842"</f>
        <v>002842</v>
      </c>
      <c r="C1863" t="s">
        <v>3772</v>
      </c>
      <c r="D1863" t="s">
        <v>121</v>
      </c>
      <c r="E1863">
        <v>-17716738</v>
      </c>
      <c r="F1863">
        <v>-105587096</v>
      </c>
      <c r="G1863">
        <v>-66795296</v>
      </c>
      <c r="H1863">
        <v>-138631596</v>
      </c>
      <c r="I1863">
        <v>-221556972</v>
      </c>
      <c r="J1863">
        <v>-183026250</v>
      </c>
      <c r="K1863">
        <v>-57395341</v>
      </c>
      <c r="P1863">
        <v>99</v>
      </c>
      <c r="Q1863" t="s">
        <v>3773</v>
      </c>
    </row>
    <row r="1864" spans="1:17" x14ac:dyDescent="0.3">
      <c r="A1864" t="s">
        <v>17</v>
      </c>
      <c r="B1864" t="str">
        <f>"900924"</f>
        <v>900924</v>
      </c>
      <c r="C1864" t="s">
        <v>3774</v>
      </c>
      <c r="E1864">
        <v>-17768359.796300001</v>
      </c>
      <c r="F1864">
        <v>-10243097.827199999</v>
      </c>
      <c r="G1864">
        <v>-3063553.0422999999</v>
      </c>
      <c r="H1864">
        <v>-28993411.296999998</v>
      </c>
      <c r="I1864">
        <v>-8027877.0241999999</v>
      </c>
      <c r="J1864">
        <v>-6536431.6644000001</v>
      </c>
      <c r="K1864">
        <v>-12587353.684</v>
      </c>
      <c r="L1864">
        <v>6569101.2192000002</v>
      </c>
      <c r="M1864">
        <v>-8092457.784</v>
      </c>
      <c r="N1864">
        <v>-6798065.7709999997</v>
      </c>
      <c r="O1864">
        <v>2263042.4435999999</v>
      </c>
      <c r="P1864">
        <v>11</v>
      </c>
      <c r="Q1864" t="s">
        <v>3775</v>
      </c>
    </row>
    <row r="1865" spans="1:17" x14ac:dyDescent="0.3">
      <c r="A1865" t="s">
        <v>17</v>
      </c>
      <c r="B1865" t="str">
        <f>"688050"</f>
        <v>688050</v>
      </c>
      <c r="C1865" t="s">
        <v>3776</v>
      </c>
      <c r="D1865" t="s">
        <v>98</v>
      </c>
      <c r="E1865">
        <v>-17791792</v>
      </c>
      <c r="F1865">
        <v>-38240098</v>
      </c>
      <c r="G1865">
        <v>-14934169</v>
      </c>
      <c r="H1865">
        <v>-13525035</v>
      </c>
      <c r="P1865">
        <v>411</v>
      </c>
      <c r="Q1865" t="s">
        <v>3777</v>
      </c>
    </row>
    <row r="1866" spans="1:17" x14ac:dyDescent="0.3">
      <c r="A1866" t="s">
        <v>32</v>
      </c>
      <c r="B1866" t="str">
        <f>"001234"</f>
        <v>001234</v>
      </c>
      <c r="C1866" t="s">
        <v>3778</v>
      </c>
      <c r="D1866" t="s">
        <v>130</v>
      </c>
      <c r="E1866">
        <v>-17865285</v>
      </c>
      <c r="F1866">
        <v>-20935335</v>
      </c>
      <c r="P1866">
        <v>16</v>
      </c>
      <c r="Q1866" t="s">
        <v>3779</v>
      </c>
    </row>
    <row r="1867" spans="1:17" x14ac:dyDescent="0.3">
      <c r="A1867" t="s">
        <v>17</v>
      </c>
      <c r="B1867" t="str">
        <f>"603157"</f>
        <v>603157</v>
      </c>
      <c r="C1867" t="s">
        <v>3780</v>
      </c>
      <c r="D1867" t="s">
        <v>130</v>
      </c>
      <c r="E1867">
        <v>-17918000</v>
      </c>
      <c r="F1867">
        <v>23665000</v>
      </c>
      <c r="G1867">
        <v>-148171000</v>
      </c>
      <c r="H1867">
        <v>85896000</v>
      </c>
      <c r="I1867">
        <v>-472718000</v>
      </c>
      <c r="J1867">
        <v>-79670000</v>
      </c>
      <c r="P1867">
        <v>88</v>
      </c>
      <c r="Q1867" t="s">
        <v>3781</v>
      </c>
    </row>
    <row r="1868" spans="1:17" x14ac:dyDescent="0.3">
      <c r="A1868" t="s">
        <v>32</v>
      </c>
      <c r="B1868" t="str">
        <f>"300234"</f>
        <v>300234</v>
      </c>
      <c r="C1868" t="s">
        <v>3782</v>
      </c>
      <c r="D1868" t="s">
        <v>400</v>
      </c>
      <c r="E1868">
        <v>-17933196</v>
      </c>
      <c r="F1868">
        <v>13096459</v>
      </c>
      <c r="G1868">
        <v>5889727</v>
      </c>
      <c r="H1868">
        <v>3219638</v>
      </c>
      <c r="I1868">
        <v>-21233993</v>
      </c>
      <c r="J1868">
        <v>-24056725</v>
      </c>
      <c r="K1868">
        <v>-12688101</v>
      </c>
      <c r="L1868">
        <v>-29176027</v>
      </c>
      <c r="M1868">
        <v>-4054428</v>
      </c>
      <c r="N1868">
        <v>10126387</v>
      </c>
      <c r="O1868">
        <v>3593539</v>
      </c>
      <c r="P1868">
        <v>111</v>
      </c>
      <c r="Q1868" t="s">
        <v>3783</v>
      </c>
    </row>
    <row r="1869" spans="1:17" x14ac:dyDescent="0.3">
      <c r="A1869" t="s">
        <v>32</v>
      </c>
      <c r="B1869" t="str">
        <f>"300553"</f>
        <v>300553</v>
      </c>
      <c r="C1869" t="s">
        <v>3784</v>
      </c>
      <c r="D1869" t="s">
        <v>135</v>
      </c>
      <c r="E1869">
        <v>-17934885</v>
      </c>
      <c r="F1869">
        <v>-12425039</v>
      </c>
      <c r="G1869">
        <v>-12755669</v>
      </c>
      <c r="H1869">
        <v>-398609</v>
      </c>
      <c r="I1869">
        <v>-11086204</v>
      </c>
      <c r="J1869">
        <v>-7447452</v>
      </c>
      <c r="K1869">
        <v>-6294294</v>
      </c>
      <c r="P1869">
        <v>72</v>
      </c>
      <c r="Q1869" t="s">
        <v>3785</v>
      </c>
    </row>
    <row r="1870" spans="1:17" x14ac:dyDescent="0.3">
      <c r="A1870" t="s">
        <v>32</v>
      </c>
      <c r="B1870" t="str">
        <f>"300529"</f>
        <v>300529</v>
      </c>
      <c r="C1870" t="s">
        <v>3786</v>
      </c>
      <c r="D1870" t="s">
        <v>98</v>
      </c>
      <c r="E1870">
        <v>-17937445</v>
      </c>
      <c r="F1870">
        <v>60217701</v>
      </c>
      <c r="G1870">
        <v>106800335</v>
      </c>
      <c r="H1870">
        <v>49039053</v>
      </c>
      <c r="I1870">
        <v>44544888</v>
      </c>
      <c r="J1870">
        <v>46093391</v>
      </c>
      <c r="K1870">
        <v>15233568</v>
      </c>
      <c r="L1870">
        <v>21253206</v>
      </c>
      <c r="P1870">
        <v>5956</v>
      </c>
      <c r="Q1870" t="s">
        <v>3787</v>
      </c>
    </row>
    <row r="1871" spans="1:17" x14ac:dyDescent="0.3">
      <c r="A1871" t="s">
        <v>32</v>
      </c>
      <c r="B1871" t="str">
        <f>"300652"</f>
        <v>300652</v>
      </c>
      <c r="C1871" t="s">
        <v>3788</v>
      </c>
      <c r="D1871" t="s">
        <v>199</v>
      </c>
      <c r="E1871">
        <v>-17972773</v>
      </c>
      <c r="F1871">
        <v>-24005513</v>
      </c>
      <c r="G1871">
        <v>-8647769</v>
      </c>
      <c r="H1871">
        <v>-25971860</v>
      </c>
      <c r="I1871">
        <v>-16063940</v>
      </c>
      <c r="J1871">
        <v>2483766</v>
      </c>
      <c r="K1871">
        <v>10206330</v>
      </c>
      <c r="P1871">
        <v>92</v>
      </c>
      <c r="Q1871" t="s">
        <v>3789</v>
      </c>
    </row>
    <row r="1872" spans="1:17" x14ac:dyDescent="0.3">
      <c r="A1872" t="s">
        <v>32</v>
      </c>
      <c r="B1872" t="str">
        <f>"002496"</f>
        <v>002496</v>
      </c>
      <c r="C1872" t="s">
        <v>3790</v>
      </c>
      <c r="D1872" t="s">
        <v>144</v>
      </c>
      <c r="E1872">
        <v>-18066707</v>
      </c>
      <c r="F1872">
        <v>-71262036</v>
      </c>
      <c r="G1872">
        <v>-60173429</v>
      </c>
      <c r="H1872">
        <v>21769255</v>
      </c>
      <c r="I1872">
        <v>-91279762</v>
      </c>
      <c r="J1872">
        <v>-117573529</v>
      </c>
      <c r="K1872">
        <v>-127413630</v>
      </c>
      <c r="L1872">
        <v>-103342304</v>
      </c>
      <c r="M1872">
        <v>-90368011</v>
      </c>
      <c r="N1872">
        <v>-71948556</v>
      </c>
      <c r="O1872">
        <v>-114965438</v>
      </c>
      <c r="P1872">
        <v>158</v>
      </c>
      <c r="Q1872" t="s">
        <v>3791</v>
      </c>
    </row>
    <row r="1873" spans="1:17" x14ac:dyDescent="0.3">
      <c r="A1873" t="s">
        <v>17</v>
      </c>
      <c r="B1873" t="str">
        <f>"688191"</f>
        <v>688191</v>
      </c>
      <c r="C1873" t="s">
        <v>3792</v>
      </c>
      <c r="D1873" t="s">
        <v>464</v>
      </c>
      <c r="E1873">
        <v>-18092793</v>
      </c>
      <c r="F1873">
        <v>-49345301</v>
      </c>
      <c r="G1873">
        <v>-31130347</v>
      </c>
      <c r="P1873">
        <v>56</v>
      </c>
      <c r="Q1873" t="s">
        <v>3793</v>
      </c>
    </row>
    <row r="1874" spans="1:17" x14ac:dyDescent="0.3">
      <c r="A1874" t="s">
        <v>17</v>
      </c>
      <c r="B1874" t="str">
        <f>"600530"</f>
        <v>600530</v>
      </c>
      <c r="C1874" t="s">
        <v>3794</v>
      </c>
      <c r="D1874" t="s">
        <v>172</v>
      </c>
      <c r="E1874">
        <v>-18164581</v>
      </c>
      <c r="F1874">
        <v>7111117</v>
      </c>
      <c r="G1874">
        <v>-30372740</v>
      </c>
      <c r="H1874">
        <v>-35116690</v>
      </c>
      <c r="I1874">
        <v>-29428072</v>
      </c>
      <c r="J1874">
        <v>-10120382</v>
      </c>
      <c r="K1874">
        <v>-52726790</v>
      </c>
      <c r="L1874">
        <v>-9794326</v>
      </c>
      <c r="M1874">
        <v>-81330563</v>
      </c>
      <c r="N1874">
        <v>-46039599</v>
      </c>
      <c r="O1874">
        <v>-17406344</v>
      </c>
      <c r="P1874">
        <v>86</v>
      </c>
      <c r="Q1874" t="s">
        <v>3795</v>
      </c>
    </row>
    <row r="1875" spans="1:17" x14ac:dyDescent="0.3">
      <c r="A1875" t="s">
        <v>32</v>
      </c>
      <c r="B1875" t="str">
        <f>"300705"</f>
        <v>300705</v>
      </c>
      <c r="C1875" t="s">
        <v>3796</v>
      </c>
      <c r="D1875" t="s">
        <v>98</v>
      </c>
      <c r="E1875">
        <v>-18173648</v>
      </c>
      <c r="F1875">
        <v>-10355009</v>
      </c>
      <c r="G1875">
        <v>-2072024</v>
      </c>
      <c r="H1875">
        <v>-77945973</v>
      </c>
      <c r="I1875">
        <v>-66484802</v>
      </c>
      <c r="J1875">
        <v>-11854531</v>
      </c>
      <c r="P1875">
        <v>167</v>
      </c>
      <c r="Q1875" t="s">
        <v>3797</v>
      </c>
    </row>
    <row r="1876" spans="1:17" x14ac:dyDescent="0.3">
      <c r="A1876" t="s">
        <v>32</v>
      </c>
      <c r="B1876" t="str">
        <f>"001296"</f>
        <v>001296</v>
      </c>
      <c r="C1876" t="s">
        <v>3798</v>
      </c>
      <c r="D1876" t="s">
        <v>144</v>
      </c>
      <c r="E1876">
        <v>-18282641</v>
      </c>
      <c r="F1876">
        <v>3170439</v>
      </c>
      <c r="P1876">
        <v>15</v>
      </c>
      <c r="Q1876" t="s">
        <v>3799</v>
      </c>
    </row>
    <row r="1877" spans="1:17" x14ac:dyDescent="0.3">
      <c r="A1877" t="s">
        <v>32</v>
      </c>
      <c r="B1877" t="str">
        <f>"002445"</f>
        <v>002445</v>
      </c>
      <c r="C1877" t="s">
        <v>3800</v>
      </c>
      <c r="D1877" t="s">
        <v>245</v>
      </c>
      <c r="E1877">
        <v>-18317114</v>
      </c>
      <c r="F1877">
        <v>-37183316</v>
      </c>
      <c r="G1877">
        <v>-13839093</v>
      </c>
      <c r="H1877">
        <v>-7723381</v>
      </c>
      <c r="I1877">
        <v>-273526853</v>
      </c>
      <c r="J1877">
        <v>-243730605</v>
      </c>
      <c r="K1877">
        <v>65133053</v>
      </c>
      <c r="L1877">
        <v>97253549</v>
      </c>
      <c r="M1877">
        <v>-91288847</v>
      </c>
      <c r="N1877">
        <v>-187755200</v>
      </c>
      <c r="O1877">
        <v>-63702815</v>
      </c>
      <c r="P1877">
        <v>110</v>
      </c>
      <c r="Q1877" t="s">
        <v>3801</v>
      </c>
    </row>
    <row r="1878" spans="1:17" x14ac:dyDescent="0.3">
      <c r="A1878" t="s">
        <v>32</v>
      </c>
      <c r="B1878" t="str">
        <f>"300493"</f>
        <v>300493</v>
      </c>
      <c r="C1878" t="s">
        <v>3802</v>
      </c>
      <c r="D1878" t="s">
        <v>124</v>
      </c>
      <c r="E1878">
        <v>-18322982</v>
      </c>
      <c r="F1878">
        <v>12746674</v>
      </c>
      <c r="G1878">
        <v>93094161</v>
      </c>
      <c r="H1878">
        <v>152669557</v>
      </c>
      <c r="I1878">
        <v>53647082</v>
      </c>
      <c r="J1878">
        <v>42965838</v>
      </c>
      <c r="K1878">
        <v>-23525800</v>
      </c>
      <c r="L1878">
        <v>16642100</v>
      </c>
      <c r="P1878">
        <v>187</v>
      </c>
      <c r="Q1878" t="s">
        <v>3803</v>
      </c>
    </row>
    <row r="1879" spans="1:17" x14ac:dyDescent="0.3">
      <c r="A1879" t="s">
        <v>32</v>
      </c>
      <c r="B1879" t="str">
        <f>"301237"</f>
        <v>301237</v>
      </c>
      <c r="C1879" t="s">
        <v>3804</v>
      </c>
      <c r="E1879">
        <v>-18339113</v>
      </c>
      <c r="P1879">
        <v>6</v>
      </c>
      <c r="Q1879" t="s">
        <v>3805</v>
      </c>
    </row>
    <row r="1880" spans="1:17" x14ac:dyDescent="0.3">
      <c r="A1880" t="s">
        <v>17</v>
      </c>
      <c r="B1880" t="str">
        <f>"600099"</f>
        <v>600099</v>
      </c>
      <c r="C1880" t="s">
        <v>3806</v>
      </c>
      <c r="D1880" t="s">
        <v>199</v>
      </c>
      <c r="E1880">
        <v>-18359422</v>
      </c>
      <c r="F1880">
        <v>-30093976</v>
      </c>
      <c r="G1880">
        <v>-26264247</v>
      </c>
      <c r="H1880">
        <v>-42710987</v>
      </c>
      <c r="I1880">
        <v>-16794618</v>
      </c>
      <c r="J1880">
        <v>-29079422</v>
      </c>
      <c r="K1880">
        <v>-20051130</v>
      </c>
      <c r="L1880">
        <v>-21458161</v>
      </c>
      <c r="M1880">
        <v>-9571826</v>
      </c>
      <c r="N1880">
        <v>-13086256</v>
      </c>
      <c r="O1880">
        <v>-41819926</v>
      </c>
      <c r="P1880">
        <v>74</v>
      </c>
      <c r="Q1880" t="s">
        <v>3807</v>
      </c>
    </row>
    <row r="1881" spans="1:17" x14ac:dyDescent="0.3">
      <c r="A1881" t="s">
        <v>17</v>
      </c>
      <c r="B1881" t="str">
        <f>"600467"</f>
        <v>600467</v>
      </c>
      <c r="C1881" t="s">
        <v>3808</v>
      </c>
      <c r="D1881" t="s">
        <v>175</v>
      </c>
      <c r="E1881">
        <v>-18374339</v>
      </c>
      <c r="F1881">
        <v>-3895772</v>
      </c>
      <c r="G1881">
        <v>-13127664</v>
      </c>
      <c r="H1881">
        <v>-135776805</v>
      </c>
      <c r="I1881">
        <v>-34578561</v>
      </c>
      <c r="J1881">
        <v>-44130828</v>
      </c>
      <c r="K1881">
        <v>5634454</v>
      </c>
      <c r="L1881">
        <v>-116586881</v>
      </c>
      <c r="M1881">
        <v>-172799769</v>
      </c>
      <c r="N1881">
        <v>-217918337</v>
      </c>
      <c r="O1881">
        <v>-187105437</v>
      </c>
      <c r="P1881">
        <v>119</v>
      </c>
      <c r="Q1881" t="s">
        <v>3809</v>
      </c>
    </row>
    <row r="1882" spans="1:17" x14ac:dyDescent="0.3">
      <c r="A1882" t="s">
        <v>17</v>
      </c>
      <c r="B1882" t="str">
        <f>"600071"</f>
        <v>600071</v>
      </c>
      <c r="C1882" t="s">
        <v>3810</v>
      </c>
      <c r="D1882" t="s">
        <v>124</v>
      </c>
      <c r="E1882">
        <v>-18388725</v>
      </c>
      <c r="F1882">
        <v>-6188720</v>
      </c>
      <c r="G1882">
        <v>-12745817</v>
      </c>
      <c r="H1882">
        <v>373425</v>
      </c>
      <c r="I1882">
        <v>-2496656</v>
      </c>
      <c r="J1882">
        <v>-14109427</v>
      </c>
      <c r="K1882">
        <v>-12983990</v>
      </c>
      <c r="L1882">
        <v>-36762205</v>
      </c>
      <c r="M1882">
        <v>-36583621</v>
      </c>
      <c r="N1882">
        <v>-35356787</v>
      </c>
      <c r="O1882">
        <v>-41637426</v>
      </c>
      <c r="P1882">
        <v>97</v>
      </c>
      <c r="Q1882" t="s">
        <v>3811</v>
      </c>
    </row>
    <row r="1883" spans="1:17" x14ac:dyDescent="0.3">
      <c r="A1883" t="s">
        <v>32</v>
      </c>
      <c r="B1883" t="str">
        <f>"300314"</f>
        <v>300314</v>
      </c>
      <c r="C1883" t="s">
        <v>3812</v>
      </c>
      <c r="D1883" t="s">
        <v>98</v>
      </c>
      <c r="E1883">
        <v>-18419395</v>
      </c>
      <c r="F1883">
        <v>-54546971</v>
      </c>
      <c r="G1883">
        <v>-28137071</v>
      </c>
      <c r="H1883">
        <v>-32782476</v>
      </c>
      <c r="I1883">
        <v>-35328891</v>
      </c>
      <c r="J1883">
        <v>-32090007</v>
      </c>
      <c r="K1883">
        <v>-14586635</v>
      </c>
      <c r="L1883">
        <v>-18605664</v>
      </c>
      <c r="M1883">
        <v>-18895813</v>
      </c>
      <c r="N1883">
        <v>-11609095</v>
      </c>
      <c r="O1883">
        <v>7834266</v>
      </c>
      <c r="P1883">
        <v>196</v>
      </c>
      <c r="Q1883" t="s">
        <v>3813</v>
      </c>
    </row>
    <row r="1884" spans="1:17" x14ac:dyDescent="0.3">
      <c r="A1884" t="s">
        <v>17</v>
      </c>
      <c r="B1884" t="str">
        <f>"600272"</f>
        <v>600272</v>
      </c>
      <c r="C1884" t="s">
        <v>3814</v>
      </c>
      <c r="D1884" t="s">
        <v>98</v>
      </c>
      <c r="E1884">
        <v>-18419550</v>
      </c>
      <c r="F1884">
        <v>-25146228</v>
      </c>
      <c r="G1884">
        <v>-17873298</v>
      </c>
      <c r="H1884">
        <v>3740333</v>
      </c>
      <c r="I1884">
        <v>-6946604</v>
      </c>
      <c r="J1884">
        <v>-172506</v>
      </c>
      <c r="K1884">
        <v>-9005020</v>
      </c>
      <c r="L1884">
        <v>2816367</v>
      </c>
      <c r="M1884">
        <v>-6752877</v>
      </c>
      <c r="N1884">
        <v>6058076</v>
      </c>
      <c r="O1884">
        <v>-8600011</v>
      </c>
      <c r="P1884">
        <v>66</v>
      </c>
      <c r="Q1884" t="s">
        <v>3815</v>
      </c>
    </row>
    <row r="1885" spans="1:17" x14ac:dyDescent="0.3">
      <c r="A1885" t="s">
        <v>32</v>
      </c>
      <c r="B1885" t="str">
        <f>"300703"</f>
        <v>300703</v>
      </c>
      <c r="C1885" t="s">
        <v>3816</v>
      </c>
      <c r="D1885" t="s">
        <v>455</v>
      </c>
      <c r="E1885">
        <v>-18425351</v>
      </c>
      <c r="F1885">
        <v>-127367366</v>
      </c>
      <c r="G1885">
        <v>-13563987</v>
      </c>
      <c r="H1885">
        <v>-31597923</v>
      </c>
      <c r="I1885">
        <v>-62738202</v>
      </c>
      <c r="J1885">
        <v>11917451</v>
      </c>
      <c r="P1885">
        <v>109</v>
      </c>
      <c r="Q1885" t="s">
        <v>3817</v>
      </c>
    </row>
    <row r="1886" spans="1:17" x14ac:dyDescent="0.3">
      <c r="A1886" t="s">
        <v>32</v>
      </c>
      <c r="B1886" t="str">
        <f>"000005"</f>
        <v>000005</v>
      </c>
      <c r="C1886" t="s">
        <v>3818</v>
      </c>
      <c r="D1886" t="s">
        <v>1334</v>
      </c>
      <c r="E1886">
        <v>-18432890</v>
      </c>
      <c r="F1886">
        <v>-37414581</v>
      </c>
      <c r="G1886">
        <v>9060364</v>
      </c>
      <c r="H1886">
        <v>190474170</v>
      </c>
      <c r="I1886">
        <v>2128553</v>
      </c>
      <c r="J1886">
        <v>-184122505</v>
      </c>
      <c r="K1886">
        <v>-35294089</v>
      </c>
      <c r="L1886">
        <v>17395613</v>
      </c>
      <c r="M1886">
        <v>1443250</v>
      </c>
      <c r="N1886">
        <v>-125985883</v>
      </c>
      <c r="O1886">
        <v>2168384</v>
      </c>
      <c r="P1886">
        <v>87</v>
      </c>
      <c r="Q1886" t="s">
        <v>3819</v>
      </c>
    </row>
    <row r="1887" spans="1:17" x14ac:dyDescent="0.3">
      <c r="A1887" t="s">
        <v>32</v>
      </c>
      <c r="B1887" t="str">
        <f>"002193"</f>
        <v>002193</v>
      </c>
      <c r="C1887" t="s">
        <v>3820</v>
      </c>
      <c r="D1887" t="s">
        <v>130</v>
      </c>
      <c r="E1887">
        <v>-18637350</v>
      </c>
      <c r="F1887">
        <v>-357280375</v>
      </c>
      <c r="G1887">
        <v>-11941520</v>
      </c>
      <c r="H1887">
        <v>-230580156</v>
      </c>
      <c r="I1887">
        <v>-78208869</v>
      </c>
      <c r="J1887">
        <v>-255573655</v>
      </c>
      <c r="K1887">
        <v>-96871807</v>
      </c>
      <c r="L1887">
        <v>-17780091</v>
      </c>
      <c r="M1887">
        <v>3746341</v>
      </c>
      <c r="N1887">
        <v>4894404</v>
      </c>
      <c r="O1887">
        <v>1598810</v>
      </c>
      <c r="P1887">
        <v>93</v>
      </c>
      <c r="Q1887" t="s">
        <v>3821</v>
      </c>
    </row>
    <row r="1888" spans="1:17" x14ac:dyDescent="0.3">
      <c r="A1888" t="s">
        <v>32</v>
      </c>
      <c r="B1888" t="str">
        <f>"002159"</f>
        <v>002159</v>
      </c>
      <c r="C1888" t="s">
        <v>3822</v>
      </c>
      <c r="D1888" t="s">
        <v>497</v>
      </c>
      <c r="E1888">
        <v>-18639809</v>
      </c>
      <c r="F1888">
        <v>-42579716</v>
      </c>
      <c r="G1888">
        <v>-71646332</v>
      </c>
      <c r="H1888">
        <v>-37672553</v>
      </c>
      <c r="I1888">
        <v>-47820851</v>
      </c>
      <c r="J1888">
        <v>-66525286</v>
      </c>
      <c r="K1888">
        <v>-103196459</v>
      </c>
      <c r="L1888">
        <v>-119367822</v>
      </c>
      <c r="M1888">
        <v>-44112522</v>
      </c>
      <c r="N1888">
        <v>-61023242</v>
      </c>
      <c r="O1888">
        <v>-54531927</v>
      </c>
      <c r="P1888">
        <v>119</v>
      </c>
      <c r="Q1888" t="s">
        <v>3823</v>
      </c>
    </row>
    <row r="1889" spans="1:17" x14ac:dyDescent="0.3">
      <c r="A1889" t="s">
        <v>32</v>
      </c>
      <c r="B1889" t="str">
        <f>"002693"</f>
        <v>002693</v>
      </c>
      <c r="C1889" t="s">
        <v>3824</v>
      </c>
      <c r="D1889" t="s">
        <v>98</v>
      </c>
      <c r="E1889">
        <v>-18662022</v>
      </c>
      <c r="F1889">
        <v>-7003427</v>
      </c>
      <c r="G1889">
        <v>-10307307</v>
      </c>
      <c r="H1889">
        <v>15987490</v>
      </c>
      <c r="I1889">
        <v>10871373</v>
      </c>
      <c r="J1889">
        <v>-26125305</v>
      </c>
      <c r="K1889">
        <v>-81036142</v>
      </c>
      <c r="L1889">
        <v>-86985369</v>
      </c>
      <c r="M1889">
        <v>-30755565</v>
      </c>
      <c r="N1889">
        <v>-10161563</v>
      </c>
      <c r="O1889">
        <v>-12601111</v>
      </c>
      <c r="P1889">
        <v>95</v>
      </c>
      <c r="Q1889" t="s">
        <v>3825</v>
      </c>
    </row>
    <row r="1890" spans="1:17" x14ac:dyDescent="0.3">
      <c r="A1890" t="s">
        <v>17</v>
      </c>
      <c r="B1890" t="str">
        <f>"600354"</f>
        <v>600354</v>
      </c>
      <c r="C1890" t="s">
        <v>3826</v>
      </c>
      <c r="D1890" t="s">
        <v>175</v>
      </c>
      <c r="E1890">
        <v>-18686942</v>
      </c>
      <c r="F1890">
        <v>-28551654</v>
      </c>
      <c r="G1890">
        <v>-51209302</v>
      </c>
      <c r="H1890">
        <v>-110175877</v>
      </c>
      <c r="I1890">
        <v>-130139526</v>
      </c>
      <c r="J1890">
        <v>-176732410</v>
      </c>
      <c r="K1890">
        <v>-227593611</v>
      </c>
      <c r="L1890">
        <v>-72483652</v>
      </c>
      <c r="M1890">
        <v>-28748787</v>
      </c>
      <c r="N1890">
        <v>35039962</v>
      </c>
      <c r="O1890">
        <v>13074481</v>
      </c>
      <c r="P1890">
        <v>121</v>
      </c>
      <c r="Q1890" t="s">
        <v>3827</v>
      </c>
    </row>
    <row r="1891" spans="1:17" x14ac:dyDescent="0.3">
      <c r="A1891" t="s">
        <v>32</v>
      </c>
      <c r="B1891" t="str">
        <f>"300963"</f>
        <v>300963</v>
      </c>
      <c r="C1891" t="s">
        <v>3828</v>
      </c>
      <c r="D1891" t="s">
        <v>121</v>
      </c>
      <c r="E1891">
        <v>-18696828</v>
      </c>
      <c r="F1891">
        <v>-50509873</v>
      </c>
      <c r="G1891">
        <v>-18057529</v>
      </c>
      <c r="P1891">
        <v>35</v>
      </c>
      <c r="Q1891" t="s">
        <v>3829</v>
      </c>
    </row>
    <row r="1892" spans="1:17" x14ac:dyDescent="0.3">
      <c r="A1892" t="s">
        <v>32</v>
      </c>
      <c r="B1892" t="str">
        <f>"300202"</f>
        <v>300202</v>
      </c>
      <c r="C1892" t="s">
        <v>3830</v>
      </c>
      <c r="D1892" t="s">
        <v>342</v>
      </c>
      <c r="E1892">
        <v>-18700077</v>
      </c>
      <c r="F1892">
        <v>-120114094</v>
      </c>
      <c r="G1892">
        <v>-118258587</v>
      </c>
      <c r="H1892">
        <v>-125402620</v>
      </c>
      <c r="I1892">
        <v>-77268024</v>
      </c>
      <c r="J1892">
        <v>-156411889</v>
      </c>
      <c r="K1892">
        <v>-90874279</v>
      </c>
      <c r="L1892">
        <v>-171770465</v>
      </c>
      <c r="M1892">
        <v>-115016690</v>
      </c>
      <c r="N1892">
        <v>-105978055</v>
      </c>
      <c r="O1892">
        <v>-56409784</v>
      </c>
      <c r="P1892">
        <v>2978</v>
      </c>
      <c r="Q1892" t="s">
        <v>3831</v>
      </c>
    </row>
    <row r="1893" spans="1:17" x14ac:dyDescent="0.3">
      <c r="A1893" t="s">
        <v>17</v>
      </c>
      <c r="B1893" t="str">
        <f>"688667"</f>
        <v>688667</v>
      </c>
      <c r="C1893" t="s">
        <v>3832</v>
      </c>
      <c r="D1893" t="s">
        <v>199</v>
      </c>
      <c r="E1893">
        <v>-18739902</v>
      </c>
      <c r="F1893">
        <v>-36305178</v>
      </c>
      <c r="G1893">
        <v>12453014</v>
      </c>
      <c r="P1893">
        <v>66</v>
      </c>
      <c r="Q1893" t="s">
        <v>3833</v>
      </c>
    </row>
    <row r="1894" spans="1:17" x14ac:dyDescent="0.3">
      <c r="A1894" t="s">
        <v>32</v>
      </c>
      <c r="B1894" t="str">
        <f>"002451"</f>
        <v>002451</v>
      </c>
      <c r="C1894" t="s">
        <v>3834</v>
      </c>
      <c r="D1894" t="s">
        <v>464</v>
      </c>
      <c r="E1894">
        <v>-18754495</v>
      </c>
      <c r="F1894">
        <v>-58034732</v>
      </c>
      <c r="G1894">
        <v>-34578821</v>
      </c>
      <c r="H1894">
        <v>51960318</v>
      </c>
      <c r="I1894">
        <v>72436169</v>
      </c>
      <c r="J1894">
        <v>-6884288</v>
      </c>
      <c r="K1894">
        <v>56797623</v>
      </c>
      <c r="L1894">
        <v>-56790896</v>
      </c>
      <c r="M1894">
        <v>-47990932</v>
      </c>
      <c r="N1894">
        <v>-95096159</v>
      </c>
      <c r="O1894">
        <v>20448185</v>
      </c>
      <c r="P1894">
        <v>105</v>
      </c>
      <c r="Q1894" t="s">
        <v>3835</v>
      </c>
    </row>
    <row r="1895" spans="1:17" x14ac:dyDescent="0.3">
      <c r="A1895" t="s">
        <v>32</v>
      </c>
      <c r="B1895" t="str">
        <f>"300484"</f>
        <v>300484</v>
      </c>
      <c r="C1895" t="s">
        <v>3836</v>
      </c>
      <c r="D1895" t="s">
        <v>135</v>
      </c>
      <c r="E1895">
        <v>-18757623</v>
      </c>
      <c r="F1895">
        <v>45874743</v>
      </c>
      <c r="G1895">
        <v>32084551</v>
      </c>
      <c r="H1895">
        <v>-6349178</v>
      </c>
      <c r="I1895">
        <v>-32989896</v>
      </c>
      <c r="J1895">
        <v>-2385592</v>
      </c>
      <c r="K1895">
        <v>3042281</v>
      </c>
      <c r="L1895">
        <v>-12121167</v>
      </c>
      <c r="P1895">
        <v>219</v>
      </c>
      <c r="Q1895" t="s">
        <v>3837</v>
      </c>
    </row>
    <row r="1896" spans="1:17" x14ac:dyDescent="0.3">
      <c r="A1896" t="s">
        <v>17</v>
      </c>
      <c r="B1896" t="str">
        <f>"603757"</f>
        <v>603757</v>
      </c>
      <c r="C1896" t="s">
        <v>3838</v>
      </c>
      <c r="D1896" t="s">
        <v>135</v>
      </c>
      <c r="E1896">
        <v>-18799603</v>
      </c>
      <c r="F1896">
        <v>3560180</v>
      </c>
      <c r="G1896">
        <v>34731240</v>
      </c>
      <c r="H1896">
        <v>57697708</v>
      </c>
      <c r="I1896">
        <v>-68063651</v>
      </c>
      <c r="J1896">
        <v>-4065052</v>
      </c>
      <c r="K1896">
        <v>16965989</v>
      </c>
      <c r="P1896">
        <v>523</v>
      </c>
      <c r="Q1896" t="s">
        <v>3839</v>
      </c>
    </row>
    <row r="1897" spans="1:17" x14ac:dyDescent="0.3">
      <c r="A1897" t="s">
        <v>17</v>
      </c>
      <c r="B1897" t="str">
        <f>"688698"</f>
        <v>688698</v>
      </c>
      <c r="C1897" t="s">
        <v>3840</v>
      </c>
      <c r="D1897" t="s">
        <v>135</v>
      </c>
      <c r="E1897">
        <v>-18858140</v>
      </c>
      <c r="F1897">
        <v>-25608260</v>
      </c>
      <c r="G1897">
        <v>-6687121</v>
      </c>
      <c r="P1897">
        <v>75</v>
      </c>
      <c r="Q1897" t="s">
        <v>3841</v>
      </c>
    </row>
    <row r="1898" spans="1:17" x14ac:dyDescent="0.3">
      <c r="A1898" t="s">
        <v>32</v>
      </c>
      <c r="B1898" t="str">
        <f>"301198"</f>
        <v>301198</v>
      </c>
      <c r="C1898" t="s">
        <v>3842</v>
      </c>
      <c r="D1898" t="s">
        <v>455</v>
      </c>
      <c r="E1898">
        <v>-18876505</v>
      </c>
      <c r="P1898">
        <v>16</v>
      </c>
      <c r="Q1898" t="s">
        <v>3843</v>
      </c>
    </row>
    <row r="1899" spans="1:17" x14ac:dyDescent="0.3">
      <c r="A1899" t="s">
        <v>32</v>
      </c>
      <c r="B1899" t="str">
        <f>"002933"</f>
        <v>002933</v>
      </c>
      <c r="C1899" t="s">
        <v>3844</v>
      </c>
      <c r="D1899" t="s">
        <v>188</v>
      </c>
      <c r="E1899">
        <v>-18998606</v>
      </c>
      <c r="F1899">
        <v>-61074480</v>
      </c>
      <c r="G1899">
        <v>-20829671</v>
      </c>
      <c r="H1899">
        <v>-11721949</v>
      </c>
      <c r="I1899">
        <v>3800886</v>
      </c>
      <c r="P1899">
        <v>314</v>
      </c>
      <c r="Q1899" t="s">
        <v>3845</v>
      </c>
    </row>
    <row r="1900" spans="1:17" x14ac:dyDescent="0.3">
      <c r="A1900" t="s">
        <v>17</v>
      </c>
      <c r="B1900" t="str">
        <f>"600293"</f>
        <v>600293</v>
      </c>
      <c r="C1900" t="s">
        <v>3846</v>
      </c>
      <c r="D1900" t="s">
        <v>400</v>
      </c>
      <c r="E1900">
        <v>-19008901</v>
      </c>
      <c r="F1900">
        <v>11527259</v>
      </c>
      <c r="G1900">
        <v>-24026550</v>
      </c>
      <c r="H1900">
        <v>81678749</v>
      </c>
      <c r="I1900">
        <v>174539343</v>
      </c>
      <c r="J1900">
        <v>434617551</v>
      </c>
      <c r="K1900">
        <v>5813563</v>
      </c>
      <c r="L1900">
        <v>3336089</v>
      </c>
      <c r="M1900">
        <v>8121169</v>
      </c>
      <c r="N1900">
        <v>-48716690</v>
      </c>
      <c r="O1900">
        <v>3207928</v>
      </c>
      <c r="P1900">
        <v>126</v>
      </c>
      <c r="Q1900" t="s">
        <v>3847</v>
      </c>
    </row>
    <row r="1901" spans="1:17" x14ac:dyDescent="0.3">
      <c r="A1901" t="s">
        <v>32</v>
      </c>
      <c r="B1901" t="str">
        <f>"300133"</f>
        <v>300133</v>
      </c>
      <c r="C1901" t="s">
        <v>3848</v>
      </c>
      <c r="D1901" t="s">
        <v>245</v>
      </c>
      <c r="E1901">
        <v>-19010027</v>
      </c>
      <c r="F1901">
        <v>521069780</v>
      </c>
      <c r="G1901">
        <v>64033669</v>
      </c>
      <c r="H1901">
        <v>-85145330</v>
      </c>
      <c r="I1901">
        <v>-333646457</v>
      </c>
      <c r="J1901">
        <v>-448430981</v>
      </c>
      <c r="K1901">
        <v>-369565470</v>
      </c>
      <c r="L1901">
        <v>-232194902</v>
      </c>
      <c r="M1901">
        <v>-100876907</v>
      </c>
      <c r="N1901">
        <v>-65050539</v>
      </c>
      <c r="O1901">
        <v>-92787397</v>
      </c>
      <c r="P1901">
        <v>349</v>
      </c>
      <c r="Q1901" t="s">
        <v>3849</v>
      </c>
    </row>
    <row r="1902" spans="1:17" x14ac:dyDescent="0.3">
      <c r="A1902" t="s">
        <v>32</v>
      </c>
      <c r="B1902" t="str">
        <f>"301056"</f>
        <v>301056</v>
      </c>
      <c r="C1902" t="s">
        <v>3850</v>
      </c>
      <c r="D1902" t="s">
        <v>135</v>
      </c>
      <c r="E1902">
        <v>-19020784</v>
      </c>
      <c r="P1902">
        <v>16</v>
      </c>
      <c r="Q1902" t="s">
        <v>3851</v>
      </c>
    </row>
    <row r="1903" spans="1:17" x14ac:dyDescent="0.3">
      <c r="A1903" t="s">
        <v>32</v>
      </c>
      <c r="B1903" t="str">
        <f>"300222"</f>
        <v>300222</v>
      </c>
      <c r="C1903" t="s">
        <v>3852</v>
      </c>
      <c r="D1903" t="s">
        <v>464</v>
      </c>
      <c r="E1903">
        <v>-19052029</v>
      </c>
      <c r="F1903">
        <v>-127766507</v>
      </c>
      <c r="G1903">
        <v>-147808609</v>
      </c>
      <c r="H1903">
        <v>-189433498</v>
      </c>
      <c r="I1903">
        <v>-363640640</v>
      </c>
      <c r="J1903">
        <v>-489895419</v>
      </c>
      <c r="K1903">
        <v>-57416648</v>
      </c>
      <c r="L1903">
        <v>-41739468</v>
      </c>
      <c r="M1903">
        <v>-40223315</v>
      </c>
      <c r="N1903">
        <v>-58218249</v>
      </c>
      <c r="O1903">
        <v>-41528764</v>
      </c>
      <c r="P1903">
        <v>221</v>
      </c>
      <c r="Q1903" t="s">
        <v>3853</v>
      </c>
    </row>
    <row r="1904" spans="1:17" x14ac:dyDescent="0.3">
      <c r="A1904" t="s">
        <v>17</v>
      </c>
      <c r="B1904" t="str">
        <f>"688598"</f>
        <v>688598</v>
      </c>
      <c r="C1904" t="s">
        <v>3854</v>
      </c>
      <c r="D1904" t="s">
        <v>464</v>
      </c>
      <c r="E1904">
        <v>-19059593</v>
      </c>
      <c r="F1904">
        <v>-161196328</v>
      </c>
      <c r="G1904">
        <v>16025980</v>
      </c>
      <c r="H1904">
        <v>-14397326</v>
      </c>
      <c r="P1904">
        <v>262</v>
      </c>
      <c r="Q1904" t="s">
        <v>3855</v>
      </c>
    </row>
    <row r="1905" spans="1:17" x14ac:dyDescent="0.3">
      <c r="A1905" t="s">
        <v>32</v>
      </c>
      <c r="B1905" t="str">
        <f>"300688"</f>
        <v>300688</v>
      </c>
      <c r="C1905" t="s">
        <v>3856</v>
      </c>
      <c r="D1905" t="s">
        <v>497</v>
      </c>
      <c r="E1905">
        <v>-19140867</v>
      </c>
      <c r="F1905">
        <v>-18178924</v>
      </c>
      <c r="G1905">
        <v>-9145416</v>
      </c>
      <c r="H1905">
        <v>1663997</v>
      </c>
      <c r="I1905">
        <v>-23417650</v>
      </c>
      <c r="J1905">
        <v>-21660030</v>
      </c>
      <c r="K1905">
        <v>-6496912</v>
      </c>
      <c r="P1905">
        <v>83</v>
      </c>
      <c r="Q1905" t="s">
        <v>3857</v>
      </c>
    </row>
    <row r="1906" spans="1:17" x14ac:dyDescent="0.3">
      <c r="A1906" t="s">
        <v>32</v>
      </c>
      <c r="B1906" t="str">
        <f>"002685"</f>
        <v>002685</v>
      </c>
      <c r="C1906" t="s">
        <v>3858</v>
      </c>
      <c r="D1906" t="s">
        <v>135</v>
      </c>
      <c r="E1906">
        <v>-19177635</v>
      </c>
      <c r="F1906">
        <v>-72628622</v>
      </c>
      <c r="G1906">
        <v>26700018</v>
      </c>
      <c r="H1906">
        <v>4696862</v>
      </c>
      <c r="I1906">
        <v>23767662</v>
      </c>
      <c r="J1906">
        <v>-106080975</v>
      </c>
      <c r="K1906">
        <v>105694904</v>
      </c>
      <c r="L1906">
        <v>-103469782</v>
      </c>
      <c r="M1906">
        <v>-30511724</v>
      </c>
      <c r="N1906">
        <v>-10570544</v>
      </c>
      <c r="O1906">
        <v>-9200959</v>
      </c>
      <c r="P1906">
        <v>109</v>
      </c>
      <c r="Q1906" t="s">
        <v>3859</v>
      </c>
    </row>
    <row r="1907" spans="1:17" x14ac:dyDescent="0.3">
      <c r="A1907" t="s">
        <v>32</v>
      </c>
      <c r="B1907" t="str">
        <f>"300194"</f>
        <v>300194</v>
      </c>
      <c r="C1907" t="s">
        <v>3860</v>
      </c>
      <c r="D1907" t="s">
        <v>98</v>
      </c>
      <c r="E1907">
        <v>-19178547</v>
      </c>
      <c r="F1907">
        <v>-178317097</v>
      </c>
      <c r="G1907">
        <v>31681728</v>
      </c>
      <c r="H1907">
        <v>70761471</v>
      </c>
      <c r="I1907">
        <v>68640095</v>
      </c>
      <c r="J1907">
        <v>110106235</v>
      </c>
      <c r="K1907">
        <v>35259486</v>
      </c>
      <c r="L1907">
        <v>-3175264</v>
      </c>
      <c r="M1907">
        <v>-57961768</v>
      </c>
      <c r="N1907">
        <v>-34503568</v>
      </c>
      <c r="O1907">
        <v>-15589236</v>
      </c>
      <c r="P1907">
        <v>149</v>
      </c>
      <c r="Q1907" t="s">
        <v>3861</v>
      </c>
    </row>
    <row r="1908" spans="1:17" x14ac:dyDescent="0.3">
      <c r="A1908" t="s">
        <v>17</v>
      </c>
      <c r="B1908" t="str">
        <f>"603200"</f>
        <v>603200</v>
      </c>
      <c r="C1908" t="s">
        <v>3862</v>
      </c>
      <c r="D1908" t="s">
        <v>1334</v>
      </c>
      <c r="E1908">
        <v>-19232128</v>
      </c>
      <c r="F1908">
        <v>18222174</v>
      </c>
      <c r="G1908">
        <v>-14743574</v>
      </c>
      <c r="H1908">
        <v>-38461045</v>
      </c>
      <c r="I1908">
        <v>-8376720</v>
      </c>
      <c r="J1908">
        <v>37733770</v>
      </c>
      <c r="P1908">
        <v>101</v>
      </c>
      <c r="Q1908" t="s">
        <v>3863</v>
      </c>
    </row>
    <row r="1909" spans="1:17" x14ac:dyDescent="0.3">
      <c r="A1909" t="s">
        <v>32</v>
      </c>
      <c r="B1909" t="str">
        <f>"301162"</f>
        <v>301162</v>
      </c>
      <c r="C1909" t="s">
        <v>3864</v>
      </c>
      <c r="E1909">
        <v>-19270669</v>
      </c>
      <c r="P1909">
        <v>2</v>
      </c>
      <c r="Q1909" t="s">
        <v>3865</v>
      </c>
    </row>
    <row r="1910" spans="1:17" x14ac:dyDescent="0.3">
      <c r="A1910" t="s">
        <v>17</v>
      </c>
      <c r="B1910" t="str">
        <f>"603580"</f>
        <v>603580</v>
      </c>
      <c r="C1910" t="s">
        <v>3866</v>
      </c>
      <c r="D1910" t="s">
        <v>144</v>
      </c>
      <c r="E1910">
        <v>-19291895</v>
      </c>
      <c r="F1910">
        <v>-4514797</v>
      </c>
      <c r="G1910">
        <v>10588011</v>
      </c>
      <c r="H1910">
        <v>-1494418</v>
      </c>
      <c r="I1910">
        <v>758584</v>
      </c>
      <c r="J1910">
        <v>4456899</v>
      </c>
      <c r="K1910">
        <v>672100</v>
      </c>
      <c r="P1910">
        <v>57</v>
      </c>
      <c r="Q1910" t="s">
        <v>3867</v>
      </c>
    </row>
    <row r="1911" spans="1:17" x14ac:dyDescent="0.3">
      <c r="A1911" t="s">
        <v>17</v>
      </c>
      <c r="B1911" t="str">
        <f>"600743"</f>
        <v>600743</v>
      </c>
      <c r="C1911" t="s">
        <v>3868</v>
      </c>
      <c r="D1911" t="s">
        <v>151</v>
      </c>
      <c r="E1911">
        <v>-19301589</v>
      </c>
      <c r="F1911">
        <v>-136442299</v>
      </c>
      <c r="G1911">
        <v>-1580537431</v>
      </c>
      <c r="H1911">
        <v>-2766190678</v>
      </c>
      <c r="I1911">
        <v>-2223435411</v>
      </c>
      <c r="J1911">
        <v>-1334301288</v>
      </c>
      <c r="K1911">
        <v>-2658287899</v>
      </c>
      <c r="L1911">
        <v>-229797095</v>
      </c>
      <c r="M1911">
        <v>-845929290</v>
      </c>
      <c r="N1911">
        <v>-133166798</v>
      </c>
      <c r="O1911">
        <v>402472446</v>
      </c>
      <c r="P1911">
        <v>603</v>
      </c>
      <c r="Q1911" t="s">
        <v>3869</v>
      </c>
    </row>
    <row r="1912" spans="1:17" x14ac:dyDescent="0.3">
      <c r="A1912" t="s">
        <v>17</v>
      </c>
      <c r="B1912" t="str">
        <f>"600730"</f>
        <v>600730</v>
      </c>
      <c r="C1912" t="s">
        <v>3870</v>
      </c>
      <c r="D1912" t="s">
        <v>497</v>
      </c>
      <c r="E1912">
        <v>-19303508</v>
      </c>
      <c r="F1912">
        <v>25101688</v>
      </c>
      <c r="G1912">
        <v>-13474134</v>
      </c>
      <c r="H1912">
        <v>-3365477</v>
      </c>
      <c r="I1912">
        <v>2210721</v>
      </c>
      <c r="J1912">
        <v>-173056880</v>
      </c>
      <c r="K1912">
        <v>-47906984</v>
      </c>
      <c r="L1912">
        <v>-89334109</v>
      </c>
      <c r="M1912">
        <v>-193240574</v>
      </c>
      <c r="N1912">
        <v>-61954803</v>
      </c>
      <c r="O1912">
        <v>-249247386</v>
      </c>
      <c r="P1912">
        <v>99</v>
      </c>
      <c r="Q1912" t="s">
        <v>3871</v>
      </c>
    </row>
    <row r="1913" spans="1:17" x14ac:dyDescent="0.3">
      <c r="A1913" t="s">
        <v>17</v>
      </c>
      <c r="B1913" t="str">
        <f>"603958"</f>
        <v>603958</v>
      </c>
      <c r="C1913" t="s">
        <v>3872</v>
      </c>
      <c r="D1913" t="s">
        <v>130</v>
      </c>
      <c r="E1913">
        <v>-19311908</v>
      </c>
      <c r="F1913">
        <v>-22519272</v>
      </c>
      <c r="G1913">
        <v>-46614093</v>
      </c>
      <c r="H1913">
        <v>-25535839</v>
      </c>
      <c r="I1913">
        <v>60111341</v>
      </c>
      <c r="J1913">
        <v>18519518</v>
      </c>
      <c r="K1913">
        <v>-75209876</v>
      </c>
      <c r="L1913">
        <v>-41445047</v>
      </c>
      <c r="P1913">
        <v>67</v>
      </c>
      <c r="Q1913" t="s">
        <v>3873</v>
      </c>
    </row>
    <row r="1914" spans="1:17" x14ac:dyDescent="0.3">
      <c r="A1914" t="s">
        <v>17</v>
      </c>
      <c r="B1914" t="str">
        <f>"600796"</f>
        <v>600796</v>
      </c>
      <c r="C1914" t="s">
        <v>3874</v>
      </c>
      <c r="D1914" t="s">
        <v>144</v>
      </c>
      <c r="E1914">
        <v>-19340483</v>
      </c>
      <c r="F1914">
        <v>-178071815</v>
      </c>
      <c r="G1914">
        <v>-19908341</v>
      </c>
      <c r="H1914">
        <v>-32846559</v>
      </c>
      <c r="I1914">
        <v>5284467</v>
      </c>
      <c r="J1914">
        <v>-224006</v>
      </c>
      <c r="K1914">
        <v>6522832</v>
      </c>
      <c r="L1914">
        <v>-7699803</v>
      </c>
      <c r="M1914">
        <v>-33058510</v>
      </c>
      <c r="N1914">
        <v>83434150</v>
      </c>
      <c r="O1914">
        <v>-68389845</v>
      </c>
      <c r="P1914">
        <v>74</v>
      </c>
      <c r="Q1914" t="s">
        <v>3875</v>
      </c>
    </row>
    <row r="1915" spans="1:17" x14ac:dyDescent="0.3">
      <c r="A1915" t="s">
        <v>32</v>
      </c>
      <c r="B1915" t="str">
        <f>"002686"</f>
        <v>002686</v>
      </c>
      <c r="C1915" t="s">
        <v>3876</v>
      </c>
      <c r="D1915" t="s">
        <v>135</v>
      </c>
      <c r="E1915">
        <v>-19359287</v>
      </c>
      <c r="F1915">
        <v>25991886</v>
      </c>
      <c r="G1915">
        <v>-33171978</v>
      </c>
      <c r="H1915">
        <v>-61255073</v>
      </c>
      <c r="I1915">
        <v>-40456456</v>
      </c>
      <c r="J1915">
        <v>-11582933</v>
      </c>
      <c r="K1915">
        <v>17380850</v>
      </c>
      <c r="L1915">
        <v>-24978420</v>
      </c>
      <c r="M1915">
        <v>-29860113</v>
      </c>
      <c r="N1915">
        <v>-7782042</v>
      </c>
      <c r="O1915">
        <v>-6829197</v>
      </c>
      <c r="P1915">
        <v>78</v>
      </c>
      <c r="Q1915" t="s">
        <v>3877</v>
      </c>
    </row>
    <row r="1916" spans="1:17" x14ac:dyDescent="0.3">
      <c r="A1916" t="s">
        <v>32</v>
      </c>
      <c r="B1916" t="str">
        <f>"300406"</f>
        <v>300406</v>
      </c>
      <c r="C1916" t="s">
        <v>3878</v>
      </c>
      <c r="D1916" t="s">
        <v>98</v>
      </c>
      <c r="E1916">
        <v>-19381890</v>
      </c>
      <c r="F1916">
        <v>-23171192</v>
      </c>
      <c r="G1916">
        <v>-29475050</v>
      </c>
      <c r="H1916">
        <v>-8557032</v>
      </c>
      <c r="I1916">
        <v>12416419</v>
      </c>
      <c r="J1916">
        <v>21218749</v>
      </c>
      <c r="K1916">
        <v>3344034</v>
      </c>
      <c r="L1916">
        <v>9019311</v>
      </c>
      <c r="M1916">
        <v>20625436</v>
      </c>
      <c r="P1916">
        <v>14631</v>
      </c>
      <c r="Q1916" t="s">
        <v>3879</v>
      </c>
    </row>
    <row r="1917" spans="1:17" x14ac:dyDescent="0.3">
      <c r="A1917" t="s">
        <v>17</v>
      </c>
      <c r="B1917" t="str">
        <f>"688269"</f>
        <v>688269</v>
      </c>
      <c r="C1917" t="s">
        <v>3880</v>
      </c>
      <c r="D1917" t="s">
        <v>121</v>
      </c>
      <c r="E1917">
        <v>-19410095</v>
      </c>
      <c r="F1917">
        <v>-141763270</v>
      </c>
      <c r="G1917">
        <v>-46375235</v>
      </c>
      <c r="P1917">
        <v>58</v>
      </c>
      <c r="Q1917" t="s">
        <v>3881</v>
      </c>
    </row>
    <row r="1918" spans="1:17" x14ac:dyDescent="0.3">
      <c r="A1918" t="s">
        <v>32</v>
      </c>
      <c r="B1918" t="str">
        <f>"300150"</f>
        <v>300150</v>
      </c>
      <c r="C1918" t="s">
        <v>3882</v>
      </c>
      <c r="D1918" t="s">
        <v>342</v>
      </c>
      <c r="E1918">
        <v>-19432170</v>
      </c>
      <c r="F1918">
        <v>-100946838</v>
      </c>
      <c r="G1918">
        <v>-100447141</v>
      </c>
      <c r="H1918">
        <v>-89264308</v>
      </c>
      <c r="I1918">
        <v>-73353998</v>
      </c>
      <c r="J1918">
        <v>-69502026</v>
      </c>
      <c r="K1918">
        <v>-69393682</v>
      </c>
      <c r="L1918">
        <v>-36391588</v>
      </c>
      <c r="M1918">
        <v>-51026712</v>
      </c>
      <c r="N1918">
        <v>1792740</v>
      </c>
      <c r="O1918">
        <v>20035537</v>
      </c>
      <c r="P1918">
        <v>121</v>
      </c>
      <c r="Q1918" t="s">
        <v>3883</v>
      </c>
    </row>
    <row r="1919" spans="1:17" x14ac:dyDescent="0.3">
      <c r="A1919" t="s">
        <v>32</v>
      </c>
      <c r="B1919" t="str">
        <f>"300796"</f>
        <v>300796</v>
      </c>
      <c r="C1919" t="s">
        <v>3884</v>
      </c>
      <c r="D1919" t="s">
        <v>144</v>
      </c>
      <c r="E1919">
        <v>-19575811</v>
      </c>
      <c r="F1919">
        <v>-79518434</v>
      </c>
      <c r="G1919">
        <v>-68896018</v>
      </c>
      <c r="H1919">
        <v>-54084760</v>
      </c>
      <c r="P1919">
        <v>45</v>
      </c>
      <c r="Q1919" t="s">
        <v>3885</v>
      </c>
    </row>
    <row r="1920" spans="1:17" x14ac:dyDescent="0.3">
      <c r="A1920" t="s">
        <v>17</v>
      </c>
      <c r="B1920" t="str">
        <f>"688261"</f>
        <v>688261</v>
      </c>
      <c r="C1920" t="s">
        <v>3886</v>
      </c>
      <c r="E1920">
        <v>-19602676</v>
      </c>
      <c r="P1920">
        <v>11</v>
      </c>
      <c r="Q1920" t="s">
        <v>3887</v>
      </c>
    </row>
    <row r="1921" spans="1:17" x14ac:dyDescent="0.3">
      <c r="A1921" t="s">
        <v>32</v>
      </c>
      <c r="B1921" t="str">
        <f>"300923"</f>
        <v>300923</v>
      </c>
      <c r="C1921" t="s">
        <v>3888</v>
      </c>
      <c r="D1921" t="s">
        <v>135</v>
      </c>
      <c r="E1921">
        <v>-19641499</v>
      </c>
      <c r="F1921">
        <v>-29889644</v>
      </c>
      <c r="G1921">
        <v>-6414731</v>
      </c>
      <c r="P1921">
        <v>28</v>
      </c>
      <c r="Q1921" t="s">
        <v>3889</v>
      </c>
    </row>
    <row r="1922" spans="1:17" x14ac:dyDescent="0.3">
      <c r="A1922" t="s">
        <v>17</v>
      </c>
      <c r="B1922" t="str">
        <f>"600112"</f>
        <v>600112</v>
      </c>
      <c r="C1922" t="s">
        <v>3890</v>
      </c>
      <c r="D1922" t="s">
        <v>464</v>
      </c>
      <c r="E1922">
        <v>-19678763</v>
      </c>
      <c r="F1922">
        <v>-723831</v>
      </c>
      <c r="G1922">
        <v>911500</v>
      </c>
      <c r="H1922">
        <v>-9108465</v>
      </c>
      <c r="I1922">
        <v>7265713</v>
      </c>
      <c r="J1922">
        <v>-1433852</v>
      </c>
      <c r="K1922">
        <v>24327826</v>
      </c>
      <c r="L1922">
        <v>32000258</v>
      </c>
      <c r="M1922">
        <v>-116420601</v>
      </c>
      <c r="N1922">
        <v>-99296874</v>
      </c>
      <c r="O1922">
        <v>-112717810</v>
      </c>
      <c r="P1922">
        <v>56</v>
      </c>
      <c r="Q1922" t="s">
        <v>3891</v>
      </c>
    </row>
    <row r="1923" spans="1:17" x14ac:dyDescent="0.3">
      <c r="A1923" t="s">
        <v>32</v>
      </c>
      <c r="B1923" t="str">
        <f>"000702"</f>
        <v>000702</v>
      </c>
      <c r="C1923" t="s">
        <v>3892</v>
      </c>
      <c r="D1923" t="s">
        <v>175</v>
      </c>
      <c r="E1923">
        <v>-19688192</v>
      </c>
      <c r="F1923">
        <v>-95038121</v>
      </c>
      <c r="G1923">
        <v>-2144515</v>
      </c>
      <c r="H1923">
        <v>-29479689</v>
      </c>
      <c r="I1923">
        <v>59611125</v>
      </c>
      <c r="J1923">
        <v>-31851504</v>
      </c>
      <c r="K1923">
        <v>24395017</v>
      </c>
      <c r="L1923">
        <v>-4955009</v>
      </c>
      <c r="M1923">
        <v>30982637</v>
      </c>
      <c r="N1923">
        <v>13774375</v>
      </c>
      <c r="O1923">
        <v>72733884</v>
      </c>
      <c r="P1923">
        <v>127</v>
      </c>
      <c r="Q1923" t="s">
        <v>3893</v>
      </c>
    </row>
    <row r="1924" spans="1:17" x14ac:dyDescent="0.3">
      <c r="A1924" t="s">
        <v>32</v>
      </c>
      <c r="B1924" t="str">
        <f>"300920"</f>
        <v>300920</v>
      </c>
      <c r="C1924" t="s">
        <v>3894</v>
      </c>
      <c r="D1924" t="s">
        <v>144</v>
      </c>
      <c r="E1924">
        <v>-19763109</v>
      </c>
      <c r="F1924">
        <v>-21001825</v>
      </c>
      <c r="G1924">
        <v>13516714</v>
      </c>
      <c r="P1924">
        <v>46</v>
      </c>
      <c r="Q1924" t="s">
        <v>3895</v>
      </c>
    </row>
    <row r="1925" spans="1:17" x14ac:dyDescent="0.3">
      <c r="A1925" t="s">
        <v>17</v>
      </c>
      <c r="B1925" t="str">
        <f>"600890"</f>
        <v>600890</v>
      </c>
      <c r="C1925" t="s">
        <v>3896</v>
      </c>
      <c r="D1925" t="s">
        <v>151</v>
      </c>
      <c r="E1925">
        <v>-19885153</v>
      </c>
      <c r="F1925">
        <v>-12759370</v>
      </c>
      <c r="G1925">
        <v>-15336664</v>
      </c>
      <c r="H1925">
        <v>-9807483</v>
      </c>
      <c r="I1925">
        <v>-23724382</v>
      </c>
      <c r="J1925">
        <v>-13691221</v>
      </c>
      <c r="K1925">
        <v>-27792025</v>
      </c>
      <c r="L1925">
        <v>-2840250</v>
      </c>
      <c r="M1925">
        <v>-2939361</v>
      </c>
      <c r="N1925">
        <v>-722271</v>
      </c>
      <c r="O1925">
        <v>-1294690</v>
      </c>
      <c r="P1925">
        <v>73</v>
      </c>
      <c r="Q1925" t="s">
        <v>3897</v>
      </c>
    </row>
    <row r="1926" spans="1:17" x14ac:dyDescent="0.3">
      <c r="A1926" t="s">
        <v>17</v>
      </c>
      <c r="B1926" t="str">
        <f>"605368"</f>
        <v>605368</v>
      </c>
      <c r="C1926" t="s">
        <v>3898</v>
      </c>
      <c r="D1926" t="s">
        <v>158</v>
      </c>
      <c r="E1926">
        <v>-19962083</v>
      </c>
      <c r="F1926">
        <v>-9824738</v>
      </c>
      <c r="G1926">
        <v>-101640909</v>
      </c>
      <c r="H1926">
        <v>12976334</v>
      </c>
      <c r="I1926">
        <v>-23167223</v>
      </c>
      <c r="P1926">
        <v>60</v>
      </c>
      <c r="Q1926" t="s">
        <v>3899</v>
      </c>
    </row>
    <row r="1927" spans="1:17" x14ac:dyDescent="0.3">
      <c r="A1927" t="s">
        <v>32</v>
      </c>
      <c r="B1927" t="str">
        <f>"300512"</f>
        <v>300512</v>
      </c>
      <c r="C1927" t="s">
        <v>3900</v>
      </c>
      <c r="D1927" t="s">
        <v>135</v>
      </c>
      <c r="E1927">
        <v>-20217782</v>
      </c>
      <c r="F1927">
        <v>-90684802</v>
      </c>
      <c r="G1927">
        <v>-77631185</v>
      </c>
      <c r="H1927">
        <v>-77126377</v>
      </c>
      <c r="I1927">
        <v>-43640008</v>
      </c>
      <c r="J1927">
        <v>-21003267</v>
      </c>
      <c r="K1927">
        <v>-37682687</v>
      </c>
      <c r="L1927">
        <v>21905182</v>
      </c>
      <c r="P1927">
        <v>161</v>
      </c>
      <c r="Q1927" t="s">
        <v>3901</v>
      </c>
    </row>
    <row r="1928" spans="1:17" x14ac:dyDescent="0.3">
      <c r="A1928" t="s">
        <v>32</v>
      </c>
      <c r="B1928" t="str">
        <f>"002760"</f>
        <v>002760</v>
      </c>
      <c r="C1928" t="s">
        <v>3902</v>
      </c>
      <c r="D1928" t="s">
        <v>135</v>
      </c>
      <c r="E1928">
        <v>-20255207</v>
      </c>
      <c r="F1928">
        <v>1307590</v>
      </c>
      <c r="G1928">
        <v>9484323</v>
      </c>
      <c r="H1928">
        <v>-34609792</v>
      </c>
      <c r="I1928">
        <v>24176103</v>
      </c>
      <c r="J1928">
        <v>-39160527</v>
      </c>
      <c r="K1928">
        <v>-24595254</v>
      </c>
      <c r="L1928">
        <v>1402900</v>
      </c>
      <c r="M1928">
        <v>-28217900</v>
      </c>
      <c r="P1928">
        <v>72</v>
      </c>
      <c r="Q1928" t="s">
        <v>3903</v>
      </c>
    </row>
    <row r="1929" spans="1:17" x14ac:dyDescent="0.3">
      <c r="A1929" t="s">
        <v>17</v>
      </c>
      <c r="B1929" t="str">
        <f>"688011"</f>
        <v>688011</v>
      </c>
      <c r="C1929" t="s">
        <v>3904</v>
      </c>
      <c r="D1929" t="s">
        <v>188</v>
      </c>
      <c r="E1929">
        <v>-20301439</v>
      </c>
      <c r="F1929">
        <v>-34557314</v>
      </c>
      <c r="G1929">
        <v>-29945034</v>
      </c>
      <c r="H1929">
        <v>-14297040</v>
      </c>
      <c r="I1929">
        <v>23076175</v>
      </c>
      <c r="P1929">
        <v>88</v>
      </c>
      <c r="Q1929" t="s">
        <v>3905</v>
      </c>
    </row>
    <row r="1930" spans="1:17" x14ac:dyDescent="0.3">
      <c r="A1930" t="s">
        <v>32</v>
      </c>
      <c r="B1930" t="str">
        <f>"300139"</f>
        <v>300139</v>
      </c>
      <c r="C1930" t="s">
        <v>3906</v>
      </c>
      <c r="D1930" t="s">
        <v>158</v>
      </c>
      <c r="E1930">
        <v>-20378680</v>
      </c>
      <c r="F1930">
        <v>3357655</v>
      </c>
      <c r="G1930">
        <v>-7343032</v>
      </c>
      <c r="H1930">
        <v>-13253055</v>
      </c>
      <c r="I1930">
        <v>-135015774</v>
      </c>
      <c r="J1930">
        <v>-23356581</v>
      </c>
      <c r="K1930">
        <v>2047765</v>
      </c>
      <c r="L1930">
        <v>-17199024</v>
      </c>
      <c r="M1930">
        <v>-102228727</v>
      </c>
      <c r="N1930">
        <v>-6030502</v>
      </c>
      <c r="O1930">
        <v>-21470935</v>
      </c>
      <c r="P1930">
        <v>147</v>
      </c>
      <c r="Q1930" t="s">
        <v>3907</v>
      </c>
    </row>
    <row r="1931" spans="1:17" x14ac:dyDescent="0.3">
      <c r="A1931" t="s">
        <v>32</v>
      </c>
      <c r="B1931" t="str">
        <f>"002235"</f>
        <v>002235</v>
      </c>
      <c r="C1931" t="s">
        <v>3908</v>
      </c>
      <c r="D1931" t="s">
        <v>455</v>
      </c>
      <c r="E1931">
        <v>-20446310</v>
      </c>
      <c r="F1931">
        <v>625344</v>
      </c>
      <c r="G1931">
        <v>-66839722</v>
      </c>
      <c r="H1931">
        <v>19235629</v>
      </c>
      <c r="I1931">
        <v>-56935396</v>
      </c>
      <c r="J1931">
        <v>-76172713</v>
      </c>
      <c r="K1931">
        <v>-28043038</v>
      </c>
      <c r="L1931">
        <v>-21480822</v>
      </c>
      <c r="M1931">
        <v>-49821484</v>
      </c>
      <c r="N1931">
        <v>-63619264</v>
      </c>
      <c r="O1931">
        <v>-22039502</v>
      </c>
      <c r="P1931">
        <v>142</v>
      </c>
      <c r="Q1931" t="s">
        <v>3909</v>
      </c>
    </row>
    <row r="1932" spans="1:17" x14ac:dyDescent="0.3">
      <c r="A1932" t="s">
        <v>17</v>
      </c>
      <c r="B1932" t="str">
        <f>"603558"</f>
        <v>603558</v>
      </c>
      <c r="C1932" t="s">
        <v>3910</v>
      </c>
      <c r="D1932" t="s">
        <v>130</v>
      </c>
      <c r="E1932">
        <v>-20470532</v>
      </c>
      <c r="F1932">
        <v>-57454417</v>
      </c>
      <c r="G1932">
        <v>17277067</v>
      </c>
      <c r="H1932">
        <v>-27547806</v>
      </c>
      <c r="I1932">
        <v>-12089047</v>
      </c>
      <c r="J1932">
        <v>-69298807</v>
      </c>
      <c r="K1932">
        <v>9873520</v>
      </c>
      <c r="L1932">
        <v>-25349741</v>
      </c>
      <c r="M1932">
        <v>2266713</v>
      </c>
      <c r="P1932">
        <v>137</v>
      </c>
      <c r="Q1932" t="s">
        <v>3911</v>
      </c>
    </row>
    <row r="1933" spans="1:17" x14ac:dyDescent="0.3">
      <c r="A1933" t="s">
        <v>17</v>
      </c>
      <c r="B1933" t="str">
        <f>"600330"</f>
        <v>600330</v>
      </c>
      <c r="C1933" t="s">
        <v>3912</v>
      </c>
      <c r="D1933" t="s">
        <v>135</v>
      </c>
      <c r="E1933">
        <v>-20598305</v>
      </c>
      <c r="F1933">
        <v>-6493053</v>
      </c>
      <c r="G1933">
        <v>-92855862</v>
      </c>
      <c r="H1933">
        <v>-172731340</v>
      </c>
      <c r="I1933">
        <v>-200687775</v>
      </c>
      <c r="J1933">
        <v>-57283090</v>
      </c>
      <c r="K1933">
        <v>-31249867</v>
      </c>
      <c r="L1933">
        <v>-74746246</v>
      </c>
      <c r="M1933">
        <v>-57314914</v>
      </c>
      <c r="N1933">
        <v>-54325139</v>
      </c>
      <c r="O1933">
        <v>-122341137</v>
      </c>
      <c r="P1933">
        <v>3158</v>
      </c>
      <c r="Q1933" t="s">
        <v>3913</v>
      </c>
    </row>
    <row r="1934" spans="1:17" x14ac:dyDescent="0.3">
      <c r="A1934" t="s">
        <v>32</v>
      </c>
      <c r="B1934" t="str">
        <f>"300006"</f>
        <v>300006</v>
      </c>
      <c r="C1934" t="s">
        <v>3914</v>
      </c>
      <c r="D1934" t="s">
        <v>98</v>
      </c>
      <c r="E1934">
        <v>-20608697</v>
      </c>
      <c r="F1934">
        <v>-79369</v>
      </c>
      <c r="G1934">
        <v>-4879354</v>
      </c>
      <c r="H1934">
        <v>2061790</v>
      </c>
      <c r="I1934">
        <v>-15202958</v>
      </c>
      <c r="J1934">
        <v>-33154255</v>
      </c>
      <c r="K1934">
        <v>-30690327</v>
      </c>
      <c r="L1934">
        <v>-34890088</v>
      </c>
      <c r="M1934">
        <v>-78845765</v>
      </c>
      <c r="N1934">
        <v>-95282766</v>
      </c>
      <c r="O1934">
        <v>-68726702</v>
      </c>
      <c r="P1934">
        <v>136</v>
      </c>
      <c r="Q1934" t="s">
        <v>3915</v>
      </c>
    </row>
    <row r="1935" spans="1:17" x14ac:dyDescent="0.3">
      <c r="A1935" t="s">
        <v>17</v>
      </c>
      <c r="B1935" t="str">
        <f>"600593"</f>
        <v>600593</v>
      </c>
      <c r="C1935" t="s">
        <v>3916</v>
      </c>
      <c r="D1935" t="s">
        <v>497</v>
      </c>
      <c r="E1935">
        <v>-20766998</v>
      </c>
      <c r="F1935">
        <v>-10165682</v>
      </c>
      <c r="G1935">
        <v>-46580275</v>
      </c>
      <c r="H1935">
        <v>-33985066</v>
      </c>
      <c r="I1935">
        <v>-98715121</v>
      </c>
      <c r="J1935">
        <v>-24924834</v>
      </c>
      <c r="K1935">
        <v>-15920422</v>
      </c>
      <c r="L1935">
        <v>-2127224</v>
      </c>
      <c r="M1935">
        <v>-8644960</v>
      </c>
      <c r="N1935">
        <v>-16929576</v>
      </c>
      <c r="O1935">
        <v>-17792087</v>
      </c>
      <c r="P1935">
        <v>123</v>
      </c>
      <c r="Q1935" t="s">
        <v>3917</v>
      </c>
    </row>
    <row r="1936" spans="1:17" x14ac:dyDescent="0.3">
      <c r="A1936" t="s">
        <v>32</v>
      </c>
      <c r="B1936" t="str">
        <f>"002643"</f>
        <v>002643</v>
      </c>
      <c r="C1936" t="s">
        <v>3918</v>
      </c>
      <c r="D1936" t="s">
        <v>124</v>
      </c>
      <c r="E1936">
        <v>-20853836</v>
      </c>
      <c r="F1936">
        <v>230608995</v>
      </c>
      <c r="G1936">
        <v>159229871</v>
      </c>
      <c r="H1936">
        <v>-25096814</v>
      </c>
      <c r="I1936">
        <v>-8333754</v>
      </c>
      <c r="J1936">
        <v>153412007</v>
      </c>
      <c r="K1936">
        <v>42823215</v>
      </c>
      <c r="L1936">
        <v>27268323</v>
      </c>
      <c r="M1936">
        <v>-17865392</v>
      </c>
      <c r="N1936">
        <v>-21714097</v>
      </c>
      <c r="O1936">
        <v>-26077960</v>
      </c>
      <c r="P1936">
        <v>388</v>
      </c>
      <c r="Q1936" t="s">
        <v>3919</v>
      </c>
    </row>
    <row r="1937" spans="1:17" x14ac:dyDescent="0.3">
      <c r="A1937" t="s">
        <v>32</v>
      </c>
      <c r="B1937" t="str">
        <f>"300462"</f>
        <v>300462</v>
      </c>
      <c r="C1937" t="s">
        <v>3920</v>
      </c>
      <c r="D1937" t="s">
        <v>342</v>
      </c>
      <c r="E1937">
        <v>-20924958</v>
      </c>
      <c r="F1937">
        <v>47641634</v>
      </c>
      <c r="G1937">
        <v>-339344639</v>
      </c>
      <c r="H1937">
        <v>-13414626</v>
      </c>
      <c r="I1937">
        <v>-6735837</v>
      </c>
      <c r="J1937">
        <v>-54345817</v>
      </c>
      <c r="K1937">
        <v>2526636</v>
      </c>
      <c r="L1937">
        <v>-3475707</v>
      </c>
      <c r="M1937">
        <v>18619585</v>
      </c>
      <c r="P1937">
        <v>176</v>
      </c>
      <c r="Q1937" t="s">
        <v>3921</v>
      </c>
    </row>
    <row r="1938" spans="1:17" x14ac:dyDescent="0.3">
      <c r="A1938" t="s">
        <v>17</v>
      </c>
      <c r="B1938" t="str">
        <f>"688179"</f>
        <v>688179</v>
      </c>
      <c r="C1938" t="s">
        <v>3922</v>
      </c>
      <c r="D1938" t="s">
        <v>144</v>
      </c>
      <c r="E1938">
        <v>-20939187</v>
      </c>
      <c r="F1938">
        <v>-20399729</v>
      </c>
      <c r="G1938">
        <v>-10592874</v>
      </c>
      <c r="H1938">
        <v>-7616030</v>
      </c>
      <c r="I1938">
        <v>-2383332</v>
      </c>
      <c r="P1938">
        <v>156</v>
      </c>
      <c r="Q1938" t="s">
        <v>3923</v>
      </c>
    </row>
    <row r="1939" spans="1:17" x14ac:dyDescent="0.3">
      <c r="A1939" t="s">
        <v>32</v>
      </c>
      <c r="B1939" t="str">
        <f>"300743"</f>
        <v>300743</v>
      </c>
      <c r="C1939" t="s">
        <v>3924</v>
      </c>
      <c r="D1939" t="s">
        <v>342</v>
      </c>
      <c r="E1939">
        <v>-20941002</v>
      </c>
      <c r="F1939">
        <v>-9275866</v>
      </c>
      <c r="G1939">
        <v>441725</v>
      </c>
      <c r="H1939">
        <v>-15814441</v>
      </c>
      <c r="I1939">
        <v>377542</v>
      </c>
      <c r="J1939">
        <v>2684436</v>
      </c>
      <c r="P1939">
        <v>54</v>
      </c>
      <c r="Q1939" t="s">
        <v>3925</v>
      </c>
    </row>
    <row r="1940" spans="1:17" x14ac:dyDescent="0.3">
      <c r="A1940" t="s">
        <v>32</v>
      </c>
      <c r="B1940" t="str">
        <f>"301004"</f>
        <v>301004</v>
      </c>
      <c r="C1940" t="s">
        <v>3926</v>
      </c>
      <c r="D1940" t="s">
        <v>455</v>
      </c>
      <c r="E1940">
        <v>-20966081</v>
      </c>
      <c r="F1940">
        <v>23613796</v>
      </c>
      <c r="G1940">
        <v>17817568</v>
      </c>
      <c r="P1940">
        <v>25</v>
      </c>
      <c r="Q1940" t="s">
        <v>3927</v>
      </c>
    </row>
    <row r="1941" spans="1:17" x14ac:dyDescent="0.3">
      <c r="A1941" t="s">
        <v>32</v>
      </c>
      <c r="B1941" t="str">
        <f>"002972"</f>
        <v>002972</v>
      </c>
      <c r="C1941" t="s">
        <v>3928</v>
      </c>
      <c r="D1941" t="s">
        <v>135</v>
      </c>
      <c r="E1941">
        <v>-20977131</v>
      </c>
      <c r="F1941">
        <v>-22934494</v>
      </c>
      <c r="G1941">
        <v>-19371514</v>
      </c>
      <c r="H1941">
        <v>-39633363</v>
      </c>
      <c r="I1941">
        <v>-15783400</v>
      </c>
      <c r="P1941">
        <v>188</v>
      </c>
      <c r="Q1941" t="s">
        <v>3929</v>
      </c>
    </row>
    <row r="1942" spans="1:17" x14ac:dyDescent="0.3">
      <c r="A1942" t="s">
        <v>32</v>
      </c>
      <c r="B1942" t="str">
        <f>"301215"</f>
        <v>301215</v>
      </c>
      <c r="C1942" t="s">
        <v>3930</v>
      </c>
      <c r="E1942">
        <v>-21014234</v>
      </c>
      <c r="P1942">
        <v>7</v>
      </c>
      <c r="Q1942" t="s">
        <v>3931</v>
      </c>
    </row>
    <row r="1943" spans="1:17" x14ac:dyDescent="0.3">
      <c r="A1943" t="s">
        <v>17</v>
      </c>
      <c r="B1943" t="str">
        <f>"688196"</f>
        <v>688196</v>
      </c>
      <c r="C1943" t="s">
        <v>3932</v>
      </c>
      <c r="D1943" t="s">
        <v>144</v>
      </c>
      <c r="E1943">
        <v>-21079954</v>
      </c>
      <c r="F1943">
        <v>-91445409</v>
      </c>
      <c r="G1943">
        <v>-102568609</v>
      </c>
      <c r="H1943">
        <v>-7413609</v>
      </c>
      <c r="P1943">
        <v>188</v>
      </c>
      <c r="Q1943" t="s">
        <v>3933</v>
      </c>
    </row>
    <row r="1944" spans="1:17" x14ac:dyDescent="0.3">
      <c r="A1944" t="s">
        <v>32</v>
      </c>
      <c r="B1944" t="str">
        <f>"301077"</f>
        <v>301077</v>
      </c>
      <c r="C1944" t="s">
        <v>3934</v>
      </c>
      <c r="D1944" t="s">
        <v>144</v>
      </c>
      <c r="E1944">
        <v>-21087586</v>
      </c>
      <c r="P1944">
        <v>30</v>
      </c>
      <c r="Q1944" t="s">
        <v>3935</v>
      </c>
    </row>
    <row r="1945" spans="1:17" x14ac:dyDescent="0.3">
      <c r="A1945" t="s">
        <v>32</v>
      </c>
      <c r="B1945" t="str">
        <f>"300178"</f>
        <v>300178</v>
      </c>
      <c r="C1945" t="s">
        <v>3936</v>
      </c>
      <c r="D1945" t="s">
        <v>497</v>
      </c>
      <c r="E1945">
        <v>-21245003</v>
      </c>
      <c r="F1945">
        <v>44815066</v>
      </c>
      <c r="G1945">
        <v>9687866</v>
      </c>
      <c r="H1945">
        <v>-310369247</v>
      </c>
      <c r="I1945">
        <v>-859791688</v>
      </c>
      <c r="J1945">
        <v>-294324802</v>
      </c>
      <c r="K1945">
        <v>-55688500</v>
      </c>
      <c r="L1945">
        <v>-24294198</v>
      </c>
      <c r="M1945">
        <v>-54296382</v>
      </c>
      <c r="N1945">
        <v>25681737</v>
      </c>
      <c r="O1945">
        <v>11820017</v>
      </c>
      <c r="P1945">
        <v>152</v>
      </c>
      <c r="Q1945" t="s">
        <v>3937</v>
      </c>
    </row>
    <row r="1946" spans="1:17" x14ac:dyDescent="0.3">
      <c r="A1946" t="s">
        <v>32</v>
      </c>
      <c r="B1946" t="str">
        <f>"003003"</f>
        <v>003003</v>
      </c>
      <c r="C1946" t="s">
        <v>3938</v>
      </c>
      <c r="D1946" t="s">
        <v>455</v>
      </c>
      <c r="E1946">
        <v>-21285015</v>
      </c>
      <c r="F1946">
        <v>-90795287</v>
      </c>
      <c r="G1946">
        <v>-94163538</v>
      </c>
      <c r="P1946">
        <v>39</v>
      </c>
      <c r="Q1946" t="s">
        <v>3939</v>
      </c>
    </row>
    <row r="1947" spans="1:17" x14ac:dyDescent="0.3">
      <c r="A1947" t="s">
        <v>32</v>
      </c>
      <c r="B1947" t="str">
        <f>"301079"</f>
        <v>301079</v>
      </c>
      <c r="C1947" t="s">
        <v>3940</v>
      </c>
      <c r="D1947" t="s">
        <v>135</v>
      </c>
      <c r="E1947">
        <v>-21320988</v>
      </c>
      <c r="P1947">
        <v>22</v>
      </c>
      <c r="Q1947" t="s">
        <v>3941</v>
      </c>
    </row>
    <row r="1948" spans="1:17" x14ac:dyDescent="0.3">
      <c r="A1948" t="s">
        <v>32</v>
      </c>
      <c r="B1948" t="str">
        <f>"002315"</f>
        <v>002315</v>
      </c>
      <c r="C1948" t="s">
        <v>3942</v>
      </c>
      <c r="D1948" t="s">
        <v>218</v>
      </c>
      <c r="E1948">
        <v>-21400520</v>
      </c>
      <c r="F1948">
        <v>-49305508</v>
      </c>
      <c r="G1948">
        <v>-60155550</v>
      </c>
      <c r="H1948">
        <v>-190656292</v>
      </c>
      <c r="I1948">
        <v>-123266218</v>
      </c>
      <c r="J1948">
        <v>-112943213</v>
      </c>
      <c r="K1948">
        <v>-41097864</v>
      </c>
      <c r="L1948">
        <v>-38695585</v>
      </c>
      <c r="M1948">
        <v>-35109981</v>
      </c>
      <c r="N1948">
        <v>-17352044</v>
      </c>
      <c r="O1948">
        <v>-13144066</v>
      </c>
      <c r="P1948">
        <v>221</v>
      </c>
      <c r="Q1948" t="s">
        <v>3943</v>
      </c>
    </row>
    <row r="1949" spans="1:17" x14ac:dyDescent="0.3">
      <c r="A1949" t="s">
        <v>32</v>
      </c>
      <c r="B1949" t="str">
        <f>"300722"</f>
        <v>300722</v>
      </c>
      <c r="C1949" t="s">
        <v>3944</v>
      </c>
      <c r="D1949" t="s">
        <v>188</v>
      </c>
      <c r="E1949">
        <v>-21428383</v>
      </c>
      <c r="F1949">
        <v>-36145366</v>
      </c>
      <c r="G1949">
        <v>-19175393</v>
      </c>
      <c r="H1949">
        <v>-34433711</v>
      </c>
      <c r="I1949">
        <v>-36773157</v>
      </c>
      <c r="J1949">
        <v>-31035499</v>
      </c>
      <c r="P1949">
        <v>113</v>
      </c>
      <c r="Q1949" t="s">
        <v>3945</v>
      </c>
    </row>
    <row r="1950" spans="1:17" x14ac:dyDescent="0.3">
      <c r="A1950" t="s">
        <v>32</v>
      </c>
      <c r="B1950" t="str">
        <f>"300965"</f>
        <v>300965</v>
      </c>
      <c r="C1950" t="s">
        <v>3946</v>
      </c>
      <c r="D1950" t="s">
        <v>188</v>
      </c>
      <c r="E1950">
        <v>-21443676</v>
      </c>
      <c r="F1950">
        <v>59609582</v>
      </c>
      <c r="G1950">
        <v>34124827</v>
      </c>
      <c r="P1950">
        <v>31</v>
      </c>
      <c r="Q1950" t="s">
        <v>3947</v>
      </c>
    </row>
    <row r="1951" spans="1:17" x14ac:dyDescent="0.3">
      <c r="A1951" t="s">
        <v>17</v>
      </c>
      <c r="B1951" t="str">
        <f>"688338"</f>
        <v>688338</v>
      </c>
      <c r="C1951" t="s">
        <v>3948</v>
      </c>
      <c r="D1951" t="s">
        <v>98</v>
      </c>
      <c r="E1951">
        <v>-21592068</v>
      </c>
      <c r="F1951">
        <v>6095189</v>
      </c>
      <c r="G1951">
        <v>-10916200</v>
      </c>
      <c r="H1951">
        <v>2360900</v>
      </c>
      <c r="P1951">
        <v>56</v>
      </c>
      <c r="Q1951" t="s">
        <v>3949</v>
      </c>
    </row>
    <row r="1952" spans="1:17" x14ac:dyDescent="0.3">
      <c r="A1952" t="s">
        <v>32</v>
      </c>
      <c r="B1952" t="str">
        <f>"300042"</f>
        <v>300042</v>
      </c>
      <c r="C1952" t="s">
        <v>3950</v>
      </c>
      <c r="D1952" t="s">
        <v>342</v>
      </c>
      <c r="E1952">
        <v>-21616987</v>
      </c>
      <c r="F1952">
        <v>-9446133</v>
      </c>
      <c r="G1952">
        <v>9312123</v>
      </c>
      <c r="H1952">
        <v>-35612388</v>
      </c>
      <c r="I1952">
        <v>-19648458</v>
      </c>
      <c r="J1952">
        <v>-56080651</v>
      </c>
      <c r="K1952">
        <v>-11756933</v>
      </c>
      <c r="L1952">
        <v>-6213866</v>
      </c>
      <c r="M1952">
        <v>7986036</v>
      </c>
      <c r="N1952">
        <v>-7085529</v>
      </c>
      <c r="O1952">
        <v>11069950</v>
      </c>
      <c r="P1952">
        <v>116</v>
      </c>
      <c r="Q1952" t="s">
        <v>3951</v>
      </c>
    </row>
    <row r="1953" spans="1:17" x14ac:dyDescent="0.3">
      <c r="A1953" t="s">
        <v>17</v>
      </c>
      <c r="B1953" t="str">
        <f>"605228"</f>
        <v>605228</v>
      </c>
      <c r="C1953" t="s">
        <v>3952</v>
      </c>
      <c r="D1953" t="s">
        <v>199</v>
      </c>
      <c r="E1953">
        <v>-21621512</v>
      </c>
      <c r="F1953">
        <v>7538198</v>
      </c>
      <c r="G1953">
        <v>-19864886</v>
      </c>
      <c r="P1953">
        <v>30</v>
      </c>
      <c r="Q1953" t="s">
        <v>3953</v>
      </c>
    </row>
    <row r="1954" spans="1:17" x14ac:dyDescent="0.3">
      <c r="A1954" t="s">
        <v>32</v>
      </c>
      <c r="B1954" t="str">
        <f>"300164"</f>
        <v>300164</v>
      </c>
      <c r="C1954" t="s">
        <v>3954</v>
      </c>
      <c r="D1954" t="s">
        <v>64</v>
      </c>
      <c r="E1954">
        <v>-21641688</v>
      </c>
      <c r="F1954">
        <v>-61801</v>
      </c>
      <c r="G1954">
        <v>-24277554</v>
      </c>
      <c r="H1954">
        <v>-20799620</v>
      </c>
      <c r="I1954">
        <v>-2192455</v>
      </c>
      <c r="J1954">
        <v>-52707621</v>
      </c>
      <c r="K1954">
        <v>9330704</v>
      </c>
      <c r="L1954">
        <v>51510980</v>
      </c>
      <c r="M1954">
        <v>32612863</v>
      </c>
      <c r="N1954">
        <v>-34304720</v>
      </c>
      <c r="O1954">
        <v>-28506100</v>
      </c>
      <c r="P1954">
        <v>82</v>
      </c>
      <c r="Q1954" t="s">
        <v>3955</v>
      </c>
    </row>
    <row r="1955" spans="1:17" x14ac:dyDescent="0.3">
      <c r="A1955" t="s">
        <v>17</v>
      </c>
      <c r="B1955" t="str">
        <f>"688078"</f>
        <v>688078</v>
      </c>
      <c r="C1955" t="s">
        <v>3956</v>
      </c>
      <c r="D1955" t="s">
        <v>342</v>
      </c>
      <c r="E1955">
        <v>-21659396</v>
      </c>
      <c r="F1955">
        <v>-16015157</v>
      </c>
      <c r="G1955">
        <v>-20713007</v>
      </c>
      <c r="H1955">
        <v>-12251805</v>
      </c>
      <c r="P1955">
        <v>84</v>
      </c>
      <c r="Q1955" t="s">
        <v>3957</v>
      </c>
    </row>
    <row r="1956" spans="1:17" x14ac:dyDescent="0.3">
      <c r="A1956" t="s">
        <v>17</v>
      </c>
      <c r="B1956" t="str">
        <f>"603139"</f>
        <v>603139</v>
      </c>
      <c r="C1956" t="s">
        <v>3958</v>
      </c>
      <c r="D1956" t="s">
        <v>98</v>
      </c>
      <c r="E1956">
        <v>-21659438</v>
      </c>
      <c r="F1956">
        <v>-117066903</v>
      </c>
      <c r="G1956">
        <v>-95838945</v>
      </c>
      <c r="H1956">
        <v>-52682642</v>
      </c>
      <c r="I1956">
        <v>-59634206</v>
      </c>
      <c r="J1956">
        <v>-39823165</v>
      </c>
      <c r="K1956">
        <v>-38620156</v>
      </c>
      <c r="P1956">
        <v>97</v>
      </c>
      <c r="Q1956" t="s">
        <v>3959</v>
      </c>
    </row>
    <row r="1957" spans="1:17" x14ac:dyDescent="0.3">
      <c r="A1957" t="s">
        <v>17</v>
      </c>
      <c r="B1957" t="str">
        <f>"600503"</f>
        <v>600503</v>
      </c>
      <c r="C1957" t="s">
        <v>3960</v>
      </c>
      <c r="D1957" t="s">
        <v>151</v>
      </c>
      <c r="E1957">
        <v>-21746297</v>
      </c>
      <c r="F1957">
        <v>-196286512</v>
      </c>
      <c r="G1957">
        <v>-215610679</v>
      </c>
      <c r="H1957">
        <v>-64315704</v>
      </c>
      <c r="I1957">
        <v>-101280949</v>
      </c>
      <c r="J1957">
        <v>-292088708</v>
      </c>
      <c r="K1957">
        <v>337172656</v>
      </c>
      <c r="L1957">
        <v>-131757773</v>
      </c>
      <c r="M1957">
        <v>90095937</v>
      </c>
      <c r="N1957">
        <v>120186929</v>
      </c>
      <c r="O1957">
        <v>11091266</v>
      </c>
      <c r="P1957">
        <v>200</v>
      </c>
      <c r="Q1957" t="s">
        <v>3961</v>
      </c>
    </row>
    <row r="1958" spans="1:17" x14ac:dyDescent="0.3">
      <c r="A1958" t="s">
        <v>32</v>
      </c>
      <c r="B1958" t="str">
        <f>"300195"</f>
        <v>300195</v>
      </c>
      <c r="C1958" t="s">
        <v>3962</v>
      </c>
      <c r="D1958" t="s">
        <v>135</v>
      </c>
      <c r="E1958">
        <v>-21765061</v>
      </c>
      <c r="F1958">
        <v>-34528184</v>
      </c>
      <c r="G1958">
        <v>-18707697</v>
      </c>
      <c r="H1958">
        <v>-82317827</v>
      </c>
      <c r="I1958">
        <v>-752085362</v>
      </c>
      <c r="J1958">
        <v>-3722063</v>
      </c>
      <c r="K1958">
        <v>72096694</v>
      </c>
      <c r="L1958">
        <v>-22356029</v>
      </c>
      <c r="M1958">
        <v>-99205584</v>
      </c>
      <c r="N1958">
        <v>24401104</v>
      </c>
      <c r="O1958">
        <v>-47995966</v>
      </c>
      <c r="P1958">
        <v>90</v>
      </c>
      <c r="Q1958" t="s">
        <v>3963</v>
      </c>
    </row>
    <row r="1959" spans="1:17" x14ac:dyDescent="0.3">
      <c r="A1959" t="s">
        <v>17</v>
      </c>
      <c r="B1959" t="str">
        <f>"600816"</f>
        <v>600816</v>
      </c>
      <c r="C1959" t="s">
        <v>3964</v>
      </c>
      <c r="D1959" t="s">
        <v>26</v>
      </c>
      <c r="E1959">
        <v>-21768988</v>
      </c>
      <c r="F1959">
        <v>-15570785</v>
      </c>
      <c r="G1959">
        <v>171715845</v>
      </c>
      <c r="H1959">
        <v>-445006145</v>
      </c>
      <c r="I1959">
        <v>-717848405</v>
      </c>
      <c r="J1959">
        <v>1418558538</v>
      </c>
      <c r="K1959">
        <v>547166833</v>
      </c>
      <c r="L1959">
        <v>-577420508</v>
      </c>
      <c r="M1959">
        <v>-709942964</v>
      </c>
      <c r="N1959">
        <v>-573683112</v>
      </c>
      <c r="O1959">
        <v>-224631828</v>
      </c>
      <c r="P1959">
        <v>6688</v>
      </c>
      <c r="Q1959" t="s">
        <v>3965</v>
      </c>
    </row>
    <row r="1960" spans="1:17" x14ac:dyDescent="0.3">
      <c r="A1960" t="s">
        <v>32</v>
      </c>
      <c r="B1960" t="str">
        <f>"002243"</f>
        <v>002243</v>
      </c>
      <c r="C1960" t="s">
        <v>3966</v>
      </c>
      <c r="D1960" t="s">
        <v>544</v>
      </c>
      <c r="E1960">
        <v>-21776684</v>
      </c>
      <c r="F1960">
        <v>-223660445</v>
      </c>
      <c r="G1960">
        <v>-100881776</v>
      </c>
      <c r="H1960">
        <v>43353811</v>
      </c>
      <c r="I1960">
        <v>-34818897</v>
      </c>
      <c r="J1960">
        <v>-15786828</v>
      </c>
      <c r="K1960">
        <v>-18938774</v>
      </c>
      <c r="L1960">
        <v>-13601713</v>
      </c>
      <c r="M1960">
        <v>-25361941</v>
      </c>
      <c r="N1960">
        <v>-5465724</v>
      </c>
      <c r="O1960">
        <v>-61710224</v>
      </c>
      <c r="P1960">
        <v>155</v>
      </c>
      <c r="Q1960" t="s">
        <v>3967</v>
      </c>
    </row>
    <row r="1961" spans="1:17" x14ac:dyDescent="0.3">
      <c r="A1961" t="s">
        <v>17</v>
      </c>
      <c r="B1961" t="str">
        <f>"600381"</f>
        <v>600381</v>
      </c>
      <c r="C1961" t="s">
        <v>3968</v>
      </c>
      <c r="D1961" t="s">
        <v>172</v>
      </c>
      <c r="E1961">
        <v>-21776706</v>
      </c>
      <c r="F1961">
        <v>-148943732</v>
      </c>
      <c r="G1961">
        <v>-32443289</v>
      </c>
      <c r="H1961">
        <v>-51091402</v>
      </c>
      <c r="I1961">
        <v>-37283274</v>
      </c>
      <c r="J1961">
        <v>-35280929</v>
      </c>
      <c r="K1961">
        <v>-18642979</v>
      </c>
      <c r="L1961">
        <v>80318766</v>
      </c>
      <c r="M1961">
        <v>-52439310</v>
      </c>
      <c r="N1961">
        <v>457227</v>
      </c>
      <c r="O1961">
        <v>-754649151</v>
      </c>
      <c r="P1961">
        <v>131</v>
      </c>
      <c r="Q1961" t="s">
        <v>3969</v>
      </c>
    </row>
    <row r="1962" spans="1:17" x14ac:dyDescent="0.3">
      <c r="A1962" t="s">
        <v>32</v>
      </c>
      <c r="B1962" t="str">
        <f>"300706"</f>
        <v>300706</v>
      </c>
      <c r="C1962" t="s">
        <v>3970</v>
      </c>
      <c r="D1962" t="s">
        <v>124</v>
      </c>
      <c r="E1962">
        <v>-21849756</v>
      </c>
      <c r="F1962">
        <v>-42450083</v>
      </c>
      <c r="G1962">
        <v>-25260082</v>
      </c>
      <c r="H1962">
        <v>-18865782</v>
      </c>
      <c r="I1962">
        <v>-520620</v>
      </c>
      <c r="J1962">
        <v>-20628127</v>
      </c>
      <c r="P1962">
        <v>178</v>
      </c>
      <c r="Q1962" t="s">
        <v>3971</v>
      </c>
    </row>
    <row r="1963" spans="1:17" x14ac:dyDescent="0.3">
      <c r="A1963" t="s">
        <v>17</v>
      </c>
      <c r="B1963" t="str">
        <f>"688300"</f>
        <v>688300</v>
      </c>
      <c r="C1963" t="s">
        <v>3972</v>
      </c>
      <c r="D1963" t="s">
        <v>144</v>
      </c>
      <c r="E1963">
        <v>-21870740</v>
      </c>
      <c r="F1963">
        <v>-12372818</v>
      </c>
      <c r="G1963">
        <v>9918579</v>
      </c>
      <c r="H1963">
        <v>3410642</v>
      </c>
      <c r="I1963">
        <v>11834021</v>
      </c>
      <c r="P1963">
        <v>196</v>
      </c>
      <c r="Q1963" t="s">
        <v>3973</v>
      </c>
    </row>
    <row r="1964" spans="1:17" x14ac:dyDescent="0.3">
      <c r="A1964" t="s">
        <v>17</v>
      </c>
      <c r="B1964" t="str">
        <f>"688138"</f>
        <v>688138</v>
      </c>
      <c r="C1964" t="s">
        <v>3974</v>
      </c>
      <c r="D1964" t="s">
        <v>124</v>
      </c>
      <c r="E1964">
        <v>-21982953</v>
      </c>
      <c r="F1964">
        <v>-81589457</v>
      </c>
      <c r="G1964">
        <v>-28975030</v>
      </c>
      <c r="H1964">
        <v>-13833634</v>
      </c>
      <c r="P1964">
        <v>92</v>
      </c>
      <c r="Q1964" t="s">
        <v>3975</v>
      </c>
    </row>
    <row r="1965" spans="1:17" x14ac:dyDescent="0.3">
      <c r="A1965" t="s">
        <v>32</v>
      </c>
      <c r="B1965" t="str">
        <f>"002308"</f>
        <v>002308</v>
      </c>
      <c r="C1965" t="s">
        <v>3976</v>
      </c>
      <c r="D1965" t="s">
        <v>342</v>
      </c>
      <c r="E1965">
        <v>-22053778</v>
      </c>
      <c r="F1965">
        <v>-20653236</v>
      </c>
      <c r="G1965">
        <v>134120682</v>
      </c>
      <c r="H1965">
        <v>-92930350</v>
      </c>
      <c r="I1965">
        <v>-43578076</v>
      </c>
      <c r="J1965">
        <v>-63004076</v>
      </c>
      <c r="K1965">
        <v>10578304</v>
      </c>
      <c r="L1965">
        <v>-25058712</v>
      </c>
      <c r="M1965">
        <v>-135464019</v>
      </c>
      <c r="N1965">
        <v>-99830888</v>
      </c>
      <c r="O1965">
        <v>-78104318</v>
      </c>
      <c r="P1965">
        <v>218</v>
      </c>
      <c r="Q1965" t="s">
        <v>3977</v>
      </c>
    </row>
    <row r="1966" spans="1:17" x14ac:dyDescent="0.3">
      <c r="A1966" t="s">
        <v>32</v>
      </c>
      <c r="B1966" t="str">
        <f>"300780"</f>
        <v>300780</v>
      </c>
      <c r="C1966" t="s">
        <v>3978</v>
      </c>
      <c r="D1966" t="s">
        <v>135</v>
      </c>
      <c r="E1966">
        <v>-22150250</v>
      </c>
      <c r="F1966">
        <v>-98413439</v>
      </c>
      <c r="G1966">
        <v>-89216194</v>
      </c>
      <c r="H1966">
        <v>-40605770</v>
      </c>
      <c r="I1966">
        <v>22469468</v>
      </c>
      <c r="J1966">
        <v>-11100103</v>
      </c>
      <c r="P1966">
        <v>56</v>
      </c>
      <c r="Q1966" t="s">
        <v>3979</v>
      </c>
    </row>
    <row r="1967" spans="1:17" x14ac:dyDescent="0.3">
      <c r="A1967" t="s">
        <v>17</v>
      </c>
      <c r="B1967" t="str">
        <f>"605118"</f>
        <v>605118</v>
      </c>
      <c r="C1967" t="s">
        <v>3980</v>
      </c>
      <c r="D1967" t="s">
        <v>342</v>
      </c>
      <c r="E1967">
        <v>-22153246</v>
      </c>
      <c r="F1967">
        <v>58121722</v>
      </c>
      <c r="G1967">
        <v>4756427</v>
      </c>
      <c r="H1967">
        <v>26609774</v>
      </c>
      <c r="P1967">
        <v>114</v>
      </c>
      <c r="Q1967" t="s">
        <v>3981</v>
      </c>
    </row>
    <row r="1968" spans="1:17" x14ac:dyDescent="0.3">
      <c r="A1968" t="s">
        <v>32</v>
      </c>
      <c r="B1968" t="str">
        <f>"301003"</f>
        <v>301003</v>
      </c>
      <c r="C1968" t="s">
        <v>3982</v>
      </c>
      <c r="D1968" t="s">
        <v>144</v>
      </c>
      <c r="E1968">
        <v>-22172550</v>
      </c>
      <c r="F1968">
        <v>-26565012</v>
      </c>
      <c r="G1968">
        <v>9274951</v>
      </c>
      <c r="P1968">
        <v>31</v>
      </c>
      <c r="Q1968" t="s">
        <v>3983</v>
      </c>
    </row>
    <row r="1969" spans="1:17" x14ac:dyDescent="0.3">
      <c r="A1969" t="s">
        <v>17</v>
      </c>
      <c r="B1969" t="str">
        <f>"688325"</f>
        <v>688325</v>
      </c>
      <c r="C1969" t="s">
        <v>3984</v>
      </c>
      <c r="E1969">
        <v>-22184779</v>
      </c>
      <c r="P1969">
        <v>3</v>
      </c>
      <c r="Q1969" t="s">
        <v>3985</v>
      </c>
    </row>
    <row r="1970" spans="1:17" x14ac:dyDescent="0.3">
      <c r="A1970" t="s">
        <v>17</v>
      </c>
      <c r="B1970" t="str">
        <f>"600767"</f>
        <v>600767</v>
      </c>
      <c r="C1970" t="s">
        <v>3986</v>
      </c>
      <c r="D1970" t="s">
        <v>98</v>
      </c>
      <c r="E1970">
        <v>-22209156</v>
      </c>
      <c r="F1970">
        <v>-10045744</v>
      </c>
      <c r="G1970">
        <v>-19344063</v>
      </c>
      <c r="H1970">
        <v>-41062083</v>
      </c>
      <c r="I1970">
        <v>-60541824</v>
      </c>
      <c r="J1970">
        <v>-26648269</v>
      </c>
      <c r="K1970">
        <v>-27941683</v>
      </c>
      <c r="L1970">
        <v>-2278384</v>
      </c>
      <c r="M1970">
        <v>-25601758</v>
      </c>
      <c r="N1970">
        <v>-36242175</v>
      </c>
      <c r="O1970">
        <v>-24154285</v>
      </c>
      <c r="P1970">
        <v>62</v>
      </c>
      <c r="Q1970" t="s">
        <v>3987</v>
      </c>
    </row>
    <row r="1971" spans="1:17" x14ac:dyDescent="0.3">
      <c r="A1971" t="s">
        <v>17</v>
      </c>
      <c r="B1971" t="str">
        <f>"688555"</f>
        <v>688555</v>
      </c>
      <c r="C1971" t="s">
        <v>3988</v>
      </c>
      <c r="D1971" t="s">
        <v>342</v>
      </c>
      <c r="E1971">
        <v>-22277445</v>
      </c>
      <c r="F1971">
        <v>-141096073</v>
      </c>
      <c r="G1971">
        <v>-51252468</v>
      </c>
      <c r="H1971">
        <v>-32563238</v>
      </c>
      <c r="P1971">
        <v>55</v>
      </c>
      <c r="Q1971" t="s">
        <v>3989</v>
      </c>
    </row>
    <row r="1972" spans="1:17" x14ac:dyDescent="0.3">
      <c r="A1972" t="s">
        <v>32</v>
      </c>
      <c r="B1972" t="str">
        <f>"300272"</f>
        <v>300272</v>
      </c>
      <c r="C1972" t="s">
        <v>3990</v>
      </c>
      <c r="D1972" t="s">
        <v>127</v>
      </c>
      <c r="E1972">
        <v>-22300451</v>
      </c>
      <c r="F1972">
        <v>7701547</v>
      </c>
      <c r="G1972">
        <v>-19480297</v>
      </c>
      <c r="H1972">
        <v>7377466</v>
      </c>
      <c r="I1972">
        <v>-18605594</v>
      </c>
      <c r="J1972">
        <v>-57096746</v>
      </c>
      <c r="K1972">
        <v>-61181917</v>
      </c>
      <c r="L1972">
        <v>-75040483</v>
      </c>
      <c r="M1972">
        <v>10118370</v>
      </c>
      <c r="N1972">
        <v>-103294553</v>
      </c>
      <c r="O1972">
        <v>-7433161</v>
      </c>
      <c r="P1972">
        <v>131</v>
      </c>
      <c r="Q1972" t="s">
        <v>3991</v>
      </c>
    </row>
    <row r="1973" spans="1:17" x14ac:dyDescent="0.3">
      <c r="A1973" t="s">
        <v>17</v>
      </c>
      <c r="B1973" t="str">
        <f>"600234"</f>
        <v>600234</v>
      </c>
      <c r="C1973" t="s">
        <v>3992</v>
      </c>
      <c r="D1973" t="s">
        <v>345</v>
      </c>
      <c r="E1973">
        <v>-22323791</v>
      </c>
      <c r="F1973">
        <v>-43105461</v>
      </c>
      <c r="G1973">
        <v>-21189437</v>
      </c>
      <c r="H1973">
        <v>-33706</v>
      </c>
      <c r="I1973">
        <v>-41272261</v>
      </c>
      <c r="J1973">
        <v>-2987538</v>
      </c>
      <c r="K1973">
        <v>272732</v>
      </c>
      <c r="L1973">
        <v>650967</v>
      </c>
      <c r="M1973">
        <v>-1996229</v>
      </c>
      <c r="N1973">
        <v>-123000</v>
      </c>
      <c r="O1973">
        <v>704626</v>
      </c>
      <c r="P1973">
        <v>59</v>
      </c>
      <c r="Q1973" t="s">
        <v>3993</v>
      </c>
    </row>
    <row r="1974" spans="1:17" x14ac:dyDescent="0.3">
      <c r="A1974" t="s">
        <v>17</v>
      </c>
      <c r="B1974" t="str">
        <f>"900942"</f>
        <v>900942</v>
      </c>
      <c r="C1974" t="s">
        <v>3994</v>
      </c>
      <c r="E1974">
        <v>-22357581.0013</v>
      </c>
      <c r="F1974">
        <v>-12334183.4088</v>
      </c>
      <c r="G1974">
        <v>-25322562.532499999</v>
      </c>
      <c r="H1974">
        <v>-9761907.2440000009</v>
      </c>
      <c r="I1974">
        <v>-7730586.7790000001</v>
      </c>
      <c r="J1974">
        <v>5535594.4907999998</v>
      </c>
      <c r="K1974">
        <v>-4861518.9962999998</v>
      </c>
      <c r="L1974">
        <v>-12276745.431500001</v>
      </c>
      <c r="M1974">
        <v>-22596721.660799999</v>
      </c>
      <c r="N1974">
        <v>-28160872.894000001</v>
      </c>
      <c r="O1974">
        <v>-32153479.562800001</v>
      </c>
      <c r="P1974">
        <v>55</v>
      </c>
      <c r="Q1974" t="s">
        <v>3995</v>
      </c>
    </row>
    <row r="1975" spans="1:17" x14ac:dyDescent="0.3">
      <c r="A1975" t="s">
        <v>17</v>
      </c>
      <c r="B1975" t="str">
        <f>"688516"</f>
        <v>688516</v>
      </c>
      <c r="C1975" t="s">
        <v>3996</v>
      </c>
      <c r="D1975" t="s">
        <v>464</v>
      </c>
      <c r="E1975">
        <v>-22360503</v>
      </c>
      <c r="F1975">
        <v>-49201088</v>
      </c>
      <c r="G1975">
        <v>-18936291</v>
      </c>
      <c r="H1975">
        <v>-4179657</v>
      </c>
      <c r="P1975">
        <v>152</v>
      </c>
      <c r="Q1975" t="s">
        <v>3997</v>
      </c>
    </row>
    <row r="1976" spans="1:17" x14ac:dyDescent="0.3">
      <c r="A1976" t="s">
        <v>32</v>
      </c>
      <c r="B1976" t="str">
        <f>"301135"</f>
        <v>301135</v>
      </c>
      <c r="C1976" t="s">
        <v>3998</v>
      </c>
      <c r="E1976">
        <v>-22454400</v>
      </c>
      <c r="F1976">
        <v>-6094479</v>
      </c>
      <c r="P1976">
        <v>1</v>
      </c>
      <c r="Q1976" t="s">
        <v>3999</v>
      </c>
    </row>
    <row r="1977" spans="1:17" x14ac:dyDescent="0.3">
      <c r="A1977" t="s">
        <v>17</v>
      </c>
      <c r="B1977" t="str">
        <f>"688056"</f>
        <v>688056</v>
      </c>
      <c r="C1977" t="s">
        <v>4000</v>
      </c>
      <c r="D1977" t="s">
        <v>135</v>
      </c>
      <c r="E1977">
        <v>-22550984</v>
      </c>
      <c r="F1977">
        <v>-16402364</v>
      </c>
      <c r="G1977">
        <v>-3826490</v>
      </c>
      <c r="P1977">
        <v>50</v>
      </c>
      <c r="Q1977" t="s">
        <v>4001</v>
      </c>
    </row>
    <row r="1978" spans="1:17" x14ac:dyDescent="0.3">
      <c r="A1978" t="s">
        <v>32</v>
      </c>
      <c r="B1978" t="str">
        <f>"002088"</f>
        <v>002088</v>
      </c>
      <c r="C1978" t="s">
        <v>4002</v>
      </c>
      <c r="D1978" t="s">
        <v>400</v>
      </c>
      <c r="E1978">
        <v>-22566816</v>
      </c>
      <c r="F1978">
        <v>22380313</v>
      </c>
      <c r="G1978">
        <v>-17202220</v>
      </c>
      <c r="H1978">
        <v>-17442071</v>
      </c>
      <c r="I1978">
        <v>-45874905</v>
      </c>
      <c r="J1978">
        <v>43325508</v>
      </c>
      <c r="K1978">
        <v>56272390</v>
      </c>
      <c r="L1978">
        <v>17298956</v>
      </c>
      <c r="M1978">
        <v>14576960</v>
      </c>
      <c r="N1978">
        <v>-9858515</v>
      </c>
      <c r="O1978">
        <v>-4418251</v>
      </c>
      <c r="P1978">
        <v>409</v>
      </c>
      <c r="Q1978" t="s">
        <v>4003</v>
      </c>
    </row>
    <row r="1979" spans="1:17" x14ac:dyDescent="0.3">
      <c r="A1979" t="s">
        <v>32</v>
      </c>
      <c r="B1979" t="str">
        <f>"000565"</f>
        <v>000565</v>
      </c>
      <c r="C1979" t="s">
        <v>4004</v>
      </c>
      <c r="D1979" t="s">
        <v>144</v>
      </c>
      <c r="E1979">
        <v>-22584263</v>
      </c>
      <c r="F1979">
        <v>1607805</v>
      </c>
      <c r="G1979">
        <v>-19325359</v>
      </c>
      <c r="H1979">
        <v>-7319202</v>
      </c>
      <c r="I1979">
        <v>-77094773</v>
      </c>
      <c r="J1979">
        <v>-496740985</v>
      </c>
      <c r="K1979">
        <v>-131648707</v>
      </c>
      <c r="L1979">
        <v>-10645233</v>
      </c>
      <c r="M1979">
        <v>-8760780</v>
      </c>
      <c r="N1979">
        <v>-27243806</v>
      </c>
      <c r="O1979">
        <v>-44989890</v>
      </c>
      <c r="P1979">
        <v>79</v>
      </c>
      <c r="Q1979" t="s">
        <v>4005</v>
      </c>
    </row>
    <row r="1980" spans="1:17" x14ac:dyDescent="0.3">
      <c r="A1980" t="s">
        <v>32</v>
      </c>
      <c r="B1980" t="str">
        <f>"300537"</f>
        <v>300537</v>
      </c>
      <c r="C1980" t="s">
        <v>4006</v>
      </c>
      <c r="D1980" t="s">
        <v>124</v>
      </c>
      <c r="E1980">
        <v>-22650731</v>
      </c>
      <c r="F1980">
        <v>-18436192</v>
      </c>
      <c r="G1980">
        <v>25313961</v>
      </c>
      <c r="H1980">
        <v>-32325340</v>
      </c>
      <c r="I1980">
        <v>-20251125</v>
      </c>
      <c r="J1980">
        <v>69741</v>
      </c>
      <c r="K1980">
        <v>2969907</v>
      </c>
      <c r="P1980">
        <v>225</v>
      </c>
      <c r="Q1980" t="s">
        <v>4007</v>
      </c>
    </row>
    <row r="1981" spans="1:17" x14ac:dyDescent="0.3">
      <c r="A1981" t="s">
        <v>17</v>
      </c>
      <c r="B1981" t="str">
        <f>"603121"</f>
        <v>603121</v>
      </c>
      <c r="C1981" t="s">
        <v>4008</v>
      </c>
      <c r="D1981" t="s">
        <v>199</v>
      </c>
      <c r="E1981">
        <v>-22678736</v>
      </c>
      <c r="F1981">
        <v>-36031572</v>
      </c>
      <c r="G1981">
        <v>32715995</v>
      </c>
      <c r="H1981">
        <v>-35401427</v>
      </c>
      <c r="I1981">
        <v>-6888650</v>
      </c>
      <c r="P1981">
        <v>77</v>
      </c>
      <c r="Q1981" t="s">
        <v>4009</v>
      </c>
    </row>
    <row r="1982" spans="1:17" x14ac:dyDescent="0.3">
      <c r="A1982" t="s">
        <v>17</v>
      </c>
      <c r="B1982" t="str">
        <f>"688551"</f>
        <v>688551</v>
      </c>
      <c r="C1982" t="s">
        <v>4010</v>
      </c>
      <c r="D1982" t="s">
        <v>464</v>
      </c>
      <c r="E1982">
        <v>-22818304</v>
      </c>
      <c r="F1982">
        <v>-3449182</v>
      </c>
      <c r="G1982">
        <v>9833600</v>
      </c>
      <c r="H1982">
        <v>-1597800</v>
      </c>
      <c r="P1982">
        <v>40</v>
      </c>
      <c r="Q1982" t="s">
        <v>4011</v>
      </c>
    </row>
    <row r="1983" spans="1:17" x14ac:dyDescent="0.3">
      <c r="A1983" t="s">
        <v>32</v>
      </c>
      <c r="B1983" t="str">
        <f>"300151"</f>
        <v>300151</v>
      </c>
      <c r="C1983" t="s">
        <v>4012</v>
      </c>
      <c r="D1983" t="s">
        <v>135</v>
      </c>
      <c r="E1983">
        <v>-22829619</v>
      </c>
      <c r="F1983">
        <v>-16125704</v>
      </c>
      <c r="G1983">
        <v>-16871680</v>
      </c>
      <c r="H1983">
        <v>14102389</v>
      </c>
      <c r="I1983">
        <v>20928583</v>
      </c>
      <c r="J1983">
        <v>-28505615</v>
      </c>
      <c r="K1983">
        <v>-28571062</v>
      </c>
      <c r="L1983">
        <v>-5310660</v>
      </c>
      <c r="M1983">
        <v>5407619</v>
      </c>
      <c r="N1983">
        <v>48811693</v>
      </c>
      <c r="O1983">
        <v>-6930940</v>
      </c>
      <c r="P1983">
        <v>155</v>
      </c>
      <c r="Q1983" t="s">
        <v>4013</v>
      </c>
    </row>
    <row r="1984" spans="1:17" x14ac:dyDescent="0.3">
      <c r="A1984" t="s">
        <v>17</v>
      </c>
      <c r="B1984" t="str">
        <f>"603389"</f>
        <v>603389</v>
      </c>
      <c r="C1984" t="s">
        <v>4014</v>
      </c>
      <c r="D1984" t="s">
        <v>455</v>
      </c>
      <c r="E1984">
        <v>-22831550</v>
      </c>
      <c r="F1984">
        <v>-57479804</v>
      </c>
      <c r="G1984">
        <v>-29295884</v>
      </c>
      <c r="H1984">
        <v>-48743166</v>
      </c>
      <c r="I1984">
        <v>-105752207</v>
      </c>
      <c r="J1984">
        <v>-45305418</v>
      </c>
      <c r="K1984">
        <v>-48207355</v>
      </c>
      <c r="P1984">
        <v>80</v>
      </c>
      <c r="Q1984" t="s">
        <v>4015</v>
      </c>
    </row>
    <row r="1985" spans="1:17" x14ac:dyDescent="0.3">
      <c r="A1985" t="s">
        <v>32</v>
      </c>
      <c r="B1985" t="str">
        <f>"002700"</f>
        <v>002700</v>
      </c>
      <c r="C1985" t="s">
        <v>4016</v>
      </c>
      <c r="D1985" t="s">
        <v>158</v>
      </c>
      <c r="E1985">
        <v>-22885066</v>
      </c>
      <c r="F1985">
        <v>-19330884</v>
      </c>
      <c r="G1985">
        <v>71960172</v>
      </c>
      <c r="H1985">
        <v>-13562857</v>
      </c>
      <c r="I1985">
        <v>-336018020</v>
      </c>
      <c r="J1985">
        <v>18037582</v>
      </c>
      <c r="K1985">
        <v>19311627</v>
      </c>
      <c r="L1985">
        <v>7134945</v>
      </c>
      <c r="M1985">
        <v>15215265</v>
      </c>
      <c r="N1985">
        <v>11959977</v>
      </c>
      <c r="O1985">
        <v>-12550528</v>
      </c>
      <c r="P1985">
        <v>53</v>
      </c>
      <c r="Q1985" t="s">
        <v>4017</v>
      </c>
    </row>
    <row r="1986" spans="1:17" x14ac:dyDescent="0.3">
      <c r="A1986" t="s">
        <v>32</v>
      </c>
      <c r="B1986" t="str">
        <f>"300781"</f>
        <v>300781</v>
      </c>
      <c r="C1986" t="s">
        <v>4018</v>
      </c>
      <c r="D1986" t="s">
        <v>245</v>
      </c>
      <c r="E1986">
        <v>-22896185</v>
      </c>
      <c r="F1986">
        <v>-33487273</v>
      </c>
      <c r="G1986">
        <v>5291824</v>
      </c>
      <c r="H1986">
        <v>-24593860</v>
      </c>
      <c r="I1986">
        <v>-52934214</v>
      </c>
      <c r="P1986">
        <v>100</v>
      </c>
      <c r="Q1986" t="s">
        <v>4019</v>
      </c>
    </row>
    <row r="1987" spans="1:17" x14ac:dyDescent="0.3">
      <c r="A1987" t="s">
        <v>17</v>
      </c>
      <c r="B1987" t="str">
        <f>"603567"</f>
        <v>603567</v>
      </c>
      <c r="C1987" t="s">
        <v>4020</v>
      </c>
      <c r="D1987" t="s">
        <v>98</v>
      </c>
      <c r="E1987">
        <v>-22932242</v>
      </c>
      <c r="F1987">
        <v>-411125455</v>
      </c>
      <c r="G1987">
        <v>67931331</v>
      </c>
      <c r="H1987">
        <v>-73810581</v>
      </c>
      <c r="I1987">
        <v>-61650799</v>
      </c>
      <c r="J1987">
        <v>63164057</v>
      </c>
      <c r="K1987">
        <v>-303089865</v>
      </c>
      <c r="L1987">
        <v>-126383704</v>
      </c>
      <c r="M1987">
        <v>-85153333</v>
      </c>
      <c r="P1987">
        <v>134</v>
      </c>
      <c r="Q1987" t="s">
        <v>4021</v>
      </c>
    </row>
    <row r="1988" spans="1:17" x14ac:dyDescent="0.3">
      <c r="A1988" t="s">
        <v>32</v>
      </c>
      <c r="B1988" t="str">
        <f>"002780"</f>
        <v>002780</v>
      </c>
      <c r="C1988" t="s">
        <v>4022</v>
      </c>
      <c r="D1988" t="s">
        <v>130</v>
      </c>
      <c r="E1988">
        <v>-22937686</v>
      </c>
      <c r="F1988">
        <v>-20855808</v>
      </c>
      <c r="G1988">
        <v>-78010257</v>
      </c>
      <c r="H1988">
        <v>-21919731</v>
      </c>
      <c r="I1988">
        <v>-21634456</v>
      </c>
      <c r="J1988">
        <v>-40942920</v>
      </c>
      <c r="K1988">
        <v>-39544215</v>
      </c>
      <c r="L1988">
        <v>-25096400</v>
      </c>
      <c r="M1988">
        <v>-26032600</v>
      </c>
      <c r="P1988">
        <v>85</v>
      </c>
      <c r="Q1988" t="s">
        <v>4023</v>
      </c>
    </row>
    <row r="1989" spans="1:17" x14ac:dyDescent="0.3">
      <c r="A1989" t="s">
        <v>32</v>
      </c>
      <c r="B1989" t="str">
        <f>"300338"</f>
        <v>300338</v>
      </c>
      <c r="C1989" t="s">
        <v>4024</v>
      </c>
      <c r="D1989" t="s">
        <v>497</v>
      </c>
      <c r="E1989">
        <v>-22955974</v>
      </c>
      <c r="F1989">
        <v>-32717139</v>
      </c>
      <c r="G1989">
        <v>-109119028</v>
      </c>
      <c r="H1989">
        <v>-71355697</v>
      </c>
      <c r="I1989">
        <v>-63540911</v>
      </c>
      <c r="J1989">
        <v>-240381</v>
      </c>
      <c r="K1989">
        <v>-40324249</v>
      </c>
      <c r="L1989">
        <v>-38421514</v>
      </c>
      <c r="M1989">
        <v>-28669818</v>
      </c>
      <c r="N1989">
        <v>-23521621</v>
      </c>
      <c r="O1989">
        <v>-56421239</v>
      </c>
      <c r="P1989">
        <v>118</v>
      </c>
      <c r="Q1989" t="s">
        <v>4025</v>
      </c>
    </row>
    <row r="1990" spans="1:17" x14ac:dyDescent="0.3">
      <c r="A1990" t="s">
        <v>17</v>
      </c>
      <c r="B1990" t="str">
        <f>"688068"</f>
        <v>688068</v>
      </c>
      <c r="C1990" t="s">
        <v>4026</v>
      </c>
      <c r="D1990" t="s">
        <v>98</v>
      </c>
      <c r="E1990">
        <v>-23055853</v>
      </c>
      <c r="F1990">
        <v>985665071</v>
      </c>
      <c r="G1990">
        <v>-19488814</v>
      </c>
      <c r="H1990">
        <v>-10029700</v>
      </c>
      <c r="I1990">
        <v>-3559500</v>
      </c>
      <c r="P1990">
        <v>254</v>
      </c>
      <c r="Q1990" t="s">
        <v>4027</v>
      </c>
    </row>
    <row r="1991" spans="1:17" x14ac:dyDescent="0.3">
      <c r="A1991" t="s">
        <v>32</v>
      </c>
      <c r="B1991" t="str">
        <f>"300555"</f>
        <v>300555</v>
      </c>
      <c r="C1991" t="s">
        <v>4028</v>
      </c>
      <c r="D1991" t="s">
        <v>57</v>
      </c>
      <c r="E1991">
        <v>-23106138</v>
      </c>
      <c r="F1991">
        <v>-3477258</v>
      </c>
      <c r="G1991">
        <v>20062510</v>
      </c>
      <c r="H1991">
        <v>-4049410</v>
      </c>
      <c r="I1991">
        <v>-30564326</v>
      </c>
      <c r="J1991">
        <v>-46036818</v>
      </c>
      <c r="K1991">
        <v>-43059979</v>
      </c>
      <c r="P1991">
        <v>72</v>
      </c>
      <c r="Q1991" t="s">
        <v>4029</v>
      </c>
    </row>
    <row r="1992" spans="1:17" x14ac:dyDescent="0.3">
      <c r="A1992" t="s">
        <v>32</v>
      </c>
      <c r="B1992" t="str">
        <f>"300043"</f>
        <v>300043</v>
      </c>
      <c r="C1992" t="s">
        <v>4030</v>
      </c>
      <c r="D1992" t="s">
        <v>245</v>
      </c>
      <c r="E1992">
        <v>-23193857</v>
      </c>
      <c r="F1992">
        <v>-91947491</v>
      </c>
      <c r="G1992">
        <v>-68241242</v>
      </c>
      <c r="H1992">
        <v>93106500</v>
      </c>
      <c r="I1992">
        <v>130372581</v>
      </c>
      <c r="J1992">
        <v>-775776978</v>
      </c>
      <c r="K1992">
        <v>-155415781</v>
      </c>
      <c r="L1992">
        <v>18482347</v>
      </c>
      <c r="M1992">
        <v>-16242486</v>
      </c>
      <c r="N1992">
        <v>-94706268</v>
      </c>
      <c r="O1992">
        <v>-24580419</v>
      </c>
      <c r="P1992">
        <v>183</v>
      </c>
      <c r="Q1992" t="s">
        <v>4031</v>
      </c>
    </row>
    <row r="1993" spans="1:17" x14ac:dyDescent="0.3">
      <c r="A1993" t="s">
        <v>32</v>
      </c>
      <c r="B1993" t="str">
        <f>"002915"</f>
        <v>002915</v>
      </c>
      <c r="C1993" t="s">
        <v>4032</v>
      </c>
      <c r="D1993" t="s">
        <v>144</v>
      </c>
      <c r="E1993">
        <v>-23196094</v>
      </c>
      <c r="F1993">
        <v>-48245732</v>
      </c>
      <c r="G1993">
        <v>22461983</v>
      </c>
      <c r="H1993">
        <v>-8565468</v>
      </c>
      <c r="I1993">
        <v>-28245736</v>
      </c>
      <c r="J1993">
        <v>1248289</v>
      </c>
      <c r="P1993">
        <v>90</v>
      </c>
      <c r="Q1993" t="s">
        <v>4033</v>
      </c>
    </row>
    <row r="1994" spans="1:17" x14ac:dyDescent="0.3">
      <c r="A1994" t="s">
        <v>17</v>
      </c>
      <c r="B1994" t="str">
        <f>"603890"</f>
        <v>603890</v>
      </c>
      <c r="C1994" t="s">
        <v>4034</v>
      </c>
      <c r="D1994" t="s">
        <v>124</v>
      </c>
      <c r="E1994">
        <v>-23258053</v>
      </c>
      <c r="F1994">
        <v>-37976390</v>
      </c>
      <c r="G1994">
        <v>-23985741</v>
      </c>
      <c r="H1994">
        <v>-74685829</v>
      </c>
      <c r="I1994">
        <v>-169754641</v>
      </c>
      <c r="J1994">
        <v>45263437</v>
      </c>
      <c r="P1994">
        <v>155</v>
      </c>
      <c r="Q1994" t="s">
        <v>4035</v>
      </c>
    </row>
    <row r="1995" spans="1:17" x14ac:dyDescent="0.3">
      <c r="A1995" t="s">
        <v>32</v>
      </c>
      <c r="B1995" t="str">
        <f>"300301"</f>
        <v>300301</v>
      </c>
      <c r="C1995" t="s">
        <v>4036</v>
      </c>
      <c r="D1995" t="s">
        <v>124</v>
      </c>
      <c r="E1995">
        <v>-23261904</v>
      </c>
      <c r="F1995">
        <v>-23221363</v>
      </c>
      <c r="G1995">
        <v>-19673474</v>
      </c>
      <c r="H1995">
        <v>51286915</v>
      </c>
      <c r="I1995">
        <v>-251353490</v>
      </c>
      <c r="J1995">
        <v>-4283415</v>
      </c>
      <c r="K1995">
        <v>-121078667</v>
      </c>
      <c r="L1995">
        <v>-47097112</v>
      </c>
      <c r="M1995">
        <v>-8294280</v>
      </c>
      <c r="N1995">
        <v>-89270850</v>
      </c>
      <c r="O1995">
        <v>-36521206</v>
      </c>
      <c r="P1995">
        <v>75</v>
      </c>
      <c r="Q1995" t="s">
        <v>4037</v>
      </c>
    </row>
    <row r="1996" spans="1:17" x14ac:dyDescent="0.3">
      <c r="A1996" t="s">
        <v>32</v>
      </c>
      <c r="B1996" t="str">
        <f>"300667"</f>
        <v>300667</v>
      </c>
      <c r="C1996" t="s">
        <v>4038</v>
      </c>
      <c r="D1996" t="s">
        <v>135</v>
      </c>
      <c r="E1996">
        <v>-23324443</v>
      </c>
      <c r="F1996">
        <v>-47752423</v>
      </c>
      <c r="G1996">
        <v>-44587419</v>
      </c>
      <c r="H1996">
        <v>-15567766</v>
      </c>
      <c r="I1996">
        <v>-30492074</v>
      </c>
      <c r="J1996">
        <v>-30178061</v>
      </c>
      <c r="K1996">
        <v>-23037762</v>
      </c>
      <c r="P1996">
        <v>144</v>
      </c>
      <c r="Q1996" t="s">
        <v>4039</v>
      </c>
    </row>
    <row r="1997" spans="1:17" x14ac:dyDescent="0.3">
      <c r="A1997" t="s">
        <v>32</v>
      </c>
      <c r="B1997" t="str">
        <f>"003008"</f>
        <v>003008</v>
      </c>
      <c r="C1997" t="s">
        <v>4040</v>
      </c>
      <c r="D1997" t="s">
        <v>497</v>
      </c>
      <c r="E1997">
        <v>-23333460</v>
      </c>
      <c r="F1997">
        <v>3637617</v>
      </c>
      <c r="G1997">
        <v>431569</v>
      </c>
      <c r="H1997">
        <v>2488147</v>
      </c>
      <c r="P1997">
        <v>68</v>
      </c>
      <c r="Q1997" t="s">
        <v>4041</v>
      </c>
    </row>
    <row r="1998" spans="1:17" x14ac:dyDescent="0.3">
      <c r="A1998" t="s">
        <v>32</v>
      </c>
      <c r="B1998" t="str">
        <f>"300369"</f>
        <v>300369</v>
      </c>
      <c r="C1998" t="s">
        <v>4042</v>
      </c>
      <c r="D1998" t="s">
        <v>342</v>
      </c>
      <c r="E1998">
        <v>-23419472</v>
      </c>
      <c r="F1998">
        <v>-63370388</v>
      </c>
      <c r="G1998">
        <v>-29078864</v>
      </c>
      <c r="H1998">
        <v>-144978290</v>
      </c>
      <c r="I1998">
        <v>-123254564</v>
      </c>
      <c r="J1998">
        <v>-90793317</v>
      </c>
      <c r="K1998">
        <v>-73951144</v>
      </c>
      <c r="L1998">
        <v>-74950129</v>
      </c>
      <c r="M1998">
        <v>38351690</v>
      </c>
      <c r="N1998">
        <v>-67151313</v>
      </c>
      <c r="P1998">
        <v>419</v>
      </c>
      <c r="Q1998" t="s">
        <v>4043</v>
      </c>
    </row>
    <row r="1999" spans="1:17" x14ac:dyDescent="0.3">
      <c r="A1999" t="s">
        <v>32</v>
      </c>
      <c r="B1999" t="str">
        <f>"300876"</f>
        <v>300876</v>
      </c>
      <c r="C1999" t="s">
        <v>4044</v>
      </c>
      <c r="D1999" t="s">
        <v>144</v>
      </c>
      <c r="E1999">
        <v>-23436588</v>
      </c>
      <c r="F1999">
        <v>-11847566</v>
      </c>
      <c r="G1999">
        <v>-18364962</v>
      </c>
      <c r="P1999">
        <v>67</v>
      </c>
      <c r="Q1999" t="s">
        <v>4045</v>
      </c>
    </row>
    <row r="2000" spans="1:17" x14ac:dyDescent="0.3">
      <c r="A2000" t="s">
        <v>32</v>
      </c>
      <c r="B2000" t="str">
        <f>"300561"</f>
        <v>300561</v>
      </c>
      <c r="C2000" t="s">
        <v>4046</v>
      </c>
      <c r="D2000" t="s">
        <v>342</v>
      </c>
      <c r="E2000">
        <v>-23457709</v>
      </c>
      <c r="F2000">
        <v>-27562866</v>
      </c>
      <c r="G2000">
        <v>-54662031</v>
      </c>
      <c r="H2000">
        <v>-59035800</v>
      </c>
      <c r="I2000">
        <v>-56628895</v>
      </c>
      <c r="J2000">
        <v>-22426685</v>
      </c>
      <c r="K2000">
        <v>-11350658</v>
      </c>
      <c r="P2000">
        <v>114</v>
      </c>
      <c r="Q2000" t="s">
        <v>4047</v>
      </c>
    </row>
    <row r="2001" spans="1:17" x14ac:dyDescent="0.3">
      <c r="A2001" t="s">
        <v>32</v>
      </c>
      <c r="B2001" t="str">
        <f>"301212"</f>
        <v>301212</v>
      </c>
      <c r="C2001" t="s">
        <v>4048</v>
      </c>
      <c r="E2001">
        <v>-23471125</v>
      </c>
      <c r="F2001">
        <v>23047779</v>
      </c>
      <c r="P2001">
        <v>3</v>
      </c>
      <c r="Q2001" t="s">
        <v>4049</v>
      </c>
    </row>
    <row r="2002" spans="1:17" x14ac:dyDescent="0.3">
      <c r="A2002" t="s">
        <v>32</v>
      </c>
      <c r="B2002" t="str">
        <f>"300167"</f>
        <v>300167</v>
      </c>
      <c r="C2002" t="s">
        <v>4050</v>
      </c>
      <c r="D2002" t="s">
        <v>342</v>
      </c>
      <c r="E2002">
        <v>-23544469</v>
      </c>
      <c r="F2002">
        <v>-15399441</v>
      </c>
      <c r="G2002">
        <v>-67095535</v>
      </c>
      <c r="H2002">
        <v>-23600791</v>
      </c>
      <c r="I2002">
        <v>-59827429</v>
      </c>
      <c r="J2002">
        <v>8582434</v>
      </c>
      <c r="K2002">
        <v>-41268884</v>
      </c>
      <c r="L2002">
        <v>74758360</v>
      </c>
      <c r="M2002">
        <v>-135505843</v>
      </c>
      <c r="N2002">
        <v>-28800966</v>
      </c>
      <c r="O2002">
        <v>-51561631</v>
      </c>
      <c r="P2002">
        <v>131</v>
      </c>
      <c r="Q2002" t="s">
        <v>4051</v>
      </c>
    </row>
    <row r="2003" spans="1:17" x14ac:dyDescent="0.3">
      <c r="A2003" t="s">
        <v>32</v>
      </c>
      <c r="B2003" t="str">
        <f>"000910"</f>
        <v>000910</v>
      </c>
      <c r="C2003" t="s">
        <v>4052</v>
      </c>
      <c r="D2003" t="s">
        <v>455</v>
      </c>
      <c r="E2003">
        <v>-23566864</v>
      </c>
      <c r="F2003">
        <v>-117270559</v>
      </c>
      <c r="G2003">
        <v>-286549096</v>
      </c>
      <c r="H2003">
        <v>-327176335</v>
      </c>
      <c r="I2003">
        <v>-290162638</v>
      </c>
      <c r="J2003">
        <v>-77207924</v>
      </c>
      <c r="K2003">
        <v>-92218583</v>
      </c>
      <c r="L2003">
        <v>-95706006</v>
      </c>
      <c r="M2003">
        <v>-294818575</v>
      </c>
      <c r="N2003">
        <v>-254186404</v>
      </c>
      <c r="O2003">
        <v>-114188944</v>
      </c>
      <c r="P2003">
        <v>813</v>
      </c>
      <c r="Q2003" t="s">
        <v>4053</v>
      </c>
    </row>
    <row r="2004" spans="1:17" x14ac:dyDescent="0.3">
      <c r="A2004" t="s">
        <v>17</v>
      </c>
      <c r="B2004" t="str">
        <f>"600896"</f>
        <v>600896</v>
      </c>
      <c r="C2004" t="s">
        <v>4054</v>
      </c>
      <c r="D2004" t="s">
        <v>98</v>
      </c>
      <c r="E2004">
        <v>-23590734</v>
      </c>
      <c r="F2004">
        <v>-313378206</v>
      </c>
      <c r="G2004">
        <v>-54912704</v>
      </c>
      <c r="H2004">
        <v>-39159913</v>
      </c>
      <c r="I2004">
        <v>-29259296</v>
      </c>
      <c r="J2004">
        <v>-183271696</v>
      </c>
      <c r="K2004">
        <v>47536017</v>
      </c>
      <c r="L2004">
        <v>61641639</v>
      </c>
      <c r="M2004">
        <v>28904775</v>
      </c>
      <c r="N2004">
        <v>-188091246</v>
      </c>
      <c r="O2004">
        <v>-142066116</v>
      </c>
      <c r="P2004">
        <v>93</v>
      </c>
      <c r="Q2004" t="s">
        <v>4055</v>
      </c>
    </row>
    <row r="2005" spans="1:17" x14ac:dyDescent="0.3">
      <c r="A2005" t="s">
        <v>17</v>
      </c>
      <c r="B2005" t="str">
        <f>"600352"</f>
        <v>600352</v>
      </c>
      <c r="C2005" t="s">
        <v>4056</v>
      </c>
      <c r="D2005" t="s">
        <v>144</v>
      </c>
      <c r="E2005">
        <v>-23599535</v>
      </c>
      <c r="F2005">
        <v>86485366</v>
      </c>
      <c r="G2005">
        <v>855028825</v>
      </c>
      <c r="H2005">
        <v>671157249</v>
      </c>
      <c r="I2005">
        <v>-657474042</v>
      </c>
      <c r="J2005">
        <v>-1580227493</v>
      </c>
      <c r="K2005">
        <v>-2130307384</v>
      </c>
      <c r="L2005">
        <v>-254050098</v>
      </c>
      <c r="M2005">
        <v>-383222907</v>
      </c>
      <c r="N2005">
        <v>-18143694</v>
      </c>
      <c r="O2005">
        <v>62636262</v>
      </c>
      <c r="P2005">
        <v>1666</v>
      </c>
      <c r="Q2005" t="s">
        <v>4057</v>
      </c>
    </row>
    <row r="2006" spans="1:17" x14ac:dyDescent="0.3">
      <c r="A2006" t="s">
        <v>32</v>
      </c>
      <c r="B2006" t="str">
        <f>"300018"</f>
        <v>300018</v>
      </c>
      <c r="C2006" t="s">
        <v>4058</v>
      </c>
      <c r="D2006" t="s">
        <v>464</v>
      </c>
      <c r="E2006">
        <v>-23609418</v>
      </c>
      <c r="F2006">
        <v>-19364249</v>
      </c>
      <c r="G2006">
        <v>-5612467</v>
      </c>
      <c r="H2006">
        <v>6455990</v>
      </c>
      <c r="I2006">
        <v>-29637762</v>
      </c>
      <c r="J2006">
        <v>-11434391</v>
      </c>
      <c r="K2006">
        <v>-12629113</v>
      </c>
      <c r="L2006">
        <v>-1738529</v>
      </c>
      <c r="M2006">
        <v>-6690132</v>
      </c>
      <c r="N2006">
        <v>-12885232</v>
      </c>
      <c r="O2006">
        <v>-29723592</v>
      </c>
      <c r="P2006">
        <v>127</v>
      </c>
      <c r="Q2006" t="s">
        <v>4059</v>
      </c>
    </row>
    <row r="2007" spans="1:17" x14ac:dyDescent="0.3">
      <c r="A2007" t="s">
        <v>32</v>
      </c>
      <c r="B2007" t="str">
        <f>"003036"</f>
        <v>003036</v>
      </c>
      <c r="C2007" t="s">
        <v>4060</v>
      </c>
      <c r="D2007" t="s">
        <v>135</v>
      </c>
      <c r="E2007">
        <v>-23822428</v>
      </c>
      <c r="F2007">
        <v>-35922267</v>
      </c>
      <c r="G2007">
        <v>-1057246</v>
      </c>
      <c r="H2007">
        <v>18681508</v>
      </c>
      <c r="P2007">
        <v>37</v>
      </c>
      <c r="Q2007" t="s">
        <v>4061</v>
      </c>
    </row>
    <row r="2008" spans="1:17" x14ac:dyDescent="0.3">
      <c r="A2008" t="s">
        <v>32</v>
      </c>
      <c r="B2008" t="str">
        <f>"301182"</f>
        <v>301182</v>
      </c>
      <c r="C2008" t="s">
        <v>4062</v>
      </c>
      <c r="D2008" t="s">
        <v>124</v>
      </c>
      <c r="E2008">
        <v>-23842398</v>
      </c>
      <c r="F2008">
        <v>16113050</v>
      </c>
      <c r="P2008">
        <v>11</v>
      </c>
      <c r="Q2008" t="s">
        <v>4063</v>
      </c>
    </row>
    <row r="2009" spans="1:17" x14ac:dyDescent="0.3">
      <c r="A2009" t="s">
        <v>32</v>
      </c>
      <c r="B2009" t="str">
        <f>"300998"</f>
        <v>300998</v>
      </c>
      <c r="C2009" t="s">
        <v>4064</v>
      </c>
      <c r="D2009" t="s">
        <v>199</v>
      </c>
      <c r="E2009">
        <v>-23933219</v>
      </c>
      <c r="F2009">
        <v>3222311</v>
      </c>
      <c r="P2009">
        <v>26</v>
      </c>
      <c r="Q2009" t="s">
        <v>4065</v>
      </c>
    </row>
    <row r="2010" spans="1:17" x14ac:dyDescent="0.3">
      <c r="A2010" t="s">
        <v>32</v>
      </c>
      <c r="B2010" t="str">
        <f>"003004"</f>
        <v>003004</v>
      </c>
      <c r="C2010" t="s">
        <v>4066</v>
      </c>
      <c r="D2010" t="s">
        <v>342</v>
      </c>
      <c r="E2010">
        <v>-23943649</v>
      </c>
      <c r="F2010">
        <v>-41146331</v>
      </c>
      <c r="G2010">
        <v>-32059003</v>
      </c>
      <c r="P2010">
        <v>37</v>
      </c>
      <c r="Q2010" t="s">
        <v>4067</v>
      </c>
    </row>
    <row r="2011" spans="1:17" x14ac:dyDescent="0.3">
      <c r="A2011" t="s">
        <v>32</v>
      </c>
      <c r="B2011" t="str">
        <f>"002384"</f>
        <v>002384</v>
      </c>
      <c r="C2011" t="s">
        <v>4068</v>
      </c>
      <c r="D2011" t="s">
        <v>124</v>
      </c>
      <c r="E2011">
        <v>-24008631</v>
      </c>
      <c r="F2011">
        <v>-450029236</v>
      </c>
      <c r="G2011">
        <v>28552786</v>
      </c>
      <c r="H2011">
        <v>56232894</v>
      </c>
      <c r="I2011">
        <v>-728809069</v>
      </c>
      <c r="J2011">
        <v>-420789528</v>
      </c>
      <c r="K2011">
        <v>-101222104</v>
      </c>
      <c r="L2011">
        <v>-120933176</v>
      </c>
      <c r="M2011">
        <v>-133241882</v>
      </c>
      <c r="N2011">
        <v>38572707</v>
      </c>
      <c r="O2011">
        <v>-143755814</v>
      </c>
      <c r="P2011">
        <v>1071</v>
      </c>
      <c r="Q2011" t="s">
        <v>4069</v>
      </c>
    </row>
    <row r="2012" spans="1:17" x14ac:dyDescent="0.3">
      <c r="A2012" t="s">
        <v>32</v>
      </c>
      <c r="B2012" t="str">
        <f>"002732"</f>
        <v>002732</v>
      </c>
      <c r="C2012" t="s">
        <v>4070</v>
      </c>
      <c r="D2012" t="s">
        <v>172</v>
      </c>
      <c r="E2012">
        <v>-24026602</v>
      </c>
      <c r="F2012">
        <v>28159789</v>
      </c>
      <c r="G2012">
        <v>-29411115</v>
      </c>
      <c r="H2012">
        <v>-26584042</v>
      </c>
      <c r="I2012">
        <v>-71099696</v>
      </c>
      <c r="J2012">
        <v>-85540024</v>
      </c>
      <c r="K2012">
        <v>-51879858</v>
      </c>
      <c r="L2012">
        <v>-16747575</v>
      </c>
      <c r="M2012">
        <v>-60435771</v>
      </c>
      <c r="P2012">
        <v>349</v>
      </c>
      <c r="Q2012" t="s">
        <v>4071</v>
      </c>
    </row>
    <row r="2013" spans="1:17" x14ac:dyDescent="0.3">
      <c r="A2013" t="s">
        <v>32</v>
      </c>
      <c r="B2013" t="str">
        <f>"300606"</f>
        <v>300606</v>
      </c>
      <c r="C2013" t="s">
        <v>4072</v>
      </c>
      <c r="D2013" t="s">
        <v>135</v>
      </c>
      <c r="E2013">
        <v>-24034483</v>
      </c>
      <c r="F2013">
        <v>-15802618</v>
      </c>
      <c r="G2013">
        <v>57180388</v>
      </c>
      <c r="H2013">
        <v>-2812295</v>
      </c>
      <c r="I2013">
        <v>-55542001</v>
      </c>
      <c r="J2013">
        <v>4607852</v>
      </c>
      <c r="K2013">
        <v>-1375568</v>
      </c>
      <c r="P2013">
        <v>92</v>
      </c>
      <c r="Q2013" t="s">
        <v>4073</v>
      </c>
    </row>
    <row r="2014" spans="1:17" x14ac:dyDescent="0.3">
      <c r="A2014" t="s">
        <v>17</v>
      </c>
      <c r="B2014" t="str">
        <f>"603879"</f>
        <v>603879</v>
      </c>
      <c r="C2014" t="s">
        <v>4074</v>
      </c>
      <c r="D2014" t="s">
        <v>144</v>
      </c>
      <c r="E2014">
        <v>-24034741</v>
      </c>
      <c r="F2014">
        <v>3717842</v>
      </c>
      <c r="G2014">
        <v>-30032192</v>
      </c>
      <c r="H2014">
        <v>-30295186</v>
      </c>
      <c r="I2014">
        <v>-17191739</v>
      </c>
      <c r="J2014">
        <v>-6494970</v>
      </c>
      <c r="K2014">
        <v>-5443548</v>
      </c>
      <c r="P2014">
        <v>55</v>
      </c>
      <c r="Q2014" t="s">
        <v>4075</v>
      </c>
    </row>
    <row r="2015" spans="1:17" x14ac:dyDescent="0.3">
      <c r="A2015" t="s">
        <v>32</v>
      </c>
      <c r="B2015" t="str">
        <f>"300950"</f>
        <v>300950</v>
      </c>
      <c r="C2015" t="s">
        <v>4076</v>
      </c>
      <c r="D2015" t="s">
        <v>135</v>
      </c>
      <c r="E2015">
        <v>-24269531</v>
      </c>
      <c r="F2015">
        <v>533342</v>
      </c>
      <c r="G2015">
        <v>1065068</v>
      </c>
      <c r="P2015">
        <v>58</v>
      </c>
      <c r="Q2015" t="s">
        <v>4077</v>
      </c>
    </row>
    <row r="2016" spans="1:17" x14ac:dyDescent="0.3">
      <c r="A2016" t="s">
        <v>17</v>
      </c>
      <c r="B2016" t="str">
        <f>"605298"</f>
        <v>605298</v>
      </c>
      <c r="C2016" t="s">
        <v>4078</v>
      </c>
      <c r="D2016" t="s">
        <v>135</v>
      </c>
      <c r="E2016">
        <v>-24272369</v>
      </c>
      <c r="F2016">
        <v>-56372448</v>
      </c>
      <c r="G2016">
        <v>-10251003</v>
      </c>
      <c r="P2016">
        <v>46</v>
      </c>
      <c r="Q2016" t="s">
        <v>4079</v>
      </c>
    </row>
    <row r="2017" spans="1:17" x14ac:dyDescent="0.3">
      <c r="A2017" t="s">
        <v>17</v>
      </c>
      <c r="B2017" t="str">
        <f>"600097"</f>
        <v>600097</v>
      </c>
      <c r="C2017" t="s">
        <v>4080</v>
      </c>
      <c r="D2017" t="s">
        <v>175</v>
      </c>
      <c r="E2017">
        <v>-24339286</v>
      </c>
      <c r="F2017">
        <v>104991348</v>
      </c>
      <c r="G2017">
        <v>-70368109</v>
      </c>
      <c r="H2017">
        <v>-1515002</v>
      </c>
      <c r="I2017">
        <v>47674359</v>
      </c>
      <c r="J2017">
        <v>-34368368</v>
      </c>
      <c r="K2017">
        <v>-7562206</v>
      </c>
      <c r="L2017">
        <v>-77985819</v>
      </c>
      <c r="M2017">
        <v>-22368179</v>
      </c>
      <c r="N2017">
        <v>-112114778</v>
      </c>
      <c r="O2017">
        <v>34433842</v>
      </c>
      <c r="P2017">
        <v>116</v>
      </c>
      <c r="Q2017" t="s">
        <v>4081</v>
      </c>
    </row>
    <row r="2018" spans="1:17" x14ac:dyDescent="0.3">
      <c r="A2018" t="s">
        <v>17</v>
      </c>
      <c r="B2018" t="str">
        <f>"688167"</f>
        <v>688167</v>
      </c>
      <c r="C2018" t="s">
        <v>4082</v>
      </c>
      <c r="D2018" t="s">
        <v>135</v>
      </c>
      <c r="E2018">
        <v>-24436321</v>
      </c>
      <c r="P2018">
        <v>32</v>
      </c>
      <c r="Q2018" t="s">
        <v>4083</v>
      </c>
    </row>
    <row r="2019" spans="1:17" x14ac:dyDescent="0.3">
      <c r="A2019" t="s">
        <v>17</v>
      </c>
      <c r="B2019" t="str">
        <f>"900918"</f>
        <v>900918</v>
      </c>
      <c r="C2019" t="s">
        <v>4084</v>
      </c>
      <c r="E2019">
        <v>-24454159.648400001</v>
      </c>
      <c r="F2019">
        <v>-15259529.7552</v>
      </c>
      <c r="G2019">
        <v>-18156896.395199999</v>
      </c>
      <c r="H2019">
        <v>-15509180.391000001</v>
      </c>
      <c r="I2019">
        <v>-10857951.3378</v>
      </c>
      <c r="J2019">
        <v>-2490583.9463999998</v>
      </c>
      <c r="K2019">
        <v>-5005846.4517000001</v>
      </c>
      <c r="L2019">
        <v>-13427966.7587</v>
      </c>
      <c r="M2019">
        <v>-20125355.2656</v>
      </c>
      <c r="N2019">
        <v>-22126192.647999998</v>
      </c>
      <c r="O2019">
        <v>-660769.65839999996</v>
      </c>
      <c r="P2019">
        <v>10</v>
      </c>
      <c r="Q2019" t="s">
        <v>4085</v>
      </c>
    </row>
    <row r="2020" spans="1:17" x14ac:dyDescent="0.3">
      <c r="A2020" t="s">
        <v>17</v>
      </c>
      <c r="B2020" t="str">
        <f>"603138"</f>
        <v>603138</v>
      </c>
      <c r="C2020" t="s">
        <v>4086</v>
      </c>
      <c r="D2020" t="s">
        <v>342</v>
      </c>
      <c r="E2020">
        <v>-24464558</v>
      </c>
      <c r="F2020">
        <v>-32115972</v>
      </c>
      <c r="G2020">
        <v>-33031727</v>
      </c>
      <c r="H2020">
        <v>-33673129</v>
      </c>
      <c r="I2020">
        <v>-5057682</v>
      </c>
      <c r="J2020">
        <v>-37207895</v>
      </c>
      <c r="K2020">
        <v>-46852809</v>
      </c>
      <c r="P2020">
        <v>147</v>
      </c>
      <c r="Q2020" t="s">
        <v>4087</v>
      </c>
    </row>
    <row r="2021" spans="1:17" x14ac:dyDescent="0.3">
      <c r="A2021" t="s">
        <v>17</v>
      </c>
      <c r="B2021" t="str">
        <f>"603090"</f>
        <v>603090</v>
      </c>
      <c r="C2021" t="s">
        <v>4088</v>
      </c>
      <c r="D2021" t="s">
        <v>135</v>
      </c>
      <c r="E2021">
        <v>-24475643</v>
      </c>
      <c r="F2021">
        <v>-7937291</v>
      </c>
      <c r="G2021">
        <v>-1452673</v>
      </c>
      <c r="H2021">
        <v>-6509338</v>
      </c>
      <c r="I2021">
        <v>-14750464</v>
      </c>
      <c r="J2021">
        <v>-10840839</v>
      </c>
      <c r="K2021">
        <v>-5206574</v>
      </c>
      <c r="P2021">
        <v>51</v>
      </c>
      <c r="Q2021" t="s">
        <v>4089</v>
      </c>
    </row>
    <row r="2022" spans="1:17" x14ac:dyDescent="0.3">
      <c r="A2022" t="s">
        <v>17</v>
      </c>
      <c r="B2022" t="str">
        <f>"688677"</f>
        <v>688677</v>
      </c>
      <c r="C2022" t="s">
        <v>4090</v>
      </c>
      <c r="D2022" t="s">
        <v>98</v>
      </c>
      <c r="E2022">
        <v>-24482424</v>
      </c>
      <c r="F2022">
        <v>16121513</v>
      </c>
      <c r="I2022">
        <v>5437069</v>
      </c>
      <c r="P2022">
        <v>94</v>
      </c>
      <c r="Q2022" t="s">
        <v>4091</v>
      </c>
    </row>
    <row r="2023" spans="1:17" x14ac:dyDescent="0.3">
      <c r="A2023" t="s">
        <v>32</v>
      </c>
      <c r="B2023" t="str">
        <f>"002870"</f>
        <v>002870</v>
      </c>
      <c r="C2023" t="s">
        <v>4092</v>
      </c>
      <c r="D2023" t="s">
        <v>135</v>
      </c>
      <c r="E2023">
        <v>-24499378</v>
      </c>
      <c r="F2023">
        <v>-10978415</v>
      </c>
      <c r="G2023">
        <v>40866142</v>
      </c>
      <c r="H2023">
        <v>-27792032</v>
      </c>
      <c r="I2023">
        <v>-43180651</v>
      </c>
      <c r="J2023">
        <v>-15948065</v>
      </c>
      <c r="K2023">
        <v>-39567277</v>
      </c>
      <c r="P2023">
        <v>91</v>
      </c>
      <c r="Q2023" t="s">
        <v>4093</v>
      </c>
    </row>
    <row r="2024" spans="1:17" x14ac:dyDescent="0.3">
      <c r="A2024" t="s">
        <v>32</v>
      </c>
      <c r="B2024" t="str">
        <f>"300507"</f>
        <v>300507</v>
      </c>
      <c r="C2024" t="s">
        <v>4094</v>
      </c>
      <c r="D2024" t="s">
        <v>199</v>
      </c>
      <c r="E2024">
        <v>-24539939</v>
      </c>
      <c r="F2024">
        <v>10754817</v>
      </c>
      <c r="G2024">
        <v>37036667</v>
      </c>
      <c r="H2024">
        <v>5714405</v>
      </c>
      <c r="I2024">
        <v>-96264743</v>
      </c>
      <c r="J2024">
        <v>-28815543</v>
      </c>
      <c r="K2024">
        <v>16671429</v>
      </c>
      <c r="L2024">
        <v>-1902997</v>
      </c>
      <c r="P2024">
        <v>137</v>
      </c>
      <c r="Q2024" t="s">
        <v>4095</v>
      </c>
    </row>
    <row r="2025" spans="1:17" x14ac:dyDescent="0.3">
      <c r="A2025" t="s">
        <v>32</v>
      </c>
      <c r="B2025" t="str">
        <f>"002066"</f>
        <v>002066</v>
      </c>
      <c r="C2025" t="s">
        <v>4096</v>
      </c>
      <c r="D2025" t="s">
        <v>400</v>
      </c>
      <c r="E2025">
        <v>-24550142</v>
      </c>
      <c r="F2025">
        <v>-30388868</v>
      </c>
      <c r="G2025">
        <v>-79526403</v>
      </c>
      <c r="H2025">
        <v>-187034628</v>
      </c>
      <c r="I2025">
        <v>23217027</v>
      </c>
      <c r="J2025">
        <v>96679439</v>
      </c>
      <c r="K2025">
        <v>90524</v>
      </c>
      <c r="L2025">
        <v>-24811374</v>
      </c>
      <c r="M2025">
        <v>-68053513</v>
      </c>
      <c r="N2025">
        <v>-78850342</v>
      </c>
      <c r="O2025">
        <v>-135773494</v>
      </c>
      <c r="P2025">
        <v>75</v>
      </c>
      <c r="Q2025" t="s">
        <v>4097</v>
      </c>
    </row>
    <row r="2026" spans="1:17" x14ac:dyDescent="0.3">
      <c r="A2026" t="s">
        <v>32</v>
      </c>
      <c r="B2026" t="str">
        <f>"300849"</f>
        <v>300849</v>
      </c>
      <c r="C2026" t="s">
        <v>4098</v>
      </c>
      <c r="D2026" t="s">
        <v>544</v>
      </c>
      <c r="E2026">
        <v>-24551411</v>
      </c>
      <c r="F2026">
        <v>-34516492</v>
      </c>
      <c r="G2026">
        <v>881634</v>
      </c>
      <c r="H2026">
        <v>12912699</v>
      </c>
      <c r="P2026">
        <v>44</v>
      </c>
      <c r="Q2026" t="s">
        <v>4099</v>
      </c>
    </row>
    <row r="2027" spans="1:17" x14ac:dyDescent="0.3">
      <c r="A2027" t="s">
        <v>17</v>
      </c>
      <c r="B2027" t="str">
        <f>"688258"</f>
        <v>688258</v>
      </c>
      <c r="C2027" t="s">
        <v>4100</v>
      </c>
      <c r="D2027" t="s">
        <v>342</v>
      </c>
      <c r="E2027">
        <v>-24610850</v>
      </c>
      <c r="F2027">
        <v>-63892995</v>
      </c>
      <c r="G2027">
        <v>4510395</v>
      </c>
      <c r="H2027">
        <v>-10381997</v>
      </c>
      <c r="P2027">
        <v>2718</v>
      </c>
      <c r="Q2027" t="s">
        <v>4101</v>
      </c>
    </row>
    <row r="2028" spans="1:17" x14ac:dyDescent="0.3">
      <c r="A2028" t="s">
        <v>32</v>
      </c>
      <c r="B2028" t="str">
        <f>"300979"</f>
        <v>300979</v>
      </c>
      <c r="C2028" t="s">
        <v>4102</v>
      </c>
      <c r="D2028" t="s">
        <v>130</v>
      </c>
      <c r="E2028">
        <v>-24623600</v>
      </c>
      <c r="F2028">
        <v>198646067</v>
      </c>
      <c r="G2028">
        <v>532685181</v>
      </c>
      <c r="P2028">
        <v>98</v>
      </c>
      <c r="Q2028" t="s">
        <v>4103</v>
      </c>
    </row>
    <row r="2029" spans="1:17" x14ac:dyDescent="0.3">
      <c r="A2029" t="s">
        <v>17</v>
      </c>
      <c r="B2029" t="str">
        <f>"688129"</f>
        <v>688129</v>
      </c>
      <c r="C2029" t="s">
        <v>4104</v>
      </c>
      <c r="D2029" t="s">
        <v>144</v>
      </c>
      <c r="E2029">
        <v>-24668305</v>
      </c>
      <c r="F2029">
        <v>6313868</v>
      </c>
      <c r="G2029">
        <v>2285706</v>
      </c>
      <c r="P2029">
        <v>38</v>
      </c>
      <c r="Q2029" t="s">
        <v>4105</v>
      </c>
    </row>
    <row r="2030" spans="1:17" x14ac:dyDescent="0.3">
      <c r="A2030" t="s">
        <v>32</v>
      </c>
      <c r="B2030" t="str">
        <f>"000822"</f>
        <v>000822</v>
      </c>
      <c r="C2030" t="s">
        <v>4106</v>
      </c>
      <c r="D2030" t="s">
        <v>144</v>
      </c>
      <c r="E2030">
        <v>-24670377</v>
      </c>
      <c r="F2030">
        <v>115251905</v>
      </c>
      <c r="G2030">
        <v>-78456554</v>
      </c>
      <c r="H2030">
        <v>329645509</v>
      </c>
      <c r="I2030">
        <v>93972873</v>
      </c>
      <c r="J2030">
        <v>-22573705</v>
      </c>
      <c r="K2030">
        <v>-54295674</v>
      </c>
      <c r="L2030">
        <v>-57423538</v>
      </c>
      <c r="M2030">
        <v>79886261</v>
      </c>
      <c r="N2030">
        <v>-70109820</v>
      </c>
      <c r="O2030">
        <v>113053275</v>
      </c>
      <c r="P2030">
        <v>211</v>
      </c>
      <c r="Q2030" t="s">
        <v>4107</v>
      </c>
    </row>
    <row r="2031" spans="1:17" x14ac:dyDescent="0.3">
      <c r="A2031" t="s">
        <v>17</v>
      </c>
      <c r="B2031" t="str">
        <f>"600373"</f>
        <v>600373</v>
      </c>
      <c r="C2031" t="s">
        <v>4108</v>
      </c>
      <c r="D2031" t="s">
        <v>245</v>
      </c>
      <c r="E2031">
        <v>-24710124</v>
      </c>
      <c r="F2031">
        <v>-532530482</v>
      </c>
      <c r="G2031">
        <v>-222062936</v>
      </c>
      <c r="H2031">
        <v>-523250290</v>
      </c>
      <c r="I2031">
        <v>-394782809</v>
      </c>
      <c r="J2031">
        <v>-342425071</v>
      </c>
      <c r="K2031">
        <v>-53416253</v>
      </c>
      <c r="L2031">
        <v>-338261401</v>
      </c>
      <c r="M2031">
        <v>-212336767</v>
      </c>
      <c r="N2031">
        <v>-246405005</v>
      </c>
      <c r="O2031">
        <v>-1152413</v>
      </c>
      <c r="P2031">
        <v>776</v>
      </c>
      <c r="Q2031" t="s">
        <v>4109</v>
      </c>
    </row>
    <row r="2032" spans="1:17" x14ac:dyDescent="0.3">
      <c r="A2032" t="s">
        <v>32</v>
      </c>
      <c r="B2032" t="str">
        <f>"300956"</f>
        <v>300956</v>
      </c>
      <c r="C2032" t="s">
        <v>4110</v>
      </c>
      <c r="D2032" t="s">
        <v>124</v>
      </c>
      <c r="E2032">
        <v>-24730906</v>
      </c>
      <c r="F2032">
        <v>-14708739</v>
      </c>
      <c r="G2032">
        <v>15583089</v>
      </c>
      <c r="P2032">
        <v>45</v>
      </c>
      <c r="Q2032" t="s">
        <v>4111</v>
      </c>
    </row>
    <row r="2033" spans="1:17" x14ac:dyDescent="0.3">
      <c r="A2033" t="s">
        <v>32</v>
      </c>
      <c r="B2033" t="str">
        <f>"300159"</f>
        <v>300159</v>
      </c>
      <c r="C2033" t="s">
        <v>4112</v>
      </c>
      <c r="D2033" t="s">
        <v>188</v>
      </c>
      <c r="E2033">
        <v>-24750847</v>
      </c>
      <c r="F2033">
        <v>3287476</v>
      </c>
      <c r="G2033">
        <v>-114069917</v>
      </c>
      <c r="H2033">
        <v>-93129246</v>
      </c>
      <c r="I2033">
        <v>-172922711</v>
      </c>
      <c r="J2033">
        <v>-319613956</v>
      </c>
      <c r="K2033">
        <v>-284563542</v>
      </c>
      <c r="L2033">
        <v>-208374729</v>
      </c>
      <c r="M2033">
        <v>-84496177</v>
      </c>
      <c r="N2033">
        <v>-6262570</v>
      </c>
      <c r="O2033">
        <v>-24600883</v>
      </c>
      <c r="P2033">
        <v>126</v>
      </c>
      <c r="Q2033" t="s">
        <v>4113</v>
      </c>
    </row>
    <row r="2034" spans="1:17" x14ac:dyDescent="0.3">
      <c r="A2034" t="s">
        <v>32</v>
      </c>
      <c r="B2034" t="str">
        <f>"301097"</f>
        <v>301097</v>
      </c>
      <c r="C2034" t="s">
        <v>4114</v>
      </c>
      <c r="E2034">
        <v>-24840986</v>
      </c>
      <c r="P2034">
        <v>2</v>
      </c>
      <c r="Q2034" t="s">
        <v>4115</v>
      </c>
    </row>
    <row r="2035" spans="1:17" x14ac:dyDescent="0.3">
      <c r="A2035" t="s">
        <v>32</v>
      </c>
      <c r="B2035" t="str">
        <f>"002898"</f>
        <v>002898</v>
      </c>
      <c r="C2035" t="s">
        <v>4116</v>
      </c>
      <c r="D2035" t="s">
        <v>98</v>
      </c>
      <c r="E2035">
        <v>-24858150</v>
      </c>
      <c r="F2035">
        <v>1573943</v>
      </c>
      <c r="G2035">
        <v>-22641343</v>
      </c>
      <c r="H2035">
        <v>-53771818</v>
      </c>
      <c r="I2035">
        <v>-110536350</v>
      </c>
      <c r="J2035">
        <v>-4783905</v>
      </c>
      <c r="P2035">
        <v>90</v>
      </c>
      <c r="Q2035" t="s">
        <v>4117</v>
      </c>
    </row>
    <row r="2036" spans="1:17" x14ac:dyDescent="0.3">
      <c r="A2036" t="s">
        <v>32</v>
      </c>
      <c r="B2036" t="str">
        <f>"300155"</f>
        <v>300155</v>
      </c>
      <c r="C2036" t="s">
        <v>4118</v>
      </c>
      <c r="D2036" t="s">
        <v>342</v>
      </c>
      <c r="E2036">
        <v>-24874968</v>
      </c>
      <c r="F2036">
        <v>-78570624</v>
      </c>
      <c r="G2036">
        <v>-70533504</v>
      </c>
      <c r="H2036">
        <v>33446144</v>
      </c>
      <c r="I2036">
        <v>-27062317</v>
      </c>
      <c r="J2036">
        <v>-72149502</v>
      </c>
      <c r="K2036">
        <v>-47232495</v>
      </c>
      <c r="L2036">
        <v>-74206638</v>
      </c>
      <c r="M2036">
        <v>-64135931</v>
      </c>
      <c r="N2036">
        <v>-46732370</v>
      </c>
      <c r="O2036">
        <v>-25990823</v>
      </c>
      <c r="P2036">
        <v>68</v>
      </c>
      <c r="Q2036" t="s">
        <v>4119</v>
      </c>
    </row>
    <row r="2037" spans="1:17" x14ac:dyDescent="0.3">
      <c r="A2037" t="s">
        <v>17</v>
      </c>
      <c r="B2037" t="str">
        <f>"688607"</f>
        <v>688607</v>
      </c>
      <c r="C2037" t="s">
        <v>4120</v>
      </c>
      <c r="D2037" t="s">
        <v>98</v>
      </c>
      <c r="E2037">
        <v>-24875592</v>
      </c>
      <c r="F2037">
        <v>-7047173</v>
      </c>
      <c r="P2037">
        <v>55</v>
      </c>
      <c r="Q2037" t="s">
        <v>4121</v>
      </c>
    </row>
    <row r="2038" spans="1:17" x14ac:dyDescent="0.3">
      <c r="A2038" t="s">
        <v>17</v>
      </c>
      <c r="B2038" t="str">
        <f>"603115"</f>
        <v>603115</v>
      </c>
      <c r="C2038" t="s">
        <v>4122</v>
      </c>
      <c r="D2038" t="s">
        <v>121</v>
      </c>
      <c r="E2038">
        <v>-24899320</v>
      </c>
      <c r="F2038">
        <v>4398140</v>
      </c>
      <c r="G2038">
        <v>17157805</v>
      </c>
      <c r="H2038">
        <v>4009300</v>
      </c>
      <c r="I2038">
        <v>52799300</v>
      </c>
      <c r="P2038">
        <v>89</v>
      </c>
      <c r="Q2038" t="s">
        <v>4123</v>
      </c>
    </row>
    <row r="2039" spans="1:17" x14ac:dyDescent="0.3">
      <c r="A2039" t="s">
        <v>32</v>
      </c>
      <c r="B2039" t="str">
        <f>"300581"</f>
        <v>300581</v>
      </c>
      <c r="C2039" t="s">
        <v>4124</v>
      </c>
      <c r="D2039" t="s">
        <v>188</v>
      </c>
      <c r="E2039">
        <v>-25104024</v>
      </c>
      <c r="F2039">
        <v>12781366</v>
      </c>
      <c r="G2039">
        <v>-5499268</v>
      </c>
      <c r="H2039">
        <v>-16885883</v>
      </c>
      <c r="I2039">
        <v>-8618084</v>
      </c>
      <c r="J2039">
        <v>-43852411</v>
      </c>
      <c r="K2039">
        <v>-8829661</v>
      </c>
      <c r="P2039">
        <v>151</v>
      </c>
      <c r="Q2039" t="s">
        <v>4125</v>
      </c>
    </row>
    <row r="2040" spans="1:17" x14ac:dyDescent="0.3">
      <c r="A2040" t="s">
        <v>17</v>
      </c>
      <c r="B2040" t="str">
        <f>"900952"</f>
        <v>900952</v>
      </c>
      <c r="C2040" t="s">
        <v>4126</v>
      </c>
      <c r="E2040">
        <v>-25149083.373500001</v>
      </c>
      <c r="F2040">
        <v>7959242.5524000004</v>
      </c>
      <c r="G2040">
        <v>25696248.749600001</v>
      </c>
      <c r="H2040">
        <v>-9574055.0470000003</v>
      </c>
      <c r="I2040">
        <v>16095230.2554</v>
      </c>
      <c r="J2040">
        <v>-17979342.374400001</v>
      </c>
      <c r="K2040">
        <v>19804144.219300002</v>
      </c>
      <c r="L2040">
        <v>-19478602.194400001</v>
      </c>
      <c r="M2040">
        <v>-14290147.099199999</v>
      </c>
      <c r="N2040">
        <v>-15349234.943</v>
      </c>
      <c r="O2040">
        <v>-22758839.0088</v>
      </c>
      <c r="P2040">
        <v>8</v>
      </c>
      <c r="Q2040" t="s">
        <v>4127</v>
      </c>
    </row>
    <row r="2041" spans="1:17" x14ac:dyDescent="0.3">
      <c r="A2041" t="s">
        <v>32</v>
      </c>
      <c r="B2041" t="str">
        <f>"002347"</f>
        <v>002347</v>
      </c>
      <c r="C2041" t="s">
        <v>4128</v>
      </c>
      <c r="D2041" t="s">
        <v>135</v>
      </c>
      <c r="E2041">
        <v>-25519841</v>
      </c>
      <c r="F2041">
        <v>-8548648</v>
      </c>
      <c r="G2041">
        <v>-117693517</v>
      </c>
      <c r="H2041">
        <v>-44647723</v>
      </c>
      <c r="I2041">
        <v>-109184592</v>
      </c>
      <c r="J2041">
        <v>-44475408</v>
      </c>
      <c r="K2041">
        <v>-67080252</v>
      </c>
      <c r="L2041">
        <v>-62029113</v>
      </c>
      <c r="M2041">
        <v>-14595338</v>
      </c>
      <c r="N2041">
        <v>-16146518</v>
      </c>
      <c r="O2041">
        <v>-27171471</v>
      </c>
      <c r="P2041">
        <v>75</v>
      </c>
      <c r="Q2041" t="s">
        <v>4129</v>
      </c>
    </row>
    <row r="2042" spans="1:17" x14ac:dyDescent="0.3">
      <c r="A2042" t="s">
        <v>17</v>
      </c>
      <c r="B2042" t="str">
        <f>"605116"</f>
        <v>605116</v>
      </c>
      <c r="C2042" t="s">
        <v>4130</v>
      </c>
      <c r="D2042" t="s">
        <v>98</v>
      </c>
      <c r="E2042">
        <v>-25619151</v>
      </c>
      <c r="F2042">
        <v>-22745707</v>
      </c>
      <c r="G2042">
        <v>-681749</v>
      </c>
      <c r="P2042">
        <v>81</v>
      </c>
      <c r="Q2042" t="s">
        <v>4131</v>
      </c>
    </row>
    <row r="2043" spans="1:17" x14ac:dyDescent="0.3">
      <c r="A2043" t="s">
        <v>17</v>
      </c>
      <c r="B2043" t="str">
        <f>"605180"</f>
        <v>605180</v>
      </c>
      <c r="C2043" t="s">
        <v>4132</v>
      </c>
      <c r="D2043" t="s">
        <v>130</v>
      </c>
      <c r="E2043">
        <v>-25657744</v>
      </c>
      <c r="F2043">
        <v>-66077024</v>
      </c>
      <c r="G2043">
        <v>-32659005</v>
      </c>
      <c r="P2043">
        <v>40</v>
      </c>
      <c r="Q2043" t="s">
        <v>4133</v>
      </c>
    </row>
    <row r="2044" spans="1:17" x14ac:dyDescent="0.3">
      <c r="A2044" t="s">
        <v>17</v>
      </c>
      <c r="B2044" t="str">
        <f>"603933"</f>
        <v>603933</v>
      </c>
      <c r="C2044" t="s">
        <v>4134</v>
      </c>
      <c r="D2044" t="s">
        <v>124</v>
      </c>
      <c r="E2044">
        <v>-25673223</v>
      </c>
      <c r="F2044">
        <v>15306022</v>
      </c>
      <c r="G2044">
        <v>-12943889</v>
      </c>
      <c r="H2044">
        <v>9280154</v>
      </c>
      <c r="I2044">
        <v>-64481752</v>
      </c>
      <c r="J2044">
        <v>-1555562</v>
      </c>
      <c r="K2044">
        <v>-41735919</v>
      </c>
      <c r="P2044">
        <v>122</v>
      </c>
      <c r="Q2044" t="s">
        <v>4135</v>
      </c>
    </row>
    <row r="2045" spans="1:17" x14ac:dyDescent="0.3">
      <c r="A2045" t="s">
        <v>32</v>
      </c>
      <c r="B2045" t="str">
        <f>"300367"</f>
        <v>300367</v>
      </c>
      <c r="C2045" t="s">
        <v>4136</v>
      </c>
      <c r="D2045" t="s">
        <v>342</v>
      </c>
      <c r="E2045">
        <v>-25694397</v>
      </c>
      <c r="F2045">
        <v>-23210992</v>
      </c>
      <c r="G2045">
        <v>-91490376</v>
      </c>
      <c r="H2045">
        <v>-237578934</v>
      </c>
      <c r="I2045">
        <v>-168820122</v>
      </c>
      <c r="J2045">
        <v>-242539112</v>
      </c>
      <c r="K2045">
        <v>-161245774</v>
      </c>
      <c r="L2045">
        <v>-201807760</v>
      </c>
      <c r="M2045">
        <v>-161329954</v>
      </c>
      <c r="N2045">
        <v>-177730048</v>
      </c>
      <c r="P2045">
        <v>196</v>
      </c>
      <c r="Q2045" t="s">
        <v>4137</v>
      </c>
    </row>
    <row r="2046" spans="1:17" x14ac:dyDescent="0.3">
      <c r="A2046" t="s">
        <v>32</v>
      </c>
      <c r="B2046" t="str">
        <f>"002077"</f>
        <v>002077</v>
      </c>
      <c r="C2046" t="s">
        <v>4138</v>
      </c>
      <c r="D2046" t="s">
        <v>124</v>
      </c>
      <c r="E2046">
        <v>-25724028</v>
      </c>
      <c r="F2046">
        <v>32381670</v>
      </c>
      <c r="G2046">
        <v>-28177545</v>
      </c>
      <c r="H2046">
        <v>1436427</v>
      </c>
      <c r="I2046">
        <v>-219897291</v>
      </c>
      <c r="J2046">
        <v>-111020504</v>
      </c>
      <c r="K2046">
        <v>-185661615</v>
      </c>
      <c r="L2046">
        <v>19818025</v>
      </c>
      <c r="M2046">
        <v>-266884925</v>
      </c>
      <c r="N2046">
        <v>-469204018</v>
      </c>
      <c r="O2046">
        <v>-246830392</v>
      </c>
      <c r="P2046">
        <v>125</v>
      </c>
      <c r="Q2046" t="s">
        <v>4139</v>
      </c>
    </row>
    <row r="2047" spans="1:17" x14ac:dyDescent="0.3">
      <c r="A2047" t="s">
        <v>32</v>
      </c>
      <c r="B2047" t="str">
        <f>"002427"</f>
        <v>002427</v>
      </c>
      <c r="C2047" t="s">
        <v>4140</v>
      </c>
      <c r="D2047" t="s">
        <v>144</v>
      </c>
      <c r="E2047">
        <v>-25768879</v>
      </c>
      <c r="F2047">
        <v>-23916241</v>
      </c>
      <c r="G2047">
        <v>-24965143</v>
      </c>
      <c r="H2047">
        <v>-81144602</v>
      </c>
      <c r="I2047">
        <v>-520879291</v>
      </c>
      <c r="J2047">
        <v>38459801</v>
      </c>
      <c r="K2047">
        <v>84494191</v>
      </c>
      <c r="L2047">
        <v>28318996</v>
      </c>
      <c r="M2047">
        <v>-36781451</v>
      </c>
      <c r="N2047">
        <v>-12842996</v>
      </c>
      <c r="O2047">
        <v>-138028201</v>
      </c>
      <c r="P2047">
        <v>82</v>
      </c>
      <c r="Q2047" t="s">
        <v>4141</v>
      </c>
    </row>
    <row r="2048" spans="1:17" x14ac:dyDescent="0.3">
      <c r="A2048" t="s">
        <v>17</v>
      </c>
      <c r="B2048" t="str">
        <f>"605179"</f>
        <v>605179</v>
      </c>
      <c r="C2048" t="s">
        <v>4142</v>
      </c>
      <c r="D2048" t="s">
        <v>172</v>
      </c>
      <c r="E2048">
        <v>-25810879</v>
      </c>
      <c r="F2048">
        <v>-225256367</v>
      </c>
      <c r="G2048">
        <v>-200894877</v>
      </c>
      <c r="P2048">
        <v>84</v>
      </c>
      <c r="Q2048" t="s">
        <v>4143</v>
      </c>
    </row>
    <row r="2049" spans="1:17" x14ac:dyDescent="0.3">
      <c r="A2049" t="s">
        <v>17</v>
      </c>
      <c r="B2049" t="str">
        <f>"688661"</f>
        <v>688661</v>
      </c>
      <c r="C2049" t="s">
        <v>4144</v>
      </c>
      <c r="D2049" t="s">
        <v>124</v>
      </c>
      <c r="E2049">
        <v>-25830635</v>
      </c>
      <c r="F2049">
        <v>19524925</v>
      </c>
      <c r="G2049">
        <v>3525072</v>
      </c>
      <c r="P2049">
        <v>65</v>
      </c>
      <c r="Q2049" t="s">
        <v>4145</v>
      </c>
    </row>
    <row r="2050" spans="1:17" x14ac:dyDescent="0.3">
      <c r="A2050" t="s">
        <v>17</v>
      </c>
      <c r="B2050" t="str">
        <f>"688017"</f>
        <v>688017</v>
      </c>
      <c r="C2050" t="s">
        <v>4146</v>
      </c>
      <c r="D2050" t="s">
        <v>135</v>
      </c>
      <c r="E2050">
        <v>-25954804</v>
      </c>
      <c r="F2050">
        <v>-7341797</v>
      </c>
      <c r="G2050">
        <v>3405181</v>
      </c>
      <c r="P2050">
        <v>152</v>
      </c>
      <c r="Q2050" t="s">
        <v>4147</v>
      </c>
    </row>
    <row r="2051" spans="1:17" x14ac:dyDescent="0.3">
      <c r="A2051" t="s">
        <v>32</v>
      </c>
      <c r="B2051" t="str">
        <f>"301083"</f>
        <v>301083</v>
      </c>
      <c r="C2051" t="s">
        <v>4148</v>
      </c>
      <c r="D2051" t="s">
        <v>135</v>
      </c>
      <c r="E2051">
        <v>-26006024</v>
      </c>
      <c r="P2051">
        <v>16</v>
      </c>
      <c r="Q2051" t="s">
        <v>4149</v>
      </c>
    </row>
    <row r="2052" spans="1:17" x14ac:dyDescent="0.3">
      <c r="A2052" t="s">
        <v>17</v>
      </c>
      <c r="B2052" t="str">
        <f>"688267"</f>
        <v>688267</v>
      </c>
      <c r="C2052" t="s">
        <v>4150</v>
      </c>
      <c r="E2052">
        <v>-26046611</v>
      </c>
      <c r="P2052">
        <v>7</v>
      </c>
      <c r="Q2052" t="s">
        <v>4151</v>
      </c>
    </row>
    <row r="2053" spans="1:17" x14ac:dyDescent="0.3">
      <c r="A2053" t="s">
        <v>17</v>
      </c>
      <c r="B2053" t="str">
        <f>"600490"</f>
        <v>600490</v>
      </c>
      <c r="C2053" t="s">
        <v>4152</v>
      </c>
      <c r="D2053" t="s">
        <v>121</v>
      </c>
      <c r="E2053">
        <v>-26100514</v>
      </c>
      <c r="F2053">
        <v>-60674344</v>
      </c>
      <c r="G2053">
        <v>9664683</v>
      </c>
      <c r="H2053">
        <v>171252965</v>
      </c>
      <c r="I2053">
        <v>131620989</v>
      </c>
      <c r="J2053">
        <v>110599910</v>
      </c>
      <c r="K2053">
        <v>35927232</v>
      </c>
      <c r="L2053">
        <v>52814695</v>
      </c>
      <c r="M2053">
        <v>-126458313</v>
      </c>
      <c r="N2053">
        <v>28677620</v>
      </c>
      <c r="O2053">
        <v>-14136749</v>
      </c>
      <c r="P2053">
        <v>144</v>
      </c>
      <c r="Q2053" t="s">
        <v>4153</v>
      </c>
    </row>
    <row r="2054" spans="1:17" x14ac:dyDescent="0.3">
      <c r="A2054" t="s">
        <v>32</v>
      </c>
      <c r="B2054" t="str">
        <f>"300515"</f>
        <v>300515</v>
      </c>
      <c r="C2054" t="s">
        <v>4154</v>
      </c>
      <c r="D2054" t="s">
        <v>135</v>
      </c>
      <c r="E2054">
        <v>-26129830</v>
      </c>
      <c r="F2054">
        <v>-4047904</v>
      </c>
      <c r="G2054">
        <v>-5060467</v>
      </c>
      <c r="H2054">
        <v>1114916</v>
      </c>
      <c r="I2054">
        <v>-7350735</v>
      </c>
      <c r="J2054">
        <v>-15219804</v>
      </c>
      <c r="K2054">
        <v>-5162528</v>
      </c>
      <c r="L2054">
        <v>-7933803</v>
      </c>
      <c r="P2054">
        <v>80</v>
      </c>
      <c r="Q2054" t="s">
        <v>4155</v>
      </c>
    </row>
    <row r="2055" spans="1:17" x14ac:dyDescent="0.3">
      <c r="A2055" t="s">
        <v>32</v>
      </c>
      <c r="B2055" t="str">
        <f>"002801"</f>
        <v>002801</v>
      </c>
      <c r="C2055" t="s">
        <v>4156</v>
      </c>
      <c r="D2055" t="s">
        <v>464</v>
      </c>
      <c r="E2055">
        <v>-26153606</v>
      </c>
      <c r="F2055">
        <v>-44859206</v>
      </c>
      <c r="G2055">
        <v>-14366830</v>
      </c>
      <c r="H2055">
        <v>15719784</v>
      </c>
      <c r="I2055">
        <v>-5505654</v>
      </c>
      <c r="J2055">
        <v>-6676885</v>
      </c>
      <c r="K2055">
        <v>12080435</v>
      </c>
      <c r="L2055">
        <v>7035521</v>
      </c>
      <c r="P2055">
        <v>204</v>
      </c>
      <c r="Q2055" t="s">
        <v>4157</v>
      </c>
    </row>
    <row r="2056" spans="1:17" x14ac:dyDescent="0.3">
      <c r="A2056" t="s">
        <v>17</v>
      </c>
      <c r="B2056" t="str">
        <f>"688700"</f>
        <v>688700</v>
      </c>
      <c r="C2056" t="s">
        <v>4158</v>
      </c>
      <c r="D2056" t="s">
        <v>135</v>
      </c>
      <c r="E2056">
        <v>-26251028</v>
      </c>
      <c r="F2056">
        <v>4452204</v>
      </c>
      <c r="G2056">
        <v>-14877125</v>
      </c>
      <c r="P2056">
        <v>34</v>
      </c>
      <c r="Q2056" t="s">
        <v>4159</v>
      </c>
    </row>
    <row r="2057" spans="1:17" x14ac:dyDescent="0.3">
      <c r="A2057" t="s">
        <v>32</v>
      </c>
      <c r="B2057" t="str">
        <f>"002256"</f>
        <v>002256</v>
      </c>
      <c r="C2057" t="s">
        <v>4160</v>
      </c>
      <c r="D2057" t="s">
        <v>158</v>
      </c>
      <c r="E2057">
        <v>-26357953</v>
      </c>
      <c r="F2057">
        <v>7127481</v>
      </c>
      <c r="G2057">
        <v>14945472</v>
      </c>
      <c r="H2057">
        <v>-5139409</v>
      </c>
      <c r="I2057">
        <v>-81444930</v>
      </c>
      <c r="J2057">
        <v>6218108</v>
      </c>
      <c r="K2057">
        <v>-104442384</v>
      </c>
      <c r="L2057">
        <v>-126975436</v>
      </c>
      <c r="M2057">
        <v>-6815219</v>
      </c>
      <c r="N2057">
        <v>-27723082</v>
      </c>
      <c r="O2057">
        <v>-1242821</v>
      </c>
      <c r="P2057">
        <v>151</v>
      </c>
      <c r="Q2057" t="s">
        <v>4161</v>
      </c>
    </row>
    <row r="2058" spans="1:17" x14ac:dyDescent="0.3">
      <c r="A2058" t="s">
        <v>32</v>
      </c>
      <c r="B2058" t="str">
        <f>"002561"</f>
        <v>002561</v>
      </c>
      <c r="C2058" t="s">
        <v>4162</v>
      </c>
      <c r="D2058" t="s">
        <v>218</v>
      </c>
      <c r="E2058">
        <v>-26371381</v>
      </c>
      <c r="F2058">
        <v>27297576</v>
      </c>
      <c r="G2058">
        <v>-104129016</v>
      </c>
      <c r="H2058">
        <v>37963347</v>
      </c>
      <c r="I2058">
        <v>43274205</v>
      </c>
      <c r="J2058">
        <v>24352755</v>
      </c>
      <c r="K2058">
        <v>98155496</v>
      </c>
      <c r="L2058">
        <v>96905328</v>
      </c>
      <c r="M2058">
        <v>18015637</v>
      </c>
      <c r="N2058">
        <v>24868191</v>
      </c>
      <c r="O2058">
        <v>-6275061</v>
      </c>
      <c r="P2058">
        <v>183</v>
      </c>
      <c r="Q2058" t="s">
        <v>4163</v>
      </c>
    </row>
    <row r="2059" spans="1:17" x14ac:dyDescent="0.3">
      <c r="A2059" t="s">
        <v>17</v>
      </c>
      <c r="B2059" t="str">
        <f>"600345"</f>
        <v>600345</v>
      </c>
      <c r="C2059" t="s">
        <v>4164</v>
      </c>
      <c r="D2059" t="s">
        <v>57</v>
      </c>
      <c r="E2059">
        <v>-26476766</v>
      </c>
      <c r="F2059">
        <v>-38262230</v>
      </c>
      <c r="G2059">
        <v>-24727481</v>
      </c>
      <c r="H2059">
        <v>-13432947</v>
      </c>
      <c r="I2059">
        <v>-28662153</v>
      </c>
      <c r="J2059">
        <v>-108492443</v>
      </c>
      <c r="K2059">
        <v>-109868121</v>
      </c>
      <c r="L2059">
        <v>-122135686</v>
      </c>
      <c r="M2059">
        <v>-104299849</v>
      </c>
      <c r="N2059">
        <v>-15806485</v>
      </c>
      <c r="O2059">
        <v>-70184886</v>
      </c>
      <c r="P2059">
        <v>208</v>
      </c>
      <c r="Q2059" t="s">
        <v>4165</v>
      </c>
    </row>
    <row r="2060" spans="1:17" x14ac:dyDescent="0.3">
      <c r="A2060" t="s">
        <v>32</v>
      </c>
      <c r="B2060" t="str">
        <f>"002255"</f>
        <v>002255</v>
      </c>
      <c r="C2060" t="s">
        <v>4166</v>
      </c>
      <c r="D2060" t="s">
        <v>464</v>
      </c>
      <c r="E2060">
        <v>-26504541</v>
      </c>
      <c r="F2060">
        <v>-72679366</v>
      </c>
      <c r="G2060">
        <v>42585885</v>
      </c>
      <c r="H2060">
        <v>-417644418</v>
      </c>
      <c r="I2060">
        <v>-279922527</v>
      </c>
      <c r="J2060">
        <v>6056232</v>
      </c>
      <c r="K2060">
        <v>-20830813</v>
      </c>
      <c r="L2060">
        <v>6194664</v>
      </c>
      <c r="M2060">
        <v>-64760780</v>
      </c>
      <c r="N2060">
        <v>-36794570</v>
      </c>
      <c r="O2060">
        <v>-6388941</v>
      </c>
      <c r="P2060">
        <v>107</v>
      </c>
      <c r="Q2060" t="s">
        <v>4167</v>
      </c>
    </row>
    <row r="2061" spans="1:17" x14ac:dyDescent="0.3">
      <c r="A2061" t="s">
        <v>17</v>
      </c>
      <c r="B2061" t="str">
        <f>"688367"</f>
        <v>688367</v>
      </c>
      <c r="C2061" t="s">
        <v>4168</v>
      </c>
      <c r="D2061" t="s">
        <v>135</v>
      </c>
      <c r="E2061">
        <v>-26530206</v>
      </c>
      <c r="F2061">
        <v>-4356571</v>
      </c>
      <c r="G2061">
        <v>-11026155</v>
      </c>
      <c r="P2061">
        <v>30</v>
      </c>
      <c r="Q2061" t="s">
        <v>4169</v>
      </c>
    </row>
    <row r="2062" spans="1:17" x14ac:dyDescent="0.3">
      <c r="A2062" t="s">
        <v>17</v>
      </c>
      <c r="B2062" t="str">
        <f>"600055"</f>
        <v>600055</v>
      </c>
      <c r="C2062" t="s">
        <v>4170</v>
      </c>
      <c r="D2062" t="s">
        <v>98</v>
      </c>
      <c r="E2062">
        <v>-26722371</v>
      </c>
      <c r="F2062">
        <v>-42379585</v>
      </c>
      <c r="G2062">
        <v>108508736</v>
      </c>
      <c r="H2062">
        <v>-120168645</v>
      </c>
      <c r="I2062">
        <v>-121748818</v>
      </c>
      <c r="J2062">
        <v>-56825722</v>
      </c>
      <c r="K2062">
        <v>-52513509</v>
      </c>
      <c r="L2062">
        <v>-218470358</v>
      </c>
      <c r="M2062">
        <v>-75886930</v>
      </c>
      <c r="N2062">
        <v>-85942157</v>
      </c>
      <c r="O2062">
        <v>-51859619</v>
      </c>
      <c r="P2062">
        <v>358</v>
      </c>
      <c r="Q2062" t="s">
        <v>4171</v>
      </c>
    </row>
    <row r="2063" spans="1:17" x14ac:dyDescent="0.3">
      <c r="A2063" t="s">
        <v>17</v>
      </c>
      <c r="B2063" t="str">
        <f>"688609"</f>
        <v>688609</v>
      </c>
      <c r="C2063" t="s">
        <v>4172</v>
      </c>
      <c r="D2063" t="s">
        <v>127</v>
      </c>
      <c r="E2063">
        <v>-26853878</v>
      </c>
      <c r="F2063">
        <v>-302574476</v>
      </c>
      <c r="G2063">
        <v>-174291199</v>
      </c>
      <c r="P2063">
        <v>31</v>
      </c>
      <c r="Q2063" t="s">
        <v>4173</v>
      </c>
    </row>
    <row r="2064" spans="1:17" x14ac:dyDescent="0.3">
      <c r="A2064" t="s">
        <v>32</v>
      </c>
      <c r="B2064" t="str">
        <f>"000564"</f>
        <v>000564</v>
      </c>
      <c r="C2064" t="s">
        <v>4174</v>
      </c>
      <c r="D2064" t="s">
        <v>218</v>
      </c>
      <c r="E2064">
        <v>-26885891</v>
      </c>
      <c r="F2064">
        <v>-250113788</v>
      </c>
      <c r="G2064">
        <v>220624263</v>
      </c>
      <c r="H2064">
        <v>-54524848</v>
      </c>
      <c r="I2064">
        <v>1043714928</v>
      </c>
      <c r="J2064">
        <v>122039346</v>
      </c>
      <c r="K2064">
        <v>130153425</v>
      </c>
      <c r="L2064">
        <v>-56849129</v>
      </c>
      <c r="M2064">
        <v>181865448</v>
      </c>
      <c r="N2064">
        <v>159322938</v>
      </c>
      <c r="O2064">
        <v>93674645</v>
      </c>
      <c r="P2064">
        <v>187</v>
      </c>
      <c r="Q2064" t="s">
        <v>4175</v>
      </c>
    </row>
    <row r="2065" spans="1:17" x14ac:dyDescent="0.3">
      <c r="A2065" t="s">
        <v>17</v>
      </c>
      <c r="B2065" t="str">
        <f>"688079"</f>
        <v>688079</v>
      </c>
      <c r="C2065" t="s">
        <v>4176</v>
      </c>
      <c r="D2065" t="s">
        <v>124</v>
      </c>
      <c r="E2065">
        <v>-26908629</v>
      </c>
      <c r="F2065">
        <v>-42985147</v>
      </c>
      <c r="G2065">
        <v>-60789059</v>
      </c>
      <c r="P2065">
        <v>36</v>
      </c>
      <c r="Q2065" t="s">
        <v>4177</v>
      </c>
    </row>
    <row r="2066" spans="1:17" x14ac:dyDescent="0.3">
      <c r="A2066" t="s">
        <v>17</v>
      </c>
      <c r="B2066" t="str">
        <f>"603079"</f>
        <v>603079</v>
      </c>
      <c r="C2066" t="s">
        <v>4178</v>
      </c>
      <c r="D2066" t="s">
        <v>98</v>
      </c>
      <c r="E2066">
        <v>-26972193</v>
      </c>
      <c r="F2066">
        <v>2177306</v>
      </c>
      <c r="G2066">
        <v>-21793065</v>
      </c>
      <c r="H2066">
        <v>-36151593</v>
      </c>
      <c r="I2066">
        <v>-26136953</v>
      </c>
      <c r="J2066">
        <v>-17158167</v>
      </c>
      <c r="P2066">
        <v>239</v>
      </c>
      <c r="Q2066" t="s">
        <v>4179</v>
      </c>
    </row>
    <row r="2067" spans="1:17" x14ac:dyDescent="0.3">
      <c r="A2067" t="s">
        <v>17</v>
      </c>
      <c r="B2067" t="str">
        <f>"600885"</f>
        <v>600885</v>
      </c>
      <c r="C2067" t="s">
        <v>4180</v>
      </c>
      <c r="D2067" t="s">
        <v>464</v>
      </c>
      <c r="E2067">
        <v>-27074249</v>
      </c>
      <c r="F2067">
        <v>-253895483</v>
      </c>
      <c r="G2067">
        <v>-44387133</v>
      </c>
      <c r="H2067">
        <v>-45069061</v>
      </c>
      <c r="I2067">
        <v>-355413077</v>
      </c>
      <c r="J2067">
        <v>-232804902</v>
      </c>
      <c r="K2067">
        <v>-125822250</v>
      </c>
      <c r="L2067">
        <v>-20034714</v>
      </c>
      <c r="M2067">
        <v>-106987592</v>
      </c>
      <c r="N2067">
        <v>77355743</v>
      </c>
      <c r="O2067">
        <v>44203780</v>
      </c>
      <c r="P2067">
        <v>13110</v>
      </c>
      <c r="Q2067" t="s">
        <v>4181</v>
      </c>
    </row>
    <row r="2068" spans="1:17" x14ac:dyDescent="0.3">
      <c r="A2068" t="s">
        <v>32</v>
      </c>
      <c r="B2068" t="str">
        <f>"300554"</f>
        <v>300554</v>
      </c>
      <c r="C2068" t="s">
        <v>4182</v>
      </c>
      <c r="D2068" t="s">
        <v>135</v>
      </c>
      <c r="E2068">
        <v>-27100003</v>
      </c>
      <c r="F2068">
        <v>29419234</v>
      </c>
      <c r="G2068">
        <v>-31984991</v>
      </c>
      <c r="H2068">
        <v>-40557490</v>
      </c>
      <c r="I2068">
        <v>-43978123</v>
      </c>
      <c r="J2068">
        <v>-5044560</v>
      </c>
      <c r="K2068">
        <v>-23168541</v>
      </c>
      <c r="P2068">
        <v>123</v>
      </c>
      <c r="Q2068" t="s">
        <v>4183</v>
      </c>
    </row>
    <row r="2069" spans="1:17" x14ac:dyDescent="0.3">
      <c r="A2069" t="s">
        <v>17</v>
      </c>
      <c r="B2069" t="str">
        <f>"688393"</f>
        <v>688393</v>
      </c>
      <c r="C2069" t="s">
        <v>4184</v>
      </c>
      <c r="D2069" t="s">
        <v>98</v>
      </c>
      <c r="E2069">
        <v>-27128384</v>
      </c>
      <c r="F2069">
        <v>-8933920</v>
      </c>
      <c r="G2069">
        <v>-7980658</v>
      </c>
      <c r="H2069">
        <v>1638272</v>
      </c>
      <c r="P2069">
        <v>76</v>
      </c>
      <c r="Q2069" t="s">
        <v>4185</v>
      </c>
    </row>
    <row r="2070" spans="1:17" x14ac:dyDescent="0.3">
      <c r="A2070" t="s">
        <v>17</v>
      </c>
      <c r="B2070" t="str">
        <f>"900912"</f>
        <v>900912</v>
      </c>
      <c r="C2070" t="s">
        <v>4186</v>
      </c>
      <c r="E2070">
        <v>-27128457.68</v>
      </c>
      <c r="F2070">
        <v>-263360231.26679999</v>
      </c>
      <c r="G2070">
        <v>36121321.759800002</v>
      </c>
      <c r="H2070">
        <v>47152035.634999998</v>
      </c>
      <c r="I2070">
        <v>-114536716.17900001</v>
      </c>
      <c r="J2070">
        <v>-44565509.854800001</v>
      </c>
      <c r="K2070">
        <v>-10674084.493100001</v>
      </c>
      <c r="L2070">
        <v>-204162970.49489999</v>
      </c>
      <c r="M2070">
        <v>-11610963.2664</v>
      </c>
      <c r="N2070">
        <v>-63838049.303000003</v>
      </c>
      <c r="O2070">
        <v>-44793681.345200002</v>
      </c>
      <c r="P2070">
        <v>18</v>
      </c>
      <c r="Q2070" t="s">
        <v>4187</v>
      </c>
    </row>
    <row r="2071" spans="1:17" x14ac:dyDescent="0.3">
      <c r="A2071" t="s">
        <v>17</v>
      </c>
      <c r="B2071" t="str">
        <f>"603663"</f>
        <v>603663</v>
      </c>
      <c r="C2071" t="s">
        <v>4188</v>
      </c>
      <c r="D2071" t="s">
        <v>144</v>
      </c>
      <c r="E2071">
        <v>-27199281</v>
      </c>
      <c r="F2071">
        <v>5930254</v>
      </c>
      <c r="G2071">
        <v>6850314</v>
      </c>
      <c r="H2071">
        <v>-45568935</v>
      </c>
      <c r="I2071">
        <v>-30225853</v>
      </c>
      <c r="J2071">
        <v>-22253545</v>
      </c>
      <c r="K2071">
        <v>173652</v>
      </c>
      <c r="L2071">
        <v>1850703</v>
      </c>
      <c r="P2071">
        <v>143</v>
      </c>
      <c r="Q2071" t="s">
        <v>4189</v>
      </c>
    </row>
    <row r="2072" spans="1:17" x14ac:dyDescent="0.3">
      <c r="A2072" t="s">
        <v>32</v>
      </c>
      <c r="B2072" t="str">
        <f>"300172"</f>
        <v>300172</v>
      </c>
      <c r="C2072" t="s">
        <v>4190</v>
      </c>
      <c r="D2072" t="s">
        <v>1334</v>
      </c>
      <c r="E2072">
        <v>-27253339</v>
      </c>
      <c r="F2072">
        <v>-7779411</v>
      </c>
      <c r="G2072">
        <v>-60186772</v>
      </c>
      <c r="H2072">
        <v>-53961538</v>
      </c>
      <c r="I2072">
        <v>-40584238</v>
      </c>
      <c r="J2072">
        <v>-61511419</v>
      </c>
      <c r="K2072">
        <v>-47746337</v>
      </c>
      <c r="L2072">
        <v>-40299680</v>
      </c>
      <c r="M2072">
        <v>-21146214</v>
      </c>
      <c r="N2072">
        <v>-19687279</v>
      </c>
      <c r="O2072">
        <v>-41559011</v>
      </c>
      <c r="P2072">
        <v>110</v>
      </c>
      <c r="Q2072" t="s">
        <v>4191</v>
      </c>
    </row>
    <row r="2073" spans="1:17" x14ac:dyDescent="0.3">
      <c r="A2073" t="s">
        <v>32</v>
      </c>
      <c r="B2073" t="str">
        <f>"002632"</f>
        <v>002632</v>
      </c>
      <c r="C2073" t="s">
        <v>4192</v>
      </c>
      <c r="D2073" t="s">
        <v>144</v>
      </c>
      <c r="E2073">
        <v>-27265802</v>
      </c>
      <c r="F2073">
        <v>280929062</v>
      </c>
      <c r="G2073">
        <v>57385868</v>
      </c>
      <c r="H2073">
        <v>-2866902</v>
      </c>
      <c r="I2073">
        <v>-27759386</v>
      </c>
      <c r="J2073">
        <v>2043719</v>
      </c>
      <c r="K2073">
        <v>-23240054</v>
      </c>
      <c r="L2073">
        <v>-17223529</v>
      </c>
      <c r="M2073">
        <v>-36672183</v>
      </c>
      <c r="N2073">
        <v>-28201666</v>
      </c>
      <c r="O2073">
        <v>-48160066</v>
      </c>
      <c r="P2073">
        <v>144</v>
      </c>
      <c r="Q2073" t="s">
        <v>4193</v>
      </c>
    </row>
    <row r="2074" spans="1:17" x14ac:dyDescent="0.3">
      <c r="A2074" t="s">
        <v>17</v>
      </c>
      <c r="B2074" t="str">
        <f>"688560"</f>
        <v>688560</v>
      </c>
      <c r="C2074" t="s">
        <v>4194</v>
      </c>
      <c r="D2074" t="s">
        <v>464</v>
      </c>
      <c r="E2074">
        <v>-27297025</v>
      </c>
      <c r="F2074">
        <v>-173300570</v>
      </c>
      <c r="P2074">
        <v>39</v>
      </c>
      <c r="Q2074" t="s">
        <v>4195</v>
      </c>
    </row>
    <row r="2075" spans="1:17" x14ac:dyDescent="0.3">
      <c r="A2075" t="s">
        <v>32</v>
      </c>
      <c r="B2075" t="str">
        <f>"002981"</f>
        <v>002981</v>
      </c>
      <c r="C2075" t="s">
        <v>4196</v>
      </c>
      <c r="D2075" t="s">
        <v>124</v>
      </c>
      <c r="E2075">
        <v>-27318779</v>
      </c>
      <c r="F2075">
        <v>-12297031</v>
      </c>
      <c r="G2075">
        <v>-1441373</v>
      </c>
      <c r="H2075">
        <v>211098</v>
      </c>
      <c r="P2075">
        <v>73</v>
      </c>
      <c r="Q2075" t="s">
        <v>4197</v>
      </c>
    </row>
    <row r="2076" spans="1:17" x14ac:dyDescent="0.3">
      <c r="A2076" t="s">
        <v>32</v>
      </c>
      <c r="B2076" t="str">
        <f>"001218"</f>
        <v>001218</v>
      </c>
      <c r="C2076" t="s">
        <v>4198</v>
      </c>
      <c r="D2076" t="s">
        <v>144</v>
      </c>
      <c r="E2076">
        <v>-27380835</v>
      </c>
      <c r="F2076">
        <v>-84676329</v>
      </c>
      <c r="P2076">
        <v>15</v>
      </c>
      <c r="Q2076" t="s">
        <v>4199</v>
      </c>
    </row>
    <row r="2077" spans="1:17" x14ac:dyDescent="0.3">
      <c r="A2077" t="s">
        <v>17</v>
      </c>
      <c r="B2077" t="str">
        <f>"688625"</f>
        <v>688625</v>
      </c>
      <c r="C2077" t="s">
        <v>4200</v>
      </c>
      <c r="D2077" t="s">
        <v>144</v>
      </c>
      <c r="E2077">
        <v>-27416554</v>
      </c>
      <c r="F2077">
        <v>28078992</v>
      </c>
      <c r="G2077">
        <v>24876632</v>
      </c>
      <c r="P2077">
        <v>63</v>
      </c>
      <c r="Q2077" t="s">
        <v>4201</v>
      </c>
    </row>
    <row r="2078" spans="1:17" x14ac:dyDescent="0.3">
      <c r="A2078" t="s">
        <v>17</v>
      </c>
      <c r="B2078" t="str">
        <f>"601020"</f>
        <v>601020</v>
      </c>
      <c r="C2078" t="s">
        <v>4202</v>
      </c>
      <c r="D2078" t="s">
        <v>121</v>
      </c>
      <c r="E2078">
        <v>-27531043</v>
      </c>
      <c r="F2078">
        <v>-37350034</v>
      </c>
      <c r="G2078">
        <v>-21427892</v>
      </c>
      <c r="H2078">
        <v>-107775324</v>
      </c>
      <c r="I2078">
        <v>36391361</v>
      </c>
      <c r="J2078">
        <v>-225639689</v>
      </c>
      <c r="K2078">
        <v>-236053373</v>
      </c>
      <c r="L2078">
        <v>-106080134</v>
      </c>
      <c r="P2078">
        <v>180</v>
      </c>
      <c r="Q2078" t="s">
        <v>4203</v>
      </c>
    </row>
    <row r="2079" spans="1:17" x14ac:dyDescent="0.3">
      <c r="A2079" t="s">
        <v>32</v>
      </c>
      <c r="B2079" t="str">
        <f>"300992"</f>
        <v>300992</v>
      </c>
      <c r="C2079" t="s">
        <v>4204</v>
      </c>
      <c r="D2079" t="s">
        <v>135</v>
      </c>
      <c r="E2079">
        <v>-27553533</v>
      </c>
      <c r="F2079">
        <v>-1791592</v>
      </c>
      <c r="G2079">
        <v>2916997</v>
      </c>
      <c r="P2079">
        <v>26</v>
      </c>
      <c r="Q2079" t="s">
        <v>4205</v>
      </c>
    </row>
    <row r="2080" spans="1:17" x14ac:dyDescent="0.3">
      <c r="A2080" t="s">
        <v>17</v>
      </c>
      <c r="B2080" t="str">
        <f>"688358"</f>
        <v>688358</v>
      </c>
      <c r="C2080" t="s">
        <v>4206</v>
      </c>
      <c r="D2080" t="s">
        <v>98</v>
      </c>
      <c r="E2080">
        <v>-27567198</v>
      </c>
      <c r="F2080">
        <v>-22003209</v>
      </c>
      <c r="G2080">
        <v>-5257389</v>
      </c>
      <c r="H2080">
        <v>10300822</v>
      </c>
      <c r="P2080">
        <v>123</v>
      </c>
      <c r="Q2080" t="s">
        <v>4207</v>
      </c>
    </row>
    <row r="2081" spans="1:17" x14ac:dyDescent="0.3">
      <c r="A2081" t="s">
        <v>17</v>
      </c>
      <c r="B2081" t="str">
        <f>"600734"</f>
        <v>600734</v>
      </c>
      <c r="C2081" t="s">
        <v>4208</v>
      </c>
      <c r="D2081" t="s">
        <v>57</v>
      </c>
      <c r="E2081">
        <v>-27575141</v>
      </c>
      <c r="F2081">
        <v>-34060279</v>
      </c>
      <c r="G2081">
        <v>-97244138</v>
      </c>
      <c r="H2081">
        <v>-47765091</v>
      </c>
      <c r="I2081">
        <v>-563147101</v>
      </c>
      <c r="J2081">
        <v>-37387181</v>
      </c>
      <c r="K2081">
        <v>-6506835</v>
      </c>
      <c r="L2081">
        <v>-41153898</v>
      </c>
      <c r="M2081">
        <v>-90762606</v>
      </c>
      <c r="N2081">
        <v>227640440</v>
      </c>
      <c r="O2081">
        <v>-15795217</v>
      </c>
      <c r="P2081">
        <v>175</v>
      </c>
      <c r="Q2081" t="s">
        <v>4209</v>
      </c>
    </row>
    <row r="2082" spans="1:17" x14ac:dyDescent="0.3">
      <c r="A2082" t="s">
        <v>17</v>
      </c>
      <c r="B2082" t="str">
        <f>"688025"</f>
        <v>688025</v>
      </c>
      <c r="C2082" t="s">
        <v>4210</v>
      </c>
      <c r="D2082" t="s">
        <v>135</v>
      </c>
      <c r="E2082">
        <v>-27614889</v>
      </c>
      <c r="F2082">
        <v>-153321560</v>
      </c>
      <c r="G2082">
        <v>-92845809</v>
      </c>
      <c r="H2082">
        <v>-20742455</v>
      </c>
      <c r="P2082">
        <v>159</v>
      </c>
      <c r="Q2082" t="s">
        <v>4211</v>
      </c>
    </row>
    <row r="2083" spans="1:17" x14ac:dyDescent="0.3">
      <c r="A2083" t="s">
        <v>32</v>
      </c>
      <c r="B2083" t="str">
        <f>"002546"</f>
        <v>002546</v>
      </c>
      <c r="C2083" t="s">
        <v>4212</v>
      </c>
      <c r="D2083" t="s">
        <v>464</v>
      </c>
      <c r="E2083">
        <v>-27638680</v>
      </c>
      <c r="F2083">
        <v>-43216097</v>
      </c>
      <c r="G2083">
        <v>-60870930</v>
      </c>
      <c r="H2083">
        <v>-13152172</v>
      </c>
      <c r="I2083">
        <v>-71379773</v>
      </c>
      <c r="J2083">
        <v>-12924894</v>
      </c>
      <c r="K2083">
        <v>-37915061</v>
      </c>
      <c r="L2083">
        <v>-18178048</v>
      </c>
      <c r="M2083">
        <v>-26721961</v>
      </c>
      <c r="N2083">
        <v>-173867248</v>
      </c>
      <c r="O2083">
        <v>-9169425</v>
      </c>
      <c r="P2083">
        <v>76</v>
      </c>
      <c r="Q2083" t="s">
        <v>4213</v>
      </c>
    </row>
    <row r="2084" spans="1:17" x14ac:dyDescent="0.3">
      <c r="A2084" t="s">
        <v>32</v>
      </c>
      <c r="B2084" t="str">
        <f>"002688"</f>
        <v>002688</v>
      </c>
      <c r="C2084" t="s">
        <v>4214</v>
      </c>
      <c r="D2084" t="s">
        <v>175</v>
      </c>
      <c r="E2084">
        <v>-27754122</v>
      </c>
      <c r="F2084">
        <v>-93044584</v>
      </c>
      <c r="G2084">
        <v>-31794420</v>
      </c>
      <c r="H2084">
        <v>-26071249</v>
      </c>
      <c r="I2084">
        <v>-20749456</v>
      </c>
      <c r="J2084">
        <v>12517866</v>
      </c>
      <c r="K2084">
        <v>26087252</v>
      </c>
      <c r="L2084">
        <v>-18913880</v>
      </c>
      <c r="M2084">
        <v>-6151202</v>
      </c>
      <c r="N2084">
        <v>19549921</v>
      </c>
      <c r="O2084">
        <v>-9026102</v>
      </c>
      <c r="P2084">
        <v>167</v>
      </c>
      <c r="Q2084" t="s">
        <v>4215</v>
      </c>
    </row>
    <row r="2085" spans="1:17" x14ac:dyDescent="0.3">
      <c r="A2085" t="s">
        <v>32</v>
      </c>
      <c r="B2085" t="str">
        <f>"003007"</f>
        <v>003007</v>
      </c>
      <c r="C2085" t="s">
        <v>4216</v>
      </c>
      <c r="D2085" t="s">
        <v>342</v>
      </c>
      <c r="E2085">
        <v>-27754762</v>
      </c>
      <c r="F2085">
        <v>-50210521</v>
      </c>
      <c r="G2085">
        <v>-16417807</v>
      </c>
      <c r="P2085">
        <v>38</v>
      </c>
      <c r="Q2085" t="s">
        <v>4217</v>
      </c>
    </row>
    <row r="2086" spans="1:17" x14ac:dyDescent="0.3">
      <c r="A2086" t="s">
        <v>32</v>
      </c>
      <c r="B2086" t="str">
        <f>"000533"</f>
        <v>000533</v>
      </c>
      <c r="C2086" t="s">
        <v>4218</v>
      </c>
      <c r="D2086" t="s">
        <v>464</v>
      </c>
      <c r="E2086">
        <v>-27756391</v>
      </c>
      <c r="F2086">
        <v>-23027599</v>
      </c>
      <c r="G2086">
        <v>-41818787</v>
      </c>
      <c r="H2086">
        <v>-20627265</v>
      </c>
      <c r="I2086">
        <v>-419069155</v>
      </c>
      <c r="J2086">
        <v>-30793372</v>
      </c>
      <c r="K2086">
        <v>-160846985</v>
      </c>
      <c r="L2086">
        <v>30409894</v>
      </c>
      <c r="M2086">
        <v>126655122</v>
      </c>
      <c r="N2086">
        <v>46898744</v>
      </c>
      <c r="O2086">
        <v>-126516314</v>
      </c>
      <c r="P2086">
        <v>101</v>
      </c>
      <c r="Q2086" t="s">
        <v>4219</v>
      </c>
    </row>
    <row r="2087" spans="1:17" x14ac:dyDescent="0.3">
      <c r="A2087" t="s">
        <v>17</v>
      </c>
      <c r="B2087" t="str">
        <f>"688290"</f>
        <v>688290</v>
      </c>
      <c r="C2087" t="s">
        <v>4220</v>
      </c>
      <c r="E2087">
        <v>-27763273</v>
      </c>
      <c r="P2087">
        <v>0</v>
      </c>
      <c r="Q2087" t="s">
        <v>4221</v>
      </c>
    </row>
    <row r="2088" spans="1:17" x14ac:dyDescent="0.3">
      <c r="A2088" t="s">
        <v>17</v>
      </c>
      <c r="B2088" t="str">
        <f>"600114"</f>
        <v>600114</v>
      </c>
      <c r="C2088" t="s">
        <v>4222</v>
      </c>
      <c r="D2088" t="s">
        <v>135</v>
      </c>
      <c r="E2088">
        <v>-27765787</v>
      </c>
      <c r="F2088">
        <v>-32030556</v>
      </c>
      <c r="G2088">
        <v>57127773</v>
      </c>
      <c r="H2088">
        <v>47136894</v>
      </c>
      <c r="I2088">
        <v>-19906417</v>
      </c>
      <c r="J2088">
        <v>12121295</v>
      </c>
      <c r="K2088">
        <v>3659035</v>
      </c>
      <c r="L2088">
        <v>24224949</v>
      </c>
      <c r="M2088">
        <v>36729966</v>
      </c>
      <c r="N2088">
        <v>25102244</v>
      </c>
      <c r="O2088">
        <v>43384270</v>
      </c>
      <c r="P2088">
        <v>302</v>
      </c>
      <c r="Q2088" t="s">
        <v>4223</v>
      </c>
    </row>
    <row r="2089" spans="1:17" x14ac:dyDescent="0.3">
      <c r="A2089" t="s">
        <v>32</v>
      </c>
      <c r="B2089" t="str">
        <f>"301072"</f>
        <v>301072</v>
      </c>
      <c r="C2089" t="s">
        <v>4224</v>
      </c>
      <c r="D2089" t="s">
        <v>199</v>
      </c>
      <c r="E2089">
        <v>-27863229</v>
      </c>
      <c r="P2089">
        <v>17</v>
      </c>
      <c r="Q2089" t="s">
        <v>4225</v>
      </c>
    </row>
    <row r="2090" spans="1:17" x14ac:dyDescent="0.3">
      <c r="A2090" t="s">
        <v>32</v>
      </c>
      <c r="B2090" t="str">
        <f>"002748"</f>
        <v>002748</v>
      </c>
      <c r="C2090" t="s">
        <v>4226</v>
      </c>
      <c r="D2090" t="s">
        <v>144</v>
      </c>
      <c r="E2090">
        <v>-27882760</v>
      </c>
      <c r="F2090">
        <v>37130621</v>
      </c>
      <c r="G2090">
        <v>-109203372</v>
      </c>
      <c r="H2090">
        <v>-150302419</v>
      </c>
      <c r="I2090">
        <v>-59493482</v>
      </c>
      <c r="J2090">
        <v>6931090</v>
      </c>
      <c r="K2090">
        <v>-5568734</v>
      </c>
      <c r="L2090">
        <v>-14394367</v>
      </c>
      <c r="M2090">
        <v>24388148</v>
      </c>
      <c r="P2090">
        <v>76</v>
      </c>
      <c r="Q2090" t="s">
        <v>4227</v>
      </c>
    </row>
    <row r="2091" spans="1:17" x14ac:dyDescent="0.3">
      <c r="A2091" t="s">
        <v>32</v>
      </c>
      <c r="B2091" t="str">
        <f>"300697"</f>
        <v>300697</v>
      </c>
      <c r="C2091" t="s">
        <v>4228</v>
      </c>
      <c r="D2091" t="s">
        <v>121</v>
      </c>
      <c r="E2091">
        <v>-27890597</v>
      </c>
      <c r="F2091">
        <v>-46595237</v>
      </c>
      <c r="G2091">
        <v>29508994</v>
      </c>
      <c r="H2091">
        <v>-20934118</v>
      </c>
      <c r="I2091">
        <v>16947008</v>
      </c>
      <c r="J2091">
        <v>-15807755</v>
      </c>
      <c r="P2091">
        <v>77</v>
      </c>
      <c r="Q2091" t="s">
        <v>4229</v>
      </c>
    </row>
    <row r="2092" spans="1:17" x14ac:dyDescent="0.3">
      <c r="A2092" t="s">
        <v>32</v>
      </c>
      <c r="B2092" t="str">
        <f>"300214"</f>
        <v>300214</v>
      </c>
      <c r="C2092" t="s">
        <v>4230</v>
      </c>
      <c r="D2092" t="s">
        <v>144</v>
      </c>
      <c r="E2092">
        <v>-27978546</v>
      </c>
      <c r="F2092">
        <v>2911416</v>
      </c>
      <c r="G2092">
        <v>110848026</v>
      </c>
      <c r="H2092">
        <v>-57578446</v>
      </c>
      <c r="I2092">
        <v>136468005</v>
      </c>
      <c r="J2092">
        <v>8581876</v>
      </c>
      <c r="K2092">
        <v>20469327</v>
      </c>
      <c r="L2092">
        <v>-59056059</v>
      </c>
      <c r="M2092">
        <v>-14703044</v>
      </c>
      <c r="N2092">
        <v>-69942144</v>
      </c>
      <c r="O2092">
        <v>-86955460</v>
      </c>
      <c r="P2092">
        <v>107</v>
      </c>
      <c r="Q2092" t="s">
        <v>4231</v>
      </c>
    </row>
    <row r="2093" spans="1:17" x14ac:dyDescent="0.3">
      <c r="A2093" t="s">
        <v>32</v>
      </c>
      <c r="B2093" t="str">
        <f>"002621"</f>
        <v>002621</v>
      </c>
      <c r="C2093" t="s">
        <v>4232</v>
      </c>
      <c r="D2093" t="s">
        <v>497</v>
      </c>
      <c r="E2093">
        <v>-28021019</v>
      </c>
      <c r="F2093">
        <v>-31318920</v>
      </c>
      <c r="G2093">
        <v>-86649144</v>
      </c>
      <c r="H2093">
        <v>-6626487</v>
      </c>
      <c r="I2093">
        <v>1645441</v>
      </c>
      <c r="J2093">
        <v>11065289</v>
      </c>
      <c r="K2093">
        <v>-2925364</v>
      </c>
      <c r="L2093">
        <v>15313934</v>
      </c>
      <c r="M2093">
        <v>16997342</v>
      </c>
      <c r="N2093">
        <v>15187737</v>
      </c>
      <c r="O2093">
        <v>40333961</v>
      </c>
      <c r="P2093">
        <v>143</v>
      </c>
      <c r="Q2093" t="s">
        <v>4233</v>
      </c>
    </row>
    <row r="2094" spans="1:17" x14ac:dyDescent="0.3">
      <c r="A2094" t="s">
        <v>32</v>
      </c>
      <c r="B2094" t="str">
        <f>"002751"</f>
        <v>002751</v>
      </c>
      <c r="C2094" t="s">
        <v>4234</v>
      </c>
      <c r="D2094" t="s">
        <v>497</v>
      </c>
      <c r="E2094">
        <v>-28050656</v>
      </c>
      <c r="F2094">
        <v>-45391321</v>
      </c>
      <c r="G2094">
        <v>27064297</v>
      </c>
      <c r="H2094">
        <v>-61132873</v>
      </c>
      <c r="I2094">
        <v>-84723893</v>
      </c>
      <c r="J2094">
        <v>-239143711</v>
      </c>
      <c r="K2094">
        <v>-127139248</v>
      </c>
      <c r="L2094">
        <v>-77365333</v>
      </c>
      <c r="M2094">
        <v>-73988926</v>
      </c>
      <c r="P2094">
        <v>145</v>
      </c>
      <c r="Q2094" t="s">
        <v>4235</v>
      </c>
    </row>
    <row r="2095" spans="1:17" x14ac:dyDescent="0.3">
      <c r="A2095" t="s">
        <v>17</v>
      </c>
      <c r="B2095" t="str">
        <f>"603351"</f>
        <v>603351</v>
      </c>
      <c r="C2095" t="s">
        <v>4236</v>
      </c>
      <c r="D2095" t="s">
        <v>98</v>
      </c>
      <c r="E2095">
        <v>-28229635</v>
      </c>
      <c r="F2095">
        <v>-139413270</v>
      </c>
      <c r="G2095">
        <v>-28458157</v>
      </c>
      <c r="H2095">
        <v>25835869</v>
      </c>
      <c r="I2095">
        <v>-31310941</v>
      </c>
      <c r="P2095">
        <v>88</v>
      </c>
      <c r="Q2095" t="s">
        <v>4237</v>
      </c>
    </row>
    <row r="2096" spans="1:17" x14ac:dyDescent="0.3">
      <c r="A2096" t="s">
        <v>32</v>
      </c>
      <c r="B2096" t="str">
        <f>"300097"</f>
        <v>300097</v>
      </c>
      <c r="C2096" t="s">
        <v>4238</v>
      </c>
      <c r="D2096" t="s">
        <v>135</v>
      </c>
      <c r="E2096">
        <v>-28283459</v>
      </c>
      <c r="F2096">
        <v>-23804142</v>
      </c>
      <c r="G2096">
        <v>75512534</v>
      </c>
      <c r="H2096">
        <v>33437193</v>
      </c>
      <c r="I2096">
        <v>118917811</v>
      </c>
      <c r="J2096">
        <v>-37512722</v>
      </c>
      <c r="K2096">
        <v>-94026751</v>
      </c>
      <c r="L2096">
        <v>1120842</v>
      </c>
      <c r="M2096">
        <v>-19097866</v>
      </c>
      <c r="N2096">
        <v>-12265493</v>
      </c>
      <c r="O2096">
        <v>21723468</v>
      </c>
      <c r="P2096">
        <v>203</v>
      </c>
      <c r="Q2096" t="s">
        <v>4239</v>
      </c>
    </row>
    <row r="2097" spans="1:17" x14ac:dyDescent="0.3">
      <c r="A2097" t="s">
        <v>32</v>
      </c>
      <c r="B2097" t="str">
        <f>"300174"</f>
        <v>300174</v>
      </c>
      <c r="C2097" t="s">
        <v>4240</v>
      </c>
      <c r="D2097" t="s">
        <v>144</v>
      </c>
      <c r="E2097">
        <v>-28356246</v>
      </c>
      <c r="F2097">
        <v>-36959529</v>
      </c>
      <c r="G2097">
        <v>-22230146</v>
      </c>
      <c r="H2097">
        <v>-39952069</v>
      </c>
      <c r="I2097">
        <v>15724934</v>
      </c>
      <c r="J2097">
        <v>-21696783</v>
      </c>
      <c r="K2097">
        <v>13589460</v>
      </c>
      <c r="L2097">
        <v>-5702831</v>
      </c>
      <c r="M2097">
        <v>-9436469</v>
      </c>
      <c r="N2097">
        <v>-22136318</v>
      </c>
      <c r="O2097">
        <v>-47390267</v>
      </c>
      <c r="P2097">
        <v>90</v>
      </c>
      <c r="Q2097" t="s">
        <v>4241</v>
      </c>
    </row>
    <row r="2098" spans="1:17" x14ac:dyDescent="0.3">
      <c r="A2098" t="s">
        <v>32</v>
      </c>
      <c r="B2098" t="str">
        <f>"001211"</f>
        <v>001211</v>
      </c>
      <c r="C2098" t="s">
        <v>4242</v>
      </c>
      <c r="D2098" t="s">
        <v>455</v>
      </c>
      <c r="E2098">
        <v>-28410096</v>
      </c>
      <c r="F2098">
        <v>-4749302</v>
      </c>
      <c r="G2098">
        <v>6440221</v>
      </c>
      <c r="P2098">
        <v>13</v>
      </c>
      <c r="Q2098" t="s">
        <v>4243</v>
      </c>
    </row>
    <row r="2099" spans="1:17" x14ac:dyDescent="0.3">
      <c r="A2099" t="s">
        <v>17</v>
      </c>
      <c r="B2099" t="str">
        <f>"603099"</f>
        <v>603099</v>
      </c>
      <c r="C2099" t="s">
        <v>4244</v>
      </c>
      <c r="D2099" t="s">
        <v>497</v>
      </c>
      <c r="E2099">
        <v>-28431364</v>
      </c>
      <c r="F2099">
        <v>-28393790</v>
      </c>
      <c r="G2099">
        <v>-50065664</v>
      </c>
      <c r="H2099">
        <v>-26123620</v>
      </c>
      <c r="I2099">
        <v>-98866558</v>
      </c>
      <c r="J2099">
        <v>-68841582</v>
      </c>
      <c r="K2099">
        <v>-26542929</v>
      </c>
      <c r="L2099">
        <v>-11544941</v>
      </c>
      <c r="M2099">
        <v>-1449100</v>
      </c>
      <c r="P2099">
        <v>97</v>
      </c>
      <c r="Q2099" t="s">
        <v>4245</v>
      </c>
    </row>
    <row r="2100" spans="1:17" x14ac:dyDescent="0.3">
      <c r="A2100" t="s">
        <v>32</v>
      </c>
      <c r="B2100" t="str">
        <f>"300435"</f>
        <v>300435</v>
      </c>
      <c r="C2100" t="s">
        <v>4246</v>
      </c>
      <c r="D2100" t="s">
        <v>158</v>
      </c>
      <c r="E2100">
        <v>-28446234</v>
      </c>
      <c r="F2100">
        <v>-92305965</v>
      </c>
      <c r="G2100">
        <v>-36233223</v>
      </c>
      <c r="H2100">
        <v>40453487</v>
      </c>
      <c r="I2100">
        <v>16367725</v>
      </c>
      <c r="J2100">
        <v>14546579</v>
      </c>
      <c r="K2100">
        <v>29372929</v>
      </c>
      <c r="L2100">
        <v>9573456</v>
      </c>
      <c r="M2100">
        <v>-25098400</v>
      </c>
      <c r="P2100">
        <v>111</v>
      </c>
      <c r="Q2100" t="s">
        <v>4247</v>
      </c>
    </row>
    <row r="2101" spans="1:17" x14ac:dyDescent="0.3">
      <c r="A2101" t="s">
        <v>32</v>
      </c>
      <c r="B2101" t="str">
        <f>"000004"</f>
        <v>000004</v>
      </c>
      <c r="C2101" t="s">
        <v>4248</v>
      </c>
      <c r="D2101" t="s">
        <v>342</v>
      </c>
      <c r="E2101">
        <v>-28532908</v>
      </c>
      <c r="F2101">
        <v>-40807163</v>
      </c>
      <c r="G2101">
        <v>-38001496</v>
      </c>
      <c r="H2101">
        <v>-1099363</v>
      </c>
      <c r="I2101">
        <v>8654766</v>
      </c>
      <c r="J2101">
        <v>3281018</v>
      </c>
      <c r="K2101">
        <v>537747</v>
      </c>
      <c r="L2101">
        <v>-14162810</v>
      </c>
      <c r="M2101">
        <v>-14189137</v>
      </c>
      <c r="N2101">
        <v>-3264600</v>
      </c>
      <c r="O2101">
        <v>-7377122</v>
      </c>
      <c r="P2101">
        <v>187</v>
      </c>
      <c r="Q2101" t="s">
        <v>4249</v>
      </c>
    </row>
    <row r="2102" spans="1:17" x14ac:dyDescent="0.3">
      <c r="A2102" t="s">
        <v>32</v>
      </c>
      <c r="B2102" t="str">
        <f>"002213"</f>
        <v>002213</v>
      </c>
      <c r="C2102" t="s">
        <v>4250</v>
      </c>
      <c r="D2102" t="s">
        <v>199</v>
      </c>
      <c r="E2102">
        <v>-28738007</v>
      </c>
      <c r="F2102">
        <v>-31213814</v>
      </c>
      <c r="G2102">
        <v>-12133571</v>
      </c>
      <c r="H2102">
        <v>-15810598</v>
      </c>
      <c r="I2102">
        <v>34565808</v>
      </c>
      <c r="J2102">
        <v>1368851</v>
      </c>
      <c r="K2102">
        <v>3652443</v>
      </c>
      <c r="L2102">
        <v>-18001244</v>
      </c>
      <c r="M2102">
        <v>-34577808</v>
      </c>
      <c r="N2102">
        <v>22434390</v>
      </c>
      <c r="O2102">
        <v>8081155</v>
      </c>
      <c r="P2102">
        <v>90</v>
      </c>
      <c r="Q2102" t="s">
        <v>4251</v>
      </c>
    </row>
    <row r="2103" spans="1:17" x14ac:dyDescent="0.3">
      <c r="A2103" t="s">
        <v>17</v>
      </c>
      <c r="B2103" t="str">
        <f>"600539"</f>
        <v>600539</v>
      </c>
      <c r="C2103" t="s">
        <v>4252</v>
      </c>
      <c r="D2103" t="s">
        <v>345</v>
      </c>
      <c r="E2103">
        <v>-28762385</v>
      </c>
      <c r="F2103">
        <v>1880771</v>
      </c>
      <c r="G2103">
        <v>1634554</v>
      </c>
      <c r="H2103">
        <v>-1527590</v>
      </c>
      <c r="I2103">
        <v>-3512126</v>
      </c>
      <c r="J2103">
        <v>-6863587</v>
      </c>
      <c r="K2103">
        <v>-10698619</v>
      </c>
      <c r="L2103">
        <v>-12466312</v>
      </c>
      <c r="M2103">
        <v>-93616989</v>
      </c>
      <c r="N2103">
        <v>45532253</v>
      </c>
      <c r="O2103">
        <v>20893868</v>
      </c>
      <c r="P2103">
        <v>51</v>
      </c>
      <c r="Q2103" t="s">
        <v>4253</v>
      </c>
    </row>
    <row r="2104" spans="1:17" x14ac:dyDescent="0.3">
      <c r="A2104" t="s">
        <v>32</v>
      </c>
      <c r="B2104" t="str">
        <f>"300127"</f>
        <v>300127</v>
      </c>
      <c r="C2104" t="s">
        <v>4254</v>
      </c>
      <c r="D2104" t="s">
        <v>121</v>
      </c>
      <c r="E2104">
        <v>-28801510</v>
      </c>
      <c r="F2104">
        <v>-814027</v>
      </c>
      <c r="G2104">
        <v>7998010</v>
      </c>
      <c r="H2104">
        <v>24949356</v>
      </c>
      <c r="I2104">
        <v>21297826</v>
      </c>
      <c r="J2104">
        <v>7913579</v>
      </c>
      <c r="K2104">
        <v>29205060</v>
      </c>
      <c r="L2104">
        <v>10178112</v>
      </c>
      <c r="M2104">
        <v>31539373</v>
      </c>
      <c r="N2104">
        <v>6487892</v>
      </c>
      <c r="O2104">
        <v>31383969</v>
      </c>
      <c r="P2104">
        <v>205</v>
      </c>
      <c r="Q2104" t="s">
        <v>4255</v>
      </c>
    </row>
    <row r="2105" spans="1:17" x14ac:dyDescent="0.3">
      <c r="A2105" t="s">
        <v>32</v>
      </c>
      <c r="B2105" t="str">
        <f>"300700"</f>
        <v>300700</v>
      </c>
      <c r="C2105" t="s">
        <v>4256</v>
      </c>
      <c r="D2105" t="s">
        <v>135</v>
      </c>
      <c r="E2105">
        <v>-28902449</v>
      </c>
      <c r="F2105">
        <v>-22542177</v>
      </c>
      <c r="G2105">
        <v>-10491906</v>
      </c>
      <c r="H2105">
        <v>-16995845</v>
      </c>
      <c r="I2105">
        <v>-49252581</v>
      </c>
      <c r="J2105">
        <v>-14988210</v>
      </c>
      <c r="P2105">
        <v>140</v>
      </c>
      <c r="Q2105" t="s">
        <v>4257</v>
      </c>
    </row>
    <row r="2106" spans="1:17" x14ac:dyDescent="0.3">
      <c r="A2106" t="s">
        <v>32</v>
      </c>
      <c r="B2106" t="str">
        <f>"002869"</f>
        <v>002869</v>
      </c>
      <c r="C2106" t="s">
        <v>4258</v>
      </c>
      <c r="D2106" t="s">
        <v>124</v>
      </c>
      <c r="E2106">
        <v>-28996774</v>
      </c>
      <c r="F2106">
        <v>-66693013</v>
      </c>
      <c r="G2106">
        <v>-212017525</v>
      </c>
      <c r="H2106">
        <v>-40321074</v>
      </c>
      <c r="I2106">
        <v>-136769133</v>
      </c>
      <c r="J2106">
        <v>-11868449</v>
      </c>
      <c r="K2106">
        <v>-128595598</v>
      </c>
      <c r="P2106">
        <v>600</v>
      </c>
      <c r="Q2106" t="s">
        <v>4259</v>
      </c>
    </row>
    <row r="2107" spans="1:17" x14ac:dyDescent="0.3">
      <c r="A2107" t="s">
        <v>32</v>
      </c>
      <c r="B2107" t="str">
        <f>"001202"</f>
        <v>001202</v>
      </c>
      <c r="C2107" t="s">
        <v>4260</v>
      </c>
      <c r="D2107" t="s">
        <v>46</v>
      </c>
      <c r="E2107">
        <v>-29018925</v>
      </c>
      <c r="F2107">
        <v>-77833028</v>
      </c>
      <c r="G2107">
        <v>-21510162</v>
      </c>
      <c r="P2107">
        <v>32</v>
      </c>
      <c r="Q2107" t="s">
        <v>4261</v>
      </c>
    </row>
    <row r="2108" spans="1:17" x14ac:dyDescent="0.3">
      <c r="A2108" t="s">
        <v>32</v>
      </c>
      <c r="B2108" t="str">
        <f>"000502"</f>
        <v>000502</v>
      </c>
      <c r="C2108" t="s">
        <v>4262</v>
      </c>
      <c r="D2108" t="s">
        <v>151</v>
      </c>
      <c r="E2108">
        <v>-29023753</v>
      </c>
      <c r="F2108">
        <v>-6455925</v>
      </c>
      <c r="G2108">
        <v>-3763104</v>
      </c>
      <c r="H2108">
        <v>-3694087</v>
      </c>
      <c r="I2108">
        <v>-25866512</v>
      </c>
      <c r="J2108">
        <v>-90856828</v>
      </c>
      <c r="K2108">
        <v>-28573466</v>
      </c>
      <c r="L2108">
        <v>-2977771</v>
      </c>
      <c r="M2108">
        <v>-3377091</v>
      </c>
      <c r="N2108">
        <v>-3095438</v>
      </c>
      <c r="O2108">
        <v>-26530534</v>
      </c>
      <c r="P2108">
        <v>85</v>
      </c>
      <c r="Q2108" t="s">
        <v>4263</v>
      </c>
    </row>
    <row r="2109" spans="1:17" x14ac:dyDescent="0.3">
      <c r="A2109" t="s">
        <v>32</v>
      </c>
      <c r="B2109" t="str">
        <f>"300105"</f>
        <v>300105</v>
      </c>
      <c r="C2109" t="s">
        <v>4264</v>
      </c>
      <c r="D2109" t="s">
        <v>464</v>
      </c>
      <c r="E2109">
        <v>-29174969</v>
      </c>
      <c r="F2109">
        <v>11391184</v>
      </c>
      <c r="G2109">
        <v>-7540307</v>
      </c>
      <c r="H2109">
        <v>-15108706</v>
      </c>
      <c r="I2109">
        <v>-1914139</v>
      </c>
      <c r="J2109">
        <v>-23956844</v>
      </c>
      <c r="K2109">
        <v>24453801</v>
      </c>
      <c r="L2109">
        <v>-55949281</v>
      </c>
      <c r="M2109">
        <v>-139045303</v>
      </c>
      <c r="N2109">
        <v>-141993240</v>
      </c>
      <c r="O2109">
        <v>-34389131</v>
      </c>
      <c r="P2109">
        <v>56</v>
      </c>
      <c r="Q2109" t="s">
        <v>4265</v>
      </c>
    </row>
    <row r="2110" spans="1:17" x14ac:dyDescent="0.3">
      <c r="A2110" t="s">
        <v>32</v>
      </c>
      <c r="B2110" t="str">
        <f>"002272"</f>
        <v>002272</v>
      </c>
      <c r="C2110" t="s">
        <v>4266</v>
      </c>
      <c r="D2110" t="s">
        <v>135</v>
      </c>
      <c r="E2110">
        <v>-29198352</v>
      </c>
      <c r="F2110">
        <v>-110753650</v>
      </c>
      <c r="G2110">
        <v>-34744843</v>
      </c>
      <c r="H2110">
        <v>3226015</v>
      </c>
      <c r="I2110">
        <v>-27315742</v>
      </c>
      <c r="J2110">
        <v>-10228188</v>
      </c>
      <c r="K2110">
        <v>-1212151</v>
      </c>
      <c r="L2110">
        <v>-39526430</v>
      </c>
      <c r="M2110">
        <v>-2326369</v>
      </c>
      <c r="N2110">
        <v>-12289548</v>
      </c>
      <c r="O2110">
        <v>-48514478</v>
      </c>
      <c r="P2110">
        <v>107</v>
      </c>
      <c r="Q2110" t="s">
        <v>4267</v>
      </c>
    </row>
    <row r="2111" spans="1:17" x14ac:dyDescent="0.3">
      <c r="A2111" t="s">
        <v>32</v>
      </c>
      <c r="B2111" t="str">
        <f>"002825"</f>
        <v>002825</v>
      </c>
      <c r="C2111" t="s">
        <v>4268</v>
      </c>
      <c r="D2111" t="s">
        <v>144</v>
      </c>
      <c r="E2111">
        <v>-29198814</v>
      </c>
      <c r="F2111">
        <v>-10119640</v>
      </c>
      <c r="G2111">
        <v>-5489571</v>
      </c>
      <c r="H2111">
        <v>-2566486</v>
      </c>
      <c r="I2111">
        <v>-5077007</v>
      </c>
      <c r="J2111">
        <v>36360000</v>
      </c>
      <c r="K2111">
        <v>-28946047</v>
      </c>
      <c r="P2111">
        <v>100</v>
      </c>
      <c r="Q2111" t="s">
        <v>4269</v>
      </c>
    </row>
    <row r="2112" spans="1:17" x14ac:dyDescent="0.3">
      <c r="A2112" t="s">
        <v>17</v>
      </c>
      <c r="B2112" t="str">
        <f>"603048"</f>
        <v>603048</v>
      </c>
      <c r="C2112" t="s">
        <v>4270</v>
      </c>
      <c r="D2112" t="s">
        <v>199</v>
      </c>
      <c r="E2112">
        <v>-29242657</v>
      </c>
      <c r="P2112">
        <v>16</v>
      </c>
      <c r="Q2112" t="s">
        <v>4271</v>
      </c>
    </row>
    <row r="2113" spans="1:17" x14ac:dyDescent="0.3">
      <c r="A2113" t="s">
        <v>32</v>
      </c>
      <c r="B2113" t="str">
        <f>"300278"</f>
        <v>300278</v>
      </c>
      <c r="C2113" t="s">
        <v>4272</v>
      </c>
      <c r="D2113" t="s">
        <v>135</v>
      </c>
      <c r="E2113">
        <v>-29318999</v>
      </c>
      <c r="F2113">
        <v>-130164707</v>
      </c>
      <c r="G2113">
        <v>-17980224</v>
      </c>
      <c r="H2113">
        <v>-50026340</v>
      </c>
      <c r="I2113">
        <v>99569271</v>
      </c>
      <c r="J2113">
        <v>-217839785</v>
      </c>
      <c r="K2113">
        <v>-92424044</v>
      </c>
      <c r="L2113">
        <v>-45033194</v>
      </c>
      <c r="M2113">
        <v>-30220663</v>
      </c>
      <c r="N2113">
        <v>-33806281</v>
      </c>
      <c r="O2113">
        <v>-74110890</v>
      </c>
      <c r="P2113">
        <v>98</v>
      </c>
      <c r="Q2113" t="s">
        <v>4273</v>
      </c>
    </row>
    <row r="2114" spans="1:17" x14ac:dyDescent="0.3">
      <c r="A2114" t="s">
        <v>32</v>
      </c>
      <c r="B2114" t="str">
        <f>"300282"</f>
        <v>300282</v>
      </c>
      <c r="C2114" t="s">
        <v>4274</v>
      </c>
      <c r="D2114" t="s">
        <v>497</v>
      </c>
      <c r="E2114">
        <v>-29322455</v>
      </c>
      <c r="F2114">
        <v>-32388405</v>
      </c>
      <c r="G2114">
        <v>-39053332</v>
      </c>
      <c r="H2114">
        <v>-57025768</v>
      </c>
      <c r="I2114">
        <v>-52719385</v>
      </c>
      <c r="J2114">
        <v>-115460870</v>
      </c>
      <c r="K2114">
        <v>-70667608</v>
      </c>
      <c r="L2114">
        <v>-736322</v>
      </c>
      <c r="M2114">
        <v>-12600217</v>
      </c>
      <c r="N2114">
        <v>-9217012</v>
      </c>
      <c r="O2114">
        <v>-19026818</v>
      </c>
      <c r="P2114">
        <v>100</v>
      </c>
      <c r="Q2114" t="s">
        <v>4275</v>
      </c>
    </row>
    <row r="2115" spans="1:17" x14ac:dyDescent="0.3">
      <c r="A2115" t="s">
        <v>32</v>
      </c>
      <c r="B2115" t="str">
        <f>"300211"</f>
        <v>300211</v>
      </c>
      <c r="C2115" t="s">
        <v>4276</v>
      </c>
      <c r="D2115" t="s">
        <v>57</v>
      </c>
      <c r="E2115">
        <v>-29366759</v>
      </c>
      <c r="F2115">
        <v>-2352141</v>
      </c>
      <c r="G2115">
        <v>10358271</v>
      </c>
      <c r="H2115">
        <v>4179676</v>
      </c>
      <c r="I2115">
        <v>-6036976</v>
      </c>
      <c r="J2115">
        <v>-2236268</v>
      </c>
      <c r="K2115">
        <v>-20255024</v>
      </c>
      <c r="L2115">
        <v>-30506626</v>
      </c>
      <c r="M2115">
        <v>-36877983</v>
      </c>
      <c r="N2115">
        <v>-12357634</v>
      </c>
      <c r="O2115">
        <v>-28778328</v>
      </c>
      <c r="P2115">
        <v>63</v>
      </c>
      <c r="Q2115" t="s">
        <v>4277</v>
      </c>
    </row>
    <row r="2116" spans="1:17" x14ac:dyDescent="0.3">
      <c r="A2116" t="s">
        <v>17</v>
      </c>
      <c r="B2116" t="str">
        <f>"688616"</f>
        <v>688616</v>
      </c>
      <c r="C2116" t="s">
        <v>4278</v>
      </c>
      <c r="D2116" t="s">
        <v>464</v>
      </c>
      <c r="E2116">
        <v>-29383909</v>
      </c>
      <c r="F2116">
        <v>-14454250</v>
      </c>
      <c r="G2116">
        <v>-29158182</v>
      </c>
      <c r="P2116">
        <v>23</v>
      </c>
      <c r="Q2116" t="s">
        <v>4279</v>
      </c>
    </row>
    <row r="2117" spans="1:17" x14ac:dyDescent="0.3">
      <c r="A2117" t="s">
        <v>17</v>
      </c>
      <c r="B2117" t="str">
        <f>"688115"</f>
        <v>688115</v>
      </c>
      <c r="C2117" t="s">
        <v>4280</v>
      </c>
      <c r="E2117">
        <v>-29398631</v>
      </c>
      <c r="P2117">
        <v>7</v>
      </c>
      <c r="Q2117" t="s">
        <v>4281</v>
      </c>
    </row>
    <row r="2118" spans="1:17" x14ac:dyDescent="0.3">
      <c r="A2118" t="s">
        <v>32</v>
      </c>
      <c r="B2118" t="str">
        <f>"000920"</f>
        <v>000920</v>
      </c>
      <c r="C2118" t="s">
        <v>4282</v>
      </c>
      <c r="D2118" t="s">
        <v>1334</v>
      </c>
      <c r="E2118">
        <v>-29421124</v>
      </c>
      <c r="F2118">
        <v>4701628</v>
      </c>
      <c r="G2118">
        <v>53175169</v>
      </c>
      <c r="H2118">
        <v>-83344771</v>
      </c>
      <c r="I2118">
        <v>-52551306</v>
      </c>
      <c r="J2118">
        <v>-10020558</v>
      </c>
      <c r="K2118">
        <v>31288842</v>
      </c>
      <c r="L2118">
        <v>-17682631</v>
      </c>
      <c r="M2118">
        <v>-95313582</v>
      </c>
      <c r="N2118">
        <v>-135104101</v>
      </c>
      <c r="O2118">
        <v>-166585655</v>
      </c>
      <c r="P2118">
        <v>122</v>
      </c>
      <c r="Q2118" t="s">
        <v>4283</v>
      </c>
    </row>
    <row r="2119" spans="1:17" x14ac:dyDescent="0.3">
      <c r="A2119" t="s">
        <v>32</v>
      </c>
      <c r="B2119" t="str">
        <f>"002535"</f>
        <v>002535</v>
      </c>
      <c r="C2119" t="s">
        <v>4284</v>
      </c>
      <c r="D2119" t="s">
        <v>135</v>
      </c>
      <c r="E2119">
        <v>-29543839</v>
      </c>
      <c r="F2119">
        <v>-83797762</v>
      </c>
      <c r="G2119">
        <v>21192995</v>
      </c>
      <c r="H2119">
        <v>-53069856</v>
      </c>
      <c r="I2119">
        <v>67803852</v>
      </c>
      <c r="J2119">
        <v>116200137</v>
      </c>
      <c r="K2119">
        <v>156786929</v>
      </c>
      <c r="L2119">
        <v>62042860</v>
      </c>
      <c r="M2119">
        <v>89448074</v>
      </c>
      <c r="N2119">
        <v>54297455</v>
      </c>
      <c r="O2119">
        <v>25448030</v>
      </c>
      <c r="P2119">
        <v>89</v>
      </c>
      <c r="Q2119" t="s">
        <v>4285</v>
      </c>
    </row>
    <row r="2120" spans="1:17" x14ac:dyDescent="0.3">
      <c r="A2120" t="s">
        <v>32</v>
      </c>
      <c r="B2120" t="str">
        <f>"300396"</f>
        <v>300396</v>
      </c>
      <c r="C2120" t="s">
        <v>4286</v>
      </c>
      <c r="D2120" t="s">
        <v>98</v>
      </c>
      <c r="E2120">
        <v>-29596245</v>
      </c>
      <c r="F2120">
        <v>17439387</v>
      </c>
      <c r="G2120">
        <v>38878062</v>
      </c>
      <c r="H2120">
        <v>64196290</v>
      </c>
      <c r="I2120">
        <v>34233879</v>
      </c>
      <c r="J2120">
        <v>12352283</v>
      </c>
      <c r="K2120">
        <v>28957192</v>
      </c>
      <c r="L2120">
        <v>8788677</v>
      </c>
      <c r="M2120">
        <v>-23230384</v>
      </c>
      <c r="P2120">
        <v>360</v>
      </c>
      <c r="Q2120" t="s">
        <v>4287</v>
      </c>
    </row>
    <row r="2121" spans="1:17" x14ac:dyDescent="0.3">
      <c r="A2121" t="s">
        <v>32</v>
      </c>
      <c r="B2121" t="str">
        <f>"002229"</f>
        <v>002229</v>
      </c>
      <c r="C2121" t="s">
        <v>4288</v>
      </c>
      <c r="D2121" t="s">
        <v>455</v>
      </c>
      <c r="E2121">
        <v>-29597876</v>
      </c>
      <c r="F2121">
        <v>-57912456</v>
      </c>
      <c r="G2121">
        <v>-66775837</v>
      </c>
      <c r="H2121">
        <v>-92385172</v>
      </c>
      <c r="I2121">
        <v>-53531519</v>
      </c>
      <c r="J2121">
        <v>-65904080</v>
      </c>
      <c r="K2121">
        <v>-76798332</v>
      </c>
      <c r="L2121">
        <v>-51674465</v>
      </c>
      <c r="M2121">
        <v>-70730717</v>
      </c>
      <c r="N2121">
        <v>-94920008</v>
      </c>
      <c r="O2121">
        <v>-121634294</v>
      </c>
      <c r="P2121">
        <v>118</v>
      </c>
      <c r="Q2121" t="s">
        <v>4289</v>
      </c>
    </row>
    <row r="2122" spans="1:17" x14ac:dyDescent="0.3">
      <c r="A2122" t="s">
        <v>32</v>
      </c>
      <c r="B2122" t="str">
        <f>"002658"</f>
        <v>002658</v>
      </c>
      <c r="C2122" t="s">
        <v>4290</v>
      </c>
      <c r="D2122" t="s">
        <v>1334</v>
      </c>
      <c r="E2122">
        <v>-29673834</v>
      </c>
      <c r="F2122">
        <v>-37916864</v>
      </c>
      <c r="G2122">
        <v>-35999310</v>
      </c>
      <c r="H2122">
        <v>-39808550</v>
      </c>
      <c r="I2122">
        <v>-41977306</v>
      </c>
      <c r="J2122">
        <v>-5490811</v>
      </c>
      <c r="K2122">
        <v>5345896</v>
      </c>
      <c r="L2122">
        <v>33606679</v>
      </c>
      <c r="M2122">
        <v>-26290638</v>
      </c>
      <c r="N2122">
        <v>-1866324</v>
      </c>
      <c r="O2122">
        <v>-28056772</v>
      </c>
      <c r="P2122">
        <v>231</v>
      </c>
      <c r="Q2122" t="s">
        <v>4291</v>
      </c>
    </row>
    <row r="2123" spans="1:17" x14ac:dyDescent="0.3">
      <c r="A2123" t="s">
        <v>32</v>
      </c>
      <c r="B2123" t="str">
        <f>"002634"</f>
        <v>002634</v>
      </c>
      <c r="C2123" t="s">
        <v>4292</v>
      </c>
      <c r="D2123" t="s">
        <v>130</v>
      </c>
      <c r="E2123">
        <v>-29690455</v>
      </c>
      <c r="F2123">
        <v>11142290</v>
      </c>
      <c r="G2123">
        <v>17317537</v>
      </c>
      <c r="H2123">
        <v>-42797119</v>
      </c>
      <c r="I2123">
        <v>-35536245</v>
      </c>
      <c r="J2123">
        <v>6551993</v>
      </c>
      <c r="K2123">
        <v>-12234260</v>
      </c>
      <c r="L2123">
        <v>-2151365</v>
      </c>
      <c r="M2123">
        <v>-10065992</v>
      </c>
      <c r="N2123">
        <v>-21786318</v>
      </c>
      <c r="O2123">
        <v>-41767518</v>
      </c>
      <c r="P2123">
        <v>88</v>
      </c>
      <c r="Q2123" t="s">
        <v>4293</v>
      </c>
    </row>
    <row r="2124" spans="1:17" x14ac:dyDescent="0.3">
      <c r="A2124" t="s">
        <v>32</v>
      </c>
      <c r="B2124" t="str">
        <f>"002522"</f>
        <v>002522</v>
      </c>
      <c r="C2124" t="s">
        <v>4294</v>
      </c>
      <c r="D2124" t="s">
        <v>144</v>
      </c>
      <c r="E2124">
        <v>-29698816</v>
      </c>
      <c r="F2124">
        <v>26916415</v>
      </c>
      <c r="G2124">
        <v>-49282996</v>
      </c>
      <c r="H2124">
        <v>-27576266</v>
      </c>
      <c r="I2124">
        <v>-97948204</v>
      </c>
      <c r="J2124">
        <v>-84347356</v>
      </c>
      <c r="K2124">
        <v>-68918182</v>
      </c>
      <c r="L2124">
        <v>-20975289</v>
      </c>
      <c r="M2124">
        <v>-24986641</v>
      </c>
      <c r="N2124">
        <v>-16735811</v>
      </c>
      <c r="O2124">
        <v>-35359554</v>
      </c>
      <c r="P2124">
        <v>367</v>
      </c>
      <c r="Q2124" t="s">
        <v>4295</v>
      </c>
    </row>
    <row r="2125" spans="1:17" x14ac:dyDescent="0.3">
      <c r="A2125" t="s">
        <v>32</v>
      </c>
      <c r="B2125" t="str">
        <f>"002428"</f>
        <v>002428</v>
      </c>
      <c r="C2125" t="s">
        <v>4296</v>
      </c>
      <c r="D2125" t="s">
        <v>121</v>
      </c>
      <c r="E2125">
        <v>-29708858</v>
      </c>
      <c r="F2125">
        <v>71150353</v>
      </c>
      <c r="G2125">
        <v>-130438061</v>
      </c>
      <c r="H2125">
        <v>-131343157</v>
      </c>
      <c r="I2125">
        <v>-47200508</v>
      </c>
      <c r="J2125">
        <v>19411603</v>
      </c>
      <c r="K2125">
        <v>110224930</v>
      </c>
      <c r="L2125">
        <v>-25839199</v>
      </c>
      <c r="M2125">
        <v>-106255357</v>
      </c>
      <c r="N2125">
        <v>-80945289</v>
      </c>
      <c r="O2125">
        <v>-48505012</v>
      </c>
      <c r="P2125">
        <v>186</v>
      </c>
      <c r="Q2125" t="s">
        <v>4297</v>
      </c>
    </row>
    <row r="2126" spans="1:17" x14ac:dyDescent="0.3">
      <c r="A2126" t="s">
        <v>17</v>
      </c>
      <c r="B2126" t="str">
        <f>"603658"</f>
        <v>603658</v>
      </c>
      <c r="C2126" t="s">
        <v>4298</v>
      </c>
      <c r="D2126" t="s">
        <v>98</v>
      </c>
      <c r="E2126">
        <v>-29712906</v>
      </c>
      <c r="F2126">
        <v>-19749437</v>
      </c>
      <c r="G2126">
        <v>-117789121</v>
      </c>
      <c r="H2126">
        <v>-1761980</v>
      </c>
      <c r="I2126">
        <v>25411380</v>
      </c>
      <c r="J2126">
        <v>-115390894</v>
      </c>
      <c r="K2126">
        <v>25927192</v>
      </c>
      <c r="P2126">
        <v>2608</v>
      </c>
      <c r="Q2126" t="s">
        <v>4299</v>
      </c>
    </row>
    <row r="2127" spans="1:17" x14ac:dyDescent="0.3">
      <c r="A2127" t="s">
        <v>32</v>
      </c>
      <c r="B2127" t="str">
        <f>"002782"</f>
        <v>002782</v>
      </c>
      <c r="C2127" t="s">
        <v>4300</v>
      </c>
      <c r="D2127" t="s">
        <v>124</v>
      </c>
      <c r="E2127">
        <v>-29791023</v>
      </c>
      <c r="F2127">
        <v>-76451596</v>
      </c>
      <c r="G2127">
        <v>-22079114</v>
      </c>
      <c r="H2127">
        <v>38622446</v>
      </c>
      <c r="I2127">
        <v>-15114436</v>
      </c>
      <c r="J2127">
        <v>-2725570</v>
      </c>
      <c r="K2127">
        <v>22296493</v>
      </c>
      <c r="L2127">
        <v>-12784700</v>
      </c>
      <c r="M2127">
        <v>23509500</v>
      </c>
      <c r="P2127">
        <v>167</v>
      </c>
      <c r="Q2127" t="s">
        <v>4301</v>
      </c>
    </row>
    <row r="2128" spans="1:17" x14ac:dyDescent="0.3">
      <c r="A2128" t="s">
        <v>17</v>
      </c>
      <c r="B2128" t="str">
        <f>"600732"</f>
        <v>600732</v>
      </c>
      <c r="C2128" t="s">
        <v>4302</v>
      </c>
      <c r="D2128" t="s">
        <v>464</v>
      </c>
      <c r="E2128">
        <v>-29803120</v>
      </c>
      <c r="F2128">
        <v>-1088281686</v>
      </c>
      <c r="G2128">
        <v>-69567599</v>
      </c>
      <c r="H2128">
        <v>17610560</v>
      </c>
      <c r="I2128">
        <v>-2281342</v>
      </c>
      <c r="J2128">
        <v>-4196917</v>
      </c>
      <c r="K2128">
        <v>8007865</v>
      </c>
      <c r="L2128">
        <v>-19532410</v>
      </c>
      <c r="M2128">
        <v>5234558</v>
      </c>
      <c r="N2128">
        <v>-85714297</v>
      </c>
      <c r="O2128">
        <v>-28369269</v>
      </c>
      <c r="P2128">
        <v>357</v>
      </c>
      <c r="Q2128" t="s">
        <v>4303</v>
      </c>
    </row>
    <row r="2129" spans="1:17" x14ac:dyDescent="0.3">
      <c r="A2129" t="s">
        <v>32</v>
      </c>
      <c r="B2129" t="str">
        <f>"000599"</f>
        <v>000599</v>
      </c>
      <c r="C2129" t="s">
        <v>4304</v>
      </c>
      <c r="D2129" t="s">
        <v>199</v>
      </c>
      <c r="E2129">
        <v>-29911558</v>
      </c>
      <c r="F2129">
        <v>-98386189</v>
      </c>
      <c r="G2129">
        <v>-157911633</v>
      </c>
      <c r="H2129">
        <v>-88933183</v>
      </c>
      <c r="I2129">
        <v>-531751488</v>
      </c>
      <c r="J2129">
        <v>-408845385</v>
      </c>
      <c r="K2129">
        <v>-531433921</v>
      </c>
      <c r="L2129">
        <v>-155875895</v>
      </c>
      <c r="M2129">
        <v>155687324</v>
      </c>
      <c r="N2129">
        <v>-47255117</v>
      </c>
      <c r="O2129">
        <v>-134104885</v>
      </c>
      <c r="P2129">
        <v>119</v>
      </c>
      <c r="Q2129" t="s">
        <v>4305</v>
      </c>
    </row>
    <row r="2130" spans="1:17" x14ac:dyDescent="0.3">
      <c r="A2130" t="s">
        <v>32</v>
      </c>
      <c r="B2130" t="str">
        <f>"300568"</f>
        <v>300568</v>
      </c>
      <c r="C2130" t="s">
        <v>4306</v>
      </c>
      <c r="D2130" t="s">
        <v>464</v>
      </c>
      <c r="E2130">
        <v>-29931943</v>
      </c>
      <c r="F2130">
        <v>-143457873</v>
      </c>
      <c r="G2130">
        <v>-183354412</v>
      </c>
      <c r="H2130">
        <v>-346670612</v>
      </c>
      <c r="I2130">
        <v>28199247</v>
      </c>
      <c r="J2130">
        <v>-108390651</v>
      </c>
      <c r="K2130">
        <v>-29109297</v>
      </c>
      <c r="P2130">
        <v>475</v>
      </c>
      <c r="Q2130" t="s">
        <v>4307</v>
      </c>
    </row>
    <row r="2131" spans="1:17" x14ac:dyDescent="0.3">
      <c r="A2131" t="s">
        <v>32</v>
      </c>
      <c r="B2131" t="str">
        <f>"300563"</f>
        <v>300563</v>
      </c>
      <c r="C2131" t="s">
        <v>4308</v>
      </c>
      <c r="D2131" t="s">
        <v>57</v>
      </c>
      <c r="E2131">
        <v>-29938634</v>
      </c>
      <c r="F2131">
        <v>-1393904</v>
      </c>
      <c r="G2131">
        <v>11871505</v>
      </c>
      <c r="H2131">
        <v>-3740538</v>
      </c>
      <c r="I2131">
        <v>-15461734</v>
      </c>
      <c r="J2131">
        <v>-26186713</v>
      </c>
      <c r="K2131">
        <v>-516524</v>
      </c>
      <c r="P2131">
        <v>144</v>
      </c>
      <c r="Q2131" t="s">
        <v>4309</v>
      </c>
    </row>
    <row r="2132" spans="1:17" x14ac:dyDescent="0.3">
      <c r="A2132" t="s">
        <v>32</v>
      </c>
      <c r="B2132" t="str">
        <f>"000416"</f>
        <v>000416</v>
      </c>
      <c r="C2132" t="s">
        <v>4310</v>
      </c>
      <c r="D2132" t="s">
        <v>26</v>
      </c>
      <c r="E2132">
        <v>-29957792</v>
      </c>
      <c r="F2132">
        <v>-18391292</v>
      </c>
      <c r="G2132">
        <v>33425423</v>
      </c>
      <c r="H2132">
        <v>-33379802</v>
      </c>
      <c r="I2132">
        <v>-84400431</v>
      </c>
      <c r="J2132">
        <v>-61265617</v>
      </c>
      <c r="K2132">
        <v>-58442906</v>
      </c>
      <c r="L2132">
        <v>-52686307</v>
      </c>
      <c r="M2132">
        <v>-16335529</v>
      </c>
      <c r="N2132">
        <v>-6933918</v>
      </c>
      <c r="O2132">
        <v>-1755973</v>
      </c>
      <c r="P2132">
        <v>119</v>
      </c>
      <c r="Q2132" t="s">
        <v>4311</v>
      </c>
    </row>
    <row r="2133" spans="1:17" x14ac:dyDescent="0.3">
      <c r="A2133" t="s">
        <v>32</v>
      </c>
      <c r="B2133" t="str">
        <f>"002827"</f>
        <v>002827</v>
      </c>
      <c r="C2133" t="s">
        <v>4312</v>
      </c>
      <c r="D2133" t="s">
        <v>144</v>
      </c>
      <c r="E2133">
        <v>-30005102</v>
      </c>
      <c r="F2133">
        <v>-20283104</v>
      </c>
      <c r="G2133">
        <v>-74657075</v>
      </c>
      <c r="H2133">
        <v>-40178131</v>
      </c>
      <c r="I2133">
        <v>-20177704</v>
      </c>
      <c r="J2133">
        <v>-6079136</v>
      </c>
      <c r="K2133">
        <v>-8905505</v>
      </c>
      <c r="P2133">
        <v>89</v>
      </c>
      <c r="Q2133" t="s">
        <v>4313</v>
      </c>
    </row>
    <row r="2134" spans="1:17" x14ac:dyDescent="0.3">
      <c r="A2134" t="s">
        <v>17</v>
      </c>
      <c r="B2134" t="str">
        <f>"900903"</f>
        <v>900903</v>
      </c>
      <c r="C2134" t="s">
        <v>4314</v>
      </c>
      <c r="E2134">
        <v>-30005216.867899999</v>
      </c>
      <c r="F2134">
        <v>28745955.309599999</v>
      </c>
      <c r="G2134">
        <v>-73596036.821700007</v>
      </c>
      <c r="H2134">
        <v>-160890950.36399999</v>
      </c>
      <c r="I2134">
        <v>-3195940.5109999999</v>
      </c>
      <c r="J2134">
        <v>-5923177.1412000004</v>
      </c>
      <c r="K2134">
        <v>9855756.7773000002</v>
      </c>
      <c r="L2134">
        <v>21306464.762800001</v>
      </c>
      <c r="M2134">
        <v>-23450455.975200001</v>
      </c>
      <c r="N2134">
        <v>-11729170.711999999</v>
      </c>
      <c r="O2134">
        <v>-66930854.7192</v>
      </c>
      <c r="P2134">
        <v>32</v>
      </c>
      <c r="Q2134" t="s">
        <v>4315</v>
      </c>
    </row>
    <row r="2135" spans="1:17" x14ac:dyDescent="0.3">
      <c r="A2135" t="s">
        <v>32</v>
      </c>
      <c r="B2135" t="str">
        <f>"301002"</f>
        <v>301002</v>
      </c>
      <c r="C2135" t="s">
        <v>4316</v>
      </c>
      <c r="D2135" t="s">
        <v>464</v>
      </c>
      <c r="E2135">
        <v>-30034506</v>
      </c>
      <c r="F2135">
        <v>-45638774</v>
      </c>
      <c r="G2135">
        <v>18820499</v>
      </c>
      <c r="P2135">
        <v>43</v>
      </c>
      <c r="Q2135" t="s">
        <v>4317</v>
      </c>
    </row>
    <row r="2136" spans="1:17" x14ac:dyDescent="0.3">
      <c r="A2136" t="s">
        <v>32</v>
      </c>
      <c r="B2136" t="str">
        <f>"300891"</f>
        <v>300891</v>
      </c>
      <c r="C2136" t="s">
        <v>4318</v>
      </c>
      <c r="D2136" t="s">
        <v>144</v>
      </c>
      <c r="E2136">
        <v>-30089721</v>
      </c>
      <c r="F2136">
        <v>6775659</v>
      </c>
      <c r="G2136">
        <v>-18738182</v>
      </c>
      <c r="P2136">
        <v>59</v>
      </c>
      <c r="Q2136" t="s">
        <v>4319</v>
      </c>
    </row>
    <row r="2137" spans="1:17" x14ac:dyDescent="0.3">
      <c r="A2137" t="s">
        <v>32</v>
      </c>
      <c r="B2137" t="str">
        <f>"300189"</f>
        <v>300189</v>
      </c>
      <c r="C2137" t="s">
        <v>4320</v>
      </c>
      <c r="D2137" t="s">
        <v>175</v>
      </c>
      <c r="E2137">
        <v>-30107246</v>
      </c>
      <c r="F2137">
        <v>-12158463</v>
      </c>
      <c r="G2137">
        <v>-897609</v>
      </c>
      <c r="H2137">
        <v>-15554773</v>
      </c>
      <c r="I2137">
        <v>243370578</v>
      </c>
      <c r="J2137">
        <v>-275046044</v>
      </c>
      <c r="K2137">
        <v>-70021250</v>
      </c>
      <c r="L2137">
        <v>-52615190</v>
      </c>
      <c r="M2137">
        <v>-61962567</v>
      </c>
      <c r="N2137">
        <v>-108309130</v>
      </c>
      <c r="O2137">
        <v>-76026379</v>
      </c>
      <c r="P2137">
        <v>111</v>
      </c>
      <c r="Q2137" t="s">
        <v>4321</v>
      </c>
    </row>
    <row r="2138" spans="1:17" x14ac:dyDescent="0.3">
      <c r="A2138" t="s">
        <v>32</v>
      </c>
      <c r="B2138" t="str">
        <f>"002383"</f>
        <v>002383</v>
      </c>
      <c r="C2138" t="s">
        <v>4322</v>
      </c>
      <c r="D2138" t="s">
        <v>188</v>
      </c>
      <c r="E2138">
        <v>-30117550</v>
      </c>
      <c r="F2138">
        <v>-48613003</v>
      </c>
      <c r="G2138">
        <v>-165609626</v>
      </c>
      <c r="H2138">
        <v>-42594740</v>
      </c>
      <c r="I2138">
        <v>-417191030</v>
      </c>
      <c r="J2138">
        <v>-64732059</v>
      </c>
      <c r="K2138">
        <v>-100265541</v>
      </c>
      <c r="L2138">
        <v>-68338350</v>
      </c>
      <c r="M2138">
        <v>-170709603</v>
      </c>
      <c r="N2138">
        <v>-71259353</v>
      </c>
      <c r="O2138">
        <v>-57740416</v>
      </c>
      <c r="P2138">
        <v>211</v>
      </c>
      <c r="Q2138" t="s">
        <v>4323</v>
      </c>
    </row>
    <row r="2139" spans="1:17" x14ac:dyDescent="0.3">
      <c r="A2139" t="s">
        <v>17</v>
      </c>
      <c r="B2139" t="str">
        <f>"688170"</f>
        <v>688170</v>
      </c>
      <c r="C2139" t="s">
        <v>4324</v>
      </c>
      <c r="E2139">
        <v>-30127932</v>
      </c>
      <c r="P2139">
        <v>2</v>
      </c>
      <c r="Q2139" t="s">
        <v>4325</v>
      </c>
    </row>
    <row r="2140" spans="1:17" x14ac:dyDescent="0.3">
      <c r="A2140" t="s">
        <v>17</v>
      </c>
      <c r="B2140" t="str">
        <f>"605369"</f>
        <v>605369</v>
      </c>
      <c r="C2140" t="s">
        <v>4326</v>
      </c>
      <c r="D2140" t="s">
        <v>98</v>
      </c>
      <c r="E2140">
        <v>-30222891</v>
      </c>
      <c r="F2140">
        <v>40852253</v>
      </c>
      <c r="G2140">
        <v>-8236292</v>
      </c>
      <c r="P2140">
        <v>178</v>
      </c>
      <c r="Q2140" t="s">
        <v>4327</v>
      </c>
    </row>
    <row r="2141" spans="1:17" x14ac:dyDescent="0.3">
      <c r="A2141" t="s">
        <v>17</v>
      </c>
      <c r="B2141" t="str">
        <f>"900902"</f>
        <v>900902</v>
      </c>
      <c r="C2141" t="s">
        <v>4328</v>
      </c>
      <c r="E2141">
        <v>-30270574.393599998</v>
      </c>
      <c r="F2141">
        <v>-59847659.984399997</v>
      </c>
      <c r="G2141">
        <v>-24601743.809599999</v>
      </c>
      <c r="H2141">
        <v>-85208375.508000001</v>
      </c>
      <c r="I2141">
        <v>-68144300.187999994</v>
      </c>
      <c r="J2141">
        <v>-79998790.436399996</v>
      </c>
      <c r="K2141">
        <v>-210598395.82260001</v>
      </c>
      <c r="L2141">
        <v>-85842743.965299994</v>
      </c>
      <c r="M2141">
        <v>-12656653.8672</v>
      </c>
      <c r="N2141">
        <v>-10764372.738</v>
      </c>
      <c r="O2141">
        <v>-5583462.1507999999</v>
      </c>
      <c r="P2141">
        <v>10</v>
      </c>
      <c r="Q2141" t="s">
        <v>4329</v>
      </c>
    </row>
    <row r="2142" spans="1:17" x14ac:dyDescent="0.3">
      <c r="A2142" t="s">
        <v>32</v>
      </c>
      <c r="B2142" t="str">
        <f>"300776"</f>
        <v>300776</v>
      </c>
      <c r="C2142" t="s">
        <v>4330</v>
      </c>
      <c r="D2142" t="s">
        <v>464</v>
      </c>
      <c r="E2142">
        <v>-30274331</v>
      </c>
      <c r="F2142">
        <v>57386199</v>
      </c>
      <c r="G2142">
        <v>-4014930</v>
      </c>
      <c r="H2142">
        <v>-30470565</v>
      </c>
      <c r="I2142">
        <v>-13524372</v>
      </c>
      <c r="P2142">
        <v>399</v>
      </c>
      <c r="Q2142" t="s">
        <v>4331</v>
      </c>
    </row>
    <row r="2143" spans="1:17" x14ac:dyDescent="0.3">
      <c r="A2143" t="s">
        <v>32</v>
      </c>
      <c r="B2143" t="str">
        <f>"301159"</f>
        <v>301159</v>
      </c>
      <c r="C2143" t="s">
        <v>4332</v>
      </c>
      <c r="D2143" t="s">
        <v>342</v>
      </c>
      <c r="E2143">
        <v>-30322886</v>
      </c>
      <c r="G2143">
        <v>-29922170</v>
      </c>
      <c r="P2143">
        <v>10</v>
      </c>
      <c r="Q2143" t="s">
        <v>4333</v>
      </c>
    </row>
    <row r="2144" spans="1:17" x14ac:dyDescent="0.3">
      <c r="A2144" t="s">
        <v>17</v>
      </c>
      <c r="B2144" t="str">
        <f>"688350"</f>
        <v>688350</v>
      </c>
      <c r="C2144" t="s">
        <v>4334</v>
      </c>
      <c r="D2144" t="s">
        <v>144</v>
      </c>
      <c r="E2144">
        <v>-30407292</v>
      </c>
      <c r="F2144">
        <v>-18857370</v>
      </c>
      <c r="G2144">
        <v>18010175</v>
      </c>
      <c r="P2144">
        <v>34</v>
      </c>
      <c r="Q2144" t="s">
        <v>4335</v>
      </c>
    </row>
    <row r="2145" spans="1:17" x14ac:dyDescent="0.3">
      <c r="A2145" t="s">
        <v>32</v>
      </c>
      <c r="B2145" t="str">
        <f>"300332"</f>
        <v>300332</v>
      </c>
      <c r="C2145" t="s">
        <v>4336</v>
      </c>
      <c r="D2145" t="s">
        <v>158</v>
      </c>
      <c r="E2145">
        <v>-30418827</v>
      </c>
      <c r="F2145">
        <v>-20810629</v>
      </c>
      <c r="G2145">
        <v>6185524</v>
      </c>
      <c r="H2145">
        <v>85162380</v>
      </c>
      <c r="I2145">
        <v>-10213424</v>
      </c>
      <c r="J2145">
        <v>-95253339</v>
      </c>
      <c r="K2145">
        <v>-58123509</v>
      </c>
      <c r="L2145">
        <v>-33837284</v>
      </c>
      <c r="M2145">
        <v>-42046139</v>
      </c>
      <c r="N2145">
        <v>-9497427</v>
      </c>
      <c r="O2145">
        <v>-32694090</v>
      </c>
      <c r="P2145">
        <v>117</v>
      </c>
      <c r="Q2145" t="s">
        <v>4337</v>
      </c>
    </row>
    <row r="2146" spans="1:17" x14ac:dyDescent="0.3">
      <c r="A2146" t="s">
        <v>32</v>
      </c>
      <c r="B2146" t="str">
        <f>"300668"</f>
        <v>300668</v>
      </c>
      <c r="C2146" t="s">
        <v>4338</v>
      </c>
      <c r="D2146" t="s">
        <v>645</v>
      </c>
      <c r="E2146">
        <v>-30432008</v>
      </c>
      <c r="F2146">
        <v>-22076316</v>
      </c>
      <c r="G2146">
        <v>-11856622</v>
      </c>
      <c r="H2146">
        <v>4403413</v>
      </c>
      <c r="I2146">
        <v>-7484474</v>
      </c>
      <c r="J2146">
        <v>-16958392</v>
      </c>
      <c r="K2146">
        <v>-16748207</v>
      </c>
      <c r="P2146">
        <v>207</v>
      </c>
      <c r="Q2146" t="s">
        <v>4339</v>
      </c>
    </row>
    <row r="2147" spans="1:17" x14ac:dyDescent="0.3">
      <c r="A2147" t="s">
        <v>17</v>
      </c>
      <c r="B2147" t="str">
        <f>"603306"</f>
        <v>603306</v>
      </c>
      <c r="C2147" t="s">
        <v>4340</v>
      </c>
      <c r="D2147" t="s">
        <v>199</v>
      </c>
      <c r="E2147">
        <v>-30464717</v>
      </c>
      <c r="F2147">
        <v>-5001025</v>
      </c>
      <c r="G2147">
        <v>4211826</v>
      </c>
      <c r="H2147">
        <v>64923223</v>
      </c>
      <c r="I2147">
        <v>66741113</v>
      </c>
      <c r="J2147">
        <v>25432987</v>
      </c>
      <c r="K2147">
        <v>37538781</v>
      </c>
      <c r="L2147">
        <v>-11030227</v>
      </c>
      <c r="M2147">
        <v>9224091</v>
      </c>
      <c r="P2147">
        <v>631</v>
      </c>
      <c r="Q2147" t="s">
        <v>4341</v>
      </c>
    </row>
    <row r="2148" spans="1:17" x14ac:dyDescent="0.3">
      <c r="A2148" t="s">
        <v>32</v>
      </c>
      <c r="B2148" t="str">
        <f>"300486"</f>
        <v>300486</v>
      </c>
      <c r="C2148" t="s">
        <v>4342</v>
      </c>
      <c r="D2148" t="s">
        <v>135</v>
      </c>
      <c r="E2148">
        <v>-30488848</v>
      </c>
      <c r="F2148">
        <v>-50364695</v>
      </c>
      <c r="G2148">
        <v>-30988577</v>
      </c>
      <c r="H2148">
        <v>-22692201</v>
      </c>
      <c r="I2148">
        <v>-43259335</v>
      </c>
      <c r="J2148">
        <v>-5998357</v>
      </c>
      <c r="K2148">
        <v>-21226585</v>
      </c>
      <c r="L2148">
        <v>-52772964</v>
      </c>
      <c r="M2148">
        <v>-47594397</v>
      </c>
      <c r="P2148">
        <v>75</v>
      </c>
      <c r="Q2148" t="s">
        <v>4343</v>
      </c>
    </row>
    <row r="2149" spans="1:17" x14ac:dyDescent="0.3">
      <c r="A2149" t="s">
        <v>32</v>
      </c>
      <c r="B2149" t="str">
        <f>"002446"</f>
        <v>002446</v>
      </c>
      <c r="C2149" t="s">
        <v>4344</v>
      </c>
      <c r="D2149" t="s">
        <v>188</v>
      </c>
      <c r="E2149">
        <v>-30616690</v>
      </c>
      <c r="F2149">
        <v>-39525412</v>
      </c>
      <c r="G2149">
        <v>-43053527</v>
      </c>
      <c r="H2149">
        <v>-81176757</v>
      </c>
      <c r="I2149">
        <v>-130141454</v>
      </c>
      <c r="J2149">
        <v>-6742057</v>
      </c>
      <c r="K2149">
        <v>-47126315</v>
      </c>
      <c r="L2149">
        <v>-40498187</v>
      </c>
      <c r="M2149">
        <v>-26099223</v>
      </c>
      <c r="N2149">
        <v>-3883632</v>
      </c>
      <c r="O2149">
        <v>-3779276</v>
      </c>
      <c r="P2149">
        <v>371</v>
      </c>
      <c r="Q2149" t="s">
        <v>4345</v>
      </c>
    </row>
    <row r="2150" spans="1:17" x14ac:dyDescent="0.3">
      <c r="A2150" t="s">
        <v>32</v>
      </c>
      <c r="B2150" t="str">
        <f>"000955"</f>
        <v>000955</v>
      </c>
      <c r="C2150" t="s">
        <v>4346</v>
      </c>
      <c r="D2150" t="s">
        <v>130</v>
      </c>
      <c r="E2150">
        <v>-30648797</v>
      </c>
      <c r="F2150">
        <v>-55576298</v>
      </c>
      <c r="G2150">
        <v>45437018</v>
      </c>
      <c r="H2150">
        <v>-35854077</v>
      </c>
      <c r="I2150">
        <v>-22664447</v>
      </c>
      <c r="J2150">
        <v>-45435569</v>
      </c>
      <c r="K2150">
        <v>-35354537</v>
      </c>
      <c r="L2150">
        <v>-14238458</v>
      </c>
      <c r="M2150">
        <v>-12286855</v>
      </c>
      <c r="N2150">
        <v>-30099704</v>
      </c>
      <c r="O2150">
        <v>-10884652</v>
      </c>
      <c r="P2150">
        <v>241</v>
      </c>
      <c r="Q2150" t="s">
        <v>4347</v>
      </c>
    </row>
    <row r="2151" spans="1:17" x14ac:dyDescent="0.3">
      <c r="A2151" t="s">
        <v>32</v>
      </c>
      <c r="B2151" t="str">
        <f>"003025"</f>
        <v>003025</v>
      </c>
      <c r="C2151" t="s">
        <v>4348</v>
      </c>
      <c r="D2151" t="s">
        <v>135</v>
      </c>
      <c r="E2151">
        <v>-30665160</v>
      </c>
      <c r="F2151">
        <v>-12763301</v>
      </c>
      <c r="G2151">
        <v>-2351480</v>
      </c>
      <c r="P2151">
        <v>118</v>
      </c>
      <c r="Q2151" t="s">
        <v>4349</v>
      </c>
    </row>
    <row r="2152" spans="1:17" x14ac:dyDescent="0.3">
      <c r="A2152" t="s">
        <v>17</v>
      </c>
      <c r="B2152" t="str">
        <f>"603662"</f>
        <v>603662</v>
      </c>
      <c r="C2152" t="s">
        <v>4350</v>
      </c>
      <c r="D2152" t="s">
        <v>135</v>
      </c>
      <c r="E2152">
        <v>-30831510</v>
      </c>
      <c r="F2152">
        <v>-52685975</v>
      </c>
      <c r="G2152">
        <v>25429321</v>
      </c>
      <c r="H2152">
        <v>-16208300</v>
      </c>
      <c r="I2152">
        <v>1747500</v>
      </c>
      <c r="P2152">
        <v>125</v>
      </c>
      <c r="Q2152" t="s">
        <v>4351</v>
      </c>
    </row>
    <row r="2153" spans="1:17" x14ac:dyDescent="0.3">
      <c r="A2153" t="s">
        <v>17</v>
      </c>
      <c r="B2153" t="str">
        <f>"600405"</f>
        <v>600405</v>
      </c>
      <c r="C2153" t="s">
        <v>4352</v>
      </c>
      <c r="D2153" t="s">
        <v>464</v>
      </c>
      <c r="E2153">
        <v>-30835518</v>
      </c>
      <c r="F2153">
        <v>-47870623</v>
      </c>
      <c r="G2153">
        <v>-3196553</v>
      </c>
      <c r="H2153">
        <v>-61636677</v>
      </c>
      <c r="I2153">
        <v>-118021033</v>
      </c>
      <c r="J2153">
        <v>-56459376</v>
      </c>
      <c r="K2153">
        <v>-71178108</v>
      </c>
      <c r="L2153">
        <v>-57321003</v>
      </c>
      <c r="M2153">
        <v>-102251222</v>
      </c>
      <c r="N2153">
        <v>-49260341</v>
      </c>
      <c r="O2153">
        <v>-56454054</v>
      </c>
      <c r="P2153">
        <v>255</v>
      </c>
      <c r="Q2153" t="s">
        <v>4353</v>
      </c>
    </row>
    <row r="2154" spans="1:17" x14ac:dyDescent="0.3">
      <c r="A2154" t="s">
        <v>17</v>
      </c>
      <c r="B2154" t="str">
        <f>"688366"</f>
        <v>688366</v>
      </c>
      <c r="C2154" t="s">
        <v>4354</v>
      </c>
      <c r="D2154" t="s">
        <v>98</v>
      </c>
      <c r="E2154">
        <v>-30874523</v>
      </c>
      <c r="F2154">
        <v>-24387176</v>
      </c>
      <c r="G2154">
        <v>-91083795</v>
      </c>
      <c r="H2154">
        <v>4031300</v>
      </c>
      <c r="I2154">
        <v>10102300</v>
      </c>
      <c r="P2154">
        <v>265</v>
      </c>
      <c r="Q2154" t="s">
        <v>4355</v>
      </c>
    </row>
    <row r="2155" spans="1:17" x14ac:dyDescent="0.3">
      <c r="A2155" t="s">
        <v>17</v>
      </c>
      <c r="B2155" t="str">
        <f>"688060"</f>
        <v>688060</v>
      </c>
      <c r="C2155" t="s">
        <v>4356</v>
      </c>
      <c r="D2155" t="s">
        <v>342</v>
      </c>
      <c r="E2155">
        <v>-30896177</v>
      </c>
      <c r="F2155">
        <v>-17631676</v>
      </c>
      <c r="G2155">
        <v>-15658016</v>
      </c>
      <c r="H2155">
        <v>-2365333</v>
      </c>
      <c r="P2155">
        <v>76</v>
      </c>
      <c r="Q2155" t="s">
        <v>4357</v>
      </c>
    </row>
    <row r="2156" spans="1:17" x14ac:dyDescent="0.3">
      <c r="A2156" t="s">
        <v>32</v>
      </c>
      <c r="B2156" t="str">
        <f>"301061"</f>
        <v>301061</v>
      </c>
      <c r="C2156" t="s">
        <v>4358</v>
      </c>
      <c r="D2156" t="s">
        <v>455</v>
      </c>
      <c r="E2156">
        <v>-30979050</v>
      </c>
      <c r="P2156">
        <v>28</v>
      </c>
      <c r="Q2156" t="s">
        <v>4359</v>
      </c>
    </row>
    <row r="2157" spans="1:17" x14ac:dyDescent="0.3">
      <c r="A2157" t="s">
        <v>32</v>
      </c>
      <c r="B2157" t="str">
        <f>"000595"</f>
        <v>000595</v>
      </c>
      <c r="C2157" t="s">
        <v>4360</v>
      </c>
      <c r="D2157" t="s">
        <v>135</v>
      </c>
      <c r="E2157">
        <v>-31034300</v>
      </c>
      <c r="F2157">
        <v>-33424495</v>
      </c>
      <c r="G2157">
        <v>-6062309</v>
      </c>
      <c r="H2157">
        <v>-5067126</v>
      </c>
      <c r="I2157">
        <v>-47760301</v>
      </c>
      <c r="J2157">
        <v>-35241774</v>
      </c>
      <c r="K2157">
        <v>-35593803</v>
      </c>
      <c r="L2157">
        <v>-99106770</v>
      </c>
      <c r="M2157">
        <v>-47935934</v>
      </c>
      <c r="N2157">
        <v>-5141592</v>
      </c>
      <c r="O2157">
        <v>19774043</v>
      </c>
      <c r="P2157">
        <v>98</v>
      </c>
      <c r="Q2157" t="s">
        <v>4361</v>
      </c>
    </row>
    <row r="2158" spans="1:17" x14ac:dyDescent="0.3">
      <c r="A2158" t="s">
        <v>32</v>
      </c>
      <c r="B2158" t="str">
        <f>"002199"</f>
        <v>002199</v>
      </c>
      <c r="C2158" t="s">
        <v>4362</v>
      </c>
      <c r="D2158" t="s">
        <v>124</v>
      </c>
      <c r="E2158">
        <v>-31034829</v>
      </c>
      <c r="F2158">
        <v>1372745</v>
      </c>
      <c r="G2158">
        <v>205587</v>
      </c>
      <c r="H2158">
        <v>54664109</v>
      </c>
      <c r="I2158">
        <v>-10695134</v>
      </c>
      <c r="J2158">
        <v>-3758518</v>
      </c>
      <c r="K2158">
        <v>-47831994</v>
      </c>
      <c r="L2158">
        <v>-46732313</v>
      </c>
      <c r="M2158">
        <v>-57706888</v>
      </c>
      <c r="N2158">
        <v>-62700664</v>
      </c>
      <c r="O2158">
        <v>-58831037</v>
      </c>
      <c r="P2158">
        <v>111</v>
      </c>
      <c r="Q2158" t="s">
        <v>4363</v>
      </c>
    </row>
    <row r="2159" spans="1:17" x14ac:dyDescent="0.3">
      <c r="A2159" t="s">
        <v>32</v>
      </c>
      <c r="B2159" t="str">
        <f>"300698"</f>
        <v>300698</v>
      </c>
      <c r="C2159" t="s">
        <v>4364</v>
      </c>
      <c r="D2159" t="s">
        <v>57</v>
      </c>
      <c r="E2159">
        <v>-31055820</v>
      </c>
      <c r="F2159">
        <v>-51893862</v>
      </c>
      <c r="G2159">
        <v>-48996728</v>
      </c>
      <c r="H2159">
        <v>-10315054</v>
      </c>
      <c r="I2159">
        <v>-27574469</v>
      </c>
      <c r="J2159">
        <v>-24078171</v>
      </c>
      <c r="P2159">
        <v>121</v>
      </c>
      <c r="Q2159" t="s">
        <v>4365</v>
      </c>
    </row>
    <row r="2160" spans="1:17" x14ac:dyDescent="0.3">
      <c r="A2160" t="s">
        <v>32</v>
      </c>
      <c r="B2160" t="str">
        <f>"300935"</f>
        <v>300935</v>
      </c>
      <c r="C2160" t="s">
        <v>4366</v>
      </c>
      <c r="D2160" t="s">
        <v>342</v>
      </c>
      <c r="E2160">
        <v>-31069336</v>
      </c>
      <c r="F2160">
        <v>-29343552</v>
      </c>
      <c r="G2160">
        <v>-21091222</v>
      </c>
      <c r="P2160">
        <v>56</v>
      </c>
      <c r="Q2160" t="s">
        <v>4367</v>
      </c>
    </row>
    <row r="2161" spans="1:17" x14ac:dyDescent="0.3">
      <c r="A2161" t="s">
        <v>32</v>
      </c>
      <c r="B2161" t="str">
        <f>"300612"</f>
        <v>300612</v>
      </c>
      <c r="C2161" t="s">
        <v>4368</v>
      </c>
      <c r="D2161" t="s">
        <v>245</v>
      </c>
      <c r="E2161">
        <v>-31098781</v>
      </c>
      <c r="F2161">
        <v>-48523976</v>
      </c>
      <c r="G2161">
        <v>12913061</v>
      </c>
      <c r="H2161">
        <v>-14333288</v>
      </c>
      <c r="I2161">
        <v>53069680</v>
      </c>
      <c r="J2161">
        <v>-27578375</v>
      </c>
      <c r="K2161">
        <v>10333688</v>
      </c>
      <c r="P2161">
        <v>84</v>
      </c>
      <c r="Q2161" t="s">
        <v>4369</v>
      </c>
    </row>
    <row r="2162" spans="1:17" x14ac:dyDescent="0.3">
      <c r="A2162" t="s">
        <v>32</v>
      </c>
      <c r="B2162" t="str">
        <f>"002356"</f>
        <v>002356</v>
      </c>
      <c r="C2162" t="s">
        <v>4370</v>
      </c>
      <c r="D2162" t="s">
        <v>218</v>
      </c>
      <c r="E2162">
        <v>-31112911</v>
      </c>
      <c r="F2162">
        <v>-639255</v>
      </c>
      <c r="G2162">
        <v>29649362</v>
      </c>
      <c r="H2162">
        <v>53482383</v>
      </c>
      <c r="I2162">
        <v>-274006372</v>
      </c>
      <c r="J2162">
        <v>-181164381</v>
      </c>
      <c r="K2162">
        <v>-203966971</v>
      </c>
      <c r="L2162">
        <v>-96812853</v>
      </c>
      <c r="M2162">
        <v>-15173501</v>
      </c>
      <c r="N2162">
        <v>-123039583</v>
      </c>
      <c r="O2162">
        <v>-45440786</v>
      </c>
      <c r="P2162">
        <v>75</v>
      </c>
      <c r="Q2162" t="s">
        <v>4371</v>
      </c>
    </row>
    <row r="2163" spans="1:17" x14ac:dyDescent="0.3">
      <c r="A2163" t="s">
        <v>32</v>
      </c>
      <c r="B2163" t="str">
        <f>"301075"</f>
        <v>301075</v>
      </c>
      <c r="C2163" t="s">
        <v>4372</v>
      </c>
      <c r="D2163" t="s">
        <v>98</v>
      </c>
      <c r="E2163">
        <v>-31132917</v>
      </c>
      <c r="G2163">
        <v>7558038</v>
      </c>
      <c r="P2163">
        <v>22</v>
      </c>
      <c r="Q2163" t="s">
        <v>4373</v>
      </c>
    </row>
    <row r="2164" spans="1:17" x14ac:dyDescent="0.3">
      <c r="A2164" t="s">
        <v>17</v>
      </c>
      <c r="B2164" t="str">
        <f>"688768"</f>
        <v>688768</v>
      </c>
      <c r="C2164" t="s">
        <v>4374</v>
      </c>
      <c r="D2164" t="s">
        <v>135</v>
      </c>
      <c r="E2164">
        <v>-31155369</v>
      </c>
      <c r="F2164">
        <v>-19833818</v>
      </c>
      <c r="G2164">
        <v>-18713455</v>
      </c>
      <c r="P2164">
        <v>30</v>
      </c>
      <c r="Q2164" t="s">
        <v>4375</v>
      </c>
    </row>
    <row r="2165" spans="1:17" x14ac:dyDescent="0.3">
      <c r="A2165" t="s">
        <v>17</v>
      </c>
      <c r="B2165" t="str">
        <f>"603696"</f>
        <v>603696</v>
      </c>
      <c r="C2165" t="s">
        <v>4376</v>
      </c>
      <c r="D2165" t="s">
        <v>172</v>
      </c>
      <c r="E2165">
        <v>-31230999</v>
      </c>
      <c r="F2165">
        <v>-2125633</v>
      </c>
      <c r="G2165">
        <v>-6236987</v>
      </c>
      <c r="H2165">
        <v>-29407924</v>
      </c>
      <c r="I2165">
        <v>-160287694</v>
      </c>
      <c r="J2165">
        <v>-13419668</v>
      </c>
      <c r="K2165">
        <v>-23330217</v>
      </c>
      <c r="L2165">
        <v>-1138199</v>
      </c>
      <c r="P2165">
        <v>195</v>
      </c>
      <c r="Q2165" t="s">
        <v>4377</v>
      </c>
    </row>
    <row r="2166" spans="1:17" x14ac:dyDescent="0.3">
      <c r="A2166" t="s">
        <v>32</v>
      </c>
      <c r="B2166" t="str">
        <f>"002355"</f>
        <v>002355</v>
      </c>
      <c r="C2166" t="s">
        <v>4378</v>
      </c>
      <c r="D2166" t="s">
        <v>199</v>
      </c>
      <c r="E2166">
        <v>-31291559</v>
      </c>
      <c r="F2166">
        <v>-94636512</v>
      </c>
      <c r="G2166">
        <v>-78249278</v>
      </c>
      <c r="H2166">
        <v>-10262004</v>
      </c>
      <c r="I2166">
        <v>-38562318</v>
      </c>
      <c r="J2166">
        <v>-269545</v>
      </c>
      <c r="K2166">
        <v>30694774</v>
      </c>
      <c r="L2166">
        <v>-20397944</v>
      </c>
      <c r="M2166">
        <v>-60808343</v>
      </c>
      <c r="N2166">
        <v>43334408</v>
      </c>
      <c r="O2166">
        <v>-54895401</v>
      </c>
      <c r="P2166">
        <v>120</v>
      </c>
      <c r="Q2166" t="s">
        <v>4379</v>
      </c>
    </row>
    <row r="2167" spans="1:17" x14ac:dyDescent="0.3">
      <c r="A2167" t="s">
        <v>17</v>
      </c>
      <c r="B2167" t="str">
        <f>"688272"</f>
        <v>688272</v>
      </c>
      <c r="C2167" t="s">
        <v>4380</v>
      </c>
      <c r="D2167" t="s">
        <v>188</v>
      </c>
      <c r="E2167">
        <v>-31372121</v>
      </c>
      <c r="P2167">
        <v>11</v>
      </c>
      <c r="Q2167" t="s">
        <v>4381</v>
      </c>
    </row>
    <row r="2168" spans="1:17" x14ac:dyDescent="0.3">
      <c r="A2168" t="s">
        <v>32</v>
      </c>
      <c r="B2168" t="str">
        <f>"002190"</f>
        <v>002190</v>
      </c>
      <c r="C2168" t="s">
        <v>4382</v>
      </c>
      <c r="D2168" t="s">
        <v>188</v>
      </c>
      <c r="E2168">
        <v>-31386329</v>
      </c>
      <c r="F2168">
        <v>-48505522</v>
      </c>
      <c r="G2168">
        <v>6175742</v>
      </c>
      <c r="H2168">
        <v>-225291053</v>
      </c>
      <c r="I2168">
        <v>-320601680</v>
      </c>
      <c r="J2168">
        <v>-30653435</v>
      </c>
      <c r="K2168">
        <v>-200190641</v>
      </c>
      <c r="L2168">
        <v>-157444644</v>
      </c>
      <c r="M2168">
        <v>-78766688</v>
      </c>
      <c r="N2168">
        <v>-54256759</v>
      </c>
      <c r="O2168">
        <v>-139178382</v>
      </c>
      <c r="P2168">
        <v>184</v>
      </c>
      <c r="Q2168" t="s">
        <v>4383</v>
      </c>
    </row>
    <row r="2169" spans="1:17" x14ac:dyDescent="0.3">
      <c r="A2169" t="s">
        <v>17</v>
      </c>
      <c r="B2169" t="str">
        <f>"688210"</f>
        <v>688210</v>
      </c>
      <c r="C2169" t="s">
        <v>4384</v>
      </c>
      <c r="D2169" t="s">
        <v>124</v>
      </c>
      <c r="E2169">
        <v>-31424919</v>
      </c>
      <c r="P2169">
        <v>9</v>
      </c>
      <c r="Q2169" t="s">
        <v>4385</v>
      </c>
    </row>
    <row r="2170" spans="1:17" x14ac:dyDescent="0.3">
      <c r="A2170" t="s">
        <v>17</v>
      </c>
      <c r="B2170" t="str">
        <f>"603221"</f>
        <v>603221</v>
      </c>
      <c r="C2170" t="s">
        <v>4386</v>
      </c>
      <c r="D2170" t="s">
        <v>455</v>
      </c>
      <c r="E2170">
        <v>-31686449</v>
      </c>
      <c r="F2170">
        <v>-31554778</v>
      </c>
      <c r="G2170">
        <v>-92991613</v>
      </c>
      <c r="H2170">
        <v>-29396831</v>
      </c>
      <c r="P2170">
        <v>79</v>
      </c>
      <c r="Q2170" t="s">
        <v>4387</v>
      </c>
    </row>
    <row r="2171" spans="1:17" x14ac:dyDescent="0.3">
      <c r="A2171" t="s">
        <v>17</v>
      </c>
      <c r="B2171" t="str">
        <f>"603980"</f>
        <v>603980</v>
      </c>
      <c r="C2171" t="s">
        <v>4388</v>
      </c>
      <c r="D2171" t="s">
        <v>144</v>
      </c>
      <c r="E2171">
        <v>-31733933</v>
      </c>
      <c r="F2171">
        <v>-116656973</v>
      </c>
      <c r="G2171">
        <v>72525427</v>
      </c>
      <c r="H2171">
        <v>179458017</v>
      </c>
      <c r="I2171">
        <v>26293474</v>
      </c>
      <c r="J2171">
        <v>69330770</v>
      </c>
      <c r="K2171">
        <v>441267559</v>
      </c>
      <c r="P2171">
        <v>195</v>
      </c>
      <c r="Q2171" t="s">
        <v>4389</v>
      </c>
    </row>
    <row r="2172" spans="1:17" x14ac:dyDescent="0.3">
      <c r="A2172" t="s">
        <v>17</v>
      </c>
      <c r="B2172" t="str">
        <f>"600249"</f>
        <v>600249</v>
      </c>
      <c r="C2172" t="s">
        <v>4390</v>
      </c>
      <c r="D2172" t="s">
        <v>544</v>
      </c>
      <c r="E2172">
        <v>-31740468</v>
      </c>
      <c r="F2172">
        <v>-56769259</v>
      </c>
      <c r="G2172">
        <v>-41171809</v>
      </c>
      <c r="H2172">
        <v>-5496797</v>
      </c>
      <c r="I2172">
        <v>-31105533</v>
      </c>
      <c r="J2172">
        <v>-77485024</v>
      </c>
      <c r="K2172">
        <v>-75479592</v>
      </c>
      <c r="L2172">
        <v>-118643195</v>
      </c>
      <c r="M2172">
        <v>-68261914</v>
      </c>
      <c r="N2172">
        <v>-59117700</v>
      </c>
      <c r="O2172">
        <v>-110237627</v>
      </c>
      <c r="P2172">
        <v>90</v>
      </c>
      <c r="Q2172" t="s">
        <v>4391</v>
      </c>
    </row>
    <row r="2173" spans="1:17" x14ac:dyDescent="0.3">
      <c r="A2173" t="s">
        <v>32</v>
      </c>
      <c r="B2173" t="str">
        <f>"300810"</f>
        <v>300810</v>
      </c>
      <c r="C2173" t="s">
        <v>4392</v>
      </c>
      <c r="D2173" t="s">
        <v>188</v>
      </c>
      <c r="E2173">
        <v>-31851771</v>
      </c>
      <c r="F2173">
        <v>-23978774</v>
      </c>
      <c r="G2173">
        <v>-53362825</v>
      </c>
      <c r="H2173">
        <v>-43271504</v>
      </c>
      <c r="P2173">
        <v>57</v>
      </c>
      <c r="Q2173" t="s">
        <v>4393</v>
      </c>
    </row>
    <row r="2174" spans="1:17" x14ac:dyDescent="0.3">
      <c r="A2174" t="s">
        <v>32</v>
      </c>
      <c r="B2174" t="str">
        <f>"300943"</f>
        <v>300943</v>
      </c>
      <c r="C2174" t="s">
        <v>4394</v>
      </c>
      <c r="D2174" t="s">
        <v>135</v>
      </c>
      <c r="E2174">
        <v>-31874243</v>
      </c>
      <c r="F2174">
        <v>-42466998</v>
      </c>
      <c r="G2174">
        <v>-17872302</v>
      </c>
      <c r="H2174">
        <v>18880781</v>
      </c>
      <c r="I2174">
        <v>-10243547</v>
      </c>
      <c r="P2174">
        <v>35</v>
      </c>
      <c r="Q2174" t="s">
        <v>4395</v>
      </c>
    </row>
    <row r="2175" spans="1:17" x14ac:dyDescent="0.3">
      <c r="A2175" t="s">
        <v>17</v>
      </c>
      <c r="B2175" t="str">
        <f>"603421"</f>
        <v>603421</v>
      </c>
      <c r="C2175" t="s">
        <v>4396</v>
      </c>
      <c r="D2175" t="s">
        <v>57</v>
      </c>
      <c r="E2175">
        <v>-31882750</v>
      </c>
      <c r="F2175">
        <v>3276314</v>
      </c>
      <c r="G2175">
        <v>7305879</v>
      </c>
      <c r="H2175">
        <v>-93928660</v>
      </c>
      <c r="I2175">
        <v>-168593550</v>
      </c>
      <c r="J2175">
        <v>-110210225</v>
      </c>
      <c r="K2175">
        <v>-95609503</v>
      </c>
      <c r="P2175">
        <v>138</v>
      </c>
      <c r="Q2175" t="s">
        <v>4397</v>
      </c>
    </row>
    <row r="2176" spans="1:17" x14ac:dyDescent="0.3">
      <c r="A2176" t="s">
        <v>17</v>
      </c>
      <c r="B2176" t="str">
        <f>"688621"</f>
        <v>688621</v>
      </c>
      <c r="C2176" t="s">
        <v>4398</v>
      </c>
      <c r="D2176" t="s">
        <v>98</v>
      </c>
      <c r="E2176">
        <v>-31899290</v>
      </c>
      <c r="F2176">
        <v>886259</v>
      </c>
      <c r="G2176">
        <v>13129372</v>
      </c>
      <c r="P2176">
        <v>63</v>
      </c>
      <c r="Q2176" t="s">
        <v>4399</v>
      </c>
    </row>
    <row r="2177" spans="1:17" x14ac:dyDescent="0.3">
      <c r="A2177" t="s">
        <v>32</v>
      </c>
      <c r="B2177" t="str">
        <f>"002265"</f>
        <v>002265</v>
      </c>
      <c r="C2177" t="s">
        <v>4400</v>
      </c>
      <c r="D2177" t="s">
        <v>199</v>
      </c>
      <c r="E2177">
        <v>-31980994</v>
      </c>
      <c r="F2177">
        <v>-26052620</v>
      </c>
      <c r="G2177">
        <v>-46774794</v>
      </c>
      <c r="H2177">
        <v>-14396891</v>
      </c>
      <c r="I2177">
        <v>57474980</v>
      </c>
      <c r="J2177">
        <v>22231740</v>
      </c>
      <c r="K2177">
        <v>5182749</v>
      </c>
      <c r="L2177">
        <v>-9713360</v>
      </c>
      <c r="M2177">
        <v>-4189784</v>
      </c>
      <c r="N2177">
        <v>-25124115</v>
      </c>
      <c r="O2177">
        <v>-24862378</v>
      </c>
      <c r="P2177">
        <v>86</v>
      </c>
      <c r="Q2177" t="s">
        <v>4401</v>
      </c>
    </row>
    <row r="2178" spans="1:17" x14ac:dyDescent="0.3">
      <c r="A2178" t="s">
        <v>17</v>
      </c>
      <c r="B2178" t="str">
        <f>"605099"</f>
        <v>605099</v>
      </c>
      <c r="C2178" t="s">
        <v>4402</v>
      </c>
      <c r="D2178" t="s">
        <v>455</v>
      </c>
      <c r="E2178">
        <v>-32043729</v>
      </c>
      <c r="F2178">
        <v>-62943507</v>
      </c>
      <c r="G2178">
        <v>78833823</v>
      </c>
      <c r="P2178">
        <v>167</v>
      </c>
      <c r="Q2178" t="s">
        <v>4403</v>
      </c>
    </row>
    <row r="2179" spans="1:17" x14ac:dyDescent="0.3">
      <c r="A2179" t="s">
        <v>32</v>
      </c>
      <c r="B2179" t="str">
        <f>"000836"</f>
        <v>000836</v>
      </c>
      <c r="C2179" t="s">
        <v>4404</v>
      </c>
      <c r="D2179" t="s">
        <v>57</v>
      </c>
      <c r="E2179">
        <v>-32125564</v>
      </c>
      <c r="F2179">
        <v>-107120046</v>
      </c>
      <c r="G2179">
        <v>-93338973</v>
      </c>
      <c r="H2179">
        <v>-24258656</v>
      </c>
      <c r="I2179">
        <v>-127782487</v>
      </c>
      <c r="J2179">
        <v>-15587090</v>
      </c>
      <c r="K2179">
        <v>-45565802</v>
      </c>
      <c r="L2179">
        <v>24792317</v>
      </c>
      <c r="M2179">
        <v>-36174675</v>
      </c>
      <c r="N2179">
        <v>102231832</v>
      </c>
      <c r="O2179">
        <v>-3891167</v>
      </c>
      <c r="P2179">
        <v>135</v>
      </c>
      <c r="Q2179" t="s">
        <v>4405</v>
      </c>
    </row>
    <row r="2180" spans="1:17" x14ac:dyDescent="0.3">
      <c r="A2180" t="s">
        <v>32</v>
      </c>
      <c r="B2180" t="str">
        <f>"002569"</f>
        <v>002569</v>
      </c>
      <c r="C2180" t="s">
        <v>4406</v>
      </c>
      <c r="D2180" t="s">
        <v>130</v>
      </c>
      <c r="E2180">
        <v>-32146084</v>
      </c>
      <c r="F2180">
        <v>-22798834</v>
      </c>
      <c r="G2180">
        <v>-28765783</v>
      </c>
      <c r="H2180">
        <v>-24942059</v>
      </c>
      <c r="I2180">
        <v>-14668553</v>
      </c>
      <c r="J2180">
        <v>-22227215</v>
      </c>
      <c r="K2180">
        <v>-35456830</v>
      </c>
      <c r="L2180">
        <v>-2818990</v>
      </c>
      <c r="M2180">
        <v>-70595451</v>
      </c>
      <c r="N2180">
        <v>-88622530</v>
      </c>
      <c r="O2180">
        <v>-118188261</v>
      </c>
      <c r="P2180">
        <v>59</v>
      </c>
      <c r="Q2180" t="s">
        <v>4407</v>
      </c>
    </row>
    <row r="2181" spans="1:17" x14ac:dyDescent="0.3">
      <c r="A2181" t="s">
        <v>32</v>
      </c>
      <c r="B2181" t="str">
        <f>"300460"</f>
        <v>300460</v>
      </c>
      <c r="C2181" t="s">
        <v>4408</v>
      </c>
      <c r="D2181" t="s">
        <v>124</v>
      </c>
      <c r="E2181">
        <v>-32197787</v>
      </c>
      <c r="F2181">
        <v>-134386871</v>
      </c>
      <c r="G2181">
        <v>-36098947</v>
      </c>
      <c r="H2181">
        <v>-176102</v>
      </c>
      <c r="I2181">
        <v>-120041</v>
      </c>
      <c r="J2181">
        <v>-24838036</v>
      </c>
      <c r="K2181">
        <v>-10912335</v>
      </c>
      <c r="L2181">
        <v>-19520242</v>
      </c>
      <c r="M2181">
        <v>24697800</v>
      </c>
      <c r="P2181">
        <v>154</v>
      </c>
      <c r="Q2181" t="s">
        <v>4409</v>
      </c>
    </row>
    <row r="2182" spans="1:17" x14ac:dyDescent="0.3">
      <c r="A2182" t="s">
        <v>17</v>
      </c>
      <c r="B2182" t="str">
        <f>"688229"</f>
        <v>688229</v>
      </c>
      <c r="C2182" t="s">
        <v>4410</v>
      </c>
      <c r="D2182" t="s">
        <v>342</v>
      </c>
      <c r="E2182">
        <v>-32247720</v>
      </c>
      <c r="F2182">
        <v>-18835031</v>
      </c>
      <c r="G2182">
        <v>-12136542</v>
      </c>
      <c r="H2182">
        <v>-5897056</v>
      </c>
      <c r="P2182">
        <v>63</v>
      </c>
      <c r="Q2182" t="s">
        <v>4411</v>
      </c>
    </row>
    <row r="2183" spans="1:17" x14ac:dyDescent="0.3">
      <c r="A2183" t="s">
        <v>17</v>
      </c>
      <c r="B2183" t="str">
        <f>"600084"</f>
        <v>600084</v>
      </c>
      <c r="C2183" t="s">
        <v>4412</v>
      </c>
      <c r="D2183" t="s">
        <v>172</v>
      </c>
      <c r="E2183">
        <v>-32271170</v>
      </c>
      <c r="F2183">
        <v>7049038</v>
      </c>
      <c r="G2183">
        <v>-25655739</v>
      </c>
      <c r="H2183">
        <v>-20376542</v>
      </c>
      <c r="I2183">
        <v>-61311047</v>
      </c>
      <c r="J2183">
        <v>-104960435</v>
      </c>
      <c r="K2183">
        <v>-84682145</v>
      </c>
      <c r="L2183">
        <v>-120435232</v>
      </c>
      <c r="M2183">
        <v>-149287966</v>
      </c>
      <c r="N2183">
        <v>-66693495</v>
      </c>
      <c r="O2183">
        <v>-50942663</v>
      </c>
      <c r="P2183">
        <v>99</v>
      </c>
      <c r="Q2183" t="s">
        <v>4413</v>
      </c>
    </row>
    <row r="2184" spans="1:17" x14ac:dyDescent="0.3">
      <c r="A2184" t="s">
        <v>32</v>
      </c>
      <c r="B2184" t="str">
        <f>"002675"</f>
        <v>002675</v>
      </c>
      <c r="C2184" t="s">
        <v>4414</v>
      </c>
      <c r="D2184" t="s">
        <v>98</v>
      </c>
      <c r="E2184">
        <v>-32343333</v>
      </c>
      <c r="F2184">
        <v>86814836</v>
      </c>
      <c r="G2184">
        <v>68669065</v>
      </c>
      <c r="H2184">
        <v>1647069</v>
      </c>
      <c r="I2184">
        <v>68160205</v>
      </c>
      <c r="J2184">
        <v>-101916612</v>
      </c>
      <c r="K2184">
        <v>3145660</v>
      </c>
      <c r="L2184">
        <v>-11843478</v>
      </c>
      <c r="M2184">
        <v>40635556</v>
      </c>
      <c r="N2184">
        <v>-55642679</v>
      </c>
      <c r="O2184">
        <v>1678656</v>
      </c>
      <c r="P2184">
        <v>365</v>
      </c>
      <c r="Q2184" t="s">
        <v>4415</v>
      </c>
    </row>
    <row r="2185" spans="1:17" x14ac:dyDescent="0.3">
      <c r="A2185" t="s">
        <v>17</v>
      </c>
      <c r="B2185" t="str">
        <f>"688218"</f>
        <v>688218</v>
      </c>
      <c r="C2185" t="s">
        <v>4416</v>
      </c>
      <c r="D2185" t="s">
        <v>135</v>
      </c>
      <c r="E2185">
        <v>-32410601</v>
      </c>
      <c r="F2185">
        <v>-76283041</v>
      </c>
      <c r="G2185">
        <v>2335456</v>
      </c>
      <c r="H2185">
        <v>-34960643</v>
      </c>
      <c r="I2185">
        <v>-48603846</v>
      </c>
      <c r="P2185">
        <v>47</v>
      </c>
      <c r="Q2185" t="s">
        <v>4417</v>
      </c>
    </row>
    <row r="2186" spans="1:17" x14ac:dyDescent="0.3">
      <c r="A2186" t="s">
        <v>17</v>
      </c>
      <c r="B2186" t="str">
        <f>"603867"</f>
        <v>603867</v>
      </c>
      <c r="C2186" t="s">
        <v>4418</v>
      </c>
      <c r="D2186" t="s">
        <v>144</v>
      </c>
      <c r="E2186">
        <v>-32453646</v>
      </c>
      <c r="F2186">
        <v>-59252581</v>
      </c>
      <c r="G2186">
        <v>-49316788</v>
      </c>
      <c r="H2186">
        <v>3775140</v>
      </c>
      <c r="I2186">
        <v>-21802000</v>
      </c>
      <c r="P2186">
        <v>88</v>
      </c>
      <c r="Q2186" t="s">
        <v>4419</v>
      </c>
    </row>
    <row r="2187" spans="1:17" x14ac:dyDescent="0.3">
      <c r="A2187" t="s">
        <v>17</v>
      </c>
      <c r="B2187" t="str">
        <f>"688207"</f>
        <v>688207</v>
      </c>
      <c r="C2187" t="s">
        <v>4420</v>
      </c>
      <c r="E2187">
        <v>-32463030</v>
      </c>
      <c r="P2187">
        <v>7</v>
      </c>
      <c r="Q2187" t="s">
        <v>4421</v>
      </c>
    </row>
    <row r="2188" spans="1:17" x14ac:dyDescent="0.3">
      <c r="A2188" t="s">
        <v>32</v>
      </c>
      <c r="B2188" t="str">
        <f>"002786"</f>
        <v>002786</v>
      </c>
      <c r="C2188" t="s">
        <v>4422</v>
      </c>
      <c r="D2188" t="s">
        <v>135</v>
      </c>
      <c r="E2188">
        <v>-32467701</v>
      </c>
      <c r="F2188">
        <v>-196449934</v>
      </c>
      <c r="G2188">
        <v>-10811253</v>
      </c>
      <c r="H2188">
        <v>-47891577</v>
      </c>
      <c r="I2188">
        <v>-118506263</v>
      </c>
      <c r="J2188">
        <v>-36323595</v>
      </c>
      <c r="K2188">
        <v>-38290403</v>
      </c>
      <c r="L2188">
        <v>23996300</v>
      </c>
      <c r="M2188">
        <v>7839100</v>
      </c>
      <c r="P2188">
        <v>176</v>
      </c>
      <c r="Q2188" t="s">
        <v>4423</v>
      </c>
    </row>
    <row r="2189" spans="1:17" x14ac:dyDescent="0.3">
      <c r="A2189" t="s">
        <v>32</v>
      </c>
      <c r="B2189" t="str">
        <f>"002394"</f>
        <v>002394</v>
      </c>
      <c r="C2189" t="s">
        <v>4424</v>
      </c>
      <c r="D2189" t="s">
        <v>130</v>
      </c>
      <c r="E2189">
        <v>-32471687</v>
      </c>
      <c r="F2189">
        <v>18460777</v>
      </c>
      <c r="G2189">
        <v>107892543</v>
      </c>
      <c r="H2189">
        <v>111483138</v>
      </c>
      <c r="I2189">
        <v>106914849</v>
      </c>
      <c r="J2189">
        <v>1826051</v>
      </c>
      <c r="K2189">
        <v>19962933</v>
      </c>
      <c r="L2189">
        <v>-94797233</v>
      </c>
      <c r="M2189">
        <v>96465030</v>
      </c>
      <c r="N2189">
        <v>-94256245</v>
      </c>
      <c r="O2189">
        <v>-26953349</v>
      </c>
      <c r="P2189">
        <v>673</v>
      </c>
      <c r="Q2189" t="s">
        <v>4425</v>
      </c>
    </row>
    <row r="2190" spans="1:17" x14ac:dyDescent="0.3">
      <c r="A2190" t="s">
        <v>32</v>
      </c>
      <c r="B2190" t="str">
        <f>"300647"</f>
        <v>300647</v>
      </c>
      <c r="C2190" t="s">
        <v>4426</v>
      </c>
      <c r="D2190" t="s">
        <v>124</v>
      </c>
      <c r="E2190">
        <v>-32535510</v>
      </c>
      <c r="F2190">
        <v>-49216914</v>
      </c>
      <c r="G2190">
        <v>-27734981</v>
      </c>
      <c r="H2190">
        <v>8201455</v>
      </c>
      <c r="I2190">
        <v>-55243195</v>
      </c>
      <c r="J2190">
        <v>-26314167</v>
      </c>
      <c r="K2190">
        <v>-31582288</v>
      </c>
      <c r="P2190">
        <v>117</v>
      </c>
      <c r="Q2190" t="s">
        <v>4427</v>
      </c>
    </row>
    <row r="2191" spans="1:17" x14ac:dyDescent="0.3">
      <c r="A2191" t="s">
        <v>32</v>
      </c>
      <c r="B2191" t="str">
        <f>"002085"</f>
        <v>002085</v>
      </c>
      <c r="C2191" t="s">
        <v>4428</v>
      </c>
      <c r="D2191" t="s">
        <v>199</v>
      </c>
      <c r="E2191">
        <v>-32546789</v>
      </c>
      <c r="F2191">
        <v>176894441</v>
      </c>
      <c r="G2191">
        <v>357171442</v>
      </c>
      <c r="H2191">
        <v>-13906612</v>
      </c>
      <c r="I2191">
        <v>143260933</v>
      </c>
      <c r="J2191">
        <v>113251479</v>
      </c>
      <c r="K2191">
        <v>21744105</v>
      </c>
      <c r="L2191">
        <v>76481792</v>
      </c>
      <c r="M2191">
        <v>178986022</v>
      </c>
      <c r="N2191">
        <v>43845724</v>
      </c>
      <c r="O2191">
        <v>44703778</v>
      </c>
      <c r="P2191">
        <v>1527</v>
      </c>
      <c r="Q2191" t="s">
        <v>4429</v>
      </c>
    </row>
    <row r="2192" spans="1:17" x14ac:dyDescent="0.3">
      <c r="A2192" t="s">
        <v>17</v>
      </c>
      <c r="B2192" t="str">
        <f>"688329"</f>
        <v>688329</v>
      </c>
      <c r="C2192" t="s">
        <v>4430</v>
      </c>
      <c r="D2192" t="s">
        <v>135</v>
      </c>
      <c r="E2192">
        <v>-32564284</v>
      </c>
      <c r="F2192">
        <v>-24077799</v>
      </c>
      <c r="G2192">
        <v>-23780510</v>
      </c>
      <c r="P2192">
        <v>43</v>
      </c>
      <c r="Q2192" t="s">
        <v>4431</v>
      </c>
    </row>
    <row r="2193" spans="1:17" x14ac:dyDescent="0.3">
      <c r="A2193" t="s">
        <v>17</v>
      </c>
      <c r="B2193" t="str">
        <f>"603899"</f>
        <v>603899</v>
      </c>
      <c r="C2193" t="s">
        <v>4432</v>
      </c>
      <c r="D2193" t="s">
        <v>455</v>
      </c>
      <c r="E2193">
        <v>-32588343</v>
      </c>
      <c r="F2193">
        <v>93061670</v>
      </c>
      <c r="G2193">
        <v>-269211340</v>
      </c>
      <c r="H2193">
        <v>-4173937</v>
      </c>
      <c r="I2193">
        <v>-90205872</v>
      </c>
      <c r="J2193">
        <v>77493927</v>
      </c>
      <c r="K2193">
        <v>110650902</v>
      </c>
      <c r="L2193">
        <v>145740524</v>
      </c>
      <c r="M2193">
        <v>121438808</v>
      </c>
      <c r="P2193">
        <v>25828</v>
      </c>
      <c r="Q2193" t="s">
        <v>4433</v>
      </c>
    </row>
    <row r="2194" spans="1:17" x14ac:dyDescent="0.3">
      <c r="A2194" t="s">
        <v>17</v>
      </c>
      <c r="B2194" t="str">
        <f>"688618"</f>
        <v>688618</v>
      </c>
      <c r="C2194" t="s">
        <v>4434</v>
      </c>
      <c r="D2194" t="s">
        <v>57</v>
      </c>
      <c r="E2194">
        <v>-32592567</v>
      </c>
      <c r="F2194">
        <v>-14339489</v>
      </c>
      <c r="G2194">
        <v>1816900</v>
      </c>
      <c r="H2194">
        <v>468900</v>
      </c>
      <c r="P2194">
        <v>41</v>
      </c>
      <c r="Q2194" t="s">
        <v>4435</v>
      </c>
    </row>
    <row r="2195" spans="1:17" x14ac:dyDescent="0.3">
      <c r="A2195" t="s">
        <v>17</v>
      </c>
      <c r="B2195" t="str">
        <f>"600862"</f>
        <v>600862</v>
      </c>
      <c r="C2195" t="s">
        <v>4436</v>
      </c>
      <c r="D2195" t="s">
        <v>188</v>
      </c>
      <c r="E2195">
        <v>-32639748</v>
      </c>
      <c r="F2195">
        <v>-252119112</v>
      </c>
      <c r="G2195">
        <v>-239725695</v>
      </c>
      <c r="H2195">
        <v>-94271093</v>
      </c>
      <c r="I2195">
        <v>-71824626</v>
      </c>
      <c r="J2195">
        <v>7833114</v>
      </c>
      <c r="K2195">
        <v>-191419908</v>
      </c>
      <c r="L2195">
        <v>-108980718</v>
      </c>
      <c r="M2195">
        <v>-33731708</v>
      </c>
      <c r="N2195">
        <v>171519144</v>
      </c>
      <c r="O2195">
        <v>-272196171</v>
      </c>
      <c r="P2195">
        <v>458</v>
      </c>
      <c r="Q2195" t="s">
        <v>4437</v>
      </c>
    </row>
    <row r="2196" spans="1:17" x14ac:dyDescent="0.3">
      <c r="A2196" t="s">
        <v>17</v>
      </c>
      <c r="B2196" t="str">
        <f>"688665"</f>
        <v>688665</v>
      </c>
      <c r="C2196" t="s">
        <v>4438</v>
      </c>
      <c r="D2196" t="s">
        <v>135</v>
      </c>
      <c r="E2196">
        <v>-32640413</v>
      </c>
      <c r="F2196">
        <v>-12334964</v>
      </c>
      <c r="G2196">
        <v>5896403</v>
      </c>
      <c r="H2196">
        <v>1870400</v>
      </c>
      <c r="P2196">
        <v>63</v>
      </c>
      <c r="Q2196" t="s">
        <v>4439</v>
      </c>
    </row>
    <row r="2197" spans="1:17" x14ac:dyDescent="0.3">
      <c r="A2197" t="s">
        <v>32</v>
      </c>
      <c r="B2197" t="str">
        <f>"002622"</f>
        <v>002622</v>
      </c>
      <c r="C2197" t="s">
        <v>4440</v>
      </c>
      <c r="D2197" t="s">
        <v>464</v>
      </c>
      <c r="E2197">
        <v>-32763599</v>
      </c>
      <c r="F2197">
        <v>4069851</v>
      </c>
      <c r="G2197">
        <v>6139924</v>
      </c>
      <c r="H2197">
        <v>-14160553</v>
      </c>
      <c r="I2197">
        <v>12969080</v>
      </c>
      <c r="J2197">
        <v>3923977</v>
      </c>
      <c r="K2197">
        <v>1310604</v>
      </c>
      <c r="L2197">
        <v>-9902793</v>
      </c>
      <c r="M2197">
        <v>-8210165</v>
      </c>
      <c r="N2197">
        <v>7719378</v>
      </c>
      <c r="O2197">
        <v>12068378</v>
      </c>
      <c r="P2197">
        <v>120</v>
      </c>
      <c r="Q2197" t="s">
        <v>4441</v>
      </c>
    </row>
    <row r="2198" spans="1:17" x14ac:dyDescent="0.3">
      <c r="A2198" t="s">
        <v>32</v>
      </c>
      <c r="B2198" t="str">
        <f>"002630"</f>
        <v>002630</v>
      </c>
      <c r="C2198" t="s">
        <v>4442</v>
      </c>
      <c r="D2198" t="s">
        <v>464</v>
      </c>
      <c r="E2198">
        <v>-32811481</v>
      </c>
      <c r="F2198">
        <v>-179454116</v>
      </c>
      <c r="G2198">
        <v>-135120206</v>
      </c>
      <c r="H2198">
        <v>-135120206</v>
      </c>
      <c r="I2198">
        <v>-660676297</v>
      </c>
      <c r="J2198">
        <v>-741282460</v>
      </c>
      <c r="K2198">
        <v>-53377957</v>
      </c>
      <c r="L2198">
        <v>94555786</v>
      </c>
      <c r="M2198">
        <v>-171388314</v>
      </c>
      <c r="N2198">
        <v>-312348268</v>
      </c>
      <c r="O2198">
        <v>-384403074</v>
      </c>
      <c r="P2198">
        <v>109</v>
      </c>
      <c r="Q2198" t="s">
        <v>4443</v>
      </c>
    </row>
    <row r="2199" spans="1:17" x14ac:dyDescent="0.3">
      <c r="A2199" t="s">
        <v>32</v>
      </c>
      <c r="B2199" t="str">
        <f>"300588"</f>
        <v>300588</v>
      </c>
      <c r="C2199" t="s">
        <v>4444</v>
      </c>
      <c r="D2199" t="s">
        <v>342</v>
      </c>
      <c r="E2199">
        <v>-33009120</v>
      </c>
      <c r="F2199">
        <v>4071432</v>
      </c>
      <c r="G2199">
        <v>-57141831</v>
      </c>
      <c r="H2199">
        <v>5847135</v>
      </c>
      <c r="I2199">
        <v>-71540684</v>
      </c>
      <c r="J2199">
        <v>-32003645</v>
      </c>
      <c r="K2199">
        <v>-69378186</v>
      </c>
      <c r="P2199">
        <v>144</v>
      </c>
      <c r="Q2199" t="s">
        <v>4445</v>
      </c>
    </row>
    <row r="2200" spans="1:17" x14ac:dyDescent="0.3">
      <c r="A2200" t="s">
        <v>17</v>
      </c>
      <c r="B2200" t="str">
        <f>"688209"</f>
        <v>688209</v>
      </c>
      <c r="C2200" t="s">
        <v>4446</v>
      </c>
      <c r="E2200">
        <v>-33174004</v>
      </c>
      <c r="F2200">
        <v>42724457</v>
      </c>
      <c r="P2200">
        <v>5</v>
      </c>
      <c r="Q2200" t="s">
        <v>4447</v>
      </c>
    </row>
    <row r="2201" spans="1:17" x14ac:dyDescent="0.3">
      <c r="A2201" t="s">
        <v>17</v>
      </c>
      <c r="B2201" t="str">
        <f>"603037"</f>
        <v>603037</v>
      </c>
      <c r="C2201" t="s">
        <v>4448</v>
      </c>
      <c r="D2201" t="s">
        <v>199</v>
      </c>
      <c r="E2201">
        <v>-33398109</v>
      </c>
      <c r="F2201">
        <v>-10569760</v>
      </c>
      <c r="G2201">
        <v>12377168</v>
      </c>
      <c r="H2201">
        <v>-400467</v>
      </c>
      <c r="I2201">
        <v>-3258678</v>
      </c>
      <c r="J2201">
        <v>-33060274</v>
      </c>
      <c r="K2201">
        <v>3278773</v>
      </c>
      <c r="P2201">
        <v>230</v>
      </c>
      <c r="Q2201" t="s">
        <v>4449</v>
      </c>
    </row>
    <row r="2202" spans="1:17" x14ac:dyDescent="0.3">
      <c r="A2202" t="s">
        <v>17</v>
      </c>
      <c r="B2202" t="str">
        <f>"600232"</f>
        <v>600232</v>
      </c>
      <c r="C2202" t="s">
        <v>4450</v>
      </c>
      <c r="D2202" t="s">
        <v>135</v>
      </c>
      <c r="E2202">
        <v>-33416781</v>
      </c>
      <c r="F2202">
        <v>-65660634</v>
      </c>
      <c r="G2202">
        <v>-41062414</v>
      </c>
      <c r="H2202">
        <v>-87283342</v>
      </c>
      <c r="I2202">
        <v>-81975414</v>
      </c>
      <c r="J2202">
        <v>-46875711</v>
      </c>
      <c r="K2202">
        <v>-40296570</v>
      </c>
      <c r="L2202">
        <v>-8838759</v>
      </c>
      <c r="M2202">
        <v>41256990</v>
      </c>
      <c r="N2202">
        <v>43490230</v>
      </c>
      <c r="O2202">
        <v>-1820666</v>
      </c>
      <c r="P2202">
        <v>89</v>
      </c>
      <c r="Q2202" t="s">
        <v>4451</v>
      </c>
    </row>
    <row r="2203" spans="1:17" x14ac:dyDescent="0.3">
      <c r="A2203" t="s">
        <v>17</v>
      </c>
      <c r="B2203" t="str">
        <f>"688686"</f>
        <v>688686</v>
      </c>
      <c r="C2203" t="s">
        <v>4452</v>
      </c>
      <c r="D2203" t="s">
        <v>135</v>
      </c>
      <c r="E2203">
        <v>-33427296</v>
      </c>
      <c r="F2203">
        <v>29188244</v>
      </c>
      <c r="G2203">
        <v>9356600</v>
      </c>
      <c r="H2203">
        <v>28022200</v>
      </c>
      <c r="P2203">
        <v>117</v>
      </c>
      <c r="Q2203" t="s">
        <v>4453</v>
      </c>
    </row>
    <row r="2204" spans="1:17" x14ac:dyDescent="0.3">
      <c r="A2204" t="s">
        <v>17</v>
      </c>
      <c r="B2204" t="str">
        <f>"600246"</f>
        <v>600246</v>
      </c>
      <c r="C2204" t="s">
        <v>4454</v>
      </c>
      <c r="D2204" t="s">
        <v>151</v>
      </c>
      <c r="E2204">
        <v>-33460120</v>
      </c>
      <c r="F2204">
        <v>-172382233</v>
      </c>
      <c r="G2204">
        <v>35669856</v>
      </c>
      <c r="H2204">
        <v>-193830232</v>
      </c>
      <c r="I2204">
        <v>-32151847</v>
      </c>
      <c r="J2204">
        <v>52860423</v>
      </c>
      <c r="K2204">
        <v>29436912</v>
      </c>
      <c r="L2204">
        <v>-195919411</v>
      </c>
      <c r="M2204">
        <v>-1146726889</v>
      </c>
      <c r="N2204">
        <v>-145259873</v>
      </c>
      <c r="O2204">
        <v>100017418</v>
      </c>
      <c r="P2204">
        <v>122</v>
      </c>
      <c r="Q2204" t="s">
        <v>4455</v>
      </c>
    </row>
    <row r="2205" spans="1:17" x14ac:dyDescent="0.3">
      <c r="A2205" t="s">
        <v>32</v>
      </c>
      <c r="B2205" t="str">
        <f>"301163"</f>
        <v>301163</v>
      </c>
      <c r="C2205" t="s">
        <v>4456</v>
      </c>
      <c r="E2205">
        <v>-33468090</v>
      </c>
      <c r="F2205">
        <v>-3804536</v>
      </c>
      <c r="P2205">
        <v>3</v>
      </c>
      <c r="Q2205" t="s">
        <v>4457</v>
      </c>
    </row>
    <row r="2206" spans="1:17" x14ac:dyDescent="0.3">
      <c r="A2206" t="s">
        <v>32</v>
      </c>
      <c r="B2206" t="str">
        <f>"002635"</f>
        <v>002635</v>
      </c>
      <c r="C2206" t="s">
        <v>4458</v>
      </c>
      <c r="D2206" t="s">
        <v>124</v>
      </c>
      <c r="E2206">
        <v>-33504300</v>
      </c>
      <c r="F2206">
        <v>-174939589</v>
      </c>
      <c r="G2206">
        <v>79488375</v>
      </c>
      <c r="H2206">
        <v>69051192</v>
      </c>
      <c r="I2206">
        <v>80677998</v>
      </c>
      <c r="J2206">
        <v>73966905</v>
      </c>
      <c r="K2206">
        <v>226029231</v>
      </c>
      <c r="L2206">
        <v>17800480</v>
      </c>
      <c r="M2206">
        <v>2888313</v>
      </c>
      <c r="N2206">
        <v>24254739</v>
      </c>
      <c r="O2206">
        <v>54925565</v>
      </c>
      <c r="P2206">
        <v>513</v>
      </c>
      <c r="Q2206" t="s">
        <v>4459</v>
      </c>
    </row>
    <row r="2207" spans="1:17" x14ac:dyDescent="0.3">
      <c r="A2207" t="s">
        <v>17</v>
      </c>
      <c r="B2207" t="str">
        <f>"603990"</f>
        <v>603990</v>
      </c>
      <c r="C2207" t="s">
        <v>4460</v>
      </c>
      <c r="D2207" t="s">
        <v>342</v>
      </c>
      <c r="E2207">
        <v>-33594223</v>
      </c>
      <c r="F2207">
        <v>-16756886</v>
      </c>
      <c r="G2207">
        <v>-21035384</v>
      </c>
      <c r="H2207">
        <v>-56439823</v>
      </c>
      <c r="I2207">
        <v>-42980268</v>
      </c>
      <c r="J2207">
        <v>-38734036</v>
      </c>
      <c r="K2207">
        <v>-41557714</v>
      </c>
      <c r="P2207">
        <v>143</v>
      </c>
      <c r="Q2207" t="s">
        <v>4461</v>
      </c>
    </row>
    <row r="2208" spans="1:17" x14ac:dyDescent="0.3">
      <c r="A2208" t="s">
        <v>32</v>
      </c>
      <c r="B2208" t="str">
        <f>"300945"</f>
        <v>300945</v>
      </c>
      <c r="C2208" t="s">
        <v>4462</v>
      </c>
      <c r="D2208" t="s">
        <v>130</v>
      </c>
      <c r="E2208">
        <v>-33693154</v>
      </c>
      <c r="F2208">
        <v>-103108630</v>
      </c>
      <c r="P2208">
        <v>36</v>
      </c>
      <c r="Q2208" t="s">
        <v>4463</v>
      </c>
    </row>
    <row r="2209" spans="1:17" x14ac:dyDescent="0.3">
      <c r="A2209" t="s">
        <v>32</v>
      </c>
      <c r="B2209" t="str">
        <f>"000806"</f>
        <v>000806</v>
      </c>
      <c r="C2209" t="s">
        <v>4464</v>
      </c>
      <c r="D2209" t="s">
        <v>464</v>
      </c>
      <c r="E2209">
        <v>-33715205</v>
      </c>
      <c r="F2209">
        <v>-13556521</v>
      </c>
      <c r="G2209">
        <v>-43901270</v>
      </c>
      <c r="H2209">
        <v>-29832219</v>
      </c>
      <c r="I2209">
        <v>-53214880</v>
      </c>
      <c r="J2209">
        <v>-156336604</v>
      </c>
      <c r="K2209">
        <v>-28689328</v>
      </c>
      <c r="L2209">
        <v>-49568464</v>
      </c>
      <c r="M2209">
        <v>-29986659</v>
      </c>
      <c r="N2209">
        <v>53299377</v>
      </c>
      <c r="O2209">
        <v>55903210</v>
      </c>
      <c r="P2209">
        <v>123</v>
      </c>
      <c r="Q2209" t="s">
        <v>4465</v>
      </c>
    </row>
    <row r="2210" spans="1:17" x14ac:dyDescent="0.3">
      <c r="A2210" t="s">
        <v>32</v>
      </c>
      <c r="B2210" t="str">
        <f>"301041"</f>
        <v>301041</v>
      </c>
      <c r="C2210" t="s">
        <v>4466</v>
      </c>
      <c r="D2210" t="s">
        <v>124</v>
      </c>
      <c r="E2210">
        <v>-33770647</v>
      </c>
      <c r="F2210">
        <v>-46653244</v>
      </c>
      <c r="G2210">
        <v>-10316537</v>
      </c>
      <c r="P2210">
        <v>31</v>
      </c>
      <c r="Q2210" t="s">
        <v>4467</v>
      </c>
    </row>
    <row r="2211" spans="1:17" x14ac:dyDescent="0.3">
      <c r="A2211" t="s">
        <v>32</v>
      </c>
      <c r="B2211" t="str">
        <f>"002338"</f>
        <v>002338</v>
      </c>
      <c r="C2211" t="s">
        <v>4468</v>
      </c>
      <c r="D2211" t="s">
        <v>188</v>
      </c>
      <c r="E2211">
        <v>-33870658</v>
      </c>
      <c r="F2211">
        <v>-19841164</v>
      </c>
      <c r="G2211">
        <v>17394404</v>
      </c>
      <c r="H2211">
        <v>-35492486</v>
      </c>
      <c r="I2211">
        <v>-26428555</v>
      </c>
      <c r="J2211">
        <v>-51541566</v>
      </c>
      <c r="K2211">
        <v>-53276544</v>
      </c>
      <c r="L2211">
        <v>-50877993</v>
      </c>
      <c r="M2211">
        <v>-47430662</v>
      </c>
      <c r="N2211">
        <v>-66404897</v>
      </c>
      <c r="O2211">
        <v>-45076927</v>
      </c>
      <c r="P2211">
        <v>147</v>
      </c>
      <c r="Q2211" t="s">
        <v>4469</v>
      </c>
    </row>
    <row r="2212" spans="1:17" x14ac:dyDescent="0.3">
      <c r="A2212" t="s">
        <v>17</v>
      </c>
      <c r="B2212" t="str">
        <f>"600397"</f>
        <v>600397</v>
      </c>
      <c r="C2212" t="s">
        <v>4470</v>
      </c>
      <c r="D2212" t="s">
        <v>73</v>
      </c>
      <c r="E2212">
        <v>-33880022</v>
      </c>
      <c r="F2212">
        <v>-25667989</v>
      </c>
      <c r="G2212">
        <v>-202017612</v>
      </c>
      <c r="H2212">
        <v>-79209437</v>
      </c>
      <c r="I2212">
        <v>-307727135</v>
      </c>
      <c r="J2212">
        <v>-160870094</v>
      </c>
      <c r="K2212">
        <v>-383892733</v>
      </c>
      <c r="L2212">
        <v>-195408118</v>
      </c>
      <c r="M2212">
        <v>-183896336</v>
      </c>
      <c r="N2212">
        <v>-208151355</v>
      </c>
      <c r="O2212">
        <v>153265640</v>
      </c>
      <c r="P2212">
        <v>91</v>
      </c>
      <c r="Q2212" t="s">
        <v>4471</v>
      </c>
    </row>
    <row r="2213" spans="1:17" x14ac:dyDescent="0.3">
      <c r="A2213" t="s">
        <v>32</v>
      </c>
      <c r="B2213" t="str">
        <f>"002452"</f>
        <v>002452</v>
      </c>
      <c r="C2213" t="s">
        <v>4472</v>
      </c>
      <c r="D2213" t="s">
        <v>464</v>
      </c>
      <c r="E2213">
        <v>-33920634</v>
      </c>
      <c r="F2213">
        <v>-85655821</v>
      </c>
      <c r="G2213">
        <v>-32857883</v>
      </c>
      <c r="H2213">
        <v>-18460909</v>
      </c>
      <c r="I2213">
        <v>-48041433</v>
      </c>
      <c r="J2213">
        <v>56541783</v>
      </c>
      <c r="K2213">
        <v>-25310508</v>
      </c>
      <c r="L2213">
        <v>-4953970</v>
      </c>
      <c r="M2213">
        <v>-25258425</v>
      </c>
      <c r="N2213">
        <v>-3955297</v>
      </c>
      <c r="O2213">
        <v>-47345602</v>
      </c>
      <c r="P2213">
        <v>173</v>
      </c>
      <c r="Q2213" t="s">
        <v>4473</v>
      </c>
    </row>
    <row r="2214" spans="1:17" x14ac:dyDescent="0.3">
      <c r="A2214" t="s">
        <v>17</v>
      </c>
      <c r="B2214" t="str">
        <f>"688282"</f>
        <v>688282</v>
      </c>
      <c r="C2214" t="s">
        <v>4474</v>
      </c>
      <c r="E2214">
        <v>-33953536</v>
      </c>
      <c r="P2214">
        <v>3</v>
      </c>
      <c r="Q2214" t="s">
        <v>4475</v>
      </c>
    </row>
    <row r="2215" spans="1:17" x14ac:dyDescent="0.3">
      <c r="A2215" t="s">
        <v>17</v>
      </c>
      <c r="B2215" t="str">
        <f>"688711"</f>
        <v>688711</v>
      </c>
      <c r="C2215" t="s">
        <v>4476</v>
      </c>
      <c r="D2215" t="s">
        <v>124</v>
      </c>
      <c r="E2215">
        <v>-33962720</v>
      </c>
      <c r="P2215">
        <v>38</v>
      </c>
      <c r="Q2215" t="s">
        <v>4477</v>
      </c>
    </row>
    <row r="2216" spans="1:17" x14ac:dyDescent="0.3">
      <c r="A2216" t="s">
        <v>32</v>
      </c>
      <c r="B2216" t="str">
        <f>"002803"</f>
        <v>002803</v>
      </c>
      <c r="C2216" t="s">
        <v>4478</v>
      </c>
      <c r="D2216" t="s">
        <v>218</v>
      </c>
      <c r="E2216">
        <v>-34028125</v>
      </c>
      <c r="F2216">
        <v>16764527</v>
      </c>
      <c r="G2216">
        <v>-64822930</v>
      </c>
      <c r="H2216">
        <v>59015526</v>
      </c>
      <c r="I2216">
        <v>36393016</v>
      </c>
      <c r="J2216">
        <v>-47578623</v>
      </c>
      <c r="K2216">
        <v>-27508572</v>
      </c>
      <c r="L2216">
        <v>-10346915</v>
      </c>
      <c r="P2216">
        <v>601</v>
      </c>
      <c r="Q2216" t="s">
        <v>4479</v>
      </c>
    </row>
    <row r="2217" spans="1:17" x14ac:dyDescent="0.3">
      <c r="A2217" t="s">
        <v>32</v>
      </c>
      <c r="B2217" t="str">
        <f>"300128"</f>
        <v>300128</v>
      </c>
      <c r="C2217" t="s">
        <v>4480</v>
      </c>
      <c r="D2217" t="s">
        <v>124</v>
      </c>
      <c r="E2217">
        <v>-34058884</v>
      </c>
      <c r="F2217">
        <v>34113861</v>
      </c>
      <c r="G2217">
        <v>27991020</v>
      </c>
      <c r="H2217">
        <v>21265852</v>
      </c>
      <c r="I2217">
        <v>-174224150</v>
      </c>
      <c r="J2217">
        <v>-83998831</v>
      </c>
      <c r="K2217">
        <v>-144219650</v>
      </c>
      <c r="L2217">
        <v>-30441552</v>
      </c>
      <c r="M2217">
        <v>12670883</v>
      </c>
      <c r="N2217">
        <v>-48115024</v>
      </c>
      <c r="O2217">
        <v>-54176560</v>
      </c>
      <c r="P2217">
        <v>145</v>
      </c>
      <c r="Q2217" t="s">
        <v>4481</v>
      </c>
    </row>
    <row r="2218" spans="1:17" x14ac:dyDescent="0.3">
      <c r="A2218" t="s">
        <v>32</v>
      </c>
      <c r="B2218" t="str">
        <f>"301131"</f>
        <v>301131</v>
      </c>
      <c r="C2218" t="s">
        <v>4482</v>
      </c>
      <c r="E2218">
        <v>-34071445</v>
      </c>
      <c r="G2218">
        <v>3965304</v>
      </c>
      <c r="P2218">
        <v>4</v>
      </c>
      <c r="Q2218" t="s">
        <v>4483</v>
      </c>
    </row>
    <row r="2219" spans="1:17" x14ac:dyDescent="0.3">
      <c r="A2219" t="s">
        <v>17</v>
      </c>
      <c r="B2219" t="str">
        <f>"605303"</f>
        <v>605303</v>
      </c>
      <c r="C2219" t="s">
        <v>4484</v>
      </c>
      <c r="D2219" t="s">
        <v>645</v>
      </c>
      <c r="E2219">
        <v>-34087540</v>
      </c>
      <c r="F2219">
        <v>-189695802</v>
      </c>
      <c r="G2219">
        <v>-140159977</v>
      </c>
      <c r="P2219">
        <v>28</v>
      </c>
      <c r="Q2219" t="s">
        <v>4485</v>
      </c>
    </row>
    <row r="2220" spans="1:17" x14ac:dyDescent="0.3">
      <c r="A2220" t="s">
        <v>32</v>
      </c>
      <c r="B2220" t="str">
        <f>"002943"</f>
        <v>002943</v>
      </c>
      <c r="C2220" t="s">
        <v>4486</v>
      </c>
      <c r="D2220" t="s">
        <v>135</v>
      </c>
      <c r="E2220">
        <v>-34291153</v>
      </c>
      <c r="F2220">
        <v>-34459896</v>
      </c>
      <c r="G2220">
        <v>-15805638</v>
      </c>
      <c r="H2220">
        <v>-82074206</v>
      </c>
      <c r="I2220">
        <v>-56172846</v>
      </c>
      <c r="P2220">
        <v>74</v>
      </c>
      <c r="Q2220" t="s">
        <v>4487</v>
      </c>
    </row>
    <row r="2221" spans="1:17" x14ac:dyDescent="0.3">
      <c r="A2221" t="s">
        <v>32</v>
      </c>
      <c r="B2221" t="str">
        <f>"300624"</f>
        <v>300624</v>
      </c>
      <c r="C2221" t="s">
        <v>4488</v>
      </c>
      <c r="D2221" t="s">
        <v>342</v>
      </c>
      <c r="E2221">
        <v>-34297881</v>
      </c>
      <c r="F2221">
        <v>-77511393</v>
      </c>
      <c r="G2221">
        <v>10679005</v>
      </c>
      <c r="H2221">
        <v>-7862308</v>
      </c>
      <c r="I2221">
        <v>2953202</v>
      </c>
      <c r="J2221">
        <v>12129887</v>
      </c>
      <c r="P2221">
        <v>333</v>
      </c>
      <c r="Q2221" t="s">
        <v>4489</v>
      </c>
    </row>
    <row r="2222" spans="1:17" x14ac:dyDescent="0.3">
      <c r="A2222" t="s">
        <v>32</v>
      </c>
      <c r="B2222" t="str">
        <f>"003039"</f>
        <v>003039</v>
      </c>
      <c r="C2222" t="s">
        <v>4490</v>
      </c>
      <c r="D2222" t="s">
        <v>1334</v>
      </c>
      <c r="E2222">
        <v>-34323037</v>
      </c>
      <c r="F2222">
        <v>-103479904</v>
      </c>
      <c r="G2222">
        <v>-20072159</v>
      </c>
      <c r="P2222">
        <v>64</v>
      </c>
      <c r="Q2222" t="s">
        <v>4491</v>
      </c>
    </row>
    <row r="2223" spans="1:17" x14ac:dyDescent="0.3">
      <c r="A2223" t="s">
        <v>17</v>
      </c>
      <c r="B2223" t="str">
        <f>"688718"</f>
        <v>688718</v>
      </c>
      <c r="C2223" t="s">
        <v>4492</v>
      </c>
      <c r="D2223" t="s">
        <v>144</v>
      </c>
      <c r="E2223">
        <v>-34440972</v>
      </c>
      <c r="F2223">
        <v>-36939954</v>
      </c>
      <c r="G2223">
        <v>31019934</v>
      </c>
      <c r="P2223">
        <v>20</v>
      </c>
      <c r="Q2223" t="s">
        <v>4493</v>
      </c>
    </row>
    <row r="2224" spans="1:17" x14ac:dyDescent="0.3">
      <c r="A2224" t="s">
        <v>32</v>
      </c>
      <c r="B2224" t="str">
        <f>"300325"</f>
        <v>300325</v>
      </c>
      <c r="C2224" t="s">
        <v>4494</v>
      </c>
      <c r="D2224" t="s">
        <v>144</v>
      </c>
      <c r="E2224">
        <v>-34445471</v>
      </c>
      <c r="F2224">
        <v>-32826011</v>
      </c>
      <c r="G2224">
        <v>34730997</v>
      </c>
      <c r="H2224">
        <v>34631719</v>
      </c>
      <c r="I2224">
        <v>-107269194</v>
      </c>
      <c r="J2224">
        <v>-338525200</v>
      </c>
      <c r="K2224">
        <v>-214013775</v>
      </c>
      <c r="L2224">
        <v>-43606194</v>
      </c>
      <c r="M2224">
        <v>-91856148</v>
      </c>
      <c r="N2224">
        <v>-63892626</v>
      </c>
      <c r="O2224">
        <v>-4937827</v>
      </c>
      <c r="P2224">
        <v>81</v>
      </c>
      <c r="Q2224" t="s">
        <v>4495</v>
      </c>
    </row>
    <row r="2225" spans="1:17" x14ac:dyDescent="0.3">
      <c r="A2225" t="s">
        <v>32</v>
      </c>
      <c r="B2225" t="str">
        <f>"300664"</f>
        <v>300664</v>
      </c>
      <c r="C2225" t="s">
        <v>4496</v>
      </c>
      <c r="D2225" t="s">
        <v>1334</v>
      </c>
      <c r="E2225">
        <v>-34697949</v>
      </c>
      <c r="F2225">
        <v>-161078361</v>
      </c>
      <c r="G2225">
        <v>-84807350</v>
      </c>
      <c r="H2225">
        <v>-125403229</v>
      </c>
      <c r="I2225">
        <v>-123655549</v>
      </c>
      <c r="J2225">
        <v>-22630558</v>
      </c>
      <c r="P2225">
        <v>118</v>
      </c>
      <c r="Q2225" t="s">
        <v>4497</v>
      </c>
    </row>
    <row r="2226" spans="1:17" x14ac:dyDescent="0.3">
      <c r="A2226" t="s">
        <v>17</v>
      </c>
      <c r="B2226" t="str">
        <f>"603788"</f>
        <v>603788</v>
      </c>
      <c r="C2226" t="s">
        <v>4498</v>
      </c>
      <c r="D2226" t="s">
        <v>199</v>
      </c>
      <c r="E2226">
        <v>-34813657</v>
      </c>
      <c r="F2226">
        <v>-37384671</v>
      </c>
      <c r="G2226">
        <v>276895</v>
      </c>
      <c r="H2226">
        <v>35161996</v>
      </c>
      <c r="I2226">
        <v>-62476525</v>
      </c>
      <c r="J2226">
        <v>-21632740</v>
      </c>
      <c r="K2226">
        <v>-6358972</v>
      </c>
      <c r="L2226">
        <v>-37325248</v>
      </c>
      <c r="M2226">
        <v>-53004025</v>
      </c>
      <c r="P2226">
        <v>330</v>
      </c>
      <c r="Q2226" t="s">
        <v>4499</v>
      </c>
    </row>
    <row r="2227" spans="1:17" x14ac:dyDescent="0.3">
      <c r="A2227" t="s">
        <v>32</v>
      </c>
      <c r="B2227" t="str">
        <f>"300970"</f>
        <v>300970</v>
      </c>
      <c r="C2227" t="s">
        <v>4500</v>
      </c>
      <c r="D2227" t="s">
        <v>175</v>
      </c>
      <c r="E2227">
        <v>-34845428</v>
      </c>
      <c r="F2227">
        <v>-39877861</v>
      </c>
      <c r="G2227">
        <v>62835437</v>
      </c>
      <c r="P2227">
        <v>25</v>
      </c>
      <c r="Q2227" t="s">
        <v>4501</v>
      </c>
    </row>
    <row r="2228" spans="1:17" x14ac:dyDescent="0.3">
      <c r="A2228" t="s">
        <v>32</v>
      </c>
      <c r="B2228" t="str">
        <f>"300032"</f>
        <v>300032</v>
      </c>
      <c r="C2228" t="s">
        <v>4502</v>
      </c>
      <c r="D2228" t="s">
        <v>124</v>
      </c>
      <c r="E2228">
        <v>-34876583</v>
      </c>
      <c r="F2228">
        <v>12392521</v>
      </c>
      <c r="G2228">
        <v>-15321317</v>
      </c>
      <c r="H2228">
        <v>25189376</v>
      </c>
      <c r="I2228">
        <v>-126942464</v>
      </c>
      <c r="J2228">
        <v>-133225325</v>
      </c>
      <c r="K2228">
        <v>6462590</v>
      </c>
      <c r="L2228">
        <v>74098710</v>
      </c>
      <c r="M2228">
        <v>-22272259</v>
      </c>
      <c r="N2228">
        <v>-93207097</v>
      </c>
      <c r="O2228">
        <v>-18205706</v>
      </c>
      <c r="P2228">
        <v>152</v>
      </c>
      <c r="Q2228" t="s">
        <v>4503</v>
      </c>
    </row>
    <row r="2229" spans="1:17" x14ac:dyDescent="0.3">
      <c r="A2229" t="s">
        <v>32</v>
      </c>
      <c r="B2229" t="str">
        <f>"300356"</f>
        <v>300356</v>
      </c>
      <c r="C2229" t="s">
        <v>4504</v>
      </c>
      <c r="D2229" t="s">
        <v>464</v>
      </c>
      <c r="E2229">
        <v>-34977329</v>
      </c>
      <c r="F2229">
        <v>-51492956</v>
      </c>
      <c r="G2229">
        <v>-31064295</v>
      </c>
      <c r="H2229">
        <v>-1278305</v>
      </c>
      <c r="I2229">
        <v>-112166450</v>
      </c>
      <c r="J2229">
        <v>-80827781</v>
      </c>
      <c r="K2229">
        <v>-54036041</v>
      </c>
      <c r="L2229">
        <v>-81997837</v>
      </c>
      <c r="M2229">
        <v>-93552631</v>
      </c>
      <c r="N2229">
        <v>-68557581</v>
      </c>
      <c r="O2229">
        <v>-19611050</v>
      </c>
      <c r="P2229">
        <v>67</v>
      </c>
      <c r="Q2229" t="s">
        <v>4505</v>
      </c>
    </row>
    <row r="2230" spans="1:17" x14ac:dyDescent="0.3">
      <c r="A2230" t="s">
        <v>17</v>
      </c>
      <c r="B2230" t="str">
        <f>"600608"</f>
        <v>600608</v>
      </c>
      <c r="C2230" t="s">
        <v>4506</v>
      </c>
      <c r="D2230" t="s">
        <v>218</v>
      </c>
      <c r="E2230">
        <v>-35011426</v>
      </c>
      <c r="F2230">
        <v>-11012774</v>
      </c>
      <c r="G2230">
        <v>33170611</v>
      </c>
      <c r="H2230">
        <v>-3726342</v>
      </c>
      <c r="I2230">
        <v>-53703741</v>
      </c>
      <c r="J2230">
        <v>-34781034</v>
      </c>
      <c r="K2230">
        <v>-19093049</v>
      </c>
      <c r="L2230">
        <v>-9917940</v>
      </c>
      <c r="M2230">
        <v>17141382</v>
      </c>
      <c r="N2230">
        <v>-17074255</v>
      </c>
      <c r="O2230">
        <v>-27660563</v>
      </c>
      <c r="P2230">
        <v>47</v>
      </c>
      <c r="Q2230" t="s">
        <v>4507</v>
      </c>
    </row>
    <row r="2231" spans="1:17" x14ac:dyDescent="0.3">
      <c r="A2231" t="s">
        <v>32</v>
      </c>
      <c r="B2231" t="str">
        <f>"300466"</f>
        <v>300466</v>
      </c>
      <c r="C2231" t="s">
        <v>4508</v>
      </c>
      <c r="D2231" t="s">
        <v>464</v>
      </c>
      <c r="E2231">
        <v>-35137356</v>
      </c>
      <c r="F2231">
        <v>-26863478</v>
      </c>
      <c r="G2231">
        <v>-29178154</v>
      </c>
      <c r="H2231">
        <v>-4949968</v>
      </c>
      <c r="I2231">
        <v>-30988447</v>
      </c>
      <c r="J2231">
        <v>-32261365</v>
      </c>
      <c r="K2231">
        <v>-92800398</v>
      </c>
      <c r="L2231">
        <v>-19875124</v>
      </c>
      <c r="P2231">
        <v>121</v>
      </c>
      <c r="Q2231" t="s">
        <v>4509</v>
      </c>
    </row>
    <row r="2232" spans="1:17" x14ac:dyDescent="0.3">
      <c r="A2232" t="s">
        <v>32</v>
      </c>
      <c r="B2232" t="str">
        <f>"300509"</f>
        <v>300509</v>
      </c>
      <c r="C2232" t="s">
        <v>4510</v>
      </c>
      <c r="D2232" t="s">
        <v>135</v>
      </c>
      <c r="E2232">
        <v>-35219946</v>
      </c>
      <c r="F2232">
        <v>-48891786</v>
      </c>
      <c r="G2232">
        <v>-10909182</v>
      </c>
      <c r="H2232">
        <v>-58980589</v>
      </c>
      <c r="I2232">
        <v>-10407126</v>
      </c>
      <c r="J2232">
        <v>-44933157</v>
      </c>
      <c r="K2232">
        <v>-21093173</v>
      </c>
      <c r="L2232">
        <v>-15494405</v>
      </c>
      <c r="P2232">
        <v>64</v>
      </c>
      <c r="Q2232" t="s">
        <v>4511</v>
      </c>
    </row>
    <row r="2233" spans="1:17" x14ac:dyDescent="0.3">
      <c r="A2233" t="s">
        <v>32</v>
      </c>
      <c r="B2233" t="str">
        <f>"002752"</f>
        <v>002752</v>
      </c>
      <c r="C2233" t="s">
        <v>4512</v>
      </c>
      <c r="D2233" t="s">
        <v>455</v>
      </c>
      <c r="E2233">
        <v>-35268350</v>
      </c>
      <c r="F2233">
        <v>-121899800</v>
      </c>
      <c r="G2233">
        <v>-21825043</v>
      </c>
      <c r="H2233">
        <v>-18455627</v>
      </c>
      <c r="I2233">
        <v>-175462481</v>
      </c>
      <c r="J2233">
        <v>2240078</v>
      </c>
      <c r="K2233">
        <v>88207976</v>
      </c>
      <c r="L2233">
        <v>11376366</v>
      </c>
      <c r="M2233">
        <v>-34204377</v>
      </c>
      <c r="P2233">
        <v>79</v>
      </c>
      <c r="Q2233" t="s">
        <v>4513</v>
      </c>
    </row>
    <row r="2234" spans="1:17" x14ac:dyDescent="0.3">
      <c r="A2234" t="s">
        <v>17</v>
      </c>
      <c r="B2234" t="str">
        <f>"603388"</f>
        <v>603388</v>
      </c>
      <c r="C2234" t="s">
        <v>4514</v>
      </c>
      <c r="D2234" t="s">
        <v>645</v>
      </c>
      <c r="E2234">
        <v>-35268355</v>
      </c>
      <c r="F2234">
        <v>-113540751</v>
      </c>
      <c r="G2234">
        <v>-129303483</v>
      </c>
      <c r="H2234">
        <v>-217660877</v>
      </c>
      <c r="I2234">
        <v>-168148734</v>
      </c>
      <c r="J2234">
        <v>-78614934</v>
      </c>
      <c r="K2234">
        <v>-15971838</v>
      </c>
      <c r="P2234">
        <v>63</v>
      </c>
      <c r="Q2234" t="s">
        <v>4515</v>
      </c>
    </row>
    <row r="2235" spans="1:17" x14ac:dyDescent="0.3">
      <c r="A2235" t="s">
        <v>32</v>
      </c>
      <c r="B2235" t="str">
        <f>"000715"</f>
        <v>000715</v>
      </c>
      <c r="C2235" t="s">
        <v>4516</v>
      </c>
      <c r="D2235" t="s">
        <v>218</v>
      </c>
      <c r="E2235">
        <v>-35277706</v>
      </c>
      <c r="F2235">
        <v>66252923</v>
      </c>
      <c r="G2235">
        <v>-44207945</v>
      </c>
      <c r="H2235">
        <v>77410044</v>
      </c>
      <c r="I2235">
        <v>78204293</v>
      </c>
      <c r="J2235">
        <v>30966890</v>
      </c>
      <c r="K2235">
        <v>-10447298</v>
      </c>
      <c r="L2235">
        <v>-34081075</v>
      </c>
      <c r="M2235">
        <v>-38738792</v>
      </c>
      <c r="N2235">
        <v>61513920</v>
      </c>
      <c r="O2235">
        <v>67525941</v>
      </c>
      <c r="P2235">
        <v>103</v>
      </c>
      <c r="Q2235" t="s">
        <v>4517</v>
      </c>
    </row>
    <row r="2236" spans="1:17" x14ac:dyDescent="0.3">
      <c r="A2236" t="s">
        <v>17</v>
      </c>
      <c r="B2236" t="str">
        <f>"600399"</f>
        <v>600399</v>
      </c>
      <c r="C2236" t="s">
        <v>4518</v>
      </c>
      <c r="D2236" t="s">
        <v>163</v>
      </c>
      <c r="E2236">
        <v>-35279952</v>
      </c>
      <c r="F2236">
        <v>-453947925</v>
      </c>
      <c r="G2236">
        <v>-44461198</v>
      </c>
      <c r="H2236">
        <v>-69001457</v>
      </c>
      <c r="I2236">
        <v>-190964192</v>
      </c>
      <c r="J2236">
        <v>23887708</v>
      </c>
      <c r="K2236">
        <v>-18799956</v>
      </c>
      <c r="L2236">
        <v>61722342</v>
      </c>
      <c r="M2236">
        <v>-21290934</v>
      </c>
      <c r="N2236">
        <v>-7903985</v>
      </c>
      <c r="O2236">
        <v>1367117</v>
      </c>
      <c r="P2236">
        <v>255</v>
      </c>
      <c r="Q2236" t="s">
        <v>4519</v>
      </c>
    </row>
    <row r="2237" spans="1:17" x14ac:dyDescent="0.3">
      <c r="A2237" t="s">
        <v>32</v>
      </c>
      <c r="B2237" t="str">
        <f>"000037"</f>
        <v>000037</v>
      </c>
      <c r="C2237" t="s">
        <v>4520</v>
      </c>
      <c r="D2237" t="s">
        <v>158</v>
      </c>
      <c r="E2237">
        <v>-35302400</v>
      </c>
      <c r="F2237">
        <v>-53695688</v>
      </c>
      <c r="G2237">
        <v>19876369</v>
      </c>
      <c r="H2237">
        <v>-19593272</v>
      </c>
      <c r="I2237">
        <v>-101246538</v>
      </c>
      <c r="J2237">
        <v>-237620020</v>
      </c>
      <c r="K2237">
        <v>-58439230</v>
      </c>
      <c r="L2237">
        <v>-81413708</v>
      </c>
      <c r="M2237">
        <v>254920321</v>
      </c>
      <c r="N2237">
        <v>311081354</v>
      </c>
      <c r="O2237">
        <v>278079363</v>
      </c>
      <c r="P2237">
        <v>112</v>
      </c>
      <c r="Q2237" t="s">
        <v>4521</v>
      </c>
    </row>
    <row r="2238" spans="1:17" x14ac:dyDescent="0.3">
      <c r="A2238" t="s">
        <v>17</v>
      </c>
      <c r="B2238" t="str">
        <f>"688197"</f>
        <v>688197</v>
      </c>
      <c r="C2238" t="s">
        <v>4522</v>
      </c>
      <c r="E2238">
        <v>-35332637</v>
      </c>
      <c r="P2238">
        <v>3</v>
      </c>
      <c r="Q2238" t="s">
        <v>4523</v>
      </c>
    </row>
    <row r="2239" spans="1:17" x14ac:dyDescent="0.3">
      <c r="A2239" t="s">
        <v>17</v>
      </c>
      <c r="B2239" t="str">
        <f>"600169"</f>
        <v>600169</v>
      </c>
      <c r="C2239" t="s">
        <v>4524</v>
      </c>
      <c r="D2239" t="s">
        <v>135</v>
      </c>
      <c r="E2239">
        <v>-35360199</v>
      </c>
      <c r="F2239">
        <v>-38858278</v>
      </c>
      <c r="G2239">
        <v>345575377</v>
      </c>
      <c r="H2239">
        <v>536996844</v>
      </c>
      <c r="I2239">
        <v>-506874106</v>
      </c>
      <c r="J2239">
        <v>3246504</v>
      </c>
      <c r="K2239">
        <v>-978727018</v>
      </c>
      <c r="L2239">
        <v>-476665319</v>
      </c>
      <c r="M2239">
        <v>-598440056</v>
      </c>
      <c r="N2239">
        <v>-745637055</v>
      </c>
      <c r="O2239">
        <v>-1036906481</v>
      </c>
      <c r="P2239">
        <v>133</v>
      </c>
      <c r="Q2239" t="s">
        <v>4525</v>
      </c>
    </row>
    <row r="2240" spans="1:17" x14ac:dyDescent="0.3">
      <c r="A2240" t="s">
        <v>32</v>
      </c>
      <c r="B2240" t="str">
        <f>"003030"</f>
        <v>003030</v>
      </c>
      <c r="C2240" t="s">
        <v>4526</v>
      </c>
      <c r="D2240" t="s">
        <v>175</v>
      </c>
      <c r="E2240">
        <v>-35365808</v>
      </c>
      <c r="F2240">
        <v>-52281455</v>
      </c>
      <c r="G2240">
        <v>-35245696</v>
      </c>
      <c r="P2240">
        <v>60</v>
      </c>
      <c r="Q2240" t="s">
        <v>4527</v>
      </c>
    </row>
    <row r="2241" spans="1:17" x14ac:dyDescent="0.3">
      <c r="A2241" t="s">
        <v>32</v>
      </c>
      <c r="B2241" t="str">
        <f>"300031"</f>
        <v>300031</v>
      </c>
      <c r="C2241" t="s">
        <v>4528</v>
      </c>
      <c r="D2241" t="s">
        <v>245</v>
      </c>
      <c r="E2241">
        <v>-35634248</v>
      </c>
      <c r="F2241">
        <v>-81733669</v>
      </c>
      <c r="G2241">
        <v>4237742</v>
      </c>
      <c r="H2241">
        <v>3735396</v>
      </c>
      <c r="I2241">
        <v>10169887</v>
      </c>
      <c r="J2241">
        <v>39548137</v>
      </c>
      <c r="K2241">
        <v>58277044</v>
      </c>
      <c r="L2241">
        <v>38555967</v>
      </c>
      <c r="M2241">
        <v>971625</v>
      </c>
      <c r="N2241">
        <v>-13508756</v>
      </c>
      <c r="O2241">
        <v>-16352928</v>
      </c>
      <c r="P2241">
        <v>259</v>
      </c>
      <c r="Q2241" t="s">
        <v>4529</v>
      </c>
    </row>
    <row r="2242" spans="1:17" x14ac:dyDescent="0.3">
      <c r="A2242" t="s">
        <v>17</v>
      </c>
      <c r="B2242" t="str">
        <f>"688069"</f>
        <v>688069</v>
      </c>
      <c r="C2242" t="s">
        <v>4530</v>
      </c>
      <c r="D2242" t="s">
        <v>1334</v>
      </c>
      <c r="E2242">
        <v>-35643534</v>
      </c>
      <c r="F2242">
        <v>-93415068</v>
      </c>
      <c r="G2242">
        <v>-31674200</v>
      </c>
      <c r="H2242">
        <v>-34868738</v>
      </c>
      <c r="P2242">
        <v>79</v>
      </c>
      <c r="Q2242" t="s">
        <v>4531</v>
      </c>
    </row>
    <row r="2243" spans="1:17" x14ac:dyDescent="0.3">
      <c r="A2243" t="s">
        <v>32</v>
      </c>
      <c r="B2243" t="str">
        <f>"000679"</f>
        <v>000679</v>
      </c>
      <c r="C2243" t="s">
        <v>4532</v>
      </c>
      <c r="D2243" t="s">
        <v>218</v>
      </c>
      <c r="E2243">
        <v>-35655809</v>
      </c>
      <c r="F2243">
        <v>7152380</v>
      </c>
      <c r="G2243">
        <v>-8124384</v>
      </c>
      <c r="H2243">
        <v>-19653217</v>
      </c>
      <c r="I2243">
        <v>-109060142</v>
      </c>
      <c r="J2243">
        <v>-199406167</v>
      </c>
      <c r="K2243">
        <v>213275860</v>
      </c>
      <c r="L2243">
        <v>-118426336</v>
      </c>
      <c r="M2243">
        <v>-306370696</v>
      </c>
      <c r="N2243">
        <v>-172944820</v>
      </c>
      <c r="O2243">
        <v>-183294559</v>
      </c>
      <c r="P2243">
        <v>83</v>
      </c>
      <c r="Q2243" t="s">
        <v>4533</v>
      </c>
    </row>
    <row r="2244" spans="1:17" x14ac:dyDescent="0.3">
      <c r="A2244" t="s">
        <v>17</v>
      </c>
      <c r="B2244" t="str">
        <f>"688181"</f>
        <v>688181</v>
      </c>
      <c r="C2244" t="s">
        <v>4534</v>
      </c>
      <c r="D2244" t="s">
        <v>124</v>
      </c>
      <c r="E2244">
        <v>-35666008</v>
      </c>
      <c r="F2244">
        <v>9777782</v>
      </c>
      <c r="G2244">
        <v>4907121</v>
      </c>
      <c r="H2244">
        <v>-18228749</v>
      </c>
      <c r="P2244">
        <v>108</v>
      </c>
      <c r="Q2244" t="s">
        <v>4535</v>
      </c>
    </row>
    <row r="2245" spans="1:17" x14ac:dyDescent="0.3">
      <c r="A2245" t="s">
        <v>17</v>
      </c>
      <c r="B2245" t="str">
        <f>"603488"</f>
        <v>603488</v>
      </c>
      <c r="C2245" t="s">
        <v>4536</v>
      </c>
      <c r="D2245" t="s">
        <v>135</v>
      </c>
      <c r="E2245">
        <v>-35671517</v>
      </c>
      <c r="F2245">
        <v>-38815411</v>
      </c>
      <c r="G2245">
        <v>-40574624</v>
      </c>
      <c r="H2245">
        <v>-9429874</v>
      </c>
      <c r="I2245">
        <v>-6712815</v>
      </c>
      <c r="J2245">
        <v>-5785609</v>
      </c>
      <c r="K2245">
        <v>3665200</v>
      </c>
      <c r="P2245">
        <v>64</v>
      </c>
      <c r="Q2245" t="s">
        <v>4537</v>
      </c>
    </row>
    <row r="2246" spans="1:17" x14ac:dyDescent="0.3">
      <c r="A2246" t="s">
        <v>32</v>
      </c>
      <c r="B2246" t="str">
        <f>"002659"</f>
        <v>002659</v>
      </c>
      <c r="C2246" t="s">
        <v>4538</v>
      </c>
      <c r="D2246" t="s">
        <v>497</v>
      </c>
      <c r="E2246">
        <v>-35796757</v>
      </c>
      <c r="F2246">
        <v>-104850117</v>
      </c>
      <c r="G2246">
        <v>-119300956</v>
      </c>
      <c r="H2246">
        <v>-89221305</v>
      </c>
      <c r="I2246">
        <v>-160682398</v>
      </c>
      <c r="J2246">
        <v>-300197211</v>
      </c>
      <c r="K2246">
        <v>-93290796</v>
      </c>
      <c r="L2246">
        <v>3856040</v>
      </c>
      <c r="M2246">
        <v>-79691893</v>
      </c>
      <c r="N2246">
        <v>-144452248</v>
      </c>
      <c r="O2246">
        <v>-67585802</v>
      </c>
      <c r="P2246">
        <v>96</v>
      </c>
      <c r="Q2246" t="s">
        <v>4539</v>
      </c>
    </row>
    <row r="2247" spans="1:17" x14ac:dyDescent="0.3">
      <c r="A2247" t="s">
        <v>32</v>
      </c>
      <c r="B2247" t="str">
        <f>"002951"</f>
        <v>002951</v>
      </c>
      <c r="C2247" t="s">
        <v>4540</v>
      </c>
      <c r="D2247" t="s">
        <v>455</v>
      </c>
      <c r="E2247">
        <v>-35976111</v>
      </c>
      <c r="F2247">
        <v>41396981</v>
      </c>
      <c r="G2247">
        <v>-599944</v>
      </c>
      <c r="H2247">
        <v>53485445</v>
      </c>
      <c r="I2247">
        <v>26182093</v>
      </c>
      <c r="P2247">
        <v>93</v>
      </c>
      <c r="Q2247" t="s">
        <v>4541</v>
      </c>
    </row>
    <row r="2248" spans="1:17" x14ac:dyDescent="0.3">
      <c r="A2248" t="s">
        <v>17</v>
      </c>
      <c r="B2248" t="str">
        <f>"601996"</f>
        <v>601996</v>
      </c>
      <c r="C2248" t="s">
        <v>4542</v>
      </c>
      <c r="D2248" t="s">
        <v>455</v>
      </c>
      <c r="E2248">
        <v>-36001068</v>
      </c>
      <c r="F2248">
        <v>49965266</v>
      </c>
      <c r="G2248">
        <v>-79694139</v>
      </c>
      <c r="H2248">
        <v>-141546958</v>
      </c>
      <c r="I2248">
        <v>-120701054</v>
      </c>
      <c r="J2248">
        <v>-41173786</v>
      </c>
      <c r="K2248">
        <v>-7964844</v>
      </c>
      <c r="L2248">
        <v>-87172029</v>
      </c>
      <c r="M2248">
        <v>-132676917</v>
      </c>
      <c r="N2248">
        <v>-156521012</v>
      </c>
      <c r="O2248">
        <v>-115650103</v>
      </c>
      <c r="P2248">
        <v>143</v>
      </c>
      <c r="Q2248" t="s">
        <v>4543</v>
      </c>
    </row>
    <row r="2249" spans="1:17" x14ac:dyDescent="0.3">
      <c r="A2249" t="s">
        <v>32</v>
      </c>
      <c r="B2249" t="str">
        <f>"300106"</f>
        <v>300106</v>
      </c>
      <c r="C2249" t="s">
        <v>4544</v>
      </c>
      <c r="D2249" t="s">
        <v>172</v>
      </c>
      <c r="E2249">
        <v>-36039613</v>
      </c>
      <c r="F2249">
        <v>14357</v>
      </c>
      <c r="G2249">
        <v>-6085853</v>
      </c>
      <c r="H2249">
        <v>-57153593</v>
      </c>
      <c r="I2249">
        <v>-43045207</v>
      </c>
      <c r="J2249">
        <v>-177592516</v>
      </c>
      <c r="K2249">
        <v>-90006403</v>
      </c>
      <c r="L2249">
        <v>13403712</v>
      </c>
      <c r="M2249">
        <v>-5585205</v>
      </c>
      <c r="N2249">
        <v>-3182115</v>
      </c>
      <c r="O2249">
        <v>-33245794</v>
      </c>
      <c r="P2249">
        <v>124</v>
      </c>
      <c r="Q2249" t="s">
        <v>4545</v>
      </c>
    </row>
    <row r="2250" spans="1:17" x14ac:dyDescent="0.3">
      <c r="A2250" t="s">
        <v>32</v>
      </c>
      <c r="B2250" t="str">
        <f>"300333"</f>
        <v>300333</v>
      </c>
      <c r="C2250" t="s">
        <v>4546</v>
      </c>
      <c r="D2250" t="s">
        <v>342</v>
      </c>
      <c r="E2250">
        <v>-36136451</v>
      </c>
      <c r="F2250">
        <v>-34507693</v>
      </c>
      <c r="G2250">
        <v>-26923414</v>
      </c>
      <c r="H2250">
        <v>-48695099</v>
      </c>
      <c r="I2250">
        <v>-15227636</v>
      </c>
      <c r="J2250">
        <v>-27491459</v>
      </c>
      <c r="K2250">
        <v>-18240639</v>
      </c>
      <c r="L2250">
        <v>-16609623</v>
      </c>
      <c r="M2250">
        <v>-19077673</v>
      </c>
      <c r="N2250">
        <v>-74764687</v>
      </c>
      <c r="O2250">
        <v>21652678</v>
      </c>
      <c r="P2250">
        <v>94</v>
      </c>
      <c r="Q2250" t="s">
        <v>4547</v>
      </c>
    </row>
    <row r="2251" spans="1:17" x14ac:dyDescent="0.3">
      <c r="A2251" t="s">
        <v>32</v>
      </c>
      <c r="B2251" t="str">
        <f>"301053"</f>
        <v>301053</v>
      </c>
      <c r="C2251" t="s">
        <v>4548</v>
      </c>
      <c r="D2251" t="s">
        <v>135</v>
      </c>
      <c r="E2251">
        <v>-36235748</v>
      </c>
      <c r="P2251">
        <v>24</v>
      </c>
      <c r="Q2251" t="s">
        <v>4549</v>
      </c>
    </row>
    <row r="2252" spans="1:17" x14ac:dyDescent="0.3">
      <c r="A2252" t="s">
        <v>32</v>
      </c>
      <c r="B2252" t="str">
        <f>"000798"</f>
        <v>000798</v>
      </c>
      <c r="C2252" t="s">
        <v>4550</v>
      </c>
      <c r="D2252" t="s">
        <v>175</v>
      </c>
      <c r="E2252">
        <v>-36249107</v>
      </c>
      <c r="F2252">
        <v>-22823327</v>
      </c>
      <c r="G2252">
        <v>-42663118</v>
      </c>
      <c r="H2252">
        <v>-20369526</v>
      </c>
      <c r="I2252">
        <v>-31942997</v>
      </c>
      <c r="J2252">
        <v>9143535</v>
      </c>
      <c r="K2252">
        <v>-50657843</v>
      </c>
      <c r="L2252">
        <v>-63131045</v>
      </c>
      <c r="M2252">
        <v>-39232472</v>
      </c>
      <c r="N2252">
        <v>-66933558</v>
      </c>
      <c r="O2252">
        <v>-51178716</v>
      </c>
      <c r="P2252">
        <v>83</v>
      </c>
      <c r="Q2252" t="s">
        <v>4551</v>
      </c>
    </row>
    <row r="2253" spans="1:17" x14ac:dyDescent="0.3">
      <c r="A2253" t="s">
        <v>32</v>
      </c>
      <c r="B2253" t="str">
        <f>"002965"</f>
        <v>002965</v>
      </c>
      <c r="C2253" t="s">
        <v>4552</v>
      </c>
      <c r="D2253" t="s">
        <v>135</v>
      </c>
      <c r="E2253">
        <v>-36262501</v>
      </c>
      <c r="F2253">
        <v>43643037</v>
      </c>
      <c r="G2253">
        <v>35861526</v>
      </c>
      <c r="H2253">
        <v>-23364663</v>
      </c>
      <c r="P2253">
        <v>400</v>
      </c>
      <c r="Q2253" t="s">
        <v>4553</v>
      </c>
    </row>
    <row r="2254" spans="1:17" x14ac:dyDescent="0.3">
      <c r="A2254" t="s">
        <v>17</v>
      </c>
      <c r="B2254" t="str">
        <f>"603912"</f>
        <v>603912</v>
      </c>
      <c r="C2254" t="s">
        <v>4554</v>
      </c>
      <c r="D2254" t="s">
        <v>135</v>
      </c>
      <c r="E2254">
        <v>-36265610</v>
      </c>
      <c r="F2254">
        <v>-120202548</v>
      </c>
      <c r="G2254">
        <v>-43785183</v>
      </c>
      <c r="H2254">
        <v>-50225707</v>
      </c>
      <c r="I2254">
        <v>-53749635</v>
      </c>
      <c r="J2254">
        <v>-31762787</v>
      </c>
      <c r="P2254">
        <v>287</v>
      </c>
      <c r="Q2254" t="s">
        <v>4555</v>
      </c>
    </row>
    <row r="2255" spans="1:17" x14ac:dyDescent="0.3">
      <c r="A2255" t="s">
        <v>17</v>
      </c>
      <c r="B2255" t="str">
        <f>"688201"</f>
        <v>688201</v>
      </c>
      <c r="C2255" t="s">
        <v>4556</v>
      </c>
      <c r="D2255" t="s">
        <v>342</v>
      </c>
      <c r="E2255">
        <v>-36311384</v>
      </c>
      <c r="F2255">
        <v>-27414835</v>
      </c>
      <c r="G2255">
        <v>-46438208</v>
      </c>
      <c r="P2255">
        <v>62</v>
      </c>
      <c r="Q2255" t="s">
        <v>4557</v>
      </c>
    </row>
    <row r="2256" spans="1:17" x14ac:dyDescent="0.3">
      <c r="A2256" t="s">
        <v>32</v>
      </c>
      <c r="B2256" t="str">
        <f>"002771"</f>
        <v>002771</v>
      </c>
      <c r="C2256" t="s">
        <v>4558</v>
      </c>
      <c r="D2256" t="s">
        <v>342</v>
      </c>
      <c r="E2256">
        <v>-36338402</v>
      </c>
      <c r="F2256">
        <v>-96663626</v>
      </c>
      <c r="G2256">
        <v>-109677111</v>
      </c>
      <c r="H2256">
        <v>-148774878</v>
      </c>
      <c r="I2256">
        <v>-160155225</v>
      </c>
      <c r="J2256">
        <v>-137109088</v>
      </c>
      <c r="K2256">
        <v>-136025497</v>
      </c>
      <c r="L2256">
        <v>-76150900</v>
      </c>
      <c r="M2256">
        <v>-66628400</v>
      </c>
      <c r="P2256">
        <v>95</v>
      </c>
      <c r="Q2256" t="s">
        <v>4559</v>
      </c>
    </row>
    <row r="2257" spans="1:17" x14ac:dyDescent="0.3">
      <c r="A2257" t="s">
        <v>17</v>
      </c>
      <c r="B2257" t="str">
        <f>"688026"</f>
        <v>688026</v>
      </c>
      <c r="C2257" t="s">
        <v>4560</v>
      </c>
      <c r="D2257" t="s">
        <v>144</v>
      </c>
      <c r="E2257">
        <v>-36365146</v>
      </c>
      <c r="F2257">
        <v>-51282225</v>
      </c>
      <c r="G2257">
        <v>37783749</v>
      </c>
      <c r="H2257">
        <v>5834055</v>
      </c>
      <c r="P2257">
        <v>211</v>
      </c>
      <c r="Q2257" t="s">
        <v>4561</v>
      </c>
    </row>
    <row r="2258" spans="1:17" x14ac:dyDescent="0.3">
      <c r="A2258" t="s">
        <v>32</v>
      </c>
      <c r="B2258" t="str">
        <f>"300502"</f>
        <v>300502</v>
      </c>
      <c r="C2258" t="s">
        <v>4562</v>
      </c>
      <c r="D2258" t="s">
        <v>57</v>
      </c>
      <c r="E2258">
        <v>-36401808</v>
      </c>
      <c r="F2258">
        <v>-95984878</v>
      </c>
      <c r="G2258">
        <v>57737243</v>
      </c>
      <c r="H2258">
        <v>6840038</v>
      </c>
      <c r="I2258">
        <v>55331303</v>
      </c>
      <c r="J2258">
        <v>-73182105</v>
      </c>
      <c r="K2258">
        <v>-27746509</v>
      </c>
      <c r="L2258">
        <v>-15427210</v>
      </c>
      <c r="P2258">
        <v>637</v>
      </c>
      <c r="Q2258" t="s">
        <v>4563</v>
      </c>
    </row>
    <row r="2259" spans="1:17" x14ac:dyDescent="0.3">
      <c r="A2259" t="s">
        <v>32</v>
      </c>
      <c r="B2259" t="str">
        <f>"300480"</f>
        <v>300480</v>
      </c>
      <c r="C2259" t="s">
        <v>4564</v>
      </c>
      <c r="D2259" t="s">
        <v>135</v>
      </c>
      <c r="E2259">
        <v>-36498491</v>
      </c>
      <c r="F2259">
        <v>10590659</v>
      </c>
      <c r="G2259">
        <v>3129069</v>
      </c>
      <c r="H2259">
        <v>12260454</v>
      </c>
      <c r="I2259">
        <v>3612952</v>
      </c>
      <c r="J2259">
        <v>-25690450</v>
      </c>
      <c r="K2259">
        <v>-21761293</v>
      </c>
      <c r="L2259">
        <v>-6667600</v>
      </c>
      <c r="M2259">
        <v>-9533100</v>
      </c>
      <c r="P2259">
        <v>85</v>
      </c>
      <c r="Q2259" t="s">
        <v>4565</v>
      </c>
    </row>
    <row r="2260" spans="1:17" x14ac:dyDescent="0.3">
      <c r="A2260" t="s">
        <v>32</v>
      </c>
      <c r="B2260" t="str">
        <f>"002809"</f>
        <v>002809</v>
      </c>
      <c r="C2260" t="s">
        <v>4566</v>
      </c>
      <c r="D2260" t="s">
        <v>144</v>
      </c>
      <c r="E2260">
        <v>-36500642</v>
      </c>
      <c r="F2260">
        <v>-119554517</v>
      </c>
      <c r="G2260">
        <v>-12196404</v>
      </c>
      <c r="H2260">
        <v>-57739790</v>
      </c>
      <c r="I2260">
        <v>27717828</v>
      </c>
      <c r="J2260">
        <v>-53354372</v>
      </c>
      <c r="K2260">
        <v>-21906354</v>
      </c>
      <c r="P2260">
        <v>99</v>
      </c>
      <c r="Q2260" t="s">
        <v>4567</v>
      </c>
    </row>
    <row r="2261" spans="1:17" x14ac:dyDescent="0.3">
      <c r="A2261" t="s">
        <v>32</v>
      </c>
      <c r="B2261" t="str">
        <f>"003031"</f>
        <v>003031</v>
      </c>
      <c r="C2261" t="s">
        <v>4568</v>
      </c>
      <c r="D2261" t="s">
        <v>57</v>
      </c>
      <c r="E2261">
        <v>-36584953</v>
      </c>
      <c r="F2261">
        <v>-9501921</v>
      </c>
      <c r="G2261">
        <v>-8357764</v>
      </c>
      <c r="H2261">
        <v>-35653401</v>
      </c>
      <c r="P2261">
        <v>87</v>
      </c>
      <c r="Q2261" t="s">
        <v>4569</v>
      </c>
    </row>
    <row r="2262" spans="1:17" x14ac:dyDescent="0.3">
      <c r="A2262" t="s">
        <v>32</v>
      </c>
      <c r="B2262" t="str">
        <f>"301213"</f>
        <v>301213</v>
      </c>
      <c r="C2262" t="s">
        <v>4570</v>
      </c>
      <c r="D2262" t="s">
        <v>188</v>
      </c>
      <c r="E2262">
        <v>-36623899</v>
      </c>
      <c r="G2262">
        <v>5762332</v>
      </c>
      <c r="P2262">
        <v>16</v>
      </c>
      <c r="Q2262" t="s">
        <v>4571</v>
      </c>
    </row>
    <row r="2263" spans="1:17" x14ac:dyDescent="0.3">
      <c r="A2263" t="s">
        <v>32</v>
      </c>
      <c r="B2263" t="str">
        <f>"300837"</f>
        <v>300837</v>
      </c>
      <c r="C2263" t="s">
        <v>4572</v>
      </c>
      <c r="D2263" t="s">
        <v>135</v>
      </c>
      <c r="E2263">
        <v>-36664934</v>
      </c>
      <c r="F2263">
        <v>-13371576</v>
      </c>
      <c r="G2263">
        <v>-587202</v>
      </c>
      <c r="H2263">
        <v>17735131</v>
      </c>
      <c r="P2263">
        <v>155</v>
      </c>
      <c r="Q2263" t="s">
        <v>4573</v>
      </c>
    </row>
    <row r="2264" spans="1:17" x14ac:dyDescent="0.3">
      <c r="A2264" t="s">
        <v>17</v>
      </c>
      <c r="B2264" t="str">
        <f>"600753"</f>
        <v>600753</v>
      </c>
      <c r="C2264" t="s">
        <v>4574</v>
      </c>
      <c r="D2264" t="s">
        <v>46</v>
      </c>
      <c r="E2264">
        <v>-36732388</v>
      </c>
      <c r="F2264">
        <v>-60825036</v>
      </c>
      <c r="G2264">
        <v>-50339250</v>
      </c>
      <c r="H2264">
        <v>-81254333</v>
      </c>
      <c r="I2264">
        <v>-172026475</v>
      </c>
      <c r="J2264">
        <v>-3563147</v>
      </c>
      <c r="K2264">
        <v>-1686714</v>
      </c>
      <c r="L2264">
        <v>-119714</v>
      </c>
      <c r="M2264">
        <v>-198927</v>
      </c>
      <c r="N2264">
        <v>-179427</v>
      </c>
      <c r="O2264">
        <v>-173914</v>
      </c>
      <c r="P2264">
        <v>91</v>
      </c>
      <c r="Q2264" t="s">
        <v>4575</v>
      </c>
    </row>
    <row r="2265" spans="1:17" x14ac:dyDescent="0.3">
      <c r="A2265" t="s">
        <v>32</v>
      </c>
      <c r="B2265" t="str">
        <f>"300065"</f>
        <v>300065</v>
      </c>
      <c r="C2265" t="s">
        <v>4576</v>
      </c>
      <c r="D2265" t="s">
        <v>188</v>
      </c>
      <c r="E2265">
        <v>-36829170</v>
      </c>
      <c r="F2265">
        <v>-94440922</v>
      </c>
      <c r="G2265">
        <v>-46146404</v>
      </c>
      <c r="H2265">
        <v>-8231970</v>
      </c>
      <c r="I2265">
        <v>-11210120</v>
      </c>
      <c r="J2265">
        <v>-32348724</v>
      </c>
      <c r="K2265">
        <v>-40027189</v>
      </c>
      <c r="L2265">
        <v>-51046398</v>
      </c>
      <c r="M2265">
        <v>-73903218</v>
      </c>
      <c r="N2265">
        <v>-87220258</v>
      </c>
      <c r="O2265">
        <v>-87068658</v>
      </c>
      <c r="P2265">
        <v>152</v>
      </c>
      <c r="Q2265" t="s">
        <v>4577</v>
      </c>
    </row>
    <row r="2266" spans="1:17" x14ac:dyDescent="0.3">
      <c r="A2266" t="s">
        <v>17</v>
      </c>
      <c r="B2266" t="str">
        <f>"688589"</f>
        <v>688589</v>
      </c>
      <c r="C2266" t="s">
        <v>4578</v>
      </c>
      <c r="D2266" t="s">
        <v>124</v>
      </c>
      <c r="E2266">
        <v>-36833049</v>
      </c>
      <c r="F2266">
        <v>-4654150</v>
      </c>
      <c r="G2266">
        <v>-41966856</v>
      </c>
      <c r="H2266">
        <v>-16544218</v>
      </c>
      <c r="P2266">
        <v>74</v>
      </c>
      <c r="Q2266" t="s">
        <v>4579</v>
      </c>
    </row>
    <row r="2267" spans="1:17" x14ac:dyDescent="0.3">
      <c r="A2267" t="s">
        <v>32</v>
      </c>
      <c r="B2267" t="str">
        <f>"002660"</f>
        <v>002660</v>
      </c>
      <c r="C2267" t="s">
        <v>4580</v>
      </c>
      <c r="D2267" t="s">
        <v>124</v>
      </c>
      <c r="E2267">
        <v>-36897750</v>
      </c>
      <c r="F2267">
        <v>-6362890</v>
      </c>
      <c r="G2267">
        <v>13352304</v>
      </c>
      <c r="H2267">
        <v>-97112677</v>
      </c>
      <c r="I2267">
        <v>33719737</v>
      </c>
      <c r="J2267">
        <v>39298745</v>
      </c>
      <c r="K2267">
        <v>-20021640</v>
      </c>
      <c r="L2267">
        <v>-17406500</v>
      </c>
      <c r="M2267">
        <v>-9488825</v>
      </c>
      <c r="N2267">
        <v>-31795615</v>
      </c>
      <c r="O2267">
        <v>-20527451</v>
      </c>
      <c r="P2267">
        <v>122</v>
      </c>
      <c r="Q2267" t="s">
        <v>4581</v>
      </c>
    </row>
    <row r="2268" spans="1:17" x14ac:dyDescent="0.3">
      <c r="A2268" t="s">
        <v>32</v>
      </c>
      <c r="B2268" t="str">
        <f>"002399"</f>
        <v>002399</v>
      </c>
      <c r="C2268" t="s">
        <v>4582</v>
      </c>
      <c r="D2268" t="s">
        <v>98</v>
      </c>
      <c r="E2268">
        <v>-36948880</v>
      </c>
      <c r="F2268">
        <v>373884382</v>
      </c>
      <c r="G2268">
        <v>-285230692</v>
      </c>
      <c r="H2268">
        <v>-240303210</v>
      </c>
      <c r="I2268">
        <v>-154127070</v>
      </c>
      <c r="J2268">
        <v>-202183764</v>
      </c>
      <c r="K2268">
        <v>2559265</v>
      </c>
      <c r="L2268">
        <v>215937155</v>
      </c>
      <c r="M2268">
        <v>93689911</v>
      </c>
      <c r="N2268">
        <v>-92630589</v>
      </c>
      <c r="O2268">
        <v>445032109</v>
      </c>
      <c r="P2268">
        <v>285</v>
      </c>
      <c r="Q2268" t="s">
        <v>4583</v>
      </c>
    </row>
    <row r="2269" spans="1:17" x14ac:dyDescent="0.3">
      <c r="A2269" t="s">
        <v>32</v>
      </c>
      <c r="B2269" t="str">
        <f>"002890"</f>
        <v>002890</v>
      </c>
      <c r="C2269" t="s">
        <v>4584</v>
      </c>
      <c r="D2269" t="s">
        <v>135</v>
      </c>
      <c r="E2269">
        <v>-36981450</v>
      </c>
      <c r="F2269">
        <v>-15674361</v>
      </c>
      <c r="G2269">
        <v>-7967597</v>
      </c>
      <c r="H2269">
        <v>-4908757</v>
      </c>
      <c r="I2269">
        <v>-19126803</v>
      </c>
      <c r="J2269">
        <v>831184</v>
      </c>
      <c r="P2269">
        <v>70</v>
      </c>
      <c r="Q2269" t="s">
        <v>4585</v>
      </c>
    </row>
    <row r="2270" spans="1:17" x14ac:dyDescent="0.3">
      <c r="A2270" t="s">
        <v>32</v>
      </c>
      <c r="B2270" t="str">
        <f>"300136"</f>
        <v>300136</v>
      </c>
      <c r="C2270" t="s">
        <v>4586</v>
      </c>
      <c r="D2270" t="s">
        <v>124</v>
      </c>
      <c r="E2270">
        <v>-36981638</v>
      </c>
      <c r="F2270">
        <v>33085478</v>
      </c>
      <c r="G2270">
        <v>564247883</v>
      </c>
      <c r="H2270">
        <v>-279195766</v>
      </c>
      <c r="I2270">
        <v>-610073748</v>
      </c>
      <c r="J2270">
        <v>188079835</v>
      </c>
      <c r="K2270">
        <v>68709938</v>
      </c>
      <c r="L2270">
        <v>-9625511</v>
      </c>
      <c r="M2270">
        <v>-10971145</v>
      </c>
      <c r="N2270">
        <v>-42175640</v>
      </c>
      <c r="O2270">
        <v>-39486079</v>
      </c>
      <c r="P2270">
        <v>2618</v>
      </c>
      <c r="Q2270" t="s">
        <v>4587</v>
      </c>
    </row>
    <row r="2271" spans="1:17" x14ac:dyDescent="0.3">
      <c r="A2271" t="s">
        <v>32</v>
      </c>
      <c r="B2271" t="str">
        <f>"300491"</f>
        <v>300491</v>
      </c>
      <c r="C2271" t="s">
        <v>4588</v>
      </c>
      <c r="D2271" t="s">
        <v>464</v>
      </c>
      <c r="E2271">
        <v>-37003863</v>
      </c>
      <c r="F2271">
        <v>-13278842</v>
      </c>
      <c r="G2271">
        <v>-7875795</v>
      </c>
      <c r="H2271">
        <v>-1361306</v>
      </c>
      <c r="I2271">
        <v>-25100917</v>
      </c>
      <c r="J2271">
        <v>-25513241</v>
      </c>
      <c r="K2271">
        <v>-32154828</v>
      </c>
      <c r="L2271">
        <v>-17877906</v>
      </c>
      <c r="P2271">
        <v>94</v>
      </c>
      <c r="Q2271" t="s">
        <v>4589</v>
      </c>
    </row>
    <row r="2272" spans="1:17" x14ac:dyDescent="0.3">
      <c r="A2272" t="s">
        <v>32</v>
      </c>
      <c r="B2272" t="str">
        <f>"300707"</f>
        <v>300707</v>
      </c>
      <c r="C2272" t="s">
        <v>4590</v>
      </c>
      <c r="D2272" t="s">
        <v>199</v>
      </c>
      <c r="E2272">
        <v>-37028434</v>
      </c>
      <c r="F2272">
        <v>-22076366</v>
      </c>
      <c r="G2272">
        <v>-12138420</v>
      </c>
      <c r="H2272">
        <v>11802437</v>
      </c>
      <c r="I2272">
        <v>10202161</v>
      </c>
      <c r="J2272">
        <v>1914024</v>
      </c>
      <c r="P2272">
        <v>140</v>
      </c>
      <c r="Q2272" t="s">
        <v>4591</v>
      </c>
    </row>
    <row r="2273" spans="1:17" x14ac:dyDescent="0.3">
      <c r="A2273" t="s">
        <v>32</v>
      </c>
      <c r="B2273" t="str">
        <f>"300276"</f>
        <v>300276</v>
      </c>
      <c r="C2273" t="s">
        <v>4592</v>
      </c>
      <c r="D2273" t="s">
        <v>135</v>
      </c>
      <c r="E2273">
        <v>-37338677</v>
      </c>
      <c r="F2273">
        <v>-79692422</v>
      </c>
      <c r="G2273">
        <v>-56249668</v>
      </c>
      <c r="H2273">
        <v>-137832068</v>
      </c>
      <c r="I2273">
        <v>65091478</v>
      </c>
      <c r="J2273">
        <v>-24200825</v>
      </c>
      <c r="K2273">
        <v>-20544022</v>
      </c>
      <c r="L2273">
        <v>-36297375</v>
      </c>
      <c r="M2273">
        <v>-27109050</v>
      </c>
      <c r="N2273">
        <v>-18656648</v>
      </c>
      <c r="O2273">
        <v>-17931282</v>
      </c>
      <c r="P2273">
        <v>138</v>
      </c>
      <c r="Q2273" t="s">
        <v>4593</v>
      </c>
    </row>
    <row r="2274" spans="1:17" x14ac:dyDescent="0.3">
      <c r="A2274" t="s">
        <v>32</v>
      </c>
      <c r="B2274" t="str">
        <f>"002478"</f>
        <v>002478</v>
      </c>
      <c r="C2274" t="s">
        <v>4594</v>
      </c>
      <c r="D2274" t="s">
        <v>163</v>
      </c>
      <c r="E2274">
        <v>-37355185</v>
      </c>
      <c r="F2274">
        <v>-175068425</v>
      </c>
      <c r="G2274">
        <v>-72553518</v>
      </c>
      <c r="H2274">
        <v>-200313247</v>
      </c>
      <c r="I2274">
        <v>-93984697</v>
      </c>
      <c r="J2274">
        <v>-27312938</v>
      </c>
      <c r="K2274">
        <v>29401103</v>
      </c>
      <c r="L2274">
        <v>-57685722</v>
      </c>
      <c r="M2274">
        <v>98457268</v>
      </c>
      <c r="N2274">
        <v>89507015</v>
      </c>
      <c r="O2274">
        <v>-101931086</v>
      </c>
      <c r="P2274">
        <v>208</v>
      </c>
      <c r="Q2274" t="s">
        <v>4595</v>
      </c>
    </row>
    <row r="2275" spans="1:17" x14ac:dyDescent="0.3">
      <c r="A2275" t="s">
        <v>17</v>
      </c>
      <c r="B2275" t="str">
        <f>"600783"</f>
        <v>600783</v>
      </c>
      <c r="C2275" t="s">
        <v>4596</v>
      </c>
      <c r="D2275" t="s">
        <v>345</v>
      </c>
      <c r="E2275">
        <v>-37470971</v>
      </c>
      <c r="F2275">
        <v>-20882803</v>
      </c>
      <c r="G2275">
        <v>-31286102</v>
      </c>
      <c r="H2275">
        <v>-63797037</v>
      </c>
      <c r="I2275">
        <v>-39495771</v>
      </c>
      <c r="J2275">
        <v>-77994052</v>
      </c>
      <c r="K2275">
        <v>-16424529</v>
      </c>
      <c r="L2275">
        <v>-13409205</v>
      </c>
      <c r="M2275">
        <v>-17978476</v>
      </c>
      <c r="N2275">
        <v>-12258569</v>
      </c>
      <c r="O2275">
        <v>-3347458</v>
      </c>
      <c r="P2275">
        <v>124</v>
      </c>
      <c r="Q2275" t="s">
        <v>4597</v>
      </c>
    </row>
    <row r="2276" spans="1:17" x14ac:dyDescent="0.3">
      <c r="A2276" t="s">
        <v>17</v>
      </c>
      <c r="B2276" t="str">
        <f>"688265"</f>
        <v>688265</v>
      </c>
      <c r="C2276" t="s">
        <v>4598</v>
      </c>
      <c r="D2276" t="s">
        <v>98</v>
      </c>
      <c r="E2276">
        <v>-37566596</v>
      </c>
      <c r="P2276">
        <v>17</v>
      </c>
      <c r="Q2276" t="s">
        <v>4599</v>
      </c>
    </row>
    <row r="2277" spans="1:17" x14ac:dyDescent="0.3">
      <c r="A2277" t="s">
        <v>32</v>
      </c>
      <c r="B2277" t="str">
        <f>"300609"</f>
        <v>300609</v>
      </c>
      <c r="C2277" t="s">
        <v>4600</v>
      </c>
      <c r="D2277" t="s">
        <v>342</v>
      </c>
      <c r="E2277">
        <v>-37576125</v>
      </c>
      <c r="F2277">
        <v>-22968819</v>
      </c>
      <c r="G2277">
        <v>-39139964</v>
      </c>
      <c r="H2277">
        <v>-62237038</v>
      </c>
      <c r="I2277">
        <v>-140278</v>
      </c>
      <c r="J2277">
        <v>-3972940</v>
      </c>
      <c r="K2277">
        <v>-12867540</v>
      </c>
      <c r="P2277">
        <v>155</v>
      </c>
      <c r="Q2277" t="s">
        <v>4601</v>
      </c>
    </row>
    <row r="2278" spans="1:17" x14ac:dyDescent="0.3">
      <c r="A2278" t="s">
        <v>32</v>
      </c>
      <c r="B2278" t="str">
        <f>"301138"</f>
        <v>301138</v>
      </c>
      <c r="C2278" t="s">
        <v>4602</v>
      </c>
      <c r="D2278" t="s">
        <v>135</v>
      </c>
      <c r="E2278">
        <v>-37581604</v>
      </c>
      <c r="P2278">
        <v>16</v>
      </c>
      <c r="Q2278" t="s">
        <v>4603</v>
      </c>
    </row>
    <row r="2279" spans="1:17" x14ac:dyDescent="0.3">
      <c r="A2279" t="s">
        <v>17</v>
      </c>
      <c r="B2279" t="str">
        <f>"688500"</f>
        <v>688500</v>
      </c>
      <c r="C2279" t="s">
        <v>4604</v>
      </c>
      <c r="D2279" t="s">
        <v>342</v>
      </c>
      <c r="E2279">
        <v>-37636594</v>
      </c>
      <c r="F2279">
        <v>-62079212</v>
      </c>
      <c r="G2279">
        <v>-36032086</v>
      </c>
      <c r="P2279">
        <v>26</v>
      </c>
      <c r="Q2279" t="s">
        <v>4605</v>
      </c>
    </row>
    <row r="2280" spans="1:17" x14ac:dyDescent="0.3">
      <c r="A2280" t="s">
        <v>32</v>
      </c>
      <c r="B2280" t="str">
        <f>"301169"</f>
        <v>301169</v>
      </c>
      <c r="C2280" t="s">
        <v>4606</v>
      </c>
      <c r="D2280" t="s">
        <v>497</v>
      </c>
      <c r="E2280">
        <v>-37685256</v>
      </c>
      <c r="P2280">
        <v>15</v>
      </c>
      <c r="Q2280" t="s">
        <v>4607</v>
      </c>
    </row>
    <row r="2281" spans="1:17" x14ac:dyDescent="0.3">
      <c r="A2281" t="s">
        <v>32</v>
      </c>
      <c r="B2281" t="str">
        <f>"003020"</f>
        <v>003020</v>
      </c>
      <c r="C2281" t="s">
        <v>4608</v>
      </c>
      <c r="D2281" t="s">
        <v>98</v>
      </c>
      <c r="E2281">
        <v>-37718415</v>
      </c>
      <c r="F2281">
        <v>-17849415</v>
      </c>
      <c r="G2281">
        <v>6963321</v>
      </c>
      <c r="P2281">
        <v>79</v>
      </c>
      <c r="Q2281" t="s">
        <v>4609</v>
      </c>
    </row>
    <row r="2282" spans="1:17" x14ac:dyDescent="0.3">
      <c r="A2282" t="s">
        <v>32</v>
      </c>
      <c r="B2282" t="str">
        <f>"002397"</f>
        <v>002397</v>
      </c>
      <c r="C2282" t="s">
        <v>4610</v>
      </c>
      <c r="D2282" t="s">
        <v>130</v>
      </c>
      <c r="E2282">
        <v>-37843531</v>
      </c>
      <c r="F2282">
        <v>-88028053</v>
      </c>
      <c r="G2282">
        <v>31479007</v>
      </c>
      <c r="H2282">
        <v>46237247</v>
      </c>
      <c r="I2282">
        <v>-63894021</v>
      </c>
      <c r="J2282">
        <v>-152465735</v>
      </c>
      <c r="K2282">
        <v>-138783805</v>
      </c>
      <c r="L2282">
        <v>-81529982</v>
      </c>
      <c r="M2282">
        <v>-49597851</v>
      </c>
      <c r="N2282">
        <v>-57254563</v>
      </c>
      <c r="O2282">
        <v>-103827718</v>
      </c>
      <c r="P2282">
        <v>109</v>
      </c>
      <c r="Q2282" t="s">
        <v>4611</v>
      </c>
    </row>
    <row r="2283" spans="1:17" x14ac:dyDescent="0.3">
      <c r="A2283" t="s">
        <v>32</v>
      </c>
      <c r="B2283" t="str">
        <f>"301046"</f>
        <v>301046</v>
      </c>
      <c r="C2283" t="s">
        <v>4612</v>
      </c>
      <c r="D2283" t="s">
        <v>645</v>
      </c>
      <c r="E2283">
        <v>-37914601</v>
      </c>
      <c r="F2283">
        <v>-60578634</v>
      </c>
      <c r="G2283">
        <v>-30879429</v>
      </c>
      <c r="P2283">
        <v>33</v>
      </c>
      <c r="Q2283" t="s">
        <v>4613</v>
      </c>
    </row>
    <row r="2284" spans="1:17" x14ac:dyDescent="0.3">
      <c r="A2284" t="s">
        <v>17</v>
      </c>
      <c r="B2284" t="str">
        <f>"688217"</f>
        <v>688217</v>
      </c>
      <c r="C2284" t="s">
        <v>4614</v>
      </c>
      <c r="D2284" t="s">
        <v>98</v>
      </c>
      <c r="E2284">
        <v>-37992571</v>
      </c>
      <c r="F2284">
        <v>-8516380</v>
      </c>
      <c r="G2284">
        <v>-6777816</v>
      </c>
      <c r="P2284">
        <v>31</v>
      </c>
      <c r="Q2284" t="s">
        <v>4615</v>
      </c>
    </row>
    <row r="2285" spans="1:17" x14ac:dyDescent="0.3">
      <c r="A2285" t="s">
        <v>17</v>
      </c>
      <c r="B2285" t="str">
        <f>"688683"</f>
        <v>688683</v>
      </c>
      <c r="C2285" t="s">
        <v>4616</v>
      </c>
      <c r="D2285" t="s">
        <v>124</v>
      </c>
      <c r="E2285">
        <v>-37997840</v>
      </c>
      <c r="F2285">
        <v>-37069513</v>
      </c>
      <c r="G2285">
        <v>6913786</v>
      </c>
      <c r="P2285">
        <v>18</v>
      </c>
      <c r="Q2285" t="s">
        <v>4617</v>
      </c>
    </row>
    <row r="2286" spans="1:17" x14ac:dyDescent="0.3">
      <c r="A2286" t="s">
        <v>32</v>
      </c>
      <c r="B2286" t="str">
        <f>"300246"</f>
        <v>300246</v>
      </c>
      <c r="C2286" t="s">
        <v>4618</v>
      </c>
      <c r="D2286" t="s">
        <v>98</v>
      </c>
      <c r="E2286">
        <v>-38058505</v>
      </c>
      <c r="F2286">
        <v>-50823405</v>
      </c>
      <c r="G2286">
        <v>21367659</v>
      </c>
      <c r="H2286">
        <v>-29707701</v>
      </c>
      <c r="I2286">
        <v>-42170944</v>
      </c>
      <c r="J2286">
        <v>-14070599</v>
      </c>
      <c r="K2286">
        <v>-14839486</v>
      </c>
      <c r="L2286">
        <v>-16471310</v>
      </c>
      <c r="M2286">
        <v>-426680</v>
      </c>
      <c r="N2286">
        <v>-1851784</v>
      </c>
      <c r="O2286">
        <v>26935</v>
      </c>
      <c r="P2286">
        <v>511</v>
      </c>
      <c r="Q2286" t="s">
        <v>4619</v>
      </c>
    </row>
    <row r="2287" spans="1:17" x14ac:dyDescent="0.3">
      <c r="A2287" t="s">
        <v>32</v>
      </c>
      <c r="B2287" t="str">
        <f>"000576"</f>
        <v>000576</v>
      </c>
      <c r="C2287" t="s">
        <v>4620</v>
      </c>
      <c r="D2287" t="s">
        <v>188</v>
      </c>
      <c r="E2287">
        <v>-38061589</v>
      </c>
      <c r="F2287">
        <v>-40661932</v>
      </c>
      <c r="G2287">
        <v>28746893</v>
      </c>
      <c r="H2287">
        <v>-92730534</v>
      </c>
      <c r="I2287">
        <v>285006501</v>
      </c>
      <c r="J2287">
        <v>181905256</v>
      </c>
      <c r="K2287">
        <v>34905720</v>
      </c>
      <c r="L2287">
        <v>-51471384</v>
      </c>
      <c r="M2287">
        <v>-41238704</v>
      </c>
      <c r="N2287">
        <v>-58523693</v>
      </c>
      <c r="O2287">
        <v>-109281255</v>
      </c>
      <c r="P2287">
        <v>161</v>
      </c>
      <c r="Q2287" t="s">
        <v>4621</v>
      </c>
    </row>
    <row r="2288" spans="1:17" x14ac:dyDescent="0.3">
      <c r="A2288" t="s">
        <v>32</v>
      </c>
      <c r="B2288" t="str">
        <f>"300540"</f>
        <v>300540</v>
      </c>
      <c r="C2288" t="s">
        <v>4622</v>
      </c>
      <c r="D2288" t="s">
        <v>135</v>
      </c>
      <c r="E2288">
        <v>-38062694</v>
      </c>
      <c r="F2288">
        <v>-21935176</v>
      </c>
      <c r="G2288">
        <v>-50408042</v>
      </c>
      <c r="H2288">
        <v>-29737721</v>
      </c>
      <c r="I2288">
        <v>-35945067</v>
      </c>
      <c r="J2288">
        <v>-29871056</v>
      </c>
      <c r="K2288">
        <v>-3450991</v>
      </c>
      <c r="P2288">
        <v>65</v>
      </c>
      <c r="Q2288" t="s">
        <v>4623</v>
      </c>
    </row>
    <row r="2289" spans="1:17" x14ac:dyDescent="0.3">
      <c r="A2289" t="s">
        <v>32</v>
      </c>
      <c r="B2289" t="str">
        <f>"002861"</f>
        <v>002861</v>
      </c>
      <c r="C2289" t="s">
        <v>4624</v>
      </c>
      <c r="D2289" t="s">
        <v>124</v>
      </c>
      <c r="E2289">
        <v>-38076164</v>
      </c>
      <c r="F2289">
        <v>37359016</v>
      </c>
      <c r="G2289">
        <v>16956866</v>
      </c>
      <c r="H2289">
        <v>12183784</v>
      </c>
      <c r="I2289">
        <v>-16536086</v>
      </c>
      <c r="J2289">
        <v>3154680</v>
      </c>
      <c r="K2289">
        <v>60334531</v>
      </c>
      <c r="P2289">
        <v>155</v>
      </c>
      <c r="Q2289" t="s">
        <v>4625</v>
      </c>
    </row>
    <row r="2290" spans="1:17" x14ac:dyDescent="0.3">
      <c r="A2290" t="s">
        <v>32</v>
      </c>
      <c r="B2290" t="str">
        <f>"002147"</f>
        <v>002147</v>
      </c>
      <c r="C2290" t="s">
        <v>4626</v>
      </c>
      <c r="D2290" t="s">
        <v>135</v>
      </c>
      <c r="E2290">
        <v>-38128194</v>
      </c>
      <c r="F2290">
        <v>45648038</v>
      </c>
      <c r="G2290">
        <v>-50871998</v>
      </c>
      <c r="H2290">
        <v>-46737209</v>
      </c>
      <c r="I2290">
        <v>-81343390</v>
      </c>
      <c r="J2290">
        <v>-639324910</v>
      </c>
      <c r="K2290">
        <v>5851409</v>
      </c>
      <c r="L2290">
        <v>-5956394</v>
      </c>
      <c r="M2290">
        <v>16446130</v>
      </c>
      <c r="N2290">
        <v>-17641903</v>
      </c>
      <c r="O2290">
        <v>-50894548</v>
      </c>
      <c r="P2290">
        <v>94</v>
      </c>
      <c r="Q2290" t="s">
        <v>4627</v>
      </c>
    </row>
    <row r="2291" spans="1:17" x14ac:dyDescent="0.3">
      <c r="A2291" t="s">
        <v>32</v>
      </c>
      <c r="B2291" t="str">
        <f>"000697"</f>
        <v>000697</v>
      </c>
      <c r="C2291" t="s">
        <v>4628</v>
      </c>
      <c r="D2291" t="s">
        <v>188</v>
      </c>
      <c r="E2291">
        <v>-38221637</v>
      </c>
      <c r="F2291">
        <v>-134665801</v>
      </c>
      <c r="G2291">
        <v>-133281550</v>
      </c>
      <c r="H2291">
        <v>-164095776</v>
      </c>
      <c r="I2291">
        <v>-36757286</v>
      </c>
      <c r="J2291">
        <v>-58922717</v>
      </c>
      <c r="K2291">
        <v>-81703786</v>
      </c>
      <c r="L2291">
        <v>-114566968</v>
      </c>
      <c r="M2291">
        <v>-1780225</v>
      </c>
      <c r="N2291">
        <v>-32398715</v>
      </c>
      <c r="O2291">
        <v>-45402701</v>
      </c>
      <c r="P2291">
        <v>110</v>
      </c>
      <c r="Q2291" t="s">
        <v>4629</v>
      </c>
    </row>
    <row r="2292" spans="1:17" x14ac:dyDescent="0.3">
      <c r="A2292" t="s">
        <v>32</v>
      </c>
      <c r="B2292" t="str">
        <f>"002767"</f>
        <v>002767</v>
      </c>
      <c r="C2292" t="s">
        <v>4630</v>
      </c>
      <c r="D2292" t="s">
        <v>135</v>
      </c>
      <c r="E2292">
        <v>-38348115</v>
      </c>
      <c r="F2292">
        <v>-97457581</v>
      </c>
      <c r="G2292">
        <v>-48673467</v>
      </c>
      <c r="H2292">
        <v>-30847522</v>
      </c>
      <c r="I2292">
        <v>-41106326</v>
      </c>
      <c r="J2292">
        <v>-29081710</v>
      </c>
      <c r="K2292">
        <v>-26825031</v>
      </c>
      <c r="L2292">
        <v>-19488500</v>
      </c>
      <c r="M2292">
        <v>-22363700</v>
      </c>
      <c r="P2292">
        <v>73</v>
      </c>
      <c r="Q2292" t="s">
        <v>4631</v>
      </c>
    </row>
    <row r="2293" spans="1:17" x14ac:dyDescent="0.3">
      <c r="A2293" t="s">
        <v>32</v>
      </c>
      <c r="B2293" t="str">
        <f>"300508"</f>
        <v>300508</v>
      </c>
      <c r="C2293" t="s">
        <v>4632</v>
      </c>
      <c r="D2293" t="s">
        <v>342</v>
      </c>
      <c r="E2293">
        <v>-38348823</v>
      </c>
      <c r="F2293">
        <v>-28539425</v>
      </c>
      <c r="G2293">
        <v>-23909754</v>
      </c>
      <c r="H2293">
        <v>-43897516</v>
      </c>
      <c r="I2293">
        <v>-10889335</v>
      </c>
      <c r="J2293">
        <v>-1449063</v>
      </c>
      <c r="K2293">
        <v>-4254560</v>
      </c>
      <c r="L2293">
        <v>-11747668</v>
      </c>
      <c r="P2293">
        <v>131</v>
      </c>
      <c r="Q2293" t="s">
        <v>4633</v>
      </c>
    </row>
    <row r="2294" spans="1:17" x14ac:dyDescent="0.3">
      <c r="A2294" t="s">
        <v>32</v>
      </c>
      <c r="B2294" t="str">
        <f>"300185"</f>
        <v>300185</v>
      </c>
      <c r="C2294" t="s">
        <v>4634</v>
      </c>
      <c r="D2294" t="s">
        <v>464</v>
      </c>
      <c r="E2294">
        <v>-38378599</v>
      </c>
      <c r="F2294">
        <v>95112341</v>
      </c>
      <c r="G2294">
        <v>-59088424</v>
      </c>
      <c r="H2294">
        <v>-3718488</v>
      </c>
      <c r="I2294">
        <v>-89606317</v>
      </c>
      <c r="J2294">
        <v>-19148723</v>
      </c>
      <c r="K2294">
        <v>47677135</v>
      </c>
      <c r="L2294">
        <v>-118840321</v>
      </c>
      <c r="M2294">
        <v>-82259776</v>
      </c>
      <c r="N2294">
        <v>-295999458</v>
      </c>
      <c r="O2294">
        <v>-116304199</v>
      </c>
      <c r="P2294">
        <v>201</v>
      </c>
      <c r="Q2294" t="s">
        <v>4635</v>
      </c>
    </row>
    <row r="2295" spans="1:17" x14ac:dyDescent="0.3">
      <c r="A2295" t="s">
        <v>32</v>
      </c>
      <c r="B2295" t="str">
        <f>"300808"</f>
        <v>300808</v>
      </c>
      <c r="C2295" t="s">
        <v>4636</v>
      </c>
      <c r="D2295" t="s">
        <v>124</v>
      </c>
      <c r="E2295">
        <v>-38504065</v>
      </c>
      <c r="F2295">
        <v>-69136872</v>
      </c>
      <c r="G2295">
        <v>-106578340</v>
      </c>
      <c r="H2295">
        <v>-14564372</v>
      </c>
      <c r="P2295">
        <v>55</v>
      </c>
      <c r="Q2295" t="s">
        <v>4637</v>
      </c>
    </row>
    <row r="2296" spans="1:17" x14ac:dyDescent="0.3">
      <c r="A2296" t="s">
        <v>32</v>
      </c>
      <c r="B2296" t="str">
        <f>"301228"</f>
        <v>301228</v>
      </c>
      <c r="C2296" t="s">
        <v>4638</v>
      </c>
      <c r="E2296">
        <v>-38562706</v>
      </c>
      <c r="G2296">
        <v>-32131237</v>
      </c>
      <c r="P2296">
        <v>11</v>
      </c>
      <c r="Q2296" t="s">
        <v>4639</v>
      </c>
    </row>
    <row r="2297" spans="1:17" x14ac:dyDescent="0.3">
      <c r="A2297" t="s">
        <v>17</v>
      </c>
      <c r="B2297" t="str">
        <f>"688737"</f>
        <v>688737</v>
      </c>
      <c r="C2297" t="s">
        <v>4640</v>
      </c>
      <c r="D2297" t="s">
        <v>199</v>
      </c>
      <c r="E2297">
        <v>-38603800</v>
      </c>
      <c r="P2297">
        <v>15</v>
      </c>
      <c r="Q2297" t="s">
        <v>4641</v>
      </c>
    </row>
    <row r="2298" spans="1:17" x14ac:dyDescent="0.3">
      <c r="A2298" t="s">
        <v>32</v>
      </c>
      <c r="B2298" t="str">
        <f>"300050"</f>
        <v>300050</v>
      </c>
      <c r="C2298" t="s">
        <v>4642</v>
      </c>
      <c r="D2298" t="s">
        <v>57</v>
      </c>
      <c r="E2298">
        <v>-38674299</v>
      </c>
      <c r="F2298">
        <v>-79926396</v>
      </c>
      <c r="G2298">
        <v>-154128094</v>
      </c>
      <c r="H2298">
        <v>-138952028</v>
      </c>
      <c r="I2298">
        <v>-156362720</v>
      </c>
      <c r="J2298">
        <v>-253934417</v>
      </c>
      <c r="K2298">
        <v>-46277857</v>
      </c>
      <c r="L2298">
        <v>-41695382</v>
      </c>
      <c r="M2298">
        <v>-32123633</v>
      </c>
      <c r="N2298">
        <v>-9015051</v>
      </c>
      <c r="O2298">
        <v>-51493620</v>
      </c>
      <c r="P2298">
        <v>164</v>
      </c>
      <c r="Q2298" t="s">
        <v>4643</v>
      </c>
    </row>
    <row r="2299" spans="1:17" x14ac:dyDescent="0.3">
      <c r="A2299" t="s">
        <v>32</v>
      </c>
      <c r="B2299" t="str">
        <f>"300131"</f>
        <v>300131</v>
      </c>
      <c r="C2299" t="s">
        <v>4644</v>
      </c>
      <c r="D2299" t="s">
        <v>124</v>
      </c>
      <c r="E2299">
        <v>-38787980</v>
      </c>
      <c r="F2299">
        <v>46577086</v>
      </c>
      <c r="G2299">
        <v>53974545</v>
      </c>
      <c r="H2299">
        <v>303063867</v>
      </c>
      <c r="I2299">
        <v>56803128</v>
      </c>
      <c r="J2299">
        <v>-147210761</v>
      </c>
      <c r="K2299">
        <v>60047761</v>
      </c>
      <c r="L2299">
        <v>1845589</v>
      </c>
      <c r="M2299">
        <v>-61493425</v>
      </c>
      <c r="N2299">
        <v>8920406</v>
      </c>
      <c r="O2299">
        <v>-43168518</v>
      </c>
      <c r="P2299">
        <v>207</v>
      </c>
      <c r="Q2299" t="s">
        <v>4645</v>
      </c>
    </row>
    <row r="2300" spans="1:17" x14ac:dyDescent="0.3">
      <c r="A2300" t="s">
        <v>32</v>
      </c>
      <c r="B2300" t="str">
        <f>"002952"</f>
        <v>002952</v>
      </c>
      <c r="C2300" t="s">
        <v>4646</v>
      </c>
      <c r="D2300" t="s">
        <v>124</v>
      </c>
      <c r="E2300">
        <v>-38806938</v>
      </c>
      <c r="F2300">
        <v>-37577639</v>
      </c>
      <c r="G2300">
        <v>-2598775</v>
      </c>
      <c r="H2300">
        <v>11925592</v>
      </c>
      <c r="I2300">
        <v>31295810</v>
      </c>
      <c r="J2300">
        <v>-3457524</v>
      </c>
      <c r="P2300">
        <v>79</v>
      </c>
      <c r="Q2300" t="s">
        <v>4647</v>
      </c>
    </row>
    <row r="2301" spans="1:17" x14ac:dyDescent="0.3">
      <c r="A2301" t="s">
        <v>32</v>
      </c>
      <c r="B2301" t="str">
        <f>"300955"</f>
        <v>300955</v>
      </c>
      <c r="C2301" t="s">
        <v>4648</v>
      </c>
      <c r="D2301" t="s">
        <v>544</v>
      </c>
      <c r="E2301">
        <v>-38914298</v>
      </c>
      <c r="F2301">
        <v>-9009687</v>
      </c>
      <c r="G2301">
        <v>-11388445</v>
      </c>
      <c r="P2301">
        <v>43</v>
      </c>
      <c r="Q2301" t="s">
        <v>4649</v>
      </c>
    </row>
    <row r="2302" spans="1:17" x14ac:dyDescent="0.3">
      <c r="A2302" t="s">
        <v>17</v>
      </c>
      <c r="B2302" t="str">
        <f>"600958"</f>
        <v>600958</v>
      </c>
      <c r="C2302" t="s">
        <v>4650</v>
      </c>
      <c r="D2302" t="s">
        <v>26</v>
      </c>
      <c r="E2302">
        <v>-38939795</v>
      </c>
      <c r="F2302">
        <v>17757517236</v>
      </c>
      <c r="G2302">
        <v>3361188849</v>
      </c>
      <c r="H2302">
        <v>6470044334</v>
      </c>
      <c r="I2302">
        <v>-7895493458</v>
      </c>
      <c r="J2302">
        <v>-9777991149</v>
      </c>
      <c r="K2302">
        <v>-4564460788</v>
      </c>
      <c r="L2302">
        <v>-3288047881</v>
      </c>
      <c r="M2302">
        <v>-1119212603.78</v>
      </c>
      <c r="P2302">
        <v>1248</v>
      </c>
      <c r="Q2302" t="s">
        <v>4651</v>
      </c>
    </row>
    <row r="2303" spans="1:17" x14ac:dyDescent="0.3">
      <c r="A2303" t="s">
        <v>32</v>
      </c>
      <c r="B2303" t="str">
        <f>"300041"</f>
        <v>300041</v>
      </c>
      <c r="C2303" t="s">
        <v>4652</v>
      </c>
      <c r="D2303" t="s">
        <v>144</v>
      </c>
      <c r="E2303">
        <v>-38944376</v>
      </c>
      <c r="F2303">
        <v>-75371627</v>
      </c>
      <c r="G2303">
        <v>-7762057</v>
      </c>
      <c r="H2303">
        <v>88679784</v>
      </c>
      <c r="I2303">
        <v>-30396449</v>
      </c>
      <c r="J2303">
        <v>17786308</v>
      </c>
      <c r="K2303">
        <v>-17092221</v>
      </c>
      <c r="L2303">
        <v>-31667157</v>
      </c>
      <c r="M2303">
        <v>-24316616</v>
      </c>
      <c r="N2303">
        <v>-22650286</v>
      </c>
      <c r="O2303">
        <v>-9019613</v>
      </c>
      <c r="P2303">
        <v>253</v>
      </c>
      <c r="Q2303" t="s">
        <v>4653</v>
      </c>
    </row>
    <row r="2304" spans="1:17" x14ac:dyDescent="0.3">
      <c r="A2304" t="s">
        <v>32</v>
      </c>
      <c r="B2304" t="str">
        <f>"300907"</f>
        <v>300907</v>
      </c>
      <c r="C2304" t="s">
        <v>4654</v>
      </c>
      <c r="D2304" t="s">
        <v>464</v>
      </c>
      <c r="E2304">
        <v>-39015503</v>
      </c>
      <c r="F2304">
        <v>-79775589</v>
      </c>
      <c r="G2304">
        <v>-17272414</v>
      </c>
      <c r="P2304">
        <v>36</v>
      </c>
      <c r="Q2304" t="s">
        <v>4655</v>
      </c>
    </row>
    <row r="2305" spans="1:17" x14ac:dyDescent="0.3">
      <c r="A2305" t="s">
        <v>32</v>
      </c>
      <c r="B2305" t="str">
        <f>"001207"</f>
        <v>001207</v>
      </c>
      <c r="C2305" t="s">
        <v>4656</v>
      </c>
      <c r="D2305" t="s">
        <v>144</v>
      </c>
      <c r="E2305">
        <v>-39063696</v>
      </c>
      <c r="F2305">
        <v>-28371068</v>
      </c>
      <c r="G2305">
        <v>-25149773</v>
      </c>
      <c r="P2305">
        <v>25</v>
      </c>
      <c r="Q2305" t="s">
        <v>4657</v>
      </c>
    </row>
    <row r="2306" spans="1:17" x14ac:dyDescent="0.3">
      <c r="A2306" t="s">
        <v>17</v>
      </c>
      <c r="B2306" t="str">
        <f>"600829"</f>
        <v>600829</v>
      </c>
      <c r="C2306" t="s">
        <v>4658</v>
      </c>
      <c r="D2306" t="s">
        <v>98</v>
      </c>
      <c r="E2306">
        <v>-39081549</v>
      </c>
      <c r="F2306">
        <v>-269515155</v>
      </c>
      <c r="G2306">
        <v>-69859496</v>
      </c>
      <c r="H2306">
        <v>-300250191</v>
      </c>
      <c r="I2306">
        <v>184477262</v>
      </c>
      <c r="J2306">
        <v>85508042</v>
      </c>
      <c r="K2306">
        <v>5712461</v>
      </c>
      <c r="L2306">
        <v>-106151704</v>
      </c>
      <c r="M2306">
        <v>-7177100</v>
      </c>
      <c r="N2306">
        <v>-91759003</v>
      </c>
      <c r="O2306">
        <v>262988940</v>
      </c>
      <c r="P2306">
        <v>1902</v>
      </c>
      <c r="Q2306" t="s">
        <v>4659</v>
      </c>
    </row>
    <row r="2307" spans="1:17" x14ac:dyDescent="0.3">
      <c r="A2307" t="s">
        <v>32</v>
      </c>
      <c r="B2307" t="str">
        <f>"002742"</f>
        <v>002742</v>
      </c>
      <c r="C2307" t="s">
        <v>4660</v>
      </c>
      <c r="D2307" t="s">
        <v>400</v>
      </c>
      <c r="E2307">
        <v>-39171235</v>
      </c>
      <c r="F2307">
        <v>6458411</v>
      </c>
      <c r="G2307">
        <v>79417005</v>
      </c>
      <c r="H2307">
        <v>-79145790</v>
      </c>
      <c r="I2307">
        <v>-149974173</v>
      </c>
      <c r="J2307">
        <v>-90271489</v>
      </c>
      <c r="K2307">
        <v>-83919923</v>
      </c>
      <c r="L2307">
        <v>-25657960</v>
      </c>
      <c r="M2307">
        <v>-113193396</v>
      </c>
      <c r="P2307">
        <v>67</v>
      </c>
      <c r="Q2307" t="s">
        <v>4661</v>
      </c>
    </row>
    <row r="2308" spans="1:17" x14ac:dyDescent="0.3">
      <c r="A2308" t="s">
        <v>17</v>
      </c>
      <c r="B2308" t="str">
        <f>"688339"</f>
        <v>688339</v>
      </c>
      <c r="C2308" t="s">
        <v>4662</v>
      </c>
      <c r="D2308" t="s">
        <v>464</v>
      </c>
      <c r="E2308">
        <v>-39201048</v>
      </c>
      <c r="F2308">
        <v>-69276202</v>
      </c>
      <c r="G2308">
        <v>-55903400</v>
      </c>
      <c r="H2308">
        <v>-104927382</v>
      </c>
      <c r="P2308">
        <v>153</v>
      </c>
      <c r="Q2308" t="s">
        <v>4663</v>
      </c>
    </row>
    <row r="2309" spans="1:17" x14ac:dyDescent="0.3">
      <c r="A2309" t="s">
        <v>17</v>
      </c>
      <c r="B2309" t="str">
        <f>"605258"</f>
        <v>605258</v>
      </c>
      <c r="C2309" t="s">
        <v>4664</v>
      </c>
      <c r="D2309" t="s">
        <v>124</v>
      </c>
      <c r="E2309">
        <v>-39201857</v>
      </c>
      <c r="F2309">
        <v>-39870566</v>
      </c>
      <c r="G2309">
        <v>-26394264</v>
      </c>
      <c r="P2309">
        <v>51</v>
      </c>
      <c r="Q2309" t="s">
        <v>4665</v>
      </c>
    </row>
    <row r="2310" spans="1:17" x14ac:dyDescent="0.3">
      <c r="A2310" t="s">
        <v>17</v>
      </c>
      <c r="B2310" t="str">
        <f>"688101"</f>
        <v>688101</v>
      </c>
      <c r="C2310" t="s">
        <v>4666</v>
      </c>
      <c r="D2310" t="s">
        <v>1334</v>
      </c>
      <c r="E2310">
        <v>-39249229</v>
      </c>
      <c r="F2310">
        <v>-60245053</v>
      </c>
      <c r="G2310">
        <v>-38018140</v>
      </c>
      <c r="H2310">
        <v>-13216585</v>
      </c>
      <c r="P2310">
        <v>77</v>
      </c>
      <c r="Q2310" t="s">
        <v>4667</v>
      </c>
    </row>
    <row r="2311" spans="1:17" x14ac:dyDescent="0.3">
      <c r="A2311" t="s">
        <v>32</v>
      </c>
      <c r="B2311" t="str">
        <f>"000590"</f>
        <v>000590</v>
      </c>
      <c r="C2311" t="s">
        <v>4668</v>
      </c>
      <c r="D2311" t="s">
        <v>98</v>
      </c>
      <c r="E2311">
        <v>-39297921</v>
      </c>
      <c r="F2311">
        <v>-4934904</v>
      </c>
      <c r="G2311">
        <v>-5977857</v>
      </c>
      <c r="H2311">
        <v>-7248751</v>
      </c>
      <c r="I2311">
        <v>-40326988</v>
      </c>
      <c r="J2311">
        <v>-80354234</v>
      </c>
      <c r="K2311">
        <v>-3606696</v>
      </c>
      <c r="L2311">
        <v>-17442542</v>
      </c>
      <c r="M2311">
        <v>-9719910</v>
      </c>
      <c r="N2311">
        <v>19968440</v>
      </c>
      <c r="O2311">
        <v>6434292</v>
      </c>
      <c r="P2311">
        <v>148</v>
      </c>
      <c r="Q2311" t="s">
        <v>4669</v>
      </c>
    </row>
    <row r="2312" spans="1:17" x14ac:dyDescent="0.3">
      <c r="A2312" t="s">
        <v>17</v>
      </c>
      <c r="B2312" t="str">
        <f>"603588"</f>
        <v>603588</v>
      </c>
      <c r="C2312" t="s">
        <v>4670</v>
      </c>
      <c r="D2312" t="s">
        <v>1334</v>
      </c>
      <c r="E2312">
        <v>-39377681</v>
      </c>
      <c r="F2312">
        <v>-472313816</v>
      </c>
      <c r="G2312">
        <v>-414592817</v>
      </c>
      <c r="H2312">
        <v>-181148465</v>
      </c>
      <c r="I2312">
        <v>-339906122</v>
      </c>
      <c r="J2312">
        <v>-213590901</v>
      </c>
      <c r="K2312">
        <v>-103028814</v>
      </c>
      <c r="L2312">
        <v>-82818928</v>
      </c>
      <c r="M2312">
        <v>-50347408</v>
      </c>
      <c r="P2312">
        <v>581</v>
      </c>
      <c r="Q2312" t="s">
        <v>4671</v>
      </c>
    </row>
    <row r="2313" spans="1:17" x14ac:dyDescent="0.3">
      <c r="A2313" t="s">
        <v>17</v>
      </c>
      <c r="B2313" t="str">
        <f>"605167"</f>
        <v>605167</v>
      </c>
      <c r="C2313" t="s">
        <v>4672</v>
      </c>
      <c r="D2313" t="s">
        <v>645</v>
      </c>
      <c r="E2313">
        <v>-39410793</v>
      </c>
      <c r="F2313">
        <v>-14137393</v>
      </c>
      <c r="G2313">
        <v>11349346</v>
      </c>
      <c r="P2313">
        <v>22</v>
      </c>
      <c r="Q2313" t="s">
        <v>4673</v>
      </c>
    </row>
    <row r="2314" spans="1:17" x14ac:dyDescent="0.3">
      <c r="A2314" t="s">
        <v>17</v>
      </c>
      <c r="B2314" t="str">
        <f>"605098"</f>
        <v>605098</v>
      </c>
      <c r="C2314" t="s">
        <v>4674</v>
      </c>
      <c r="D2314" t="s">
        <v>497</v>
      </c>
      <c r="E2314">
        <v>-39466093</v>
      </c>
      <c r="F2314">
        <v>56932429</v>
      </c>
      <c r="G2314">
        <v>-27428065</v>
      </c>
      <c r="P2314">
        <v>53</v>
      </c>
      <c r="Q2314" t="s">
        <v>4675</v>
      </c>
    </row>
    <row r="2315" spans="1:17" x14ac:dyDescent="0.3">
      <c r="A2315" t="s">
        <v>32</v>
      </c>
      <c r="B2315" t="str">
        <f>"300855"</f>
        <v>300855</v>
      </c>
      <c r="C2315" t="s">
        <v>4676</v>
      </c>
      <c r="D2315" t="s">
        <v>121</v>
      </c>
      <c r="E2315">
        <v>-39535261</v>
      </c>
      <c r="F2315">
        <v>-32429707</v>
      </c>
      <c r="G2315">
        <v>-35477814</v>
      </c>
      <c r="H2315">
        <v>4866282</v>
      </c>
      <c r="P2315">
        <v>140</v>
      </c>
      <c r="Q2315" t="s">
        <v>4677</v>
      </c>
    </row>
    <row r="2316" spans="1:17" x14ac:dyDescent="0.3">
      <c r="A2316" t="s">
        <v>32</v>
      </c>
      <c r="B2316" t="str">
        <f>"002425"</f>
        <v>002425</v>
      </c>
      <c r="C2316" t="s">
        <v>4678</v>
      </c>
      <c r="D2316" t="s">
        <v>245</v>
      </c>
      <c r="E2316">
        <v>-39611421</v>
      </c>
      <c r="F2316">
        <v>-84413761</v>
      </c>
      <c r="G2316">
        <v>-88294494</v>
      </c>
      <c r="H2316">
        <v>-52974911</v>
      </c>
      <c r="I2316">
        <v>11291057</v>
      </c>
      <c r="J2316">
        <v>-39957404</v>
      </c>
      <c r="K2316">
        <v>35511171</v>
      </c>
      <c r="L2316">
        <v>47815381</v>
      </c>
      <c r="M2316">
        <v>-8183878</v>
      </c>
      <c r="N2316">
        <v>13389090</v>
      </c>
      <c r="O2316">
        <v>-34086436</v>
      </c>
      <c r="P2316">
        <v>257</v>
      </c>
      <c r="Q2316" t="s">
        <v>4679</v>
      </c>
    </row>
    <row r="2317" spans="1:17" x14ac:dyDescent="0.3">
      <c r="A2317" t="s">
        <v>32</v>
      </c>
      <c r="B2317" t="str">
        <f>"200992"</f>
        <v>200992</v>
      </c>
      <c r="C2317" t="s">
        <v>4680</v>
      </c>
      <c r="E2317">
        <v>-39617872.329999998</v>
      </c>
      <c r="F2317">
        <v>-49611587.339500003</v>
      </c>
      <c r="G2317">
        <v>-21807053.373599999</v>
      </c>
      <c r="H2317">
        <v>5118681.0519000003</v>
      </c>
      <c r="I2317">
        <v>-9541084.9079999998</v>
      </c>
      <c r="J2317">
        <v>-27039444.169799998</v>
      </c>
      <c r="K2317">
        <v>18279318.3653</v>
      </c>
      <c r="L2317">
        <v>-31939263.75</v>
      </c>
      <c r="M2317">
        <v>-6122252.2236000001</v>
      </c>
      <c r="N2317">
        <v>-6934596.5369999995</v>
      </c>
      <c r="O2317">
        <v>2964631.3650000002</v>
      </c>
      <c r="P2317">
        <v>22</v>
      </c>
      <c r="Q2317" t="s">
        <v>4681</v>
      </c>
    </row>
    <row r="2318" spans="1:17" x14ac:dyDescent="0.3">
      <c r="A2318" t="s">
        <v>32</v>
      </c>
      <c r="B2318" t="str">
        <f>"300835"</f>
        <v>300835</v>
      </c>
      <c r="C2318" t="s">
        <v>4682</v>
      </c>
      <c r="D2318" t="s">
        <v>121</v>
      </c>
      <c r="E2318">
        <v>-39652710</v>
      </c>
      <c r="F2318">
        <v>2793164</v>
      </c>
      <c r="G2318">
        <v>1795410</v>
      </c>
      <c r="H2318">
        <v>10003798</v>
      </c>
      <c r="P2318">
        <v>68</v>
      </c>
      <c r="Q2318" t="s">
        <v>4683</v>
      </c>
    </row>
    <row r="2319" spans="1:17" x14ac:dyDescent="0.3">
      <c r="A2319" t="s">
        <v>32</v>
      </c>
      <c r="B2319" t="str">
        <f>"300819"</f>
        <v>300819</v>
      </c>
      <c r="C2319" t="s">
        <v>4684</v>
      </c>
      <c r="D2319" t="s">
        <v>130</v>
      </c>
      <c r="E2319">
        <v>-39778103</v>
      </c>
      <c r="F2319">
        <v>-84509156</v>
      </c>
      <c r="G2319">
        <v>-24255943</v>
      </c>
      <c r="H2319">
        <v>-27153763</v>
      </c>
      <c r="P2319">
        <v>51</v>
      </c>
      <c r="Q2319" t="s">
        <v>4685</v>
      </c>
    </row>
    <row r="2320" spans="1:17" x14ac:dyDescent="0.3">
      <c r="A2320" t="s">
        <v>17</v>
      </c>
      <c r="B2320" t="str">
        <f>"688215"</f>
        <v>688215</v>
      </c>
      <c r="C2320" t="s">
        <v>4686</v>
      </c>
      <c r="D2320" t="s">
        <v>135</v>
      </c>
      <c r="E2320">
        <v>-39916299</v>
      </c>
      <c r="F2320">
        <v>-22244134</v>
      </c>
      <c r="G2320">
        <v>-13856900</v>
      </c>
      <c r="H2320">
        <v>795700</v>
      </c>
      <c r="P2320">
        <v>62</v>
      </c>
      <c r="Q2320" t="s">
        <v>4687</v>
      </c>
    </row>
    <row r="2321" spans="1:17" x14ac:dyDescent="0.3">
      <c r="A2321" t="s">
        <v>17</v>
      </c>
      <c r="B2321" t="str">
        <f>"600070"</f>
        <v>600070</v>
      </c>
      <c r="C2321" t="s">
        <v>4688</v>
      </c>
      <c r="D2321" t="s">
        <v>345</v>
      </c>
      <c r="E2321">
        <v>-40002146</v>
      </c>
      <c r="F2321">
        <v>-108862898</v>
      </c>
      <c r="G2321">
        <v>-20393683</v>
      </c>
      <c r="H2321">
        <v>-16746280</v>
      </c>
      <c r="I2321">
        <v>-112084148</v>
      </c>
      <c r="J2321">
        <v>-75793484</v>
      </c>
      <c r="K2321">
        <v>-10837565</v>
      </c>
      <c r="L2321">
        <v>-35216353</v>
      </c>
      <c r="M2321">
        <v>-28911573</v>
      </c>
      <c r="N2321">
        <v>3000227</v>
      </c>
      <c r="O2321">
        <v>44804086</v>
      </c>
      <c r="P2321">
        <v>183</v>
      </c>
      <c r="Q2321" t="s">
        <v>4689</v>
      </c>
    </row>
    <row r="2322" spans="1:17" x14ac:dyDescent="0.3">
      <c r="A2322" t="s">
        <v>32</v>
      </c>
      <c r="B2322" t="str">
        <f>"002828"</f>
        <v>002828</v>
      </c>
      <c r="C2322" t="s">
        <v>4690</v>
      </c>
      <c r="D2322" t="s">
        <v>64</v>
      </c>
      <c r="E2322">
        <v>-40070061</v>
      </c>
      <c r="F2322">
        <v>29552831</v>
      </c>
      <c r="G2322">
        <v>-27702474</v>
      </c>
      <c r="H2322">
        <v>-166085213</v>
      </c>
      <c r="I2322">
        <v>-28732389</v>
      </c>
      <c r="J2322">
        <v>6155456</v>
      </c>
      <c r="K2322">
        <v>13282023</v>
      </c>
      <c r="P2322">
        <v>73</v>
      </c>
      <c r="Q2322" t="s">
        <v>4691</v>
      </c>
    </row>
    <row r="2323" spans="1:17" x14ac:dyDescent="0.3">
      <c r="A2323" t="s">
        <v>17</v>
      </c>
      <c r="B2323" t="str">
        <f>"600391"</f>
        <v>600391</v>
      </c>
      <c r="C2323" t="s">
        <v>4692</v>
      </c>
      <c r="D2323" t="s">
        <v>188</v>
      </c>
      <c r="E2323">
        <v>-40123464</v>
      </c>
      <c r="F2323">
        <v>-247406599</v>
      </c>
      <c r="G2323">
        <v>-12539412</v>
      </c>
      <c r="H2323">
        <v>-14731944</v>
      </c>
      <c r="I2323">
        <v>15851872</v>
      </c>
      <c r="J2323">
        <v>70755404</v>
      </c>
      <c r="K2323">
        <v>-83908004</v>
      </c>
      <c r="L2323">
        <v>-61420283</v>
      </c>
      <c r="M2323">
        <v>-54501924</v>
      </c>
      <c r="N2323">
        <v>-105462130</v>
      </c>
      <c r="O2323">
        <v>-112466983</v>
      </c>
      <c r="P2323">
        <v>233</v>
      </c>
      <c r="Q2323" t="s">
        <v>4693</v>
      </c>
    </row>
    <row r="2324" spans="1:17" x14ac:dyDescent="0.3">
      <c r="A2324" t="s">
        <v>17</v>
      </c>
      <c r="B2324" t="str">
        <f>"603959"</f>
        <v>603959</v>
      </c>
      <c r="C2324" t="s">
        <v>4694</v>
      </c>
      <c r="D2324" t="s">
        <v>645</v>
      </c>
      <c r="E2324">
        <v>-40215685</v>
      </c>
      <c r="F2324">
        <v>-17151270</v>
      </c>
      <c r="G2324">
        <v>-230162372</v>
      </c>
      <c r="H2324">
        <v>-90082826</v>
      </c>
      <c r="I2324">
        <v>172602894</v>
      </c>
      <c r="J2324">
        <v>-161574917</v>
      </c>
      <c r="K2324">
        <v>-58290833</v>
      </c>
      <c r="L2324">
        <v>47352183</v>
      </c>
      <c r="P2324">
        <v>80</v>
      </c>
      <c r="Q2324" t="s">
        <v>4695</v>
      </c>
    </row>
    <row r="2325" spans="1:17" x14ac:dyDescent="0.3">
      <c r="A2325" t="s">
        <v>32</v>
      </c>
      <c r="B2325" t="str">
        <f>"002787"</f>
        <v>002787</v>
      </c>
      <c r="C2325" t="s">
        <v>4696</v>
      </c>
      <c r="D2325" t="s">
        <v>455</v>
      </c>
      <c r="E2325">
        <v>-40222196</v>
      </c>
      <c r="F2325">
        <v>-219730980</v>
      </c>
      <c r="G2325">
        <v>-10422218</v>
      </c>
      <c r="H2325">
        <v>14994291</v>
      </c>
      <c r="I2325">
        <v>-177417495</v>
      </c>
      <c r="J2325">
        <v>-29848680</v>
      </c>
      <c r="K2325">
        <v>65456043</v>
      </c>
      <c r="L2325">
        <v>-23186809</v>
      </c>
      <c r="M2325">
        <v>6139889</v>
      </c>
      <c r="P2325">
        <v>102</v>
      </c>
      <c r="Q2325" t="s">
        <v>4697</v>
      </c>
    </row>
    <row r="2326" spans="1:17" x14ac:dyDescent="0.3">
      <c r="A2326" t="s">
        <v>32</v>
      </c>
      <c r="B2326" t="str">
        <f>"002017"</f>
        <v>002017</v>
      </c>
      <c r="C2326" t="s">
        <v>4698</v>
      </c>
      <c r="D2326" t="s">
        <v>57</v>
      </c>
      <c r="E2326">
        <v>-40403299</v>
      </c>
      <c r="F2326">
        <v>23500028</v>
      </c>
      <c r="G2326">
        <v>-78289308</v>
      </c>
      <c r="H2326">
        <v>-122869486</v>
      </c>
      <c r="I2326">
        <v>-81665375</v>
      </c>
      <c r="J2326">
        <v>-96008754</v>
      </c>
      <c r="K2326">
        <v>-137434777</v>
      </c>
      <c r="L2326">
        <v>-128804703</v>
      </c>
      <c r="M2326">
        <v>-72772444</v>
      </c>
      <c r="N2326">
        <v>-108602914</v>
      </c>
      <c r="O2326">
        <v>-41898483</v>
      </c>
      <c r="P2326">
        <v>216</v>
      </c>
      <c r="Q2326" t="s">
        <v>4699</v>
      </c>
    </row>
    <row r="2327" spans="1:17" x14ac:dyDescent="0.3">
      <c r="A2327" t="s">
        <v>32</v>
      </c>
      <c r="B2327" t="str">
        <f>"301151"</f>
        <v>301151</v>
      </c>
      <c r="C2327" t="s">
        <v>4700</v>
      </c>
      <c r="E2327">
        <v>-40499435</v>
      </c>
      <c r="P2327">
        <v>5</v>
      </c>
      <c r="Q2327" t="s">
        <v>4701</v>
      </c>
    </row>
    <row r="2328" spans="1:17" x14ac:dyDescent="0.3">
      <c r="A2328" t="s">
        <v>32</v>
      </c>
      <c r="B2328" t="str">
        <f>"300152"</f>
        <v>300152</v>
      </c>
      <c r="C2328" t="s">
        <v>4702</v>
      </c>
      <c r="D2328" t="s">
        <v>1334</v>
      </c>
      <c r="E2328">
        <v>-40646525</v>
      </c>
      <c r="F2328">
        <v>3558814</v>
      </c>
      <c r="G2328">
        <v>13382730</v>
      </c>
      <c r="H2328">
        <v>-12519287</v>
      </c>
      <c r="I2328">
        <v>-27218847</v>
      </c>
      <c r="J2328">
        <v>-51894625</v>
      </c>
      <c r="K2328">
        <v>2199078</v>
      </c>
      <c r="L2328">
        <v>-81194599</v>
      </c>
      <c r="M2328">
        <v>-55902625</v>
      </c>
      <c r="N2328">
        <v>-95906330</v>
      </c>
      <c r="O2328">
        <v>-28105515</v>
      </c>
      <c r="P2328">
        <v>92</v>
      </c>
      <c r="Q2328" t="s">
        <v>4703</v>
      </c>
    </row>
    <row r="2329" spans="1:17" x14ac:dyDescent="0.3">
      <c r="A2329" t="s">
        <v>17</v>
      </c>
      <c r="B2329" t="str">
        <f>"688049"</f>
        <v>688049</v>
      </c>
      <c r="C2329" t="s">
        <v>4704</v>
      </c>
      <c r="D2329" t="s">
        <v>124</v>
      </c>
      <c r="E2329">
        <v>-40710079</v>
      </c>
      <c r="P2329">
        <v>21</v>
      </c>
      <c r="Q2329" t="s">
        <v>4705</v>
      </c>
    </row>
    <row r="2330" spans="1:17" x14ac:dyDescent="0.3">
      <c r="A2330" t="s">
        <v>17</v>
      </c>
      <c r="B2330" t="str">
        <f>"688058"</f>
        <v>688058</v>
      </c>
      <c r="C2330" t="s">
        <v>4706</v>
      </c>
      <c r="D2330" t="s">
        <v>342</v>
      </c>
      <c r="E2330">
        <v>-40770561</v>
      </c>
      <c r="F2330">
        <v>-18388349</v>
      </c>
      <c r="G2330">
        <v>-23954700</v>
      </c>
      <c r="H2330">
        <v>345593</v>
      </c>
      <c r="P2330">
        <v>96</v>
      </c>
      <c r="Q2330" t="s">
        <v>4707</v>
      </c>
    </row>
    <row r="2331" spans="1:17" x14ac:dyDescent="0.3">
      <c r="A2331" t="s">
        <v>17</v>
      </c>
      <c r="B2331" t="str">
        <f>"603931"</f>
        <v>603931</v>
      </c>
      <c r="C2331" t="s">
        <v>4708</v>
      </c>
      <c r="D2331" t="s">
        <v>124</v>
      </c>
      <c r="E2331">
        <v>-40809234</v>
      </c>
      <c r="F2331">
        <v>-8308672</v>
      </c>
      <c r="G2331">
        <v>22928745</v>
      </c>
      <c r="H2331">
        <v>20561853</v>
      </c>
      <c r="P2331">
        <v>89</v>
      </c>
      <c r="Q2331" t="s">
        <v>4709</v>
      </c>
    </row>
    <row r="2332" spans="1:17" x14ac:dyDescent="0.3">
      <c r="A2332" t="s">
        <v>17</v>
      </c>
      <c r="B2332" t="str">
        <f>"603999"</f>
        <v>603999</v>
      </c>
      <c r="C2332" t="s">
        <v>4710</v>
      </c>
      <c r="D2332" t="s">
        <v>245</v>
      </c>
      <c r="E2332">
        <v>-40883541</v>
      </c>
      <c r="F2332">
        <v>-44024899</v>
      </c>
      <c r="G2332">
        <v>25630762</v>
      </c>
      <c r="H2332">
        <v>-12477812</v>
      </c>
      <c r="I2332">
        <v>-50956548</v>
      </c>
      <c r="J2332">
        <v>-7975461</v>
      </c>
      <c r="K2332">
        <v>-31855617</v>
      </c>
      <c r="L2332">
        <v>-42961200</v>
      </c>
      <c r="M2332">
        <v>-33901800</v>
      </c>
      <c r="P2332">
        <v>85</v>
      </c>
      <c r="Q2332" t="s">
        <v>4711</v>
      </c>
    </row>
    <row r="2333" spans="1:17" x14ac:dyDescent="0.3">
      <c r="A2333" t="s">
        <v>17</v>
      </c>
      <c r="B2333" t="str">
        <f>"603500"</f>
        <v>603500</v>
      </c>
      <c r="C2333" t="s">
        <v>4712</v>
      </c>
      <c r="D2333" t="s">
        <v>135</v>
      </c>
      <c r="E2333">
        <v>-40907315</v>
      </c>
      <c r="F2333">
        <v>-25735897</v>
      </c>
      <c r="G2333">
        <v>196875</v>
      </c>
      <c r="H2333">
        <v>-47602307</v>
      </c>
      <c r="I2333">
        <v>-27583462</v>
      </c>
      <c r="J2333">
        <v>31947808</v>
      </c>
      <c r="P2333">
        <v>91</v>
      </c>
      <c r="Q2333" t="s">
        <v>4713</v>
      </c>
    </row>
    <row r="2334" spans="1:17" x14ac:dyDescent="0.3">
      <c r="A2334" t="s">
        <v>17</v>
      </c>
      <c r="B2334" t="str">
        <f>"605169"</f>
        <v>605169</v>
      </c>
      <c r="C2334" t="s">
        <v>4714</v>
      </c>
      <c r="D2334" t="s">
        <v>158</v>
      </c>
      <c r="E2334">
        <v>-40952485</v>
      </c>
      <c r="F2334">
        <v>-49855779</v>
      </c>
      <c r="G2334">
        <v>-11229317</v>
      </c>
      <c r="P2334">
        <v>62</v>
      </c>
      <c r="Q2334" t="s">
        <v>4715</v>
      </c>
    </row>
    <row r="2335" spans="1:17" x14ac:dyDescent="0.3">
      <c r="A2335" t="s">
        <v>32</v>
      </c>
      <c r="B2335" t="str">
        <f>"000990"</f>
        <v>000990</v>
      </c>
      <c r="C2335" t="s">
        <v>4716</v>
      </c>
      <c r="D2335" t="s">
        <v>144</v>
      </c>
      <c r="E2335">
        <v>-40987636</v>
      </c>
      <c r="F2335">
        <v>99194482</v>
      </c>
      <c r="G2335">
        <v>-70336860</v>
      </c>
      <c r="H2335">
        <v>-269014050</v>
      </c>
      <c r="I2335">
        <v>-84706726</v>
      </c>
      <c r="J2335">
        <v>302059250</v>
      </c>
      <c r="K2335">
        <v>-57088811</v>
      </c>
      <c r="L2335">
        <v>-157063330</v>
      </c>
      <c r="M2335">
        <v>-322488782</v>
      </c>
      <c r="N2335">
        <v>-6353277</v>
      </c>
      <c r="O2335">
        <v>24495835</v>
      </c>
      <c r="P2335">
        <v>194</v>
      </c>
      <c r="Q2335" t="s">
        <v>4717</v>
      </c>
    </row>
    <row r="2336" spans="1:17" x14ac:dyDescent="0.3">
      <c r="A2336" t="s">
        <v>32</v>
      </c>
      <c r="B2336" t="str">
        <f>"000793"</f>
        <v>000793</v>
      </c>
      <c r="C2336" t="s">
        <v>4718</v>
      </c>
      <c r="D2336" t="s">
        <v>245</v>
      </c>
      <c r="E2336">
        <v>-41110699</v>
      </c>
      <c r="F2336">
        <v>16885553</v>
      </c>
      <c r="G2336">
        <v>-74113747</v>
      </c>
      <c r="H2336">
        <v>-377007801</v>
      </c>
      <c r="I2336">
        <v>-349852004</v>
      </c>
      <c r="J2336">
        <v>-156729394</v>
      </c>
      <c r="K2336">
        <v>-242310625</v>
      </c>
      <c r="L2336">
        <v>-209860276</v>
      </c>
      <c r="M2336">
        <v>-223782417</v>
      </c>
      <c r="N2336">
        <v>15940004</v>
      </c>
      <c r="O2336">
        <v>-554611678</v>
      </c>
      <c r="P2336">
        <v>141</v>
      </c>
      <c r="Q2336" t="s">
        <v>4719</v>
      </c>
    </row>
    <row r="2337" spans="1:17" x14ac:dyDescent="0.3">
      <c r="A2337" t="s">
        <v>32</v>
      </c>
      <c r="B2337" t="str">
        <f>"002067"</f>
        <v>002067</v>
      </c>
      <c r="C2337" t="s">
        <v>4720</v>
      </c>
      <c r="D2337" t="s">
        <v>455</v>
      </c>
      <c r="E2337">
        <v>-41117826</v>
      </c>
      <c r="F2337">
        <v>-130759865</v>
      </c>
      <c r="G2337">
        <v>-87549456</v>
      </c>
      <c r="H2337">
        <v>390860699</v>
      </c>
      <c r="I2337">
        <v>101433595</v>
      </c>
      <c r="J2337">
        <v>-261454814</v>
      </c>
      <c r="K2337">
        <v>-61074534</v>
      </c>
      <c r="L2337">
        <v>-41005639</v>
      </c>
      <c r="M2337">
        <v>-67579505</v>
      </c>
      <c r="N2337">
        <v>-1316357</v>
      </c>
      <c r="O2337">
        <v>-160390892</v>
      </c>
      <c r="P2337">
        <v>173</v>
      </c>
      <c r="Q2337" t="s">
        <v>4721</v>
      </c>
    </row>
    <row r="2338" spans="1:17" x14ac:dyDescent="0.3">
      <c r="A2338" t="s">
        <v>32</v>
      </c>
      <c r="B2338" t="str">
        <f>"300126"</f>
        <v>300126</v>
      </c>
      <c r="C2338" t="s">
        <v>4722</v>
      </c>
      <c r="D2338" t="s">
        <v>135</v>
      </c>
      <c r="E2338">
        <v>-41169490</v>
      </c>
      <c r="F2338">
        <v>-32208680</v>
      </c>
      <c r="G2338">
        <v>-33094285</v>
      </c>
      <c r="H2338">
        <v>12067094</v>
      </c>
      <c r="I2338">
        <v>33145151</v>
      </c>
      <c r="J2338">
        <v>-7710956</v>
      </c>
      <c r="K2338">
        <v>-8828529</v>
      </c>
      <c r="L2338">
        <v>-109314481</v>
      </c>
      <c r="M2338">
        <v>-7085518</v>
      </c>
      <c r="N2338">
        <v>-30959004</v>
      </c>
      <c r="O2338">
        <v>-52753338</v>
      </c>
      <c r="P2338">
        <v>50</v>
      </c>
      <c r="Q2338" t="s">
        <v>4723</v>
      </c>
    </row>
    <row r="2339" spans="1:17" x14ac:dyDescent="0.3">
      <c r="A2339" t="s">
        <v>32</v>
      </c>
      <c r="B2339" t="str">
        <f>"300092"</f>
        <v>300092</v>
      </c>
      <c r="C2339" t="s">
        <v>4724</v>
      </c>
      <c r="D2339" t="s">
        <v>135</v>
      </c>
      <c r="E2339">
        <v>-41252593</v>
      </c>
      <c r="F2339">
        <v>-17091759</v>
      </c>
      <c r="G2339">
        <v>-38111249</v>
      </c>
      <c r="H2339">
        <v>-13162053</v>
      </c>
      <c r="I2339">
        <v>-15003689</v>
      </c>
      <c r="J2339">
        <v>-37506516</v>
      </c>
      <c r="K2339">
        <v>-11059652</v>
      </c>
      <c r="L2339">
        <v>-5495799</v>
      </c>
      <c r="M2339">
        <v>-13477500</v>
      </c>
      <c r="N2339">
        <v>-23017709</v>
      </c>
      <c r="O2339">
        <v>-24928337</v>
      </c>
      <c r="P2339">
        <v>81</v>
      </c>
      <c r="Q2339" t="s">
        <v>4725</v>
      </c>
    </row>
    <row r="2340" spans="1:17" x14ac:dyDescent="0.3">
      <c r="A2340" t="s">
        <v>32</v>
      </c>
      <c r="B2340" t="str">
        <f>"300786"</f>
        <v>300786</v>
      </c>
      <c r="C2340" t="s">
        <v>4726</v>
      </c>
      <c r="D2340" t="s">
        <v>1334</v>
      </c>
      <c r="E2340">
        <v>-41280267</v>
      </c>
      <c r="F2340">
        <v>-62846766</v>
      </c>
      <c r="G2340">
        <v>-8304025</v>
      </c>
      <c r="H2340">
        <v>-8101401</v>
      </c>
      <c r="I2340">
        <v>-23912352</v>
      </c>
      <c r="P2340">
        <v>95</v>
      </c>
      <c r="Q2340" t="s">
        <v>4727</v>
      </c>
    </row>
    <row r="2341" spans="1:17" x14ac:dyDescent="0.3">
      <c r="A2341" t="s">
        <v>32</v>
      </c>
      <c r="B2341" t="str">
        <f>"002676"</f>
        <v>002676</v>
      </c>
      <c r="C2341" t="s">
        <v>4728</v>
      </c>
      <c r="D2341" t="s">
        <v>127</v>
      </c>
      <c r="E2341">
        <v>-41288081</v>
      </c>
      <c r="F2341">
        <v>-44616974</v>
      </c>
      <c r="G2341">
        <v>-27888989</v>
      </c>
      <c r="H2341">
        <v>-39515503</v>
      </c>
      <c r="I2341">
        <v>-135362163</v>
      </c>
      <c r="J2341">
        <v>-198085445</v>
      </c>
      <c r="K2341">
        <v>-92091082</v>
      </c>
      <c r="L2341">
        <v>-154357767</v>
      </c>
      <c r="M2341">
        <v>-109207548</v>
      </c>
      <c r="N2341">
        <v>-73954125</v>
      </c>
      <c r="O2341">
        <v>-49712955</v>
      </c>
      <c r="P2341">
        <v>87</v>
      </c>
      <c r="Q2341" t="s">
        <v>4729</v>
      </c>
    </row>
    <row r="2342" spans="1:17" x14ac:dyDescent="0.3">
      <c r="A2342" t="s">
        <v>17</v>
      </c>
      <c r="B2342" t="str">
        <f>"688236"</f>
        <v>688236</v>
      </c>
      <c r="C2342" t="s">
        <v>4730</v>
      </c>
      <c r="D2342" t="s">
        <v>98</v>
      </c>
      <c r="E2342">
        <v>-41289724</v>
      </c>
      <c r="P2342">
        <v>20</v>
      </c>
      <c r="Q2342" t="s">
        <v>4731</v>
      </c>
    </row>
    <row r="2343" spans="1:17" x14ac:dyDescent="0.3">
      <c r="A2343" t="s">
        <v>32</v>
      </c>
      <c r="B2343" t="str">
        <f>"301122"</f>
        <v>301122</v>
      </c>
      <c r="C2343" t="s">
        <v>4732</v>
      </c>
      <c r="E2343">
        <v>-41328949</v>
      </c>
      <c r="P2343">
        <v>14</v>
      </c>
      <c r="Q2343" t="s">
        <v>4733</v>
      </c>
    </row>
    <row r="2344" spans="1:17" x14ac:dyDescent="0.3">
      <c r="A2344" t="s">
        <v>32</v>
      </c>
      <c r="B2344" t="str">
        <f>"300227"</f>
        <v>300227</v>
      </c>
      <c r="C2344" t="s">
        <v>4734</v>
      </c>
      <c r="D2344" t="s">
        <v>135</v>
      </c>
      <c r="E2344">
        <v>-41370156</v>
      </c>
      <c r="F2344">
        <v>-52821296</v>
      </c>
      <c r="G2344">
        <v>39183170</v>
      </c>
      <c r="H2344">
        <v>-20906588</v>
      </c>
      <c r="I2344">
        <v>41552260</v>
      </c>
      <c r="J2344">
        <v>17558069</v>
      </c>
      <c r="K2344">
        <v>8644099</v>
      </c>
      <c r="L2344">
        <v>-10443271</v>
      </c>
      <c r="M2344">
        <v>-12353973</v>
      </c>
      <c r="N2344">
        <v>-12820436</v>
      </c>
      <c r="O2344">
        <v>-14173716</v>
      </c>
      <c r="P2344">
        <v>220</v>
      </c>
      <c r="Q2344" t="s">
        <v>4735</v>
      </c>
    </row>
    <row r="2345" spans="1:17" x14ac:dyDescent="0.3">
      <c r="A2345" t="s">
        <v>17</v>
      </c>
      <c r="B2345" t="str">
        <f>"688081"</f>
        <v>688081</v>
      </c>
      <c r="C2345" t="s">
        <v>4736</v>
      </c>
      <c r="D2345" t="s">
        <v>188</v>
      </c>
      <c r="E2345">
        <v>-41523282</v>
      </c>
      <c r="F2345">
        <v>-34680282</v>
      </c>
      <c r="G2345">
        <v>-11630310</v>
      </c>
      <c r="H2345">
        <v>-354141</v>
      </c>
      <c r="P2345">
        <v>55</v>
      </c>
      <c r="Q2345" t="s">
        <v>4737</v>
      </c>
    </row>
    <row r="2346" spans="1:17" x14ac:dyDescent="0.3">
      <c r="A2346" t="s">
        <v>17</v>
      </c>
      <c r="B2346" t="str">
        <f>"688165"</f>
        <v>688165</v>
      </c>
      <c r="C2346" t="s">
        <v>4738</v>
      </c>
      <c r="D2346" t="s">
        <v>135</v>
      </c>
      <c r="E2346">
        <v>-41541621</v>
      </c>
      <c r="F2346">
        <v>-24723864</v>
      </c>
      <c r="G2346">
        <v>-58788381</v>
      </c>
      <c r="P2346">
        <v>64</v>
      </c>
      <c r="Q2346" t="s">
        <v>4739</v>
      </c>
    </row>
    <row r="2347" spans="1:17" x14ac:dyDescent="0.3">
      <c r="A2347" t="s">
        <v>32</v>
      </c>
      <c r="B2347" t="str">
        <f>"000593"</f>
        <v>000593</v>
      </c>
      <c r="C2347" t="s">
        <v>4740</v>
      </c>
      <c r="D2347" t="s">
        <v>158</v>
      </c>
      <c r="E2347">
        <v>-41555273</v>
      </c>
      <c r="F2347">
        <v>-36717933</v>
      </c>
      <c r="G2347">
        <v>-24281509</v>
      </c>
      <c r="H2347">
        <v>16523049</v>
      </c>
      <c r="I2347">
        <v>-35569743</v>
      </c>
      <c r="J2347">
        <v>12462141</v>
      </c>
      <c r="K2347">
        <v>2807691</v>
      </c>
      <c r="L2347">
        <v>-5304838</v>
      </c>
      <c r="M2347">
        <v>-19739347</v>
      </c>
      <c r="N2347">
        <v>-19557286</v>
      </c>
      <c r="O2347">
        <v>-17136243</v>
      </c>
      <c r="P2347">
        <v>80</v>
      </c>
      <c r="Q2347" t="s">
        <v>4741</v>
      </c>
    </row>
    <row r="2348" spans="1:17" x14ac:dyDescent="0.3">
      <c r="A2348" t="s">
        <v>17</v>
      </c>
      <c r="B2348" t="str">
        <f>"688558"</f>
        <v>688558</v>
      </c>
      <c r="C2348" t="s">
        <v>4742</v>
      </c>
      <c r="D2348" t="s">
        <v>135</v>
      </c>
      <c r="E2348">
        <v>-41765449</v>
      </c>
      <c r="F2348">
        <v>-54569900</v>
      </c>
      <c r="G2348">
        <v>-14757304</v>
      </c>
      <c r="H2348">
        <v>9759984</v>
      </c>
      <c r="P2348">
        <v>96</v>
      </c>
      <c r="Q2348" t="s">
        <v>4743</v>
      </c>
    </row>
    <row r="2349" spans="1:17" x14ac:dyDescent="0.3">
      <c r="A2349" t="s">
        <v>32</v>
      </c>
      <c r="B2349" t="str">
        <f>"002380"</f>
        <v>002380</v>
      </c>
      <c r="C2349" t="s">
        <v>4744</v>
      </c>
      <c r="D2349" t="s">
        <v>342</v>
      </c>
      <c r="E2349">
        <v>-41845692</v>
      </c>
      <c r="F2349">
        <v>-94520371</v>
      </c>
      <c r="G2349">
        <v>-75353363</v>
      </c>
      <c r="H2349">
        <v>-67200468</v>
      </c>
      <c r="I2349">
        <v>-55716907</v>
      </c>
      <c r="J2349">
        <v>-18121943</v>
      </c>
      <c r="K2349">
        <v>-53197675</v>
      </c>
      <c r="L2349">
        <v>-35008134</v>
      </c>
      <c r="M2349">
        <v>-24340246</v>
      </c>
      <c r="N2349">
        <v>-21859112</v>
      </c>
      <c r="O2349">
        <v>-17902876</v>
      </c>
      <c r="P2349">
        <v>131</v>
      </c>
      <c r="Q2349" t="s">
        <v>4745</v>
      </c>
    </row>
    <row r="2350" spans="1:17" x14ac:dyDescent="0.3">
      <c r="A2350" t="s">
        <v>32</v>
      </c>
      <c r="B2350" t="str">
        <f>"300598"</f>
        <v>300598</v>
      </c>
      <c r="C2350" t="s">
        <v>4746</v>
      </c>
      <c r="D2350" t="s">
        <v>342</v>
      </c>
      <c r="E2350">
        <v>-41852162</v>
      </c>
      <c r="F2350">
        <v>-82039644</v>
      </c>
      <c r="G2350">
        <v>-64799625</v>
      </c>
      <c r="H2350">
        <v>-30965078</v>
      </c>
      <c r="I2350">
        <v>-44405362</v>
      </c>
      <c r="J2350">
        <v>-34422181</v>
      </c>
      <c r="K2350">
        <v>-10300272</v>
      </c>
      <c r="P2350">
        <v>319</v>
      </c>
      <c r="Q2350" t="s">
        <v>4747</v>
      </c>
    </row>
    <row r="2351" spans="1:17" x14ac:dyDescent="0.3">
      <c r="A2351" t="s">
        <v>32</v>
      </c>
      <c r="B2351" t="str">
        <f>"002161"</f>
        <v>002161</v>
      </c>
      <c r="C2351" t="s">
        <v>4748</v>
      </c>
      <c r="D2351" t="s">
        <v>124</v>
      </c>
      <c r="E2351">
        <v>-41882331</v>
      </c>
      <c r="F2351">
        <v>-10652889</v>
      </c>
      <c r="G2351">
        <v>-20131816</v>
      </c>
      <c r="H2351">
        <v>-21939518</v>
      </c>
      <c r="I2351">
        <v>-69833613</v>
      </c>
      <c r="J2351">
        <v>-52804950</v>
      </c>
      <c r="K2351">
        <v>-46814662</v>
      </c>
      <c r="L2351">
        <v>-31035923</v>
      </c>
      <c r="M2351">
        <v>-37024248</v>
      </c>
      <c r="N2351">
        <v>-44154810</v>
      </c>
      <c r="O2351">
        <v>-29396269</v>
      </c>
      <c r="P2351">
        <v>211</v>
      </c>
      <c r="Q2351" t="s">
        <v>4749</v>
      </c>
    </row>
    <row r="2352" spans="1:17" x14ac:dyDescent="0.3">
      <c r="A2352" t="s">
        <v>32</v>
      </c>
      <c r="B2352" t="str">
        <f>"300479"</f>
        <v>300479</v>
      </c>
      <c r="C2352" t="s">
        <v>4750</v>
      </c>
      <c r="D2352" t="s">
        <v>342</v>
      </c>
      <c r="E2352">
        <v>-41997725</v>
      </c>
      <c r="F2352">
        <v>-16700845</v>
      </c>
      <c r="G2352">
        <v>-60641219</v>
      </c>
      <c r="H2352">
        <v>-40709618</v>
      </c>
      <c r="I2352">
        <v>-29576728</v>
      </c>
      <c r="J2352">
        <v>-29721565</v>
      </c>
      <c r="K2352">
        <v>-64254500</v>
      </c>
      <c r="L2352">
        <v>-65302015</v>
      </c>
      <c r="M2352">
        <v>-6306973</v>
      </c>
      <c r="P2352">
        <v>167</v>
      </c>
      <c r="Q2352" t="s">
        <v>4751</v>
      </c>
    </row>
    <row r="2353" spans="1:17" x14ac:dyDescent="0.3">
      <c r="A2353" t="s">
        <v>17</v>
      </c>
      <c r="B2353" t="str">
        <f>"688212"</f>
        <v>688212</v>
      </c>
      <c r="C2353" t="s">
        <v>4752</v>
      </c>
      <c r="D2353" t="s">
        <v>98</v>
      </c>
      <c r="E2353">
        <v>-42006851</v>
      </c>
      <c r="P2353">
        <v>32</v>
      </c>
      <c r="Q2353" t="s">
        <v>4753</v>
      </c>
    </row>
    <row r="2354" spans="1:17" x14ac:dyDescent="0.3">
      <c r="A2354" t="s">
        <v>32</v>
      </c>
      <c r="B2354" t="str">
        <f>"300713"</f>
        <v>300713</v>
      </c>
      <c r="C2354" t="s">
        <v>4754</v>
      </c>
      <c r="D2354" t="s">
        <v>464</v>
      </c>
      <c r="E2354">
        <v>-42008648</v>
      </c>
      <c r="F2354">
        <v>-17497153</v>
      </c>
      <c r="G2354">
        <v>5088528</v>
      </c>
      <c r="H2354">
        <v>-37845700</v>
      </c>
      <c r="I2354">
        <v>3313449</v>
      </c>
      <c r="J2354">
        <v>-1129593</v>
      </c>
      <c r="P2354">
        <v>81</v>
      </c>
      <c r="Q2354" t="s">
        <v>4755</v>
      </c>
    </row>
    <row r="2355" spans="1:17" x14ac:dyDescent="0.3">
      <c r="A2355" t="s">
        <v>17</v>
      </c>
      <c r="B2355" t="str">
        <f>"600738"</f>
        <v>600738</v>
      </c>
      <c r="C2355" t="s">
        <v>4756</v>
      </c>
      <c r="D2355" t="s">
        <v>218</v>
      </c>
      <c r="E2355">
        <v>-42023035</v>
      </c>
      <c r="F2355">
        <v>35969011</v>
      </c>
      <c r="G2355">
        <v>-41728245</v>
      </c>
      <c r="H2355">
        <v>-324328249</v>
      </c>
      <c r="I2355">
        <v>-75945605</v>
      </c>
      <c r="J2355">
        <v>-106177634</v>
      </c>
      <c r="K2355">
        <v>-123798127</v>
      </c>
      <c r="L2355">
        <v>-87741446</v>
      </c>
      <c r="M2355">
        <v>-69715610</v>
      </c>
      <c r="N2355">
        <v>47034134</v>
      </c>
      <c r="O2355">
        <v>26483718</v>
      </c>
      <c r="P2355">
        <v>153</v>
      </c>
      <c r="Q2355" t="s">
        <v>4757</v>
      </c>
    </row>
    <row r="2356" spans="1:17" x14ac:dyDescent="0.3">
      <c r="A2356" t="s">
        <v>32</v>
      </c>
      <c r="B2356" t="str">
        <f>"300249"</f>
        <v>300249</v>
      </c>
      <c r="C2356" t="s">
        <v>4758</v>
      </c>
      <c r="D2356" t="s">
        <v>342</v>
      </c>
      <c r="E2356">
        <v>-42073265</v>
      </c>
      <c r="F2356">
        <v>-30730002</v>
      </c>
      <c r="G2356">
        <v>-58242516</v>
      </c>
      <c r="H2356">
        <v>-120814950</v>
      </c>
      <c r="I2356">
        <v>-107629063</v>
      </c>
      <c r="J2356">
        <v>-93727502</v>
      </c>
      <c r="K2356">
        <v>16106501</v>
      </c>
      <c r="L2356">
        <v>-102356904</v>
      </c>
      <c r="M2356">
        <v>-35177869</v>
      </c>
      <c r="N2356">
        <v>317199</v>
      </c>
      <c r="O2356">
        <v>-26122655</v>
      </c>
      <c r="P2356">
        <v>195</v>
      </c>
      <c r="Q2356" t="s">
        <v>4759</v>
      </c>
    </row>
    <row r="2357" spans="1:17" x14ac:dyDescent="0.3">
      <c r="A2357" t="s">
        <v>32</v>
      </c>
      <c r="B2357" t="str">
        <f>"002332"</f>
        <v>002332</v>
      </c>
      <c r="C2357" t="s">
        <v>4760</v>
      </c>
      <c r="D2357" t="s">
        <v>98</v>
      </c>
      <c r="E2357">
        <v>-42140416</v>
      </c>
      <c r="F2357">
        <v>49324339</v>
      </c>
      <c r="G2357">
        <v>66131144</v>
      </c>
      <c r="H2357">
        <v>89435260</v>
      </c>
      <c r="I2357">
        <v>-161052770</v>
      </c>
      <c r="J2357">
        <v>-100053552</v>
      </c>
      <c r="K2357">
        <v>-62914854</v>
      </c>
      <c r="L2357">
        <v>-116787593</v>
      </c>
      <c r="M2357">
        <v>-123825993</v>
      </c>
      <c r="N2357">
        <v>-133353731</v>
      </c>
      <c r="O2357">
        <v>-95555935</v>
      </c>
      <c r="P2357">
        <v>388</v>
      </c>
      <c r="Q2357" t="s">
        <v>4761</v>
      </c>
    </row>
    <row r="2358" spans="1:17" x14ac:dyDescent="0.3">
      <c r="A2358" t="s">
        <v>32</v>
      </c>
      <c r="B2358" t="str">
        <f>"002638"</f>
        <v>002638</v>
      </c>
      <c r="C2358" t="s">
        <v>4762</v>
      </c>
      <c r="D2358" t="s">
        <v>497</v>
      </c>
      <c r="E2358">
        <v>-42185030</v>
      </c>
      <c r="F2358">
        <v>-148607657</v>
      </c>
      <c r="G2358">
        <v>-91810605</v>
      </c>
      <c r="H2358">
        <v>-41177707</v>
      </c>
      <c r="I2358">
        <v>-55716672</v>
      </c>
      <c r="J2358">
        <v>93459959</v>
      </c>
      <c r="K2358">
        <v>-27887744</v>
      </c>
      <c r="L2358">
        <v>15852300</v>
      </c>
      <c r="M2358">
        <v>-3241888</v>
      </c>
      <c r="N2358">
        <v>-95490654</v>
      </c>
      <c r="O2358">
        <v>-119894913</v>
      </c>
      <c r="P2358">
        <v>83</v>
      </c>
      <c r="Q2358" t="s">
        <v>4763</v>
      </c>
    </row>
    <row r="2359" spans="1:17" x14ac:dyDescent="0.3">
      <c r="A2359" t="s">
        <v>17</v>
      </c>
      <c r="B2359" t="str">
        <f>"600108"</f>
        <v>600108</v>
      </c>
      <c r="C2359" t="s">
        <v>4764</v>
      </c>
      <c r="D2359" t="s">
        <v>175</v>
      </c>
      <c r="E2359">
        <v>-42292931</v>
      </c>
      <c r="F2359">
        <v>-63218315</v>
      </c>
      <c r="G2359">
        <v>-168084818</v>
      </c>
      <c r="H2359">
        <v>-69201452</v>
      </c>
      <c r="I2359">
        <v>-43100322</v>
      </c>
      <c r="J2359">
        <v>-13915397</v>
      </c>
      <c r="K2359">
        <v>13123663</v>
      </c>
      <c r="L2359">
        <v>-20311198</v>
      </c>
      <c r="M2359">
        <v>42683845</v>
      </c>
      <c r="N2359">
        <v>-34669960</v>
      </c>
      <c r="O2359">
        <v>-21776863</v>
      </c>
      <c r="P2359">
        <v>120</v>
      </c>
      <c r="Q2359" t="s">
        <v>4765</v>
      </c>
    </row>
    <row r="2360" spans="1:17" x14ac:dyDescent="0.3">
      <c r="A2360" t="s">
        <v>17</v>
      </c>
      <c r="B2360" t="str">
        <f>"600367"</f>
        <v>600367</v>
      </c>
      <c r="C2360" t="s">
        <v>4766</v>
      </c>
      <c r="D2360" t="s">
        <v>144</v>
      </c>
      <c r="E2360">
        <v>-42412316</v>
      </c>
      <c r="F2360">
        <v>-38652667</v>
      </c>
      <c r="G2360">
        <v>-68795644</v>
      </c>
      <c r="H2360">
        <v>96671669</v>
      </c>
      <c r="I2360">
        <v>-55571323</v>
      </c>
      <c r="J2360">
        <v>1460840</v>
      </c>
      <c r="K2360">
        <v>7273575</v>
      </c>
      <c r="L2360">
        <v>19355186</v>
      </c>
      <c r="M2360">
        <v>-27557128</v>
      </c>
      <c r="N2360">
        <v>-66052774</v>
      </c>
      <c r="O2360">
        <v>-12262659</v>
      </c>
      <c r="P2360">
        <v>115</v>
      </c>
      <c r="Q2360" t="s">
        <v>4767</v>
      </c>
    </row>
    <row r="2361" spans="1:17" x14ac:dyDescent="0.3">
      <c r="A2361" t="s">
        <v>17</v>
      </c>
      <c r="B2361" t="str">
        <f>"600178"</f>
        <v>600178</v>
      </c>
      <c r="C2361" t="s">
        <v>4768</v>
      </c>
      <c r="D2361" t="s">
        <v>199</v>
      </c>
      <c r="E2361">
        <v>-42714273</v>
      </c>
      <c r="F2361">
        <v>-270051680</v>
      </c>
      <c r="G2361">
        <v>80751525</v>
      </c>
      <c r="H2361">
        <v>-18978783</v>
      </c>
      <c r="I2361">
        <v>163073448</v>
      </c>
      <c r="J2361">
        <v>-5941897</v>
      </c>
      <c r="K2361">
        <v>-80650161</v>
      </c>
      <c r="L2361">
        <v>-35501211</v>
      </c>
      <c r="M2361">
        <v>-69664983</v>
      </c>
      <c r="N2361">
        <v>-151980853</v>
      </c>
      <c r="O2361">
        <v>-69378756</v>
      </c>
      <c r="P2361">
        <v>119</v>
      </c>
      <c r="Q2361" t="s">
        <v>4769</v>
      </c>
    </row>
    <row r="2362" spans="1:17" x14ac:dyDescent="0.3">
      <c r="A2362" t="s">
        <v>32</v>
      </c>
      <c r="B2362" t="str">
        <f>"300103"</f>
        <v>300103</v>
      </c>
      <c r="C2362" t="s">
        <v>4770</v>
      </c>
      <c r="D2362" t="s">
        <v>135</v>
      </c>
      <c r="E2362">
        <v>-42721348</v>
      </c>
      <c r="F2362">
        <v>-11068793</v>
      </c>
      <c r="G2362">
        <v>-343417</v>
      </c>
      <c r="H2362">
        <v>182548</v>
      </c>
      <c r="I2362">
        <v>-18627774</v>
      </c>
      <c r="J2362">
        <v>-10163904</v>
      </c>
      <c r="K2362">
        <v>5596903</v>
      </c>
      <c r="L2362">
        <v>-22478368</v>
      </c>
      <c r="M2362">
        <v>-13037535</v>
      </c>
      <c r="N2362">
        <v>-15774296</v>
      </c>
      <c r="O2362">
        <v>-583766</v>
      </c>
      <c r="P2362">
        <v>53</v>
      </c>
      <c r="Q2362" t="s">
        <v>4771</v>
      </c>
    </row>
    <row r="2363" spans="1:17" x14ac:dyDescent="0.3">
      <c r="A2363" t="s">
        <v>32</v>
      </c>
      <c r="B2363" t="str">
        <f>"300557"</f>
        <v>300557</v>
      </c>
      <c r="C2363" t="s">
        <v>4772</v>
      </c>
      <c r="D2363" t="s">
        <v>135</v>
      </c>
      <c r="E2363">
        <v>-42905439</v>
      </c>
      <c r="F2363">
        <v>-71879458</v>
      </c>
      <c r="G2363">
        <v>-51751090</v>
      </c>
      <c r="H2363">
        <v>-46254381</v>
      </c>
      <c r="I2363">
        <v>-26502292</v>
      </c>
      <c r="J2363">
        <v>-79043293</v>
      </c>
      <c r="K2363">
        <v>-42328950</v>
      </c>
      <c r="P2363">
        <v>61</v>
      </c>
      <c r="Q2363" t="s">
        <v>4773</v>
      </c>
    </row>
    <row r="2364" spans="1:17" x14ac:dyDescent="0.3">
      <c r="A2364" t="s">
        <v>32</v>
      </c>
      <c r="B2364" t="str">
        <f>"002694"</f>
        <v>002694</v>
      </c>
      <c r="C2364" t="s">
        <v>4774</v>
      </c>
      <c r="D2364" t="s">
        <v>400</v>
      </c>
      <c r="E2364">
        <v>-42920911</v>
      </c>
      <c r="F2364">
        <v>-36011345</v>
      </c>
      <c r="G2364">
        <v>-60832562</v>
      </c>
      <c r="H2364">
        <v>11881997</v>
      </c>
      <c r="I2364">
        <v>-163697244</v>
      </c>
      <c r="J2364">
        <v>-129298452</v>
      </c>
      <c r="K2364">
        <v>5398068</v>
      </c>
      <c r="L2364">
        <v>-21796161</v>
      </c>
      <c r="M2364">
        <v>-198337275</v>
      </c>
      <c r="N2364">
        <v>-137317874</v>
      </c>
      <c r="O2364">
        <v>-148904279</v>
      </c>
      <c r="P2364">
        <v>71</v>
      </c>
      <c r="Q2364" t="s">
        <v>4775</v>
      </c>
    </row>
    <row r="2365" spans="1:17" x14ac:dyDescent="0.3">
      <c r="A2365" t="s">
        <v>32</v>
      </c>
      <c r="B2365" t="str">
        <f>"301045"</f>
        <v>301045</v>
      </c>
      <c r="C2365" t="s">
        <v>4776</v>
      </c>
      <c r="D2365" t="s">
        <v>124</v>
      </c>
      <c r="E2365">
        <v>-42923517</v>
      </c>
      <c r="F2365">
        <v>-44847995</v>
      </c>
      <c r="G2365">
        <v>-4085358</v>
      </c>
      <c r="P2365">
        <v>17</v>
      </c>
      <c r="Q2365" t="s">
        <v>4777</v>
      </c>
    </row>
    <row r="2366" spans="1:17" x14ac:dyDescent="0.3">
      <c r="A2366" t="s">
        <v>17</v>
      </c>
      <c r="B2366" t="str">
        <f>"603007"</f>
        <v>603007</v>
      </c>
      <c r="C2366" t="s">
        <v>4778</v>
      </c>
      <c r="D2366" t="s">
        <v>645</v>
      </c>
      <c r="E2366">
        <v>-42944915</v>
      </c>
      <c r="F2366">
        <v>67834672</v>
      </c>
      <c r="G2366">
        <v>-229145662</v>
      </c>
      <c r="H2366">
        <v>-221089961</v>
      </c>
      <c r="I2366">
        <v>-205947200</v>
      </c>
      <c r="J2366">
        <v>-232863076</v>
      </c>
      <c r="K2366">
        <v>-16947100</v>
      </c>
      <c r="L2366">
        <v>-53651400</v>
      </c>
      <c r="P2366">
        <v>81</v>
      </c>
      <c r="Q2366" t="s">
        <v>4779</v>
      </c>
    </row>
    <row r="2367" spans="1:17" x14ac:dyDescent="0.3">
      <c r="A2367" t="s">
        <v>17</v>
      </c>
      <c r="B2367" t="str">
        <f>"603355"</f>
        <v>603355</v>
      </c>
      <c r="C2367" t="s">
        <v>4780</v>
      </c>
      <c r="D2367" t="s">
        <v>127</v>
      </c>
      <c r="E2367">
        <v>-42945873</v>
      </c>
      <c r="F2367">
        <v>-380410833</v>
      </c>
      <c r="G2367">
        <v>226610540</v>
      </c>
      <c r="H2367">
        <v>419165701</v>
      </c>
      <c r="I2367">
        <v>7340120</v>
      </c>
      <c r="J2367">
        <v>-84356241</v>
      </c>
      <c r="K2367">
        <v>56048676</v>
      </c>
      <c r="L2367">
        <v>83266925</v>
      </c>
      <c r="M2367">
        <v>38670326</v>
      </c>
      <c r="P2367">
        <v>557</v>
      </c>
      <c r="Q2367" t="s">
        <v>4781</v>
      </c>
    </row>
    <row r="2368" spans="1:17" x14ac:dyDescent="0.3">
      <c r="A2368" t="s">
        <v>17</v>
      </c>
      <c r="B2368" t="str">
        <f>"603860"</f>
        <v>603860</v>
      </c>
      <c r="C2368" t="s">
        <v>4782</v>
      </c>
      <c r="D2368" t="s">
        <v>645</v>
      </c>
      <c r="E2368">
        <v>-43071118</v>
      </c>
      <c r="F2368">
        <v>-45960229</v>
      </c>
      <c r="G2368">
        <v>-33041924</v>
      </c>
      <c r="H2368">
        <v>-35789233</v>
      </c>
      <c r="I2368">
        <v>-29949910</v>
      </c>
      <c r="J2368">
        <v>-23195160</v>
      </c>
      <c r="K2368">
        <v>-54864496</v>
      </c>
      <c r="P2368">
        <v>58</v>
      </c>
      <c r="Q2368" t="s">
        <v>4783</v>
      </c>
    </row>
    <row r="2369" spans="1:17" x14ac:dyDescent="0.3">
      <c r="A2369" t="s">
        <v>32</v>
      </c>
      <c r="B2369" t="str">
        <f>"301069"</f>
        <v>301069</v>
      </c>
      <c r="C2369" t="s">
        <v>4784</v>
      </c>
      <c r="D2369" t="s">
        <v>144</v>
      </c>
      <c r="E2369">
        <v>-43087566</v>
      </c>
      <c r="G2369">
        <v>12693947</v>
      </c>
      <c r="P2369">
        <v>29</v>
      </c>
      <c r="Q2369" t="s">
        <v>4785</v>
      </c>
    </row>
    <row r="2370" spans="1:17" x14ac:dyDescent="0.3">
      <c r="A2370" t="s">
        <v>32</v>
      </c>
      <c r="B2370" t="str">
        <f>"300727"</f>
        <v>300727</v>
      </c>
      <c r="C2370" t="s">
        <v>4786</v>
      </c>
      <c r="D2370" t="s">
        <v>144</v>
      </c>
      <c r="E2370">
        <v>-43223570</v>
      </c>
      <c r="F2370">
        <v>-20106787</v>
      </c>
      <c r="G2370">
        <v>-6570463</v>
      </c>
      <c r="H2370">
        <v>50362167</v>
      </c>
      <c r="I2370">
        <v>-21032942</v>
      </c>
      <c r="J2370">
        <v>-20042243</v>
      </c>
      <c r="P2370">
        <v>73</v>
      </c>
      <c r="Q2370" t="s">
        <v>4787</v>
      </c>
    </row>
    <row r="2371" spans="1:17" x14ac:dyDescent="0.3">
      <c r="A2371" t="s">
        <v>17</v>
      </c>
      <c r="B2371" t="str">
        <f>"688630"</f>
        <v>688630</v>
      </c>
      <c r="C2371" t="s">
        <v>4788</v>
      </c>
      <c r="D2371" t="s">
        <v>135</v>
      </c>
      <c r="E2371">
        <v>-43252572</v>
      </c>
      <c r="F2371">
        <v>-84026405</v>
      </c>
      <c r="G2371">
        <v>-51296902</v>
      </c>
      <c r="P2371">
        <v>63</v>
      </c>
      <c r="Q2371" t="s">
        <v>4789</v>
      </c>
    </row>
    <row r="2372" spans="1:17" x14ac:dyDescent="0.3">
      <c r="A2372" t="s">
        <v>32</v>
      </c>
      <c r="B2372" t="str">
        <f>"000046"</f>
        <v>000046</v>
      </c>
      <c r="C2372" t="s">
        <v>4790</v>
      </c>
      <c r="D2372" t="s">
        <v>151</v>
      </c>
      <c r="E2372">
        <v>-43299537</v>
      </c>
      <c r="F2372">
        <v>3417643847</v>
      </c>
      <c r="G2372">
        <v>-1706208180</v>
      </c>
      <c r="H2372">
        <v>334326607</v>
      </c>
      <c r="I2372">
        <v>3277377101</v>
      </c>
      <c r="J2372">
        <v>-13135300480</v>
      </c>
      <c r="K2372">
        <v>-6010169454</v>
      </c>
      <c r="L2372">
        <v>-1349329346</v>
      </c>
      <c r="M2372">
        <v>-985583053</v>
      </c>
      <c r="N2372">
        <v>-1540499092</v>
      </c>
      <c r="O2372">
        <v>-366584291</v>
      </c>
      <c r="P2372">
        <v>210</v>
      </c>
      <c r="Q2372" t="s">
        <v>4791</v>
      </c>
    </row>
    <row r="2373" spans="1:17" x14ac:dyDescent="0.3">
      <c r="A2373" t="s">
        <v>32</v>
      </c>
      <c r="B2373" t="str">
        <f>"300445"</f>
        <v>300445</v>
      </c>
      <c r="C2373" t="s">
        <v>4792</v>
      </c>
      <c r="D2373" t="s">
        <v>135</v>
      </c>
      <c r="E2373">
        <v>-43314949</v>
      </c>
      <c r="F2373">
        <v>-30009650</v>
      </c>
      <c r="G2373">
        <v>-26805026</v>
      </c>
      <c r="H2373">
        <v>-1465663</v>
      </c>
      <c r="I2373">
        <v>-9397798</v>
      </c>
      <c r="J2373">
        <v>-10444442</v>
      </c>
      <c r="K2373">
        <v>-12737184</v>
      </c>
      <c r="L2373">
        <v>-9143184</v>
      </c>
      <c r="M2373">
        <v>-12823877</v>
      </c>
      <c r="P2373">
        <v>169</v>
      </c>
      <c r="Q2373" t="s">
        <v>4793</v>
      </c>
    </row>
    <row r="2374" spans="1:17" x14ac:dyDescent="0.3">
      <c r="A2374" t="s">
        <v>32</v>
      </c>
      <c r="B2374" t="str">
        <f>"300330"</f>
        <v>300330</v>
      </c>
      <c r="C2374" t="s">
        <v>4794</v>
      </c>
      <c r="D2374" t="s">
        <v>342</v>
      </c>
      <c r="E2374">
        <v>-43362852</v>
      </c>
      <c r="F2374">
        <v>-12782669</v>
      </c>
      <c r="G2374">
        <v>-65211575</v>
      </c>
      <c r="H2374">
        <v>-37131154</v>
      </c>
      <c r="I2374">
        <v>-39699119</v>
      </c>
      <c r="J2374">
        <v>-13414246</v>
      </c>
      <c r="K2374">
        <v>-2412083</v>
      </c>
      <c r="L2374">
        <v>-4048936</v>
      </c>
      <c r="M2374">
        <v>-43975725</v>
      </c>
      <c r="N2374">
        <v>-25887000</v>
      </c>
      <c r="O2374">
        <v>-53337125</v>
      </c>
      <c r="P2374">
        <v>82</v>
      </c>
      <c r="Q2374" t="s">
        <v>4795</v>
      </c>
    </row>
    <row r="2375" spans="1:17" x14ac:dyDescent="0.3">
      <c r="A2375" t="s">
        <v>17</v>
      </c>
      <c r="B2375" t="str">
        <f>"600508"</f>
        <v>600508</v>
      </c>
      <c r="C2375" t="s">
        <v>4796</v>
      </c>
      <c r="D2375" t="s">
        <v>73</v>
      </c>
      <c r="E2375">
        <v>-43447523</v>
      </c>
      <c r="F2375">
        <v>-93637416</v>
      </c>
      <c r="G2375">
        <v>-46727806</v>
      </c>
      <c r="H2375">
        <v>712296873</v>
      </c>
      <c r="I2375">
        <v>381121831</v>
      </c>
      <c r="J2375">
        <v>-21910113</v>
      </c>
      <c r="K2375">
        <v>-50016665</v>
      </c>
      <c r="L2375">
        <v>-213824283</v>
      </c>
      <c r="M2375">
        <v>-27241455</v>
      </c>
      <c r="N2375">
        <v>-156786480</v>
      </c>
      <c r="O2375">
        <v>624406503</v>
      </c>
      <c r="P2375">
        <v>267</v>
      </c>
      <c r="Q2375" t="s">
        <v>4797</v>
      </c>
    </row>
    <row r="2376" spans="1:17" x14ac:dyDescent="0.3">
      <c r="A2376" t="s">
        <v>32</v>
      </c>
      <c r="B2376" t="str">
        <f>"200037"</f>
        <v>200037</v>
      </c>
      <c r="C2376" t="s">
        <v>4798</v>
      </c>
      <c r="E2376">
        <v>-43563161.600000001</v>
      </c>
      <c r="F2376">
        <v>-63602542.435999997</v>
      </c>
      <c r="G2376">
        <v>21722883.680100001</v>
      </c>
      <c r="H2376">
        <v>-22906494.295200001</v>
      </c>
      <c r="I2376">
        <v>-126608795.76899999</v>
      </c>
      <c r="J2376">
        <v>-268082906.56400001</v>
      </c>
      <c r="K2376">
        <v>-70203046.998999998</v>
      </c>
      <c r="L2376">
        <v>-101767135</v>
      </c>
      <c r="M2376">
        <v>318242528.73640001</v>
      </c>
      <c r="N2376">
        <v>388789476.22920001</v>
      </c>
      <c r="O2376">
        <v>342871854.579</v>
      </c>
      <c r="P2376">
        <v>9</v>
      </c>
      <c r="Q2376" t="s">
        <v>4799</v>
      </c>
    </row>
    <row r="2377" spans="1:17" x14ac:dyDescent="0.3">
      <c r="A2377" t="s">
        <v>32</v>
      </c>
      <c r="B2377" t="str">
        <f>"300868"</f>
        <v>300868</v>
      </c>
      <c r="C2377" t="s">
        <v>4800</v>
      </c>
      <c r="D2377" t="s">
        <v>124</v>
      </c>
      <c r="E2377">
        <v>-43603697</v>
      </c>
      <c r="F2377">
        <v>-25144137</v>
      </c>
      <c r="G2377">
        <v>13338622</v>
      </c>
      <c r="H2377">
        <v>17511200</v>
      </c>
      <c r="P2377">
        <v>40</v>
      </c>
      <c r="Q2377" t="s">
        <v>4801</v>
      </c>
    </row>
    <row r="2378" spans="1:17" x14ac:dyDescent="0.3">
      <c r="A2378" t="s">
        <v>32</v>
      </c>
      <c r="B2378" t="str">
        <f>"300423"</f>
        <v>300423</v>
      </c>
      <c r="C2378" t="s">
        <v>4802</v>
      </c>
      <c r="D2378" t="s">
        <v>464</v>
      </c>
      <c r="E2378">
        <v>-43610237</v>
      </c>
      <c r="F2378">
        <v>-100429374</v>
      </c>
      <c r="G2378">
        <v>-318553598</v>
      </c>
      <c r="H2378">
        <v>-670679353</v>
      </c>
      <c r="I2378">
        <v>-39849280</v>
      </c>
      <c r="J2378">
        <v>-20194954</v>
      </c>
      <c r="K2378">
        <v>-23850724</v>
      </c>
      <c r="L2378">
        <v>-55865068</v>
      </c>
      <c r="M2378">
        <v>-49551512</v>
      </c>
      <c r="P2378">
        <v>156</v>
      </c>
      <c r="Q2378" t="s">
        <v>4803</v>
      </c>
    </row>
    <row r="2379" spans="1:17" x14ac:dyDescent="0.3">
      <c r="A2379" t="s">
        <v>32</v>
      </c>
      <c r="B2379" t="str">
        <f>"001288"</f>
        <v>001288</v>
      </c>
      <c r="C2379" t="s">
        <v>4804</v>
      </c>
      <c r="D2379" t="s">
        <v>135</v>
      </c>
      <c r="E2379">
        <v>-43789104</v>
      </c>
      <c r="F2379">
        <v>24184511</v>
      </c>
      <c r="P2379">
        <v>14</v>
      </c>
      <c r="Q2379" t="s">
        <v>4805</v>
      </c>
    </row>
    <row r="2380" spans="1:17" x14ac:dyDescent="0.3">
      <c r="A2380" t="s">
        <v>32</v>
      </c>
      <c r="B2380" t="str">
        <f>"300993"</f>
        <v>300993</v>
      </c>
      <c r="C2380" t="s">
        <v>4806</v>
      </c>
      <c r="D2380" t="s">
        <v>455</v>
      </c>
      <c r="E2380">
        <v>-43874362</v>
      </c>
      <c r="F2380">
        <v>-6467641</v>
      </c>
      <c r="G2380">
        <v>-16654000</v>
      </c>
      <c r="P2380">
        <v>31</v>
      </c>
      <c r="Q2380" t="s">
        <v>4807</v>
      </c>
    </row>
    <row r="2381" spans="1:17" x14ac:dyDescent="0.3">
      <c r="A2381" t="s">
        <v>32</v>
      </c>
      <c r="B2381" t="str">
        <f>"300483"</f>
        <v>300483</v>
      </c>
      <c r="C2381" t="s">
        <v>4808</v>
      </c>
      <c r="D2381" t="s">
        <v>158</v>
      </c>
      <c r="E2381">
        <v>-43896764</v>
      </c>
      <c r="F2381">
        <v>2190460</v>
      </c>
      <c r="G2381">
        <v>-22533925</v>
      </c>
      <c r="H2381">
        <v>2563655</v>
      </c>
      <c r="I2381">
        <v>208230943</v>
      </c>
      <c r="J2381">
        <v>-44726511</v>
      </c>
      <c r="K2381">
        <v>10629985</v>
      </c>
      <c r="L2381">
        <v>-20807413</v>
      </c>
      <c r="M2381">
        <v>-16738182</v>
      </c>
      <c r="P2381">
        <v>140</v>
      </c>
      <c r="Q2381" t="s">
        <v>4809</v>
      </c>
    </row>
    <row r="2382" spans="1:17" x14ac:dyDescent="0.3">
      <c r="A2382" t="s">
        <v>32</v>
      </c>
      <c r="B2382" t="str">
        <f>"301256"</f>
        <v>301256</v>
      </c>
      <c r="C2382" t="s">
        <v>4810</v>
      </c>
      <c r="E2382">
        <v>-43948415</v>
      </c>
      <c r="P2382">
        <v>3</v>
      </c>
      <c r="Q2382" t="s">
        <v>4811</v>
      </c>
    </row>
    <row r="2383" spans="1:17" x14ac:dyDescent="0.3">
      <c r="A2383" t="s">
        <v>17</v>
      </c>
      <c r="B2383" t="str">
        <f>"601579"</f>
        <v>601579</v>
      </c>
      <c r="C2383" t="s">
        <v>4812</v>
      </c>
      <c r="D2383" t="s">
        <v>172</v>
      </c>
      <c r="E2383">
        <v>-43960316</v>
      </c>
      <c r="F2383">
        <v>-47684829</v>
      </c>
      <c r="G2383">
        <v>-159828995</v>
      </c>
      <c r="H2383">
        <v>-187455963</v>
      </c>
      <c r="I2383">
        <v>-213486819</v>
      </c>
      <c r="J2383">
        <v>-127233876</v>
      </c>
      <c r="K2383">
        <v>-48064948</v>
      </c>
      <c r="L2383">
        <v>-165228717</v>
      </c>
      <c r="M2383">
        <v>-115686930</v>
      </c>
      <c r="P2383">
        <v>186</v>
      </c>
      <c r="Q2383" t="s">
        <v>4813</v>
      </c>
    </row>
    <row r="2384" spans="1:17" x14ac:dyDescent="0.3">
      <c r="A2384" t="s">
        <v>32</v>
      </c>
      <c r="B2384" t="str">
        <f>"000566"</f>
        <v>000566</v>
      </c>
      <c r="C2384" t="s">
        <v>4814</v>
      </c>
      <c r="D2384" t="s">
        <v>98</v>
      </c>
      <c r="E2384">
        <v>-43970736</v>
      </c>
      <c r="F2384">
        <v>-110130092</v>
      </c>
      <c r="G2384">
        <v>-192005411</v>
      </c>
      <c r="H2384">
        <v>-154213403</v>
      </c>
      <c r="I2384">
        <v>-191268127</v>
      </c>
      <c r="J2384">
        <v>-331458321</v>
      </c>
      <c r="K2384">
        <v>-30481563</v>
      </c>
      <c r="L2384">
        <v>-59522334</v>
      </c>
      <c r="M2384">
        <v>-29523667</v>
      </c>
      <c r="N2384">
        <v>35506335</v>
      </c>
      <c r="O2384">
        <v>5991584</v>
      </c>
      <c r="P2384">
        <v>195</v>
      </c>
      <c r="Q2384" t="s">
        <v>4815</v>
      </c>
    </row>
    <row r="2385" spans="1:17" x14ac:dyDescent="0.3">
      <c r="A2385" t="s">
        <v>32</v>
      </c>
      <c r="B2385" t="str">
        <f>"003027"</f>
        <v>003027</v>
      </c>
      <c r="C2385" t="s">
        <v>4816</v>
      </c>
      <c r="D2385" t="s">
        <v>1334</v>
      </c>
      <c r="E2385">
        <v>-43996546</v>
      </c>
      <c r="F2385">
        <v>-64877159</v>
      </c>
      <c r="G2385">
        <v>31157940</v>
      </c>
      <c r="P2385">
        <v>58</v>
      </c>
      <c r="Q2385" t="s">
        <v>4817</v>
      </c>
    </row>
    <row r="2386" spans="1:17" x14ac:dyDescent="0.3">
      <c r="A2386" t="s">
        <v>32</v>
      </c>
      <c r="B2386" t="str">
        <f>"300619"</f>
        <v>300619</v>
      </c>
      <c r="C2386" t="s">
        <v>4818</v>
      </c>
      <c r="D2386" t="s">
        <v>464</v>
      </c>
      <c r="E2386">
        <v>-44000961</v>
      </c>
      <c r="F2386">
        <v>19583694</v>
      </c>
      <c r="G2386">
        <v>-83127701</v>
      </c>
      <c r="H2386">
        <v>16548319</v>
      </c>
      <c r="I2386">
        <v>-26496885</v>
      </c>
      <c r="J2386">
        <v>-22006359</v>
      </c>
      <c r="K2386">
        <v>-15433240</v>
      </c>
      <c r="P2386">
        <v>94</v>
      </c>
      <c r="Q2386" t="s">
        <v>4819</v>
      </c>
    </row>
    <row r="2387" spans="1:17" x14ac:dyDescent="0.3">
      <c r="A2387" t="s">
        <v>17</v>
      </c>
      <c r="B2387" t="str">
        <f>"688088"</f>
        <v>688088</v>
      </c>
      <c r="C2387" t="s">
        <v>4820</v>
      </c>
      <c r="D2387" t="s">
        <v>342</v>
      </c>
      <c r="E2387">
        <v>-44025842</v>
      </c>
      <c r="F2387">
        <v>103983631</v>
      </c>
      <c r="G2387">
        <v>3237357</v>
      </c>
      <c r="H2387">
        <v>-19150331</v>
      </c>
      <c r="I2387">
        <v>3036249</v>
      </c>
      <c r="P2387">
        <v>271</v>
      </c>
      <c r="Q2387" t="s">
        <v>4821</v>
      </c>
    </row>
    <row r="2388" spans="1:17" x14ac:dyDescent="0.3">
      <c r="A2388" t="s">
        <v>32</v>
      </c>
      <c r="B2388" t="str">
        <f>"301070"</f>
        <v>301070</v>
      </c>
      <c r="C2388" t="s">
        <v>4822</v>
      </c>
      <c r="D2388" t="s">
        <v>135</v>
      </c>
      <c r="E2388">
        <v>-44076118</v>
      </c>
      <c r="P2388">
        <v>19</v>
      </c>
      <c r="Q2388" t="s">
        <v>4823</v>
      </c>
    </row>
    <row r="2389" spans="1:17" x14ac:dyDescent="0.3">
      <c r="A2389" t="s">
        <v>17</v>
      </c>
      <c r="B2389" t="str">
        <f>"600640"</f>
        <v>600640</v>
      </c>
      <c r="C2389" t="s">
        <v>4824</v>
      </c>
      <c r="D2389" t="s">
        <v>245</v>
      </c>
      <c r="E2389">
        <v>-44082857</v>
      </c>
      <c r="F2389">
        <v>-52939566</v>
      </c>
      <c r="G2389">
        <v>30327077</v>
      </c>
      <c r="H2389">
        <v>-198519428</v>
      </c>
      <c r="I2389">
        <v>535755657</v>
      </c>
      <c r="J2389">
        <v>69077610</v>
      </c>
      <c r="K2389">
        <v>-27306467</v>
      </c>
      <c r="L2389">
        <v>-99534755</v>
      </c>
      <c r="M2389">
        <v>-40334068</v>
      </c>
      <c r="N2389">
        <v>28005228</v>
      </c>
      <c r="O2389">
        <v>1434923</v>
      </c>
      <c r="P2389">
        <v>163</v>
      </c>
      <c r="Q2389" t="s">
        <v>4825</v>
      </c>
    </row>
    <row r="2390" spans="1:17" x14ac:dyDescent="0.3">
      <c r="A2390" t="s">
        <v>32</v>
      </c>
      <c r="B2390" t="str">
        <f>"300112"</f>
        <v>300112</v>
      </c>
      <c r="C2390" t="s">
        <v>4826</v>
      </c>
      <c r="D2390" t="s">
        <v>135</v>
      </c>
      <c r="E2390">
        <v>-44149484</v>
      </c>
      <c r="F2390">
        <v>-28545315</v>
      </c>
      <c r="G2390">
        <v>-17374445</v>
      </c>
      <c r="H2390">
        <v>-3231791</v>
      </c>
      <c r="I2390">
        <v>-20673541</v>
      </c>
      <c r="J2390">
        <v>5289770</v>
      </c>
      <c r="K2390">
        <v>-1780739</v>
      </c>
      <c r="L2390">
        <v>-20740830</v>
      </c>
      <c r="M2390">
        <v>-2584285</v>
      </c>
      <c r="N2390">
        <v>-10571095</v>
      </c>
      <c r="O2390">
        <v>-10246696</v>
      </c>
      <c r="P2390">
        <v>123</v>
      </c>
      <c r="Q2390" t="s">
        <v>4827</v>
      </c>
    </row>
    <row r="2391" spans="1:17" x14ac:dyDescent="0.3">
      <c r="A2391" t="s">
        <v>17</v>
      </c>
      <c r="B2391" t="str">
        <f>"605366"</f>
        <v>605366</v>
      </c>
      <c r="C2391" t="s">
        <v>4828</v>
      </c>
      <c r="D2391" t="s">
        <v>144</v>
      </c>
      <c r="E2391">
        <v>-44208874</v>
      </c>
      <c r="F2391">
        <v>-27294771</v>
      </c>
      <c r="G2391">
        <v>25678776</v>
      </c>
      <c r="H2391">
        <v>-1960216</v>
      </c>
      <c r="P2391">
        <v>60</v>
      </c>
      <c r="Q2391" t="s">
        <v>4829</v>
      </c>
    </row>
    <row r="2392" spans="1:17" x14ac:dyDescent="0.3">
      <c r="A2392" t="s">
        <v>17</v>
      </c>
      <c r="B2392" t="str">
        <f>"603279"</f>
        <v>603279</v>
      </c>
      <c r="C2392" t="s">
        <v>4830</v>
      </c>
      <c r="D2392" t="s">
        <v>1334</v>
      </c>
      <c r="E2392">
        <v>-44345970</v>
      </c>
      <c r="F2392">
        <v>-25812615</v>
      </c>
      <c r="G2392">
        <v>37860329</v>
      </c>
      <c r="H2392">
        <v>56253400</v>
      </c>
      <c r="I2392">
        <v>-52515000</v>
      </c>
      <c r="P2392">
        <v>234</v>
      </c>
      <c r="Q2392" t="s">
        <v>4831</v>
      </c>
    </row>
    <row r="2393" spans="1:17" x14ac:dyDescent="0.3">
      <c r="A2393" t="s">
        <v>32</v>
      </c>
      <c r="B2393" t="str">
        <f>"002495"</f>
        <v>002495</v>
      </c>
      <c r="C2393" t="s">
        <v>4832</v>
      </c>
      <c r="D2393" t="s">
        <v>172</v>
      </c>
      <c r="E2393">
        <v>-44369775</v>
      </c>
      <c r="F2393">
        <v>-25090736</v>
      </c>
      <c r="G2393">
        <v>-43873777</v>
      </c>
      <c r="H2393">
        <v>-13219455</v>
      </c>
      <c r="I2393">
        <v>-6933328</v>
      </c>
      <c r="J2393">
        <v>-9457101</v>
      </c>
      <c r="K2393">
        <v>-36483390</v>
      </c>
      <c r="L2393">
        <v>23089449</v>
      </c>
      <c r="M2393">
        <v>-42434543</v>
      </c>
      <c r="N2393">
        <v>-42702741</v>
      </c>
      <c r="O2393">
        <v>-27084615</v>
      </c>
      <c r="P2393">
        <v>113</v>
      </c>
      <c r="Q2393" t="s">
        <v>4833</v>
      </c>
    </row>
    <row r="2394" spans="1:17" x14ac:dyDescent="0.3">
      <c r="A2394" t="s">
        <v>32</v>
      </c>
      <c r="B2394" t="str">
        <f>"300499"</f>
        <v>300499</v>
      </c>
      <c r="C2394" t="s">
        <v>4834</v>
      </c>
      <c r="D2394" t="s">
        <v>135</v>
      </c>
      <c r="E2394">
        <v>-44376535</v>
      </c>
      <c r="F2394">
        <v>-138695169</v>
      </c>
      <c r="G2394">
        <v>-89224150</v>
      </c>
      <c r="H2394">
        <v>-20724974</v>
      </c>
      <c r="I2394">
        <v>-33826339</v>
      </c>
      <c r="J2394">
        <v>-54518981</v>
      </c>
      <c r="K2394">
        <v>-67325573</v>
      </c>
      <c r="L2394">
        <v>-78728498</v>
      </c>
      <c r="P2394">
        <v>136</v>
      </c>
      <c r="Q2394" t="s">
        <v>4835</v>
      </c>
    </row>
    <row r="2395" spans="1:17" x14ac:dyDescent="0.3">
      <c r="A2395" t="s">
        <v>32</v>
      </c>
      <c r="B2395" t="str">
        <f>"300448"</f>
        <v>300448</v>
      </c>
      <c r="C2395" t="s">
        <v>4836</v>
      </c>
      <c r="D2395" t="s">
        <v>342</v>
      </c>
      <c r="E2395">
        <v>-44380728</v>
      </c>
      <c r="F2395">
        <v>-48396591</v>
      </c>
      <c r="G2395">
        <v>-87003424</v>
      </c>
      <c r="H2395">
        <v>-118942390</v>
      </c>
      <c r="I2395">
        <v>-61989850</v>
      </c>
      <c r="J2395">
        <v>-187258364</v>
      </c>
      <c r="K2395">
        <v>-88893547</v>
      </c>
      <c r="L2395">
        <v>-58330936</v>
      </c>
      <c r="M2395">
        <v>-72973790</v>
      </c>
      <c r="P2395">
        <v>157</v>
      </c>
      <c r="Q2395" t="s">
        <v>4837</v>
      </c>
    </row>
    <row r="2396" spans="1:17" x14ac:dyDescent="0.3">
      <c r="A2396" t="s">
        <v>32</v>
      </c>
      <c r="B2396" t="str">
        <f>"300410"</f>
        <v>300410</v>
      </c>
      <c r="C2396" t="s">
        <v>4838</v>
      </c>
      <c r="D2396" t="s">
        <v>135</v>
      </c>
      <c r="E2396">
        <v>-44381349</v>
      </c>
      <c r="F2396">
        <v>60204761</v>
      </c>
      <c r="G2396">
        <v>-15078661</v>
      </c>
      <c r="H2396">
        <v>-78819591</v>
      </c>
      <c r="I2396">
        <v>-71549971</v>
      </c>
      <c r="J2396">
        <v>584680</v>
      </c>
      <c r="K2396">
        <v>-12270173</v>
      </c>
      <c r="L2396">
        <v>-13888482</v>
      </c>
      <c r="M2396">
        <v>-11900100</v>
      </c>
      <c r="P2396">
        <v>215</v>
      </c>
      <c r="Q2396" t="s">
        <v>4839</v>
      </c>
    </row>
    <row r="2397" spans="1:17" x14ac:dyDescent="0.3">
      <c r="A2397" t="s">
        <v>17</v>
      </c>
      <c r="B2397" t="str">
        <f>"600156"</f>
        <v>600156</v>
      </c>
      <c r="C2397" t="s">
        <v>4840</v>
      </c>
      <c r="D2397" t="s">
        <v>130</v>
      </c>
      <c r="E2397">
        <v>-44462711</v>
      </c>
      <c r="F2397">
        <v>-37756218</v>
      </c>
      <c r="G2397">
        <v>17414274</v>
      </c>
      <c r="H2397">
        <v>-74294307</v>
      </c>
      <c r="I2397">
        <v>-19590108</v>
      </c>
      <c r="J2397">
        <v>-5571776</v>
      </c>
      <c r="K2397">
        <v>-14926219</v>
      </c>
      <c r="L2397">
        <v>3843696</v>
      </c>
      <c r="M2397">
        <v>15709678</v>
      </c>
      <c r="N2397">
        <v>-25127679</v>
      </c>
      <c r="O2397">
        <v>19191685</v>
      </c>
      <c r="P2397">
        <v>75</v>
      </c>
      <c r="Q2397" t="s">
        <v>4841</v>
      </c>
    </row>
    <row r="2398" spans="1:17" x14ac:dyDescent="0.3">
      <c r="A2398" t="s">
        <v>32</v>
      </c>
      <c r="B2398" t="str">
        <f>"300250"</f>
        <v>300250</v>
      </c>
      <c r="C2398" t="s">
        <v>4842</v>
      </c>
      <c r="D2398" t="s">
        <v>342</v>
      </c>
      <c r="E2398">
        <v>-44509641</v>
      </c>
      <c r="F2398">
        <v>-42192563</v>
      </c>
      <c r="G2398">
        <v>-42508542</v>
      </c>
      <c r="H2398">
        <v>-29344242</v>
      </c>
      <c r="I2398">
        <v>-12546524</v>
      </c>
      <c r="J2398">
        <v>-48292914</v>
      </c>
      <c r="K2398">
        <v>-47689463</v>
      </c>
      <c r="L2398">
        <v>-8600617</v>
      </c>
      <c r="M2398">
        <v>2479851</v>
      </c>
      <c r="N2398">
        <v>-236629</v>
      </c>
      <c r="O2398">
        <v>-30221730</v>
      </c>
      <c r="P2398">
        <v>159</v>
      </c>
      <c r="Q2398" t="s">
        <v>4843</v>
      </c>
    </row>
    <row r="2399" spans="1:17" x14ac:dyDescent="0.3">
      <c r="A2399" t="s">
        <v>32</v>
      </c>
      <c r="B2399" t="str">
        <f>"300306"</f>
        <v>300306</v>
      </c>
      <c r="C2399" t="s">
        <v>4844</v>
      </c>
      <c r="D2399" t="s">
        <v>135</v>
      </c>
      <c r="E2399">
        <v>-44523221</v>
      </c>
      <c r="F2399">
        <v>-73543434</v>
      </c>
      <c r="G2399">
        <v>-35476588</v>
      </c>
      <c r="H2399">
        <v>2843859</v>
      </c>
      <c r="I2399">
        <v>-47067547</v>
      </c>
      <c r="J2399">
        <v>-19578752</v>
      </c>
      <c r="K2399">
        <v>-8516634</v>
      </c>
      <c r="L2399">
        <v>-24947350</v>
      </c>
      <c r="M2399">
        <v>-15805140</v>
      </c>
      <c r="N2399">
        <v>-18850287</v>
      </c>
      <c r="O2399">
        <v>994816</v>
      </c>
      <c r="P2399">
        <v>169</v>
      </c>
      <c r="Q2399" t="s">
        <v>4845</v>
      </c>
    </row>
    <row r="2400" spans="1:17" x14ac:dyDescent="0.3">
      <c r="A2400" t="s">
        <v>32</v>
      </c>
      <c r="B2400" t="str">
        <f>"002519"</f>
        <v>002519</v>
      </c>
      <c r="C2400" t="s">
        <v>4846</v>
      </c>
      <c r="D2400" t="s">
        <v>127</v>
      </c>
      <c r="E2400">
        <v>-44581684</v>
      </c>
      <c r="F2400">
        <v>-37626582</v>
      </c>
      <c r="G2400">
        <v>146357207</v>
      </c>
      <c r="H2400">
        <v>-84605860</v>
      </c>
      <c r="I2400">
        <v>-57025344</v>
      </c>
      <c r="J2400">
        <v>-51705619</v>
      </c>
      <c r="K2400">
        <v>-35761926</v>
      </c>
      <c r="L2400">
        <v>-13132599</v>
      </c>
      <c r="M2400">
        <v>-110670323</v>
      </c>
      <c r="N2400">
        <v>-80440951</v>
      </c>
      <c r="O2400">
        <v>-36353843</v>
      </c>
      <c r="P2400">
        <v>160</v>
      </c>
      <c r="Q2400" t="s">
        <v>4847</v>
      </c>
    </row>
    <row r="2401" spans="1:17" x14ac:dyDescent="0.3">
      <c r="A2401" t="s">
        <v>32</v>
      </c>
      <c r="B2401" t="str">
        <f>"300958"</f>
        <v>300958</v>
      </c>
      <c r="C2401" t="s">
        <v>4848</v>
      </c>
      <c r="D2401" t="s">
        <v>1334</v>
      </c>
      <c r="E2401">
        <v>-44587188</v>
      </c>
      <c r="F2401">
        <v>-42507527</v>
      </c>
      <c r="G2401">
        <v>-8250832</v>
      </c>
      <c r="P2401">
        <v>29</v>
      </c>
      <c r="Q2401" t="s">
        <v>4849</v>
      </c>
    </row>
    <row r="2402" spans="1:17" x14ac:dyDescent="0.3">
      <c r="A2402" t="s">
        <v>32</v>
      </c>
      <c r="B2402" t="str">
        <f>"002200"</f>
        <v>002200</v>
      </c>
      <c r="C2402" t="s">
        <v>4850</v>
      </c>
      <c r="D2402" t="s">
        <v>645</v>
      </c>
      <c r="E2402">
        <v>-44589269</v>
      </c>
      <c r="F2402">
        <v>-23135164</v>
      </c>
      <c r="G2402">
        <v>93008854</v>
      </c>
      <c r="H2402">
        <v>122980289</v>
      </c>
      <c r="I2402">
        <v>-196319914</v>
      </c>
      <c r="J2402">
        <v>12910884</v>
      </c>
      <c r="K2402">
        <v>-190693067</v>
      </c>
      <c r="L2402">
        <v>-36850038</v>
      </c>
      <c r="M2402">
        <v>-41896281</v>
      </c>
      <c r="N2402">
        <v>-48611938</v>
      </c>
      <c r="O2402">
        <v>19595886</v>
      </c>
      <c r="P2402">
        <v>53</v>
      </c>
      <c r="Q2402" t="s">
        <v>4851</v>
      </c>
    </row>
    <row r="2403" spans="1:17" x14ac:dyDescent="0.3">
      <c r="A2403" t="s">
        <v>32</v>
      </c>
      <c r="B2403" t="str">
        <f>"301033"</f>
        <v>301033</v>
      </c>
      <c r="C2403" t="s">
        <v>4852</v>
      </c>
      <c r="D2403" t="s">
        <v>98</v>
      </c>
      <c r="E2403">
        <v>-44619441</v>
      </c>
      <c r="F2403">
        <v>-28107739</v>
      </c>
      <c r="G2403">
        <v>-17388320</v>
      </c>
      <c r="P2403">
        <v>31</v>
      </c>
      <c r="Q2403" t="s">
        <v>4853</v>
      </c>
    </row>
    <row r="2404" spans="1:17" x14ac:dyDescent="0.3">
      <c r="A2404" t="s">
        <v>32</v>
      </c>
      <c r="B2404" t="str">
        <f>"300293"</f>
        <v>300293</v>
      </c>
      <c r="C2404" t="s">
        <v>4854</v>
      </c>
      <c r="D2404" t="s">
        <v>135</v>
      </c>
      <c r="E2404">
        <v>-44690564</v>
      </c>
      <c r="F2404">
        <v>-32176053</v>
      </c>
      <c r="G2404">
        <v>20712686</v>
      </c>
      <c r="H2404">
        <v>-65026446</v>
      </c>
      <c r="I2404">
        <v>45329511</v>
      </c>
      <c r="J2404">
        <v>40127115</v>
      </c>
      <c r="K2404">
        <v>4188015</v>
      </c>
      <c r="L2404">
        <v>30667598</v>
      </c>
      <c r="M2404">
        <v>38419887</v>
      </c>
      <c r="N2404">
        <v>-165834260</v>
      </c>
      <c r="O2404">
        <v>-25264315</v>
      </c>
      <c r="P2404">
        <v>112</v>
      </c>
      <c r="Q2404" t="s">
        <v>4855</v>
      </c>
    </row>
    <row r="2405" spans="1:17" x14ac:dyDescent="0.3">
      <c r="A2405" t="s">
        <v>32</v>
      </c>
      <c r="B2405" t="str">
        <f>"000973"</f>
        <v>000973</v>
      </c>
      <c r="C2405" t="s">
        <v>4856</v>
      </c>
      <c r="D2405" t="s">
        <v>144</v>
      </c>
      <c r="E2405">
        <v>-44733731</v>
      </c>
      <c r="F2405">
        <v>-56003507</v>
      </c>
      <c r="G2405">
        <v>21028781</v>
      </c>
      <c r="H2405">
        <v>-37381798</v>
      </c>
      <c r="I2405">
        <v>179374508</v>
      </c>
      <c r="J2405">
        <v>-65924717</v>
      </c>
      <c r="K2405">
        <v>-24582785</v>
      </c>
      <c r="L2405">
        <v>-94253322</v>
      </c>
      <c r="M2405">
        <v>-59818551</v>
      </c>
      <c r="N2405">
        <v>-74353366</v>
      </c>
      <c r="O2405">
        <v>-12720099</v>
      </c>
      <c r="P2405">
        <v>123</v>
      </c>
      <c r="Q2405" t="s">
        <v>4857</v>
      </c>
    </row>
    <row r="2406" spans="1:17" x14ac:dyDescent="0.3">
      <c r="A2406" t="s">
        <v>32</v>
      </c>
      <c r="B2406" t="str">
        <f>"300080"</f>
        <v>300080</v>
      </c>
      <c r="C2406" t="s">
        <v>4858</v>
      </c>
      <c r="D2406" t="s">
        <v>135</v>
      </c>
      <c r="E2406">
        <v>-44751194</v>
      </c>
      <c r="F2406">
        <v>-21913364</v>
      </c>
      <c r="G2406">
        <v>-83349583</v>
      </c>
      <c r="H2406">
        <v>34503312</v>
      </c>
      <c r="I2406">
        <v>-49601303</v>
      </c>
      <c r="J2406">
        <v>-98440962</v>
      </c>
      <c r="K2406">
        <v>-86401976</v>
      </c>
      <c r="L2406">
        <v>-88493294</v>
      </c>
      <c r="M2406">
        <v>-17302659</v>
      </c>
      <c r="N2406">
        <v>-416046</v>
      </c>
      <c r="O2406">
        <v>-77959785</v>
      </c>
      <c r="P2406">
        <v>111</v>
      </c>
      <c r="Q2406" t="s">
        <v>4859</v>
      </c>
    </row>
    <row r="2407" spans="1:17" x14ac:dyDescent="0.3">
      <c r="A2407" t="s">
        <v>17</v>
      </c>
      <c r="B2407" t="str">
        <f>"603725"</f>
        <v>603725</v>
      </c>
      <c r="C2407" t="s">
        <v>4860</v>
      </c>
      <c r="D2407" t="s">
        <v>144</v>
      </c>
      <c r="E2407">
        <v>-44751944</v>
      </c>
      <c r="F2407">
        <v>2972840</v>
      </c>
      <c r="G2407">
        <v>-12739510</v>
      </c>
      <c r="H2407">
        <v>-20715879</v>
      </c>
      <c r="I2407">
        <v>-53117831</v>
      </c>
      <c r="J2407">
        <v>-27280715</v>
      </c>
      <c r="P2407">
        <v>74</v>
      </c>
      <c r="Q2407" t="s">
        <v>4861</v>
      </c>
    </row>
    <row r="2408" spans="1:17" x14ac:dyDescent="0.3">
      <c r="A2408" t="s">
        <v>32</v>
      </c>
      <c r="B2408" t="str">
        <f>"002823"</f>
        <v>002823</v>
      </c>
      <c r="C2408" t="s">
        <v>4862</v>
      </c>
      <c r="D2408" t="s">
        <v>464</v>
      </c>
      <c r="E2408">
        <v>-44781258</v>
      </c>
      <c r="F2408">
        <v>-172530274</v>
      </c>
      <c r="G2408">
        <v>-60742103</v>
      </c>
      <c r="H2408">
        <v>-63903572</v>
      </c>
      <c r="I2408">
        <v>-128597060</v>
      </c>
      <c r="J2408">
        <v>-15482575</v>
      </c>
      <c r="K2408">
        <v>-7753040</v>
      </c>
      <c r="P2408">
        <v>158</v>
      </c>
      <c r="Q2408" t="s">
        <v>4863</v>
      </c>
    </row>
    <row r="2409" spans="1:17" x14ac:dyDescent="0.3">
      <c r="A2409" t="s">
        <v>32</v>
      </c>
      <c r="B2409" t="str">
        <f>"002596"</f>
        <v>002596</v>
      </c>
      <c r="C2409" t="s">
        <v>4864</v>
      </c>
      <c r="D2409" t="s">
        <v>400</v>
      </c>
      <c r="E2409">
        <v>-44855639</v>
      </c>
      <c r="F2409">
        <v>-233988414</v>
      </c>
      <c r="G2409">
        <v>-35963233</v>
      </c>
      <c r="H2409">
        <v>-108838313</v>
      </c>
      <c r="I2409">
        <v>-204913056</v>
      </c>
      <c r="J2409">
        <v>-160755682</v>
      </c>
      <c r="K2409">
        <v>-64432402</v>
      </c>
      <c r="L2409">
        <v>502548</v>
      </c>
      <c r="M2409">
        <v>-24989045</v>
      </c>
      <c r="N2409">
        <v>-11810913</v>
      </c>
      <c r="O2409">
        <v>-65708593</v>
      </c>
      <c r="P2409">
        <v>100</v>
      </c>
      <c r="Q2409" t="s">
        <v>4865</v>
      </c>
    </row>
    <row r="2410" spans="1:17" x14ac:dyDescent="0.3">
      <c r="A2410" t="s">
        <v>32</v>
      </c>
      <c r="B2410" t="str">
        <f>"300745"</f>
        <v>300745</v>
      </c>
      <c r="C2410" t="s">
        <v>4866</v>
      </c>
      <c r="D2410" t="s">
        <v>199</v>
      </c>
      <c r="E2410">
        <v>-45007534</v>
      </c>
      <c r="F2410">
        <v>-51493699</v>
      </c>
      <c r="G2410">
        <v>-28064298</v>
      </c>
      <c r="H2410">
        <v>-9916127</v>
      </c>
      <c r="I2410">
        <v>-95814118</v>
      </c>
      <c r="P2410">
        <v>76</v>
      </c>
      <c r="Q2410" t="s">
        <v>4867</v>
      </c>
    </row>
    <row r="2411" spans="1:17" x14ac:dyDescent="0.3">
      <c r="A2411" t="s">
        <v>17</v>
      </c>
      <c r="B2411" t="str">
        <f>"600476"</f>
        <v>600476</v>
      </c>
      <c r="C2411" t="s">
        <v>4868</v>
      </c>
      <c r="D2411" t="s">
        <v>342</v>
      </c>
      <c r="E2411">
        <v>-45212953</v>
      </c>
      <c r="F2411">
        <v>-69423451</v>
      </c>
      <c r="G2411">
        <v>-500616</v>
      </c>
      <c r="H2411">
        <v>-44399938</v>
      </c>
      <c r="I2411">
        <v>10525035</v>
      </c>
      <c r="J2411">
        <v>-30671431</v>
      </c>
      <c r="K2411">
        <v>-25553942</v>
      </c>
      <c r="L2411">
        <v>-44990125</v>
      </c>
      <c r="M2411">
        <v>-16482609</v>
      </c>
      <c r="N2411">
        <v>-12762390</v>
      </c>
      <c r="O2411">
        <v>-35525901</v>
      </c>
      <c r="P2411">
        <v>85</v>
      </c>
      <c r="Q2411" t="s">
        <v>4869</v>
      </c>
    </row>
    <row r="2412" spans="1:17" x14ac:dyDescent="0.3">
      <c r="A2412" t="s">
        <v>17</v>
      </c>
      <c r="B2412" t="str">
        <f>"600712"</f>
        <v>600712</v>
      </c>
      <c r="C2412" t="s">
        <v>4870</v>
      </c>
      <c r="D2412" t="s">
        <v>218</v>
      </c>
      <c r="E2412">
        <v>-45254999</v>
      </c>
      <c r="F2412">
        <v>-29110003</v>
      </c>
      <c r="G2412">
        <v>-65853450</v>
      </c>
      <c r="H2412">
        <v>-22914564</v>
      </c>
      <c r="I2412">
        <v>-14145654</v>
      </c>
      <c r="J2412">
        <v>-262369714</v>
      </c>
      <c r="K2412">
        <v>-102127414</v>
      </c>
      <c r="L2412">
        <v>-11544533</v>
      </c>
      <c r="M2412">
        <v>-301846013</v>
      </c>
      <c r="N2412">
        <v>-92482194</v>
      </c>
      <c r="O2412">
        <v>-236820458</v>
      </c>
      <c r="P2412">
        <v>87</v>
      </c>
      <c r="Q2412" t="s">
        <v>4871</v>
      </c>
    </row>
    <row r="2413" spans="1:17" x14ac:dyDescent="0.3">
      <c r="A2413" t="s">
        <v>17</v>
      </c>
      <c r="B2413" t="str">
        <f>"600568"</f>
        <v>600568</v>
      </c>
      <c r="C2413" t="s">
        <v>4872</v>
      </c>
      <c r="D2413" t="s">
        <v>98</v>
      </c>
      <c r="E2413">
        <v>-45465399</v>
      </c>
      <c r="F2413">
        <v>-1192529</v>
      </c>
      <c r="G2413">
        <v>3638696</v>
      </c>
      <c r="H2413">
        <v>-181967811</v>
      </c>
      <c r="I2413">
        <v>-277238487</v>
      </c>
      <c r="J2413">
        <v>60801255</v>
      </c>
      <c r="K2413">
        <v>-59100059</v>
      </c>
      <c r="L2413">
        <v>-159807889</v>
      </c>
      <c r="M2413">
        <v>-159360345</v>
      </c>
      <c r="N2413">
        <v>-27890655</v>
      </c>
      <c r="O2413">
        <v>18670551</v>
      </c>
      <c r="P2413">
        <v>98</v>
      </c>
      <c r="Q2413" t="s">
        <v>4873</v>
      </c>
    </row>
    <row r="2414" spans="1:17" x14ac:dyDescent="0.3">
      <c r="A2414" t="s">
        <v>32</v>
      </c>
      <c r="B2414" t="str">
        <f>"300420"</f>
        <v>300420</v>
      </c>
      <c r="C2414" t="s">
        <v>4874</v>
      </c>
      <c r="D2414" t="s">
        <v>135</v>
      </c>
      <c r="E2414">
        <v>-45560698</v>
      </c>
      <c r="F2414">
        <v>-91236012</v>
      </c>
      <c r="G2414">
        <v>-81253553</v>
      </c>
      <c r="H2414">
        <v>-62807132</v>
      </c>
      <c r="I2414">
        <v>-40268955</v>
      </c>
      <c r="J2414">
        <v>-25155487</v>
      </c>
      <c r="K2414">
        <v>-33028457</v>
      </c>
      <c r="L2414">
        <v>-8921574</v>
      </c>
      <c r="M2414">
        <v>-16898372</v>
      </c>
      <c r="P2414">
        <v>146</v>
      </c>
      <c r="Q2414" t="s">
        <v>4875</v>
      </c>
    </row>
    <row r="2415" spans="1:17" x14ac:dyDescent="0.3">
      <c r="A2415" t="s">
        <v>17</v>
      </c>
      <c r="B2415" t="str">
        <f>"600122"</f>
        <v>600122</v>
      </c>
      <c r="C2415" t="s">
        <v>4876</v>
      </c>
      <c r="D2415" t="s">
        <v>218</v>
      </c>
      <c r="E2415">
        <v>-45596989</v>
      </c>
      <c r="F2415">
        <v>-26831233</v>
      </c>
      <c r="G2415">
        <v>-28646851</v>
      </c>
      <c r="H2415">
        <v>-832850076</v>
      </c>
      <c r="I2415">
        <v>86417439</v>
      </c>
      <c r="J2415">
        <v>105894918</v>
      </c>
      <c r="K2415">
        <v>12540635</v>
      </c>
      <c r="L2415">
        <v>3993068</v>
      </c>
      <c r="M2415">
        <v>68889093</v>
      </c>
      <c r="N2415">
        <v>327856066</v>
      </c>
      <c r="O2415">
        <v>50661812</v>
      </c>
      <c r="P2415">
        <v>96</v>
      </c>
      <c r="Q2415" t="s">
        <v>4877</v>
      </c>
    </row>
    <row r="2416" spans="1:17" x14ac:dyDescent="0.3">
      <c r="A2416" t="s">
        <v>32</v>
      </c>
      <c r="B2416" t="str">
        <f>"300030"</f>
        <v>300030</v>
      </c>
      <c r="C2416" t="s">
        <v>4878</v>
      </c>
      <c r="D2416" t="s">
        <v>98</v>
      </c>
      <c r="E2416">
        <v>-45609923</v>
      </c>
      <c r="F2416">
        <v>19166769</v>
      </c>
      <c r="G2416">
        <v>-8327517</v>
      </c>
      <c r="H2416">
        <v>-778515</v>
      </c>
      <c r="I2416">
        <v>-23131514</v>
      </c>
      <c r="J2416">
        <v>-69677103</v>
      </c>
      <c r="K2416">
        <v>-6847805</v>
      </c>
      <c r="L2416">
        <v>-122733953</v>
      </c>
      <c r="M2416">
        <v>-41901929</v>
      </c>
      <c r="N2416">
        <v>-51783130</v>
      </c>
      <c r="O2416">
        <v>-35108383</v>
      </c>
      <c r="P2416">
        <v>182</v>
      </c>
      <c r="Q2416" t="s">
        <v>4879</v>
      </c>
    </row>
    <row r="2417" spans="1:17" x14ac:dyDescent="0.3">
      <c r="A2417" t="s">
        <v>17</v>
      </c>
      <c r="B2417" t="str">
        <f>"688662"</f>
        <v>688662</v>
      </c>
      <c r="C2417" t="s">
        <v>4880</v>
      </c>
      <c r="D2417" t="s">
        <v>124</v>
      </c>
      <c r="E2417">
        <v>-45619108</v>
      </c>
      <c r="F2417">
        <v>-33558035</v>
      </c>
      <c r="G2417">
        <v>5154001</v>
      </c>
      <c r="P2417">
        <v>24</v>
      </c>
      <c r="Q2417" t="s">
        <v>4881</v>
      </c>
    </row>
    <row r="2418" spans="1:17" x14ac:dyDescent="0.3">
      <c r="A2418" t="s">
        <v>32</v>
      </c>
      <c r="B2418" t="str">
        <f>"002581"</f>
        <v>002581</v>
      </c>
      <c r="C2418" t="s">
        <v>4882</v>
      </c>
      <c r="D2418" t="s">
        <v>98</v>
      </c>
      <c r="E2418">
        <v>-45654826</v>
      </c>
      <c r="F2418">
        <v>-41226688</v>
      </c>
      <c r="G2418">
        <v>-18440626</v>
      </c>
      <c r="H2418">
        <v>74510976</v>
      </c>
      <c r="I2418">
        <v>62057912</v>
      </c>
      <c r="J2418">
        <v>9435753</v>
      </c>
      <c r="K2418">
        <v>45064762</v>
      </c>
      <c r="L2418">
        <v>32059814</v>
      </c>
      <c r="M2418">
        <v>13326203</v>
      </c>
      <c r="N2418">
        <v>-14423390</v>
      </c>
      <c r="O2418">
        <v>1766953</v>
      </c>
      <c r="P2418">
        <v>228</v>
      </c>
      <c r="Q2418" t="s">
        <v>4883</v>
      </c>
    </row>
    <row r="2419" spans="1:17" x14ac:dyDescent="0.3">
      <c r="A2419" t="s">
        <v>17</v>
      </c>
      <c r="B2419" t="str">
        <f>"688601"</f>
        <v>688601</v>
      </c>
      <c r="C2419" t="s">
        <v>4884</v>
      </c>
      <c r="D2419" t="s">
        <v>124</v>
      </c>
      <c r="E2419">
        <v>-45659844</v>
      </c>
      <c r="F2419">
        <v>-9276281</v>
      </c>
      <c r="G2419">
        <v>-7335873</v>
      </c>
      <c r="P2419">
        <v>58</v>
      </c>
      <c r="Q2419" t="s">
        <v>4885</v>
      </c>
    </row>
    <row r="2420" spans="1:17" x14ac:dyDescent="0.3">
      <c r="A2420" t="s">
        <v>17</v>
      </c>
      <c r="B2420" t="str">
        <f>"600455"</f>
        <v>600455</v>
      </c>
      <c r="C2420" t="s">
        <v>4886</v>
      </c>
      <c r="D2420" t="s">
        <v>342</v>
      </c>
      <c r="E2420">
        <v>-45660439</v>
      </c>
      <c r="F2420">
        <v>-38773999</v>
      </c>
      <c r="G2420">
        <v>-29746238</v>
      </c>
      <c r="H2420">
        <v>-18634444</v>
      </c>
      <c r="I2420">
        <v>-26864684</v>
      </c>
      <c r="J2420">
        <v>-26693897</v>
      </c>
      <c r="K2420">
        <v>-29178489</v>
      </c>
      <c r="L2420">
        <v>-34316024</v>
      </c>
      <c r="M2420">
        <v>-35950562</v>
      </c>
      <c r="N2420">
        <v>-62091093</v>
      </c>
      <c r="O2420">
        <v>-47891627</v>
      </c>
      <c r="P2420">
        <v>103</v>
      </c>
      <c r="Q2420" t="s">
        <v>4887</v>
      </c>
    </row>
    <row r="2421" spans="1:17" x14ac:dyDescent="0.3">
      <c r="A2421" t="s">
        <v>32</v>
      </c>
      <c r="B2421" t="str">
        <f>"000573"</f>
        <v>000573</v>
      </c>
      <c r="C2421" t="s">
        <v>4888</v>
      </c>
      <c r="D2421" t="s">
        <v>151</v>
      </c>
      <c r="E2421">
        <v>-45699031</v>
      </c>
      <c r="F2421">
        <v>50303280</v>
      </c>
      <c r="G2421">
        <v>-57569527</v>
      </c>
      <c r="H2421">
        <v>-35252244</v>
      </c>
      <c r="I2421">
        <v>51698336</v>
      </c>
      <c r="J2421">
        <v>-34745312</v>
      </c>
      <c r="K2421">
        <v>130248240</v>
      </c>
      <c r="L2421">
        <v>-51028452</v>
      </c>
      <c r="M2421">
        <v>2388746</v>
      </c>
      <c r="N2421">
        <v>-61259347</v>
      </c>
      <c r="O2421">
        <v>764881</v>
      </c>
      <c r="P2421">
        <v>130</v>
      </c>
      <c r="Q2421" t="s">
        <v>4889</v>
      </c>
    </row>
    <row r="2422" spans="1:17" x14ac:dyDescent="0.3">
      <c r="A2422" t="s">
        <v>32</v>
      </c>
      <c r="B2422" t="str">
        <f>"300812"</f>
        <v>300812</v>
      </c>
      <c r="C2422" t="s">
        <v>4890</v>
      </c>
      <c r="D2422" t="s">
        <v>124</v>
      </c>
      <c r="E2422">
        <v>-45783887</v>
      </c>
      <c r="F2422">
        <v>-47904207</v>
      </c>
      <c r="G2422">
        <v>-53688755</v>
      </c>
      <c r="H2422">
        <v>-39879422</v>
      </c>
      <c r="P2422">
        <v>111</v>
      </c>
      <c r="Q2422" t="s">
        <v>4891</v>
      </c>
    </row>
    <row r="2423" spans="1:17" x14ac:dyDescent="0.3">
      <c r="A2423" t="s">
        <v>17</v>
      </c>
      <c r="B2423" t="str">
        <f>"688027"</f>
        <v>688027</v>
      </c>
      <c r="C2423" t="s">
        <v>4892</v>
      </c>
      <c r="D2423" t="s">
        <v>57</v>
      </c>
      <c r="E2423">
        <v>-45784489</v>
      </c>
      <c r="F2423">
        <v>-47157405</v>
      </c>
      <c r="G2423">
        <v>-26500066</v>
      </c>
      <c r="H2423">
        <v>-21074514</v>
      </c>
      <c r="P2423">
        <v>98</v>
      </c>
      <c r="Q2423" t="s">
        <v>4893</v>
      </c>
    </row>
    <row r="2424" spans="1:17" x14ac:dyDescent="0.3">
      <c r="A2424" t="s">
        <v>32</v>
      </c>
      <c r="B2424" t="str">
        <f>"002873"</f>
        <v>002873</v>
      </c>
      <c r="C2424" t="s">
        <v>4894</v>
      </c>
      <c r="D2424" t="s">
        <v>98</v>
      </c>
      <c r="E2424">
        <v>-45838743</v>
      </c>
      <c r="F2424">
        <v>2226929</v>
      </c>
      <c r="G2424">
        <v>21964823</v>
      </c>
      <c r="H2424">
        <v>18776449</v>
      </c>
      <c r="I2424">
        <v>-5035354</v>
      </c>
      <c r="J2424">
        <v>19801552</v>
      </c>
      <c r="K2424">
        <v>5875026</v>
      </c>
      <c r="P2424">
        <v>167</v>
      </c>
      <c r="Q2424" t="s">
        <v>4895</v>
      </c>
    </row>
    <row r="2425" spans="1:17" x14ac:dyDescent="0.3">
      <c r="A2425" t="s">
        <v>32</v>
      </c>
      <c r="B2425" t="str">
        <f>"300135"</f>
        <v>300135</v>
      </c>
      <c r="C2425" t="s">
        <v>4896</v>
      </c>
      <c r="D2425" t="s">
        <v>64</v>
      </c>
      <c r="E2425">
        <v>-45966789</v>
      </c>
      <c r="F2425">
        <v>4579156</v>
      </c>
      <c r="G2425">
        <v>-57775527</v>
      </c>
      <c r="H2425">
        <v>59137723</v>
      </c>
      <c r="I2425">
        <v>60227209</v>
      </c>
      <c r="J2425">
        <v>-145985189</v>
      </c>
      <c r="K2425">
        <v>79239776</v>
      </c>
      <c r="L2425">
        <v>-278941500</v>
      </c>
      <c r="M2425">
        <v>2679136</v>
      </c>
      <c r="N2425">
        <v>-344305202</v>
      </c>
      <c r="O2425">
        <v>-478339838</v>
      </c>
      <c r="P2425">
        <v>49</v>
      </c>
      <c r="Q2425" t="s">
        <v>4897</v>
      </c>
    </row>
    <row r="2426" spans="1:17" x14ac:dyDescent="0.3">
      <c r="A2426" t="s">
        <v>32</v>
      </c>
      <c r="B2426" t="str">
        <f>"002053"</f>
        <v>002053</v>
      </c>
      <c r="C2426" t="s">
        <v>4898</v>
      </c>
      <c r="D2426" t="s">
        <v>144</v>
      </c>
      <c r="E2426">
        <v>-46384084</v>
      </c>
      <c r="F2426">
        <v>-99830862</v>
      </c>
      <c r="G2426">
        <v>-37642300</v>
      </c>
      <c r="H2426">
        <v>-128961732</v>
      </c>
      <c r="I2426">
        <v>-124411763</v>
      </c>
      <c r="J2426">
        <v>-63866260</v>
      </c>
      <c r="K2426">
        <v>16222239</v>
      </c>
      <c r="L2426">
        <v>-49315925</v>
      </c>
      <c r="M2426">
        <v>-88420477</v>
      </c>
      <c r="N2426">
        <v>-54174634</v>
      </c>
      <c r="O2426">
        <v>-133633273</v>
      </c>
      <c r="P2426">
        <v>105</v>
      </c>
      <c r="Q2426" t="s">
        <v>4899</v>
      </c>
    </row>
    <row r="2427" spans="1:17" x14ac:dyDescent="0.3">
      <c r="A2427" t="s">
        <v>17</v>
      </c>
      <c r="B2427" t="str">
        <f>"688148"</f>
        <v>688148</v>
      </c>
      <c r="C2427" t="s">
        <v>4900</v>
      </c>
      <c r="D2427" t="s">
        <v>464</v>
      </c>
      <c r="E2427">
        <v>-46401917</v>
      </c>
      <c r="F2427">
        <v>-43225276</v>
      </c>
      <c r="G2427">
        <v>15566308</v>
      </c>
      <c r="P2427">
        <v>29</v>
      </c>
      <c r="Q2427" t="s">
        <v>4901</v>
      </c>
    </row>
    <row r="2428" spans="1:17" x14ac:dyDescent="0.3">
      <c r="A2428" t="s">
        <v>32</v>
      </c>
      <c r="B2428" t="str">
        <f>"300809"</f>
        <v>300809</v>
      </c>
      <c r="C2428" t="s">
        <v>4902</v>
      </c>
      <c r="D2428" t="s">
        <v>135</v>
      </c>
      <c r="E2428">
        <v>-46428250</v>
      </c>
      <c r="F2428">
        <v>-18488482</v>
      </c>
      <c r="G2428">
        <v>41391311</v>
      </c>
      <c r="H2428">
        <v>16964831</v>
      </c>
      <c r="P2428">
        <v>110</v>
      </c>
      <c r="Q2428" t="s">
        <v>4903</v>
      </c>
    </row>
    <row r="2429" spans="1:17" x14ac:dyDescent="0.3">
      <c r="A2429" t="s">
        <v>32</v>
      </c>
      <c r="B2429" t="str">
        <f>"301167"</f>
        <v>301167</v>
      </c>
      <c r="C2429" t="s">
        <v>4904</v>
      </c>
      <c r="D2429" t="s">
        <v>645</v>
      </c>
      <c r="E2429">
        <v>-46447966</v>
      </c>
      <c r="P2429">
        <v>17</v>
      </c>
      <c r="Q2429" t="s">
        <v>4905</v>
      </c>
    </row>
    <row r="2430" spans="1:17" x14ac:dyDescent="0.3">
      <c r="A2430" t="s">
        <v>32</v>
      </c>
      <c r="B2430" t="str">
        <f>"301178"</f>
        <v>301178</v>
      </c>
      <c r="C2430" t="s">
        <v>4906</v>
      </c>
      <c r="D2430" t="s">
        <v>342</v>
      </c>
      <c r="E2430">
        <v>-46451750</v>
      </c>
      <c r="P2430">
        <v>15</v>
      </c>
      <c r="Q2430" t="s">
        <v>4907</v>
      </c>
    </row>
    <row r="2431" spans="1:17" x14ac:dyDescent="0.3">
      <c r="A2431" t="s">
        <v>32</v>
      </c>
      <c r="B2431" t="str">
        <f>"002424"</f>
        <v>002424</v>
      </c>
      <c r="C2431" t="s">
        <v>4908</v>
      </c>
      <c r="D2431" t="s">
        <v>98</v>
      </c>
      <c r="E2431">
        <v>-46522591</v>
      </c>
      <c r="F2431">
        <v>-36642276</v>
      </c>
      <c r="G2431">
        <v>-73125627</v>
      </c>
      <c r="H2431">
        <v>-118824640</v>
      </c>
      <c r="I2431">
        <v>-393857574</v>
      </c>
      <c r="J2431">
        <v>-215048372</v>
      </c>
      <c r="K2431">
        <v>-178828562</v>
      </c>
      <c r="L2431">
        <v>-96397520</v>
      </c>
      <c r="M2431">
        <v>25126699</v>
      </c>
      <c r="N2431">
        <v>-45684537</v>
      </c>
      <c r="O2431">
        <v>-149041822</v>
      </c>
      <c r="P2431">
        <v>472</v>
      </c>
      <c r="Q2431" t="s">
        <v>4909</v>
      </c>
    </row>
    <row r="2432" spans="1:17" x14ac:dyDescent="0.3">
      <c r="A2432" t="s">
        <v>32</v>
      </c>
      <c r="B2432" t="str">
        <f>"002975"</f>
        <v>002975</v>
      </c>
      <c r="C2432" t="s">
        <v>4910</v>
      </c>
      <c r="D2432" t="s">
        <v>135</v>
      </c>
      <c r="E2432">
        <v>-46524376</v>
      </c>
      <c r="F2432">
        <v>-17767915</v>
      </c>
      <c r="G2432">
        <v>-3312055</v>
      </c>
      <c r="H2432">
        <v>32016185</v>
      </c>
      <c r="P2432">
        <v>293</v>
      </c>
      <c r="Q2432" t="s">
        <v>4911</v>
      </c>
    </row>
    <row r="2433" spans="1:17" x14ac:dyDescent="0.3">
      <c r="A2433" t="s">
        <v>17</v>
      </c>
      <c r="B2433" t="str">
        <f>"603778"</f>
        <v>603778</v>
      </c>
      <c r="C2433" t="s">
        <v>4912</v>
      </c>
      <c r="D2433" t="s">
        <v>645</v>
      </c>
      <c r="E2433">
        <v>-46567874</v>
      </c>
      <c r="F2433">
        <v>-71376788</v>
      </c>
      <c r="G2433">
        <v>-89921273</v>
      </c>
      <c r="H2433">
        <v>16563500</v>
      </c>
      <c r="I2433">
        <v>-96584949</v>
      </c>
      <c r="J2433">
        <v>-117769878</v>
      </c>
      <c r="K2433">
        <v>21462878</v>
      </c>
      <c r="L2433">
        <v>22158000</v>
      </c>
      <c r="M2433">
        <v>-120342900</v>
      </c>
      <c r="P2433">
        <v>72</v>
      </c>
      <c r="Q2433" t="s">
        <v>4913</v>
      </c>
    </row>
    <row r="2434" spans="1:17" x14ac:dyDescent="0.3">
      <c r="A2434" t="s">
        <v>32</v>
      </c>
      <c r="B2434" t="str">
        <f>"002668"</f>
        <v>002668</v>
      </c>
      <c r="C2434" t="s">
        <v>4914</v>
      </c>
      <c r="D2434" t="s">
        <v>127</v>
      </c>
      <c r="E2434">
        <v>-46630250</v>
      </c>
      <c r="F2434">
        <v>-920176467</v>
      </c>
      <c r="G2434">
        <v>-368001386</v>
      </c>
      <c r="H2434">
        <v>-608849827</v>
      </c>
      <c r="I2434">
        <v>282554650</v>
      </c>
      <c r="J2434">
        <v>-561650121</v>
      </c>
      <c r="K2434">
        <v>-115459933</v>
      </c>
      <c r="L2434">
        <v>-91203753</v>
      </c>
      <c r="M2434">
        <v>-3226670</v>
      </c>
      <c r="N2434">
        <v>-105661707</v>
      </c>
      <c r="O2434">
        <v>-149146407</v>
      </c>
      <c r="P2434">
        <v>204</v>
      </c>
      <c r="Q2434" t="s">
        <v>4915</v>
      </c>
    </row>
    <row r="2435" spans="1:17" x14ac:dyDescent="0.3">
      <c r="A2435" t="s">
        <v>17</v>
      </c>
      <c r="B2435" t="str">
        <f>"600365"</f>
        <v>600365</v>
      </c>
      <c r="C2435" t="s">
        <v>4916</v>
      </c>
      <c r="D2435" t="s">
        <v>172</v>
      </c>
      <c r="E2435">
        <v>-46669515</v>
      </c>
      <c r="F2435">
        <v>-6296652</v>
      </c>
      <c r="G2435">
        <v>90886143</v>
      </c>
      <c r="H2435">
        <v>-321989406</v>
      </c>
      <c r="I2435">
        <v>-39016303</v>
      </c>
      <c r="J2435">
        <v>-46248464</v>
      </c>
      <c r="K2435">
        <v>-60109756</v>
      </c>
      <c r="L2435">
        <v>-93774384</v>
      </c>
      <c r="M2435">
        <v>-48911269</v>
      </c>
      <c r="N2435">
        <v>-13919097</v>
      </c>
      <c r="O2435">
        <v>-8113519</v>
      </c>
      <c r="P2435">
        <v>90</v>
      </c>
      <c r="Q2435" t="s">
        <v>4917</v>
      </c>
    </row>
    <row r="2436" spans="1:17" x14ac:dyDescent="0.3">
      <c r="A2436" t="s">
        <v>17</v>
      </c>
      <c r="B2436" t="str">
        <f>"603218"</f>
        <v>603218</v>
      </c>
      <c r="C2436" t="s">
        <v>4918</v>
      </c>
      <c r="D2436" t="s">
        <v>464</v>
      </c>
      <c r="E2436">
        <v>-46712027</v>
      </c>
      <c r="F2436">
        <v>-258506129</v>
      </c>
      <c r="G2436">
        <v>215558330</v>
      </c>
      <c r="H2436">
        <v>23559629</v>
      </c>
      <c r="I2436">
        <v>9927883</v>
      </c>
      <c r="J2436">
        <v>46660314</v>
      </c>
      <c r="K2436">
        <v>52493961</v>
      </c>
      <c r="P2436">
        <v>566</v>
      </c>
      <c r="Q2436" t="s">
        <v>4919</v>
      </c>
    </row>
    <row r="2437" spans="1:17" x14ac:dyDescent="0.3">
      <c r="A2437" t="s">
        <v>32</v>
      </c>
      <c r="B2437" t="str">
        <f>"301031"</f>
        <v>301031</v>
      </c>
      <c r="C2437" t="s">
        <v>4920</v>
      </c>
      <c r="D2437" t="s">
        <v>124</v>
      </c>
      <c r="E2437">
        <v>-46715764</v>
      </c>
      <c r="F2437">
        <v>-28894914</v>
      </c>
      <c r="G2437">
        <v>989443</v>
      </c>
      <c r="P2437">
        <v>77</v>
      </c>
      <c r="Q2437" t="s">
        <v>4921</v>
      </c>
    </row>
    <row r="2438" spans="1:17" x14ac:dyDescent="0.3">
      <c r="A2438" t="s">
        <v>32</v>
      </c>
      <c r="B2438" t="str">
        <f>"002253"</f>
        <v>002253</v>
      </c>
      <c r="C2438" t="s">
        <v>4922</v>
      </c>
      <c r="D2438" t="s">
        <v>342</v>
      </c>
      <c r="E2438">
        <v>-46720984</v>
      </c>
      <c r="F2438">
        <v>-71601827</v>
      </c>
      <c r="G2438">
        <v>-80232848</v>
      </c>
      <c r="H2438">
        <v>-22371061</v>
      </c>
      <c r="I2438">
        <v>-11801120</v>
      </c>
      <c r="J2438">
        <v>-23606567</v>
      </c>
      <c r="K2438">
        <v>-33494610</v>
      </c>
      <c r="L2438">
        <v>-27853499</v>
      </c>
      <c r="M2438">
        <v>-39123669</v>
      </c>
      <c r="N2438">
        <v>-29929353</v>
      </c>
      <c r="O2438">
        <v>-34227649</v>
      </c>
      <c r="P2438">
        <v>151</v>
      </c>
      <c r="Q2438" t="s">
        <v>4923</v>
      </c>
    </row>
    <row r="2439" spans="1:17" x14ac:dyDescent="0.3">
      <c r="A2439" t="s">
        <v>17</v>
      </c>
      <c r="B2439" t="str">
        <f>"688701"</f>
        <v>688701</v>
      </c>
      <c r="C2439" t="s">
        <v>4924</v>
      </c>
      <c r="D2439" t="s">
        <v>1334</v>
      </c>
      <c r="E2439">
        <v>-46764592</v>
      </c>
      <c r="G2439">
        <v>-66109856</v>
      </c>
      <c r="P2439">
        <v>19</v>
      </c>
      <c r="Q2439" t="s">
        <v>4925</v>
      </c>
    </row>
    <row r="2440" spans="1:17" x14ac:dyDescent="0.3">
      <c r="A2440" t="s">
        <v>32</v>
      </c>
      <c r="B2440" t="str">
        <f>"301196"</f>
        <v>301196</v>
      </c>
      <c r="C2440" t="s">
        <v>4926</v>
      </c>
      <c r="D2440" t="s">
        <v>144</v>
      </c>
      <c r="E2440">
        <v>-46768374</v>
      </c>
      <c r="P2440">
        <v>7</v>
      </c>
      <c r="Q2440" t="s">
        <v>4927</v>
      </c>
    </row>
    <row r="2441" spans="1:17" x14ac:dyDescent="0.3">
      <c r="A2441" t="s">
        <v>17</v>
      </c>
      <c r="B2441" t="str">
        <f>"688022"</f>
        <v>688022</v>
      </c>
      <c r="C2441" t="s">
        <v>4928</v>
      </c>
      <c r="D2441" t="s">
        <v>135</v>
      </c>
      <c r="E2441">
        <v>-46837182</v>
      </c>
      <c r="F2441">
        <v>-167292718</v>
      </c>
      <c r="G2441">
        <v>-60271769</v>
      </c>
      <c r="H2441">
        <v>-58073710</v>
      </c>
      <c r="I2441">
        <v>-18700700</v>
      </c>
      <c r="P2441">
        <v>164</v>
      </c>
      <c r="Q2441" t="s">
        <v>4929</v>
      </c>
    </row>
    <row r="2442" spans="1:17" x14ac:dyDescent="0.3">
      <c r="A2442" t="s">
        <v>17</v>
      </c>
      <c r="B2442" t="str">
        <f>"688127"</f>
        <v>688127</v>
      </c>
      <c r="C2442" t="s">
        <v>4930</v>
      </c>
      <c r="D2442" t="s">
        <v>124</v>
      </c>
      <c r="E2442">
        <v>-46881775</v>
      </c>
      <c r="F2442">
        <v>37507636</v>
      </c>
      <c r="G2442">
        <v>57043700</v>
      </c>
      <c r="H2442">
        <v>49638800</v>
      </c>
      <c r="P2442">
        <v>86</v>
      </c>
      <c r="Q2442" t="s">
        <v>4931</v>
      </c>
    </row>
    <row r="2443" spans="1:17" x14ac:dyDescent="0.3">
      <c r="A2443" t="s">
        <v>32</v>
      </c>
      <c r="B2443" t="str">
        <f>"002021"</f>
        <v>002021</v>
      </c>
      <c r="C2443" t="s">
        <v>4932</v>
      </c>
      <c r="D2443" t="s">
        <v>135</v>
      </c>
      <c r="E2443">
        <v>-46935083</v>
      </c>
      <c r="F2443">
        <v>-27645685</v>
      </c>
      <c r="G2443">
        <v>-79476043</v>
      </c>
      <c r="H2443">
        <v>22079486</v>
      </c>
      <c r="I2443">
        <v>6495554</v>
      </c>
      <c r="J2443">
        <v>18392057</v>
      </c>
      <c r="K2443">
        <v>-94766</v>
      </c>
      <c r="L2443">
        <v>-111166922</v>
      </c>
      <c r="M2443">
        <v>46365887</v>
      </c>
      <c r="N2443">
        <v>-1749302</v>
      </c>
      <c r="O2443">
        <v>-31289244</v>
      </c>
      <c r="P2443">
        <v>57</v>
      </c>
      <c r="Q2443" t="s">
        <v>4933</v>
      </c>
    </row>
    <row r="2444" spans="1:17" x14ac:dyDescent="0.3">
      <c r="A2444" t="s">
        <v>32</v>
      </c>
      <c r="B2444" t="str">
        <f>"301011"</f>
        <v>301011</v>
      </c>
      <c r="C2444" t="s">
        <v>4934</v>
      </c>
      <c r="D2444" t="s">
        <v>135</v>
      </c>
      <c r="E2444">
        <v>-46936356</v>
      </c>
      <c r="F2444">
        <v>-19205344</v>
      </c>
      <c r="G2444">
        <v>-46917077</v>
      </c>
      <c r="P2444">
        <v>28</v>
      </c>
      <c r="Q2444" t="s">
        <v>4935</v>
      </c>
    </row>
    <row r="2445" spans="1:17" x14ac:dyDescent="0.3">
      <c r="A2445" t="s">
        <v>17</v>
      </c>
      <c r="B2445" t="str">
        <f>"603583"</f>
        <v>603583</v>
      </c>
      <c r="C2445" t="s">
        <v>4936</v>
      </c>
      <c r="D2445" t="s">
        <v>135</v>
      </c>
      <c r="E2445">
        <v>-46969636</v>
      </c>
      <c r="F2445">
        <v>-77137064</v>
      </c>
      <c r="G2445">
        <v>-114652537</v>
      </c>
      <c r="H2445">
        <v>-26533812</v>
      </c>
      <c r="I2445">
        <v>-41798129</v>
      </c>
      <c r="P2445">
        <v>705</v>
      </c>
      <c r="Q2445" t="s">
        <v>4937</v>
      </c>
    </row>
    <row r="2446" spans="1:17" x14ac:dyDescent="0.3">
      <c r="A2446" t="s">
        <v>32</v>
      </c>
      <c r="B2446" t="str">
        <f>"002324"</f>
        <v>002324</v>
      </c>
      <c r="C2446" t="s">
        <v>4938</v>
      </c>
      <c r="D2446" t="s">
        <v>144</v>
      </c>
      <c r="E2446">
        <v>-47157570</v>
      </c>
      <c r="F2446">
        <v>48115928</v>
      </c>
      <c r="G2446">
        <v>-139547607</v>
      </c>
      <c r="H2446">
        <v>150838240</v>
      </c>
      <c r="I2446">
        <v>-78166292</v>
      </c>
      <c r="J2446">
        <v>-175602063</v>
      </c>
      <c r="K2446">
        <v>-68300981</v>
      </c>
      <c r="L2446">
        <v>-121299287</v>
      </c>
      <c r="M2446">
        <v>-95681663</v>
      </c>
      <c r="N2446">
        <v>-112121607</v>
      </c>
      <c r="O2446">
        <v>-92285419</v>
      </c>
      <c r="P2446">
        <v>212</v>
      </c>
      <c r="Q2446" t="s">
        <v>4939</v>
      </c>
    </row>
    <row r="2447" spans="1:17" x14ac:dyDescent="0.3">
      <c r="A2447" t="s">
        <v>17</v>
      </c>
      <c r="B2447" t="str">
        <f>"688360"</f>
        <v>688360</v>
      </c>
      <c r="C2447" t="s">
        <v>4940</v>
      </c>
      <c r="D2447" t="s">
        <v>135</v>
      </c>
      <c r="E2447">
        <v>-47265784</v>
      </c>
      <c r="F2447">
        <v>-52914843</v>
      </c>
      <c r="G2447">
        <v>-49688303</v>
      </c>
      <c r="H2447">
        <v>-10373402</v>
      </c>
      <c r="P2447">
        <v>84</v>
      </c>
      <c r="Q2447" t="s">
        <v>4941</v>
      </c>
    </row>
    <row r="2448" spans="1:17" x14ac:dyDescent="0.3">
      <c r="A2448" t="s">
        <v>32</v>
      </c>
      <c r="B2448" t="str">
        <f>"000952"</f>
        <v>000952</v>
      </c>
      <c r="C2448" t="s">
        <v>4942</v>
      </c>
      <c r="D2448" t="s">
        <v>98</v>
      </c>
      <c r="E2448">
        <v>-47327548</v>
      </c>
      <c r="F2448">
        <v>4313459</v>
      </c>
      <c r="G2448">
        <v>16163906</v>
      </c>
      <c r="H2448">
        <v>-6501826</v>
      </c>
      <c r="I2448">
        <v>8883886</v>
      </c>
      <c r="J2448">
        <v>9025072</v>
      </c>
      <c r="K2448">
        <v>55275083</v>
      </c>
      <c r="L2448">
        <v>-98016582</v>
      </c>
      <c r="M2448">
        <v>129454305</v>
      </c>
      <c r="N2448">
        <v>45775121</v>
      </c>
      <c r="O2448">
        <v>-5787655</v>
      </c>
      <c r="P2448">
        <v>169</v>
      </c>
      <c r="Q2448" t="s">
        <v>4943</v>
      </c>
    </row>
    <row r="2449" spans="1:17" x14ac:dyDescent="0.3">
      <c r="A2449" t="s">
        <v>17</v>
      </c>
      <c r="B2449" t="str">
        <f>"688685"</f>
        <v>688685</v>
      </c>
      <c r="C2449" t="s">
        <v>4944</v>
      </c>
      <c r="D2449" t="s">
        <v>188</v>
      </c>
      <c r="E2449">
        <v>-47419289</v>
      </c>
      <c r="F2449">
        <v>-28902468</v>
      </c>
      <c r="G2449">
        <v>-54839745</v>
      </c>
      <c r="P2449">
        <v>21</v>
      </c>
      <c r="Q2449" t="s">
        <v>4945</v>
      </c>
    </row>
    <row r="2450" spans="1:17" x14ac:dyDescent="0.3">
      <c r="A2450" t="s">
        <v>32</v>
      </c>
      <c r="B2450" t="str">
        <f>"002184"</f>
        <v>002184</v>
      </c>
      <c r="C2450" t="s">
        <v>4946</v>
      </c>
      <c r="D2450" t="s">
        <v>135</v>
      </c>
      <c r="E2450">
        <v>-47449013</v>
      </c>
      <c r="F2450">
        <v>-30983314</v>
      </c>
      <c r="G2450">
        <v>28023572</v>
      </c>
      <c r="H2450">
        <v>-1321593</v>
      </c>
      <c r="I2450">
        <v>-81043738</v>
      </c>
      <c r="J2450">
        <v>-71714822</v>
      </c>
      <c r="K2450">
        <v>14186789</v>
      </c>
      <c r="L2450">
        <v>-43677161</v>
      </c>
      <c r="M2450">
        <v>-14191345</v>
      </c>
      <c r="N2450">
        <v>-5869855</v>
      </c>
      <c r="O2450">
        <v>-1126827</v>
      </c>
      <c r="P2450">
        <v>186</v>
      </c>
      <c r="Q2450" t="s">
        <v>4947</v>
      </c>
    </row>
    <row r="2451" spans="1:17" x14ac:dyDescent="0.3">
      <c r="A2451" t="s">
        <v>32</v>
      </c>
      <c r="B2451" t="str">
        <f>"300004"</f>
        <v>300004</v>
      </c>
      <c r="C2451" t="s">
        <v>4948</v>
      </c>
      <c r="D2451" t="s">
        <v>135</v>
      </c>
      <c r="E2451">
        <v>-47452916</v>
      </c>
      <c r="F2451">
        <v>-50267438</v>
      </c>
      <c r="G2451">
        <v>-123022551</v>
      </c>
      <c r="H2451">
        <v>13954230</v>
      </c>
      <c r="I2451">
        <v>3075142</v>
      </c>
      <c r="J2451">
        <v>-90410163</v>
      </c>
      <c r="K2451">
        <v>34471103</v>
      </c>
      <c r="L2451">
        <v>-72974039</v>
      </c>
      <c r="M2451">
        <v>-86982458</v>
      </c>
      <c r="N2451">
        <v>8168512</v>
      </c>
      <c r="O2451">
        <v>11879394</v>
      </c>
      <c r="P2451">
        <v>84</v>
      </c>
      <c r="Q2451" t="s">
        <v>4949</v>
      </c>
    </row>
    <row r="2452" spans="1:17" x14ac:dyDescent="0.3">
      <c r="A2452" t="s">
        <v>32</v>
      </c>
      <c r="B2452" t="str">
        <f>"002800"</f>
        <v>002800</v>
      </c>
      <c r="C2452" t="s">
        <v>4950</v>
      </c>
      <c r="D2452" t="s">
        <v>46</v>
      </c>
      <c r="E2452">
        <v>-47556559</v>
      </c>
      <c r="F2452">
        <v>-52232401</v>
      </c>
      <c r="G2452">
        <v>-16115963</v>
      </c>
      <c r="H2452">
        <v>-57790064</v>
      </c>
      <c r="I2452">
        <v>-3025098</v>
      </c>
      <c r="J2452">
        <v>-14100149</v>
      </c>
      <c r="K2452">
        <v>-47039503</v>
      </c>
      <c r="L2452">
        <v>-21702086</v>
      </c>
      <c r="P2452">
        <v>86</v>
      </c>
      <c r="Q2452" t="s">
        <v>4951</v>
      </c>
    </row>
    <row r="2453" spans="1:17" x14ac:dyDescent="0.3">
      <c r="A2453" t="s">
        <v>32</v>
      </c>
      <c r="B2453" t="str">
        <f>"300523"</f>
        <v>300523</v>
      </c>
      <c r="C2453" t="s">
        <v>4952</v>
      </c>
      <c r="D2453" t="s">
        <v>342</v>
      </c>
      <c r="E2453">
        <v>-47610423</v>
      </c>
      <c r="F2453">
        <v>-266882024</v>
      </c>
      <c r="G2453">
        <v>-192950367</v>
      </c>
      <c r="H2453">
        <v>-178516464</v>
      </c>
      <c r="I2453">
        <v>-37176728</v>
      </c>
      <c r="J2453">
        <v>-109693057</v>
      </c>
      <c r="K2453">
        <v>-33490251</v>
      </c>
      <c r="P2453">
        <v>135</v>
      </c>
      <c r="Q2453" t="s">
        <v>4953</v>
      </c>
    </row>
    <row r="2454" spans="1:17" x14ac:dyDescent="0.3">
      <c r="A2454" t="s">
        <v>17</v>
      </c>
      <c r="B2454" t="str">
        <f>"688175"</f>
        <v>688175</v>
      </c>
      <c r="C2454" t="s">
        <v>4954</v>
      </c>
      <c r="E2454">
        <v>-47652691</v>
      </c>
      <c r="P2454">
        <v>3</v>
      </c>
      <c r="Q2454" t="s">
        <v>4955</v>
      </c>
    </row>
    <row r="2455" spans="1:17" x14ac:dyDescent="0.3">
      <c r="A2455" t="s">
        <v>17</v>
      </c>
      <c r="B2455" t="str">
        <f>"688488"</f>
        <v>688488</v>
      </c>
      <c r="C2455" t="s">
        <v>4956</v>
      </c>
      <c r="D2455" t="s">
        <v>98</v>
      </c>
      <c r="E2455">
        <v>-47678817</v>
      </c>
      <c r="F2455">
        <v>-15494919</v>
      </c>
      <c r="G2455">
        <v>6905508</v>
      </c>
      <c r="H2455">
        <v>-40848919</v>
      </c>
      <c r="P2455">
        <v>44</v>
      </c>
      <c r="Q2455" t="s">
        <v>4957</v>
      </c>
    </row>
    <row r="2456" spans="1:17" x14ac:dyDescent="0.3">
      <c r="A2456" t="s">
        <v>32</v>
      </c>
      <c r="B2456" t="str">
        <f>"002201"</f>
        <v>002201</v>
      </c>
      <c r="C2456" t="s">
        <v>4958</v>
      </c>
      <c r="D2456" t="s">
        <v>400</v>
      </c>
      <c r="E2456">
        <v>-47723048</v>
      </c>
      <c r="F2456">
        <v>-3090893</v>
      </c>
      <c r="G2456">
        <v>42543745</v>
      </c>
      <c r="H2456">
        <v>5402298</v>
      </c>
      <c r="I2456">
        <v>-5373785</v>
      </c>
      <c r="J2456">
        <v>15340854</v>
      </c>
      <c r="K2456">
        <v>19884977</v>
      </c>
      <c r="L2456">
        <v>-61805158</v>
      </c>
      <c r="M2456">
        <v>-45284262</v>
      </c>
      <c r="N2456">
        <v>-1591910</v>
      </c>
      <c r="O2456">
        <v>-30667683</v>
      </c>
      <c r="P2456">
        <v>132</v>
      </c>
      <c r="Q2456" t="s">
        <v>4959</v>
      </c>
    </row>
    <row r="2457" spans="1:17" x14ac:dyDescent="0.3">
      <c r="A2457" t="s">
        <v>32</v>
      </c>
      <c r="B2457" t="str">
        <f>"002444"</f>
        <v>002444</v>
      </c>
      <c r="C2457" t="s">
        <v>4960</v>
      </c>
      <c r="D2457" t="s">
        <v>135</v>
      </c>
      <c r="E2457">
        <v>-47743928</v>
      </c>
      <c r="F2457">
        <v>-233279797</v>
      </c>
      <c r="G2457">
        <v>-45129529</v>
      </c>
      <c r="H2457">
        <v>-338560622</v>
      </c>
      <c r="I2457">
        <v>114220880</v>
      </c>
      <c r="J2457">
        <v>109675491</v>
      </c>
      <c r="K2457">
        <v>58319417</v>
      </c>
      <c r="L2457">
        <v>80194141</v>
      </c>
      <c r="M2457">
        <v>-6016783</v>
      </c>
      <c r="N2457">
        <v>114883611</v>
      </c>
      <c r="O2457">
        <v>127142487</v>
      </c>
      <c r="P2457">
        <v>658</v>
      </c>
      <c r="Q2457" t="s">
        <v>4961</v>
      </c>
    </row>
    <row r="2458" spans="1:17" x14ac:dyDescent="0.3">
      <c r="A2458" t="s">
        <v>17</v>
      </c>
      <c r="B2458" t="str">
        <f>"600187"</f>
        <v>600187</v>
      </c>
      <c r="C2458" t="s">
        <v>4962</v>
      </c>
      <c r="D2458" t="s">
        <v>1334</v>
      </c>
      <c r="E2458">
        <v>-47754704</v>
      </c>
      <c r="F2458">
        <v>-83596048</v>
      </c>
      <c r="G2458">
        <v>-298033745</v>
      </c>
      <c r="H2458">
        <v>-73964396</v>
      </c>
      <c r="I2458">
        <v>-177585248</v>
      </c>
      <c r="J2458">
        <v>-29767133</v>
      </c>
      <c r="K2458">
        <v>12640125</v>
      </c>
      <c r="L2458">
        <v>-139531498</v>
      </c>
      <c r="M2458">
        <v>-75771369</v>
      </c>
      <c r="N2458">
        <v>-53852630</v>
      </c>
      <c r="O2458">
        <v>-51882062</v>
      </c>
      <c r="P2458">
        <v>116</v>
      </c>
      <c r="Q2458" t="s">
        <v>4963</v>
      </c>
    </row>
    <row r="2459" spans="1:17" x14ac:dyDescent="0.3">
      <c r="A2459" t="s">
        <v>32</v>
      </c>
      <c r="B2459" t="str">
        <f>"000668"</f>
        <v>000668</v>
      </c>
      <c r="C2459" t="s">
        <v>4964</v>
      </c>
      <c r="D2459" t="s">
        <v>151</v>
      </c>
      <c r="E2459">
        <v>-47765114</v>
      </c>
      <c r="F2459">
        <v>6830913</v>
      </c>
      <c r="G2459">
        <v>-63093457</v>
      </c>
      <c r="H2459">
        <v>-98690756</v>
      </c>
      <c r="I2459">
        <v>-29390909</v>
      </c>
      <c r="J2459">
        <v>-16614882</v>
      </c>
      <c r="K2459">
        <v>167717961</v>
      </c>
      <c r="L2459">
        <v>-88862898</v>
      </c>
      <c r="M2459">
        <v>179943237</v>
      </c>
      <c r="N2459">
        <v>29586300</v>
      </c>
      <c r="O2459">
        <v>-142674553</v>
      </c>
      <c r="P2459">
        <v>96</v>
      </c>
      <c r="Q2459" t="s">
        <v>4965</v>
      </c>
    </row>
    <row r="2460" spans="1:17" x14ac:dyDescent="0.3">
      <c r="A2460" t="s">
        <v>32</v>
      </c>
      <c r="B2460" t="str">
        <f>"300371"</f>
        <v>300371</v>
      </c>
      <c r="C2460" t="s">
        <v>4966</v>
      </c>
      <c r="D2460" t="s">
        <v>135</v>
      </c>
      <c r="E2460">
        <v>-47830856</v>
      </c>
      <c r="F2460">
        <v>-39396153</v>
      </c>
      <c r="G2460">
        <v>-23518211</v>
      </c>
      <c r="H2460">
        <v>-21260999</v>
      </c>
      <c r="I2460">
        <v>-4773104</v>
      </c>
      <c r="J2460">
        <v>-21230969</v>
      </c>
      <c r="K2460">
        <v>-14969774</v>
      </c>
      <c r="L2460">
        <v>-34238127</v>
      </c>
      <c r="M2460">
        <v>-21204423</v>
      </c>
      <c r="N2460">
        <v>-12153550</v>
      </c>
      <c r="P2460">
        <v>288</v>
      </c>
      <c r="Q2460" t="s">
        <v>4967</v>
      </c>
    </row>
    <row r="2461" spans="1:17" x14ac:dyDescent="0.3">
      <c r="A2461" t="s">
        <v>32</v>
      </c>
      <c r="B2461" t="str">
        <f>"300865"</f>
        <v>300865</v>
      </c>
      <c r="C2461" t="s">
        <v>4968</v>
      </c>
      <c r="D2461" t="s">
        <v>135</v>
      </c>
      <c r="E2461">
        <v>-47967520</v>
      </c>
      <c r="F2461">
        <v>-68580980</v>
      </c>
      <c r="G2461">
        <v>-14064030</v>
      </c>
      <c r="P2461">
        <v>43</v>
      </c>
      <c r="Q2461" t="s">
        <v>4969</v>
      </c>
    </row>
    <row r="2462" spans="1:17" x14ac:dyDescent="0.3">
      <c r="A2462" t="s">
        <v>17</v>
      </c>
      <c r="B2462" t="str">
        <f>"603506"</f>
        <v>603506</v>
      </c>
      <c r="C2462" t="s">
        <v>4970</v>
      </c>
      <c r="D2462" t="s">
        <v>151</v>
      </c>
      <c r="E2462">
        <v>-48009373</v>
      </c>
      <c r="F2462">
        <v>-42515701</v>
      </c>
      <c r="G2462">
        <v>-11891557</v>
      </c>
      <c r="H2462">
        <v>1361921</v>
      </c>
      <c r="I2462">
        <v>-12169601</v>
      </c>
      <c r="J2462">
        <v>15326029</v>
      </c>
      <c r="P2462">
        <v>357</v>
      </c>
      <c r="Q2462" t="s">
        <v>4971</v>
      </c>
    </row>
    <row r="2463" spans="1:17" x14ac:dyDescent="0.3">
      <c r="A2463" t="s">
        <v>32</v>
      </c>
      <c r="B2463" t="str">
        <f>"002537"</f>
        <v>002537</v>
      </c>
      <c r="C2463" t="s">
        <v>4972</v>
      </c>
      <c r="D2463" t="s">
        <v>199</v>
      </c>
      <c r="E2463">
        <v>-48010890</v>
      </c>
      <c r="F2463">
        <v>-91306408</v>
      </c>
      <c r="G2463">
        <v>-136158575</v>
      </c>
      <c r="H2463">
        <v>-62858566</v>
      </c>
      <c r="I2463">
        <v>-80286555</v>
      </c>
      <c r="J2463">
        <v>-269161942</v>
      </c>
      <c r="K2463">
        <v>-5391106</v>
      </c>
      <c r="L2463">
        <v>160810071</v>
      </c>
      <c r="M2463">
        <v>-28075037</v>
      </c>
      <c r="N2463">
        <v>-51213650</v>
      </c>
      <c r="O2463">
        <v>17738514</v>
      </c>
      <c r="P2463">
        <v>182</v>
      </c>
      <c r="Q2463" t="s">
        <v>4973</v>
      </c>
    </row>
    <row r="2464" spans="1:17" x14ac:dyDescent="0.3">
      <c r="A2464" t="s">
        <v>17</v>
      </c>
      <c r="B2464" t="str">
        <f>"688398"</f>
        <v>688398</v>
      </c>
      <c r="C2464" t="s">
        <v>4974</v>
      </c>
      <c r="D2464" t="s">
        <v>144</v>
      </c>
      <c r="E2464">
        <v>-48021523</v>
      </c>
      <c r="F2464">
        <v>-63622336</v>
      </c>
      <c r="G2464">
        <v>1559440</v>
      </c>
      <c r="H2464">
        <v>-10454593</v>
      </c>
      <c r="P2464">
        <v>82</v>
      </c>
      <c r="Q2464" t="s">
        <v>4975</v>
      </c>
    </row>
    <row r="2465" spans="1:17" x14ac:dyDescent="0.3">
      <c r="A2465" t="s">
        <v>32</v>
      </c>
      <c r="B2465" t="str">
        <f>"300066"</f>
        <v>300066</v>
      </c>
      <c r="C2465" t="s">
        <v>4976</v>
      </c>
      <c r="D2465" t="s">
        <v>135</v>
      </c>
      <c r="E2465">
        <v>-48123127</v>
      </c>
      <c r="F2465">
        <v>-17254327</v>
      </c>
      <c r="G2465">
        <v>-23521610</v>
      </c>
      <c r="H2465">
        <v>-12302288</v>
      </c>
      <c r="I2465">
        <v>-23687228</v>
      </c>
      <c r="J2465">
        <v>-62281762</v>
      </c>
      <c r="K2465">
        <v>1082090</v>
      </c>
      <c r="L2465">
        <v>-15876918</v>
      </c>
      <c r="M2465">
        <v>-15314727</v>
      </c>
      <c r="N2465">
        <v>3058112</v>
      </c>
      <c r="O2465">
        <v>-35903026</v>
      </c>
      <c r="P2465">
        <v>190</v>
      </c>
      <c r="Q2465" t="s">
        <v>4977</v>
      </c>
    </row>
    <row r="2466" spans="1:17" x14ac:dyDescent="0.3">
      <c r="A2466" t="s">
        <v>32</v>
      </c>
      <c r="B2466" t="str">
        <f>"301067"</f>
        <v>301067</v>
      </c>
      <c r="C2466" t="s">
        <v>4978</v>
      </c>
      <c r="D2466" t="s">
        <v>124</v>
      </c>
      <c r="E2466">
        <v>-48238635</v>
      </c>
      <c r="P2466">
        <v>18</v>
      </c>
      <c r="Q2466" t="s">
        <v>4979</v>
      </c>
    </row>
    <row r="2467" spans="1:17" x14ac:dyDescent="0.3">
      <c r="A2467" t="s">
        <v>32</v>
      </c>
      <c r="B2467" t="str">
        <f>"002587"</f>
        <v>002587</v>
      </c>
      <c r="C2467" t="s">
        <v>4980</v>
      </c>
      <c r="D2467" t="s">
        <v>124</v>
      </c>
      <c r="E2467">
        <v>-48300071</v>
      </c>
      <c r="F2467">
        <v>-94747841</v>
      </c>
      <c r="G2467">
        <v>-144490260</v>
      </c>
      <c r="H2467">
        <v>-84008350</v>
      </c>
      <c r="I2467">
        <v>-99973594</v>
      </c>
      <c r="J2467">
        <v>-61837202</v>
      </c>
      <c r="K2467">
        <v>-34650329</v>
      </c>
      <c r="L2467">
        <v>-35484321</v>
      </c>
      <c r="M2467">
        <v>-27241965</v>
      </c>
      <c r="N2467">
        <v>5432052</v>
      </c>
      <c r="O2467">
        <v>-16821475</v>
      </c>
      <c r="P2467">
        <v>142</v>
      </c>
      <c r="Q2467" t="s">
        <v>4981</v>
      </c>
    </row>
    <row r="2468" spans="1:17" x14ac:dyDescent="0.3">
      <c r="A2468" t="s">
        <v>17</v>
      </c>
      <c r="B2468" t="str">
        <f>"688789"</f>
        <v>688789</v>
      </c>
      <c r="C2468" t="s">
        <v>4982</v>
      </c>
      <c r="D2468" t="s">
        <v>135</v>
      </c>
      <c r="E2468">
        <v>-48307328</v>
      </c>
      <c r="F2468">
        <v>-20719377</v>
      </c>
      <c r="G2468">
        <v>-48117997</v>
      </c>
      <c r="P2468">
        <v>43</v>
      </c>
      <c r="Q2468" t="s">
        <v>4983</v>
      </c>
    </row>
    <row r="2469" spans="1:17" x14ac:dyDescent="0.3">
      <c r="A2469" t="s">
        <v>32</v>
      </c>
      <c r="B2469" t="str">
        <f>"000837"</f>
        <v>000837</v>
      </c>
      <c r="C2469" t="s">
        <v>4984</v>
      </c>
      <c r="D2469" t="s">
        <v>135</v>
      </c>
      <c r="E2469">
        <v>-48313497</v>
      </c>
      <c r="F2469">
        <v>-27705558</v>
      </c>
      <c r="G2469">
        <v>-87808793</v>
      </c>
      <c r="H2469">
        <v>-81302192</v>
      </c>
      <c r="I2469">
        <v>-147673148</v>
      </c>
      <c r="J2469">
        <v>-78382856</v>
      </c>
      <c r="K2469">
        <v>-106188888</v>
      </c>
      <c r="L2469">
        <v>-127297423</v>
      </c>
      <c r="M2469">
        <v>-24192554</v>
      </c>
      <c r="N2469">
        <v>-33526410</v>
      </c>
      <c r="O2469">
        <v>-111633669</v>
      </c>
      <c r="P2469">
        <v>129</v>
      </c>
      <c r="Q2469" t="s">
        <v>4985</v>
      </c>
    </row>
    <row r="2470" spans="1:17" x14ac:dyDescent="0.3">
      <c r="A2470" t="s">
        <v>17</v>
      </c>
      <c r="B2470" t="str">
        <f>"603688"</f>
        <v>603688</v>
      </c>
      <c r="C2470" t="s">
        <v>4986</v>
      </c>
      <c r="D2470" t="s">
        <v>144</v>
      </c>
      <c r="E2470">
        <v>-48366383</v>
      </c>
      <c r="F2470">
        <v>-25415441</v>
      </c>
      <c r="G2470">
        <v>-39329814</v>
      </c>
      <c r="H2470">
        <v>-15836183</v>
      </c>
      <c r="I2470">
        <v>-3183394</v>
      </c>
      <c r="J2470">
        <v>-13171386</v>
      </c>
      <c r="K2470">
        <v>9315886</v>
      </c>
      <c r="L2470">
        <v>-10456937</v>
      </c>
      <c r="M2470">
        <v>-34348817</v>
      </c>
      <c r="P2470">
        <v>219</v>
      </c>
      <c r="Q2470" t="s">
        <v>4987</v>
      </c>
    </row>
    <row r="2471" spans="1:17" x14ac:dyDescent="0.3">
      <c r="A2471" t="s">
        <v>32</v>
      </c>
      <c r="B2471" t="str">
        <f>"300617"</f>
        <v>300617</v>
      </c>
      <c r="C2471" t="s">
        <v>4988</v>
      </c>
      <c r="D2471" t="s">
        <v>464</v>
      </c>
      <c r="E2471">
        <v>-48387442</v>
      </c>
      <c r="F2471">
        <v>-33386589</v>
      </c>
      <c r="G2471">
        <v>-12110787</v>
      </c>
      <c r="H2471">
        <v>19361946</v>
      </c>
      <c r="I2471">
        <v>-18545160</v>
      </c>
      <c r="J2471">
        <v>-21581877</v>
      </c>
      <c r="K2471">
        <v>-1071729</v>
      </c>
      <c r="P2471">
        <v>148</v>
      </c>
      <c r="Q2471" t="s">
        <v>4989</v>
      </c>
    </row>
    <row r="2472" spans="1:17" x14ac:dyDescent="0.3">
      <c r="A2472" t="s">
        <v>17</v>
      </c>
      <c r="B2472" t="str">
        <f>"600543"</f>
        <v>600543</v>
      </c>
      <c r="C2472" t="s">
        <v>4990</v>
      </c>
      <c r="D2472" t="s">
        <v>172</v>
      </c>
      <c r="E2472">
        <v>-48465423</v>
      </c>
      <c r="F2472">
        <v>-7915430</v>
      </c>
      <c r="G2472">
        <v>-28542285</v>
      </c>
      <c r="H2472">
        <v>-4385897</v>
      </c>
      <c r="I2472">
        <v>-6975186</v>
      </c>
      <c r="J2472">
        <v>1404580</v>
      </c>
      <c r="K2472">
        <v>2956393</v>
      </c>
      <c r="L2472">
        <v>-16593703</v>
      </c>
      <c r="M2472">
        <v>44725296</v>
      </c>
      <c r="N2472">
        <v>32589407</v>
      </c>
      <c r="O2472">
        <v>47449526</v>
      </c>
      <c r="P2472">
        <v>150</v>
      </c>
      <c r="Q2472" t="s">
        <v>4991</v>
      </c>
    </row>
    <row r="2473" spans="1:17" x14ac:dyDescent="0.3">
      <c r="A2473" t="s">
        <v>17</v>
      </c>
      <c r="B2473" t="str">
        <f>"600731"</f>
        <v>600731</v>
      </c>
      <c r="C2473" t="s">
        <v>4992</v>
      </c>
      <c r="D2473" t="s">
        <v>144</v>
      </c>
      <c r="E2473">
        <v>-48514389</v>
      </c>
      <c r="F2473">
        <v>-107724722</v>
      </c>
      <c r="G2473">
        <v>108795996</v>
      </c>
      <c r="H2473">
        <v>-6104432</v>
      </c>
      <c r="I2473">
        <v>6022324</v>
      </c>
      <c r="J2473">
        <v>-2596408</v>
      </c>
      <c r="K2473">
        <v>2799769</v>
      </c>
      <c r="L2473">
        <v>1912393</v>
      </c>
      <c r="M2473">
        <v>-5382689</v>
      </c>
      <c r="N2473">
        <v>-3817295</v>
      </c>
      <c r="O2473">
        <v>384459</v>
      </c>
      <c r="P2473">
        <v>244</v>
      </c>
      <c r="Q2473" t="s">
        <v>4993</v>
      </c>
    </row>
    <row r="2474" spans="1:17" x14ac:dyDescent="0.3">
      <c r="A2474" t="s">
        <v>32</v>
      </c>
      <c r="B2474" t="str">
        <f>"301201"</f>
        <v>301201</v>
      </c>
      <c r="C2474" t="s">
        <v>4994</v>
      </c>
      <c r="D2474" t="s">
        <v>98</v>
      </c>
      <c r="E2474">
        <v>-48537071</v>
      </c>
      <c r="P2474">
        <v>18</v>
      </c>
      <c r="Q2474" t="s">
        <v>4995</v>
      </c>
    </row>
    <row r="2475" spans="1:17" x14ac:dyDescent="0.3">
      <c r="A2475" t="s">
        <v>32</v>
      </c>
      <c r="B2475" t="str">
        <f>"000722"</f>
        <v>000722</v>
      </c>
      <c r="C2475" t="s">
        <v>4996</v>
      </c>
      <c r="D2475" t="s">
        <v>158</v>
      </c>
      <c r="E2475">
        <v>-48548812</v>
      </c>
      <c r="F2475">
        <v>-72726484</v>
      </c>
      <c r="G2475">
        <v>27575253</v>
      </c>
      <c r="H2475">
        <v>30849739</v>
      </c>
      <c r="I2475">
        <v>1625184</v>
      </c>
      <c r="J2475">
        <v>14138890</v>
      </c>
      <c r="K2475">
        <v>73483653</v>
      </c>
      <c r="L2475">
        <v>14286674</v>
      </c>
      <c r="M2475">
        <v>30946136</v>
      </c>
      <c r="N2475">
        <v>3343601</v>
      </c>
      <c r="O2475">
        <v>43958564</v>
      </c>
      <c r="P2475">
        <v>104</v>
      </c>
      <c r="Q2475" t="s">
        <v>4997</v>
      </c>
    </row>
    <row r="2476" spans="1:17" x14ac:dyDescent="0.3">
      <c r="A2476" t="s">
        <v>32</v>
      </c>
      <c r="B2476" t="str">
        <f>"300204"</f>
        <v>300204</v>
      </c>
      <c r="C2476" t="s">
        <v>4998</v>
      </c>
      <c r="D2476" t="s">
        <v>98</v>
      </c>
      <c r="E2476">
        <v>-48606934</v>
      </c>
      <c r="F2476">
        <v>-49130761</v>
      </c>
      <c r="G2476">
        <v>-218241</v>
      </c>
      <c r="H2476">
        <v>1652799</v>
      </c>
      <c r="I2476">
        <v>139625377</v>
      </c>
      <c r="J2476">
        <v>105018914</v>
      </c>
      <c r="K2476">
        <v>108902276</v>
      </c>
      <c r="L2476">
        <v>46891432</v>
      </c>
      <c r="M2476">
        <v>32662163</v>
      </c>
      <c r="N2476">
        <v>6834988</v>
      </c>
      <c r="O2476">
        <v>5666196</v>
      </c>
      <c r="P2476">
        <v>202</v>
      </c>
      <c r="Q2476" t="s">
        <v>4999</v>
      </c>
    </row>
    <row r="2477" spans="1:17" x14ac:dyDescent="0.3">
      <c r="A2477" t="s">
        <v>17</v>
      </c>
      <c r="B2477" t="str">
        <f>"600493"</f>
        <v>600493</v>
      </c>
      <c r="C2477" t="s">
        <v>5000</v>
      </c>
      <c r="D2477" t="s">
        <v>130</v>
      </c>
      <c r="E2477">
        <v>-48636608</v>
      </c>
      <c r="F2477">
        <v>-67055751</v>
      </c>
      <c r="G2477">
        <v>-35335023</v>
      </c>
      <c r="H2477">
        <v>-47629027</v>
      </c>
      <c r="I2477">
        <v>-16929624</v>
      </c>
      <c r="J2477">
        <v>-20494822</v>
      </c>
      <c r="K2477">
        <v>42259079</v>
      </c>
      <c r="L2477">
        <v>25937957</v>
      </c>
      <c r="M2477">
        <v>28607403</v>
      </c>
      <c r="N2477">
        <v>-8812546</v>
      </c>
      <c r="O2477">
        <v>9696857</v>
      </c>
      <c r="P2477">
        <v>80</v>
      </c>
      <c r="Q2477" t="s">
        <v>5001</v>
      </c>
    </row>
    <row r="2478" spans="1:17" x14ac:dyDescent="0.3">
      <c r="A2478" t="s">
        <v>32</v>
      </c>
      <c r="B2478" t="str">
        <f>"002931"</f>
        <v>002931</v>
      </c>
      <c r="C2478" t="s">
        <v>5002</v>
      </c>
      <c r="D2478" t="s">
        <v>135</v>
      </c>
      <c r="E2478">
        <v>-48641120</v>
      </c>
      <c r="F2478">
        <v>-54070912</v>
      </c>
      <c r="G2478">
        <v>19988980</v>
      </c>
      <c r="H2478">
        <v>174649</v>
      </c>
      <c r="I2478">
        <v>-4885205</v>
      </c>
      <c r="J2478">
        <v>25310647</v>
      </c>
      <c r="P2478">
        <v>107</v>
      </c>
      <c r="Q2478" t="s">
        <v>5003</v>
      </c>
    </row>
    <row r="2479" spans="1:17" x14ac:dyDescent="0.3">
      <c r="A2479" t="s">
        <v>17</v>
      </c>
      <c r="B2479" t="str">
        <f>"605016"</f>
        <v>605016</v>
      </c>
      <c r="C2479" t="s">
        <v>5004</v>
      </c>
      <c r="D2479" t="s">
        <v>144</v>
      </c>
      <c r="E2479">
        <v>-48697009</v>
      </c>
      <c r="F2479">
        <v>1183938</v>
      </c>
      <c r="G2479">
        <v>-7804989</v>
      </c>
      <c r="P2479">
        <v>66</v>
      </c>
      <c r="Q2479" t="s">
        <v>5005</v>
      </c>
    </row>
    <row r="2480" spans="1:17" x14ac:dyDescent="0.3">
      <c r="A2480" t="s">
        <v>32</v>
      </c>
      <c r="B2480" t="str">
        <f>"300575"</f>
        <v>300575</v>
      </c>
      <c r="C2480" t="s">
        <v>5006</v>
      </c>
      <c r="D2480" t="s">
        <v>144</v>
      </c>
      <c r="E2480">
        <v>-48731041</v>
      </c>
      <c r="F2480">
        <v>-94120724</v>
      </c>
      <c r="G2480">
        <v>-46538668</v>
      </c>
      <c r="H2480">
        <v>-62876711</v>
      </c>
      <c r="I2480">
        <v>-157956126</v>
      </c>
      <c r="J2480">
        <v>-30399025</v>
      </c>
      <c r="K2480">
        <v>22301211</v>
      </c>
      <c r="P2480">
        <v>188</v>
      </c>
      <c r="Q2480" t="s">
        <v>5007</v>
      </c>
    </row>
    <row r="2481" spans="1:17" x14ac:dyDescent="0.3">
      <c r="A2481" t="s">
        <v>32</v>
      </c>
      <c r="B2481" t="str">
        <f>"300565"</f>
        <v>300565</v>
      </c>
      <c r="C2481" t="s">
        <v>5008</v>
      </c>
      <c r="D2481" t="s">
        <v>57</v>
      </c>
      <c r="E2481">
        <v>-48761570</v>
      </c>
      <c r="F2481">
        <v>-138305692</v>
      </c>
      <c r="G2481">
        <v>-73586705</v>
      </c>
      <c r="H2481">
        <v>-75635201</v>
      </c>
      <c r="I2481">
        <v>-130130443</v>
      </c>
      <c r="J2481">
        <v>-21823522</v>
      </c>
      <c r="K2481">
        <v>-108632159</v>
      </c>
      <c r="P2481">
        <v>113</v>
      </c>
      <c r="Q2481" t="s">
        <v>5009</v>
      </c>
    </row>
    <row r="2482" spans="1:17" x14ac:dyDescent="0.3">
      <c r="A2482" t="s">
        <v>17</v>
      </c>
      <c r="B2482" t="str">
        <f>"603610"</f>
        <v>603610</v>
      </c>
      <c r="C2482" t="s">
        <v>5010</v>
      </c>
      <c r="D2482" t="s">
        <v>455</v>
      </c>
      <c r="E2482">
        <v>-48808500</v>
      </c>
      <c r="F2482">
        <v>-34547686</v>
      </c>
      <c r="G2482">
        <v>-30746814</v>
      </c>
      <c r="H2482">
        <v>-15840464</v>
      </c>
      <c r="P2482">
        <v>230</v>
      </c>
      <c r="Q2482" t="s">
        <v>5011</v>
      </c>
    </row>
    <row r="2483" spans="1:17" x14ac:dyDescent="0.3">
      <c r="A2483" t="s">
        <v>32</v>
      </c>
      <c r="B2483" t="str">
        <f>"002892"</f>
        <v>002892</v>
      </c>
      <c r="C2483" t="s">
        <v>5012</v>
      </c>
      <c r="D2483" t="s">
        <v>464</v>
      </c>
      <c r="E2483">
        <v>-48870718</v>
      </c>
      <c r="F2483">
        <v>-19315004</v>
      </c>
      <c r="G2483">
        <v>47623039</v>
      </c>
      <c r="H2483">
        <v>16996049</v>
      </c>
      <c r="I2483">
        <v>6653285</v>
      </c>
      <c r="J2483">
        <v>-3436540</v>
      </c>
      <c r="P2483">
        <v>145</v>
      </c>
      <c r="Q2483" t="s">
        <v>5013</v>
      </c>
    </row>
    <row r="2484" spans="1:17" x14ac:dyDescent="0.3">
      <c r="A2484" t="s">
        <v>32</v>
      </c>
      <c r="B2484" t="str">
        <f>"300441"</f>
        <v>300441</v>
      </c>
      <c r="C2484" t="s">
        <v>5014</v>
      </c>
      <c r="D2484" t="s">
        <v>135</v>
      </c>
      <c r="E2484">
        <v>-48997505</v>
      </c>
      <c r="F2484">
        <v>27903701</v>
      </c>
      <c r="G2484">
        <v>-5431986</v>
      </c>
      <c r="H2484">
        <v>-21030667</v>
      </c>
      <c r="I2484">
        <v>-8272862</v>
      </c>
      <c r="J2484">
        <v>-31253029</v>
      </c>
      <c r="K2484">
        <v>-5838679</v>
      </c>
      <c r="L2484">
        <v>-13730072</v>
      </c>
      <c r="M2484">
        <v>1418590</v>
      </c>
      <c r="P2484">
        <v>96</v>
      </c>
      <c r="Q2484" t="s">
        <v>5015</v>
      </c>
    </row>
    <row r="2485" spans="1:17" x14ac:dyDescent="0.3">
      <c r="A2485" t="s">
        <v>32</v>
      </c>
      <c r="B2485" t="str">
        <f>"301221"</f>
        <v>301221</v>
      </c>
      <c r="C2485" t="s">
        <v>5016</v>
      </c>
      <c r="D2485" t="s">
        <v>199</v>
      </c>
      <c r="E2485">
        <v>-49007615</v>
      </c>
      <c r="P2485">
        <v>16</v>
      </c>
      <c r="Q2485" t="s">
        <v>5017</v>
      </c>
    </row>
    <row r="2486" spans="1:17" x14ac:dyDescent="0.3">
      <c r="A2486" t="s">
        <v>17</v>
      </c>
      <c r="B2486" t="str">
        <f>"600215"</f>
        <v>600215</v>
      </c>
      <c r="C2486" t="s">
        <v>5018</v>
      </c>
      <c r="D2486" t="s">
        <v>151</v>
      </c>
      <c r="E2486">
        <v>-49109988</v>
      </c>
      <c r="F2486">
        <v>19387586</v>
      </c>
      <c r="G2486">
        <v>108305422</v>
      </c>
      <c r="H2486">
        <v>75774934</v>
      </c>
      <c r="I2486">
        <v>-70887327</v>
      </c>
      <c r="J2486">
        <v>-51598914</v>
      </c>
      <c r="K2486">
        <v>-178624482</v>
      </c>
      <c r="L2486">
        <v>-82961538</v>
      </c>
      <c r="M2486">
        <v>116920717</v>
      </c>
      <c r="N2486">
        <v>-86509340</v>
      </c>
      <c r="O2486">
        <v>-69641149</v>
      </c>
      <c r="P2486">
        <v>77</v>
      </c>
      <c r="Q2486" t="s">
        <v>5019</v>
      </c>
    </row>
    <row r="2487" spans="1:17" x14ac:dyDescent="0.3">
      <c r="A2487" t="s">
        <v>32</v>
      </c>
      <c r="B2487" t="str">
        <f>"002196"</f>
        <v>002196</v>
      </c>
      <c r="C2487" t="s">
        <v>5020</v>
      </c>
      <c r="D2487" t="s">
        <v>464</v>
      </c>
      <c r="E2487">
        <v>-49231855</v>
      </c>
      <c r="F2487">
        <v>46008191</v>
      </c>
      <c r="G2487">
        <v>5887211</v>
      </c>
      <c r="H2487">
        <v>-23300087</v>
      </c>
      <c r="I2487">
        <v>-117744620</v>
      </c>
      <c r="J2487">
        <v>-26897292</v>
      </c>
      <c r="K2487">
        <v>-38436207</v>
      </c>
      <c r="L2487">
        <v>-11066183</v>
      </c>
      <c r="M2487">
        <v>-28204040</v>
      </c>
      <c r="N2487">
        <v>8235512</v>
      </c>
      <c r="O2487">
        <v>-10410933</v>
      </c>
      <c r="P2487">
        <v>163</v>
      </c>
      <c r="Q2487" t="s">
        <v>5021</v>
      </c>
    </row>
    <row r="2488" spans="1:17" x14ac:dyDescent="0.3">
      <c r="A2488" t="s">
        <v>32</v>
      </c>
      <c r="B2488" t="str">
        <f>"300113"</f>
        <v>300113</v>
      </c>
      <c r="C2488" t="s">
        <v>5022</v>
      </c>
      <c r="D2488" t="s">
        <v>245</v>
      </c>
      <c r="E2488">
        <v>-49238997</v>
      </c>
      <c r="F2488">
        <v>26736160</v>
      </c>
      <c r="G2488">
        <v>-103920870</v>
      </c>
      <c r="H2488">
        <v>19690629</v>
      </c>
      <c r="I2488">
        <v>98278720</v>
      </c>
      <c r="J2488">
        <v>52865384</v>
      </c>
      <c r="K2488">
        <v>113721644</v>
      </c>
      <c r="L2488">
        <v>40579110</v>
      </c>
      <c r="M2488">
        <v>26251209</v>
      </c>
      <c r="N2488">
        <v>8764200</v>
      </c>
      <c r="O2488">
        <v>5057555</v>
      </c>
      <c r="P2488">
        <v>481</v>
      </c>
      <c r="Q2488" t="s">
        <v>5023</v>
      </c>
    </row>
    <row r="2489" spans="1:17" x14ac:dyDescent="0.3">
      <c r="A2489" t="s">
        <v>17</v>
      </c>
      <c r="B2489" t="str">
        <f>"688566"</f>
        <v>688566</v>
      </c>
      <c r="C2489" t="s">
        <v>5024</v>
      </c>
      <c r="D2489" t="s">
        <v>98</v>
      </c>
      <c r="E2489">
        <v>-49263914</v>
      </c>
      <c r="F2489">
        <v>9644163</v>
      </c>
      <c r="G2489">
        <v>9826442</v>
      </c>
      <c r="H2489">
        <v>1630430</v>
      </c>
      <c r="P2489">
        <v>69</v>
      </c>
      <c r="Q2489" t="s">
        <v>5025</v>
      </c>
    </row>
    <row r="2490" spans="1:17" x14ac:dyDescent="0.3">
      <c r="A2490" t="s">
        <v>32</v>
      </c>
      <c r="B2490" t="str">
        <f>"300321"</f>
        <v>300321</v>
      </c>
      <c r="C2490" t="s">
        <v>5026</v>
      </c>
      <c r="D2490" t="s">
        <v>144</v>
      </c>
      <c r="E2490">
        <v>-49277643</v>
      </c>
      <c r="F2490">
        <v>-11522421</v>
      </c>
      <c r="G2490">
        <v>-22721811</v>
      </c>
      <c r="H2490">
        <v>-19007500</v>
      </c>
      <c r="I2490">
        <v>-18735448</v>
      </c>
      <c r="J2490">
        <v>-16526903</v>
      </c>
      <c r="K2490">
        <v>-30673269</v>
      </c>
      <c r="L2490">
        <v>-3043115</v>
      </c>
      <c r="M2490">
        <v>-5062751</v>
      </c>
      <c r="N2490">
        <v>-5855111</v>
      </c>
      <c r="O2490">
        <v>-57062294</v>
      </c>
      <c r="P2490">
        <v>45</v>
      </c>
      <c r="Q2490" t="s">
        <v>5027</v>
      </c>
    </row>
    <row r="2491" spans="1:17" x14ac:dyDescent="0.3">
      <c r="A2491" t="s">
        <v>32</v>
      </c>
      <c r="B2491" t="str">
        <f>"301016"</f>
        <v>301016</v>
      </c>
      <c r="C2491" t="s">
        <v>5028</v>
      </c>
      <c r="D2491" t="s">
        <v>135</v>
      </c>
      <c r="E2491">
        <v>-49335464</v>
      </c>
      <c r="F2491">
        <v>-53694013</v>
      </c>
      <c r="G2491">
        <v>-43984118</v>
      </c>
      <c r="P2491">
        <v>35</v>
      </c>
      <c r="Q2491" t="s">
        <v>5029</v>
      </c>
    </row>
    <row r="2492" spans="1:17" x14ac:dyDescent="0.3">
      <c r="A2492" t="s">
        <v>32</v>
      </c>
      <c r="B2492" t="str">
        <f>"002473"</f>
        <v>002473</v>
      </c>
      <c r="C2492" t="s">
        <v>5030</v>
      </c>
      <c r="D2492" t="s">
        <v>127</v>
      </c>
      <c r="E2492">
        <v>-49367545</v>
      </c>
      <c r="F2492">
        <v>-9244955</v>
      </c>
      <c r="G2492">
        <v>-44587959</v>
      </c>
      <c r="H2492">
        <v>-10346173</v>
      </c>
      <c r="I2492">
        <v>-9605994</v>
      </c>
      <c r="J2492">
        <v>-18996249</v>
      </c>
      <c r="K2492">
        <v>914091</v>
      </c>
      <c r="L2492">
        <v>-16091981</v>
      </c>
      <c r="M2492">
        <v>-9679676</v>
      </c>
      <c r="N2492">
        <v>-8629294</v>
      </c>
      <c r="O2492">
        <v>-8366640</v>
      </c>
      <c r="P2492">
        <v>61</v>
      </c>
      <c r="Q2492" t="s">
        <v>5031</v>
      </c>
    </row>
    <row r="2493" spans="1:17" x14ac:dyDescent="0.3">
      <c r="A2493" t="s">
        <v>32</v>
      </c>
      <c r="B2493" t="str">
        <f>"300976"</f>
        <v>300976</v>
      </c>
      <c r="C2493" t="s">
        <v>5032</v>
      </c>
      <c r="D2493" t="s">
        <v>124</v>
      </c>
      <c r="E2493">
        <v>-49428012</v>
      </c>
      <c r="F2493">
        <v>-11914674</v>
      </c>
      <c r="G2493">
        <v>67899094</v>
      </c>
      <c r="P2493">
        <v>35</v>
      </c>
      <c r="Q2493" t="s">
        <v>5033</v>
      </c>
    </row>
    <row r="2494" spans="1:17" x14ac:dyDescent="0.3">
      <c r="A2494" t="s">
        <v>17</v>
      </c>
      <c r="B2494" t="str">
        <f>"688018"</f>
        <v>688018</v>
      </c>
      <c r="C2494" t="s">
        <v>5034</v>
      </c>
      <c r="D2494" t="s">
        <v>124</v>
      </c>
      <c r="E2494">
        <v>-49477057</v>
      </c>
      <c r="F2494">
        <v>-18393507</v>
      </c>
      <c r="G2494">
        <v>-109762147</v>
      </c>
      <c r="H2494">
        <v>-5619485</v>
      </c>
      <c r="I2494">
        <v>2758965</v>
      </c>
      <c r="P2494">
        <v>317</v>
      </c>
      <c r="Q2494" t="s">
        <v>5035</v>
      </c>
    </row>
    <row r="2495" spans="1:17" x14ac:dyDescent="0.3">
      <c r="A2495" t="s">
        <v>17</v>
      </c>
      <c r="B2495" t="str">
        <f>"603319"</f>
        <v>603319</v>
      </c>
      <c r="C2495" t="s">
        <v>5036</v>
      </c>
      <c r="D2495" t="s">
        <v>199</v>
      </c>
      <c r="E2495">
        <v>-49488300</v>
      </c>
      <c r="F2495">
        <v>-38140479</v>
      </c>
      <c r="G2495">
        <v>-17566656</v>
      </c>
      <c r="H2495">
        <v>-18843439</v>
      </c>
      <c r="I2495">
        <v>-101532446</v>
      </c>
      <c r="J2495">
        <v>-109335479</v>
      </c>
      <c r="K2495">
        <v>-8005821</v>
      </c>
      <c r="P2495">
        <v>172</v>
      </c>
      <c r="Q2495" t="s">
        <v>5037</v>
      </c>
    </row>
    <row r="2496" spans="1:17" x14ac:dyDescent="0.3">
      <c r="A2496" t="s">
        <v>32</v>
      </c>
      <c r="B2496" t="str">
        <f>"300506"</f>
        <v>300506</v>
      </c>
      <c r="C2496" t="s">
        <v>5038</v>
      </c>
      <c r="D2496" t="s">
        <v>645</v>
      </c>
      <c r="E2496">
        <v>-49535489</v>
      </c>
      <c r="F2496">
        <v>-87038685</v>
      </c>
      <c r="G2496">
        <v>-106332799</v>
      </c>
      <c r="H2496">
        <v>-11906331</v>
      </c>
      <c r="I2496">
        <v>-34511715</v>
      </c>
      <c r="J2496">
        <v>-40402071</v>
      </c>
      <c r="K2496">
        <v>-11262708</v>
      </c>
      <c r="L2496">
        <v>-1724294</v>
      </c>
      <c r="P2496">
        <v>294</v>
      </c>
      <c r="Q2496" t="s">
        <v>5039</v>
      </c>
    </row>
    <row r="2497" spans="1:17" x14ac:dyDescent="0.3">
      <c r="A2497" t="s">
        <v>17</v>
      </c>
      <c r="B2497" t="str">
        <f>"688337"</f>
        <v>688337</v>
      </c>
      <c r="C2497" t="s">
        <v>5040</v>
      </c>
      <c r="E2497">
        <v>-49608332</v>
      </c>
      <c r="P2497">
        <v>3</v>
      </c>
      <c r="Q2497" t="s">
        <v>5041</v>
      </c>
    </row>
    <row r="2498" spans="1:17" x14ac:dyDescent="0.3">
      <c r="A2498" t="s">
        <v>32</v>
      </c>
      <c r="B2498" t="str">
        <f>"002969"</f>
        <v>002969</v>
      </c>
      <c r="C2498" t="s">
        <v>5042</v>
      </c>
      <c r="D2498" t="s">
        <v>455</v>
      </c>
      <c r="E2498">
        <v>-49708666</v>
      </c>
      <c r="F2498">
        <v>108020762</v>
      </c>
      <c r="G2498">
        <v>-142993849</v>
      </c>
      <c r="H2498">
        <v>28039600</v>
      </c>
      <c r="P2498">
        <v>78</v>
      </c>
      <c r="Q2498" t="s">
        <v>5043</v>
      </c>
    </row>
    <row r="2499" spans="1:17" x14ac:dyDescent="0.3">
      <c r="A2499" t="s">
        <v>17</v>
      </c>
      <c r="B2499" t="str">
        <f>"600754"</f>
        <v>600754</v>
      </c>
      <c r="C2499" t="s">
        <v>5044</v>
      </c>
      <c r="D2499" t="s">
        <v>497</v>
      </c>
      <c r="E2499">
        <v>-49808719</v>
      </c>
      <c r="F2499">
        <v>-561998352</v>
      </c>
      <c r="G2499">
        <v>-1528916382</v>
      </c>
      <c r="H2499">
        <v>-226607507</v>
      </c>
      <c r="I2499">
        <v>-16751702</v>
      </c>
      <c r="J2499">
        <v>188872307</v>
      </c>
      <c r="K2499">
        <v>54057011</v>
      </c>
      <c r="L2499">
        <v>-51900804</v>
      </c>
      <c r="M2499">
        <v>-45418644</v>
      </c>
      <c r="N2499">
        <v>-38876013</v>
      </c>
      <c r="O2499">
        <v>15718850</v>
      </c>
      <c r="P2499">
        <v>670</v>
      </c>
      <c r="Q2499" t="s">
        <v>5045</v>
      </c>
    </row>
    <row r="2500" spans="1:17" x14ac:dyDescent="0.3">
      <c r="A2500" t="s">
        <v>17</v>
      </c>
      <c r="B2500" t="str">
        <f>"603028"</f>
        <v>603028</v>
      </c>
      <c r="C2500" t="s">
        <v>5046</v>
      </c>
      <c r="D2500" t="s">
        <v>135</v>
      </c>
      <c r="E2500">
        <v>-49891734</v>
      </c>
      <c r="F2500">
        <v>-29138431</v>
      </c>
      <c r="G2500">
        <v>-48270960</v>
      </c>
      <c r="H2500">
        <v>17627304</v>
      </c>
      <c r="I2500">
        <v>-68344444</v>
      </c>
      <c r="J2500">
        <v>-94037641</v>
      </c>
      <c r="K2500">
        <v>-52163048</v>
      </c>
      <c r="L2500">
        <v>-51318577</v>
      </c>
      <c r="P2500">
        <v>53</v>
      </c>
      <c r="Q2500" t="s">
        <v>5047</v>
      </c>
    </row>
    <row r="2501" spans="1:17" x14ac:dyDescent="0.3">
      <c r="A2501" t="s">
        <v>32</v>
      </c>
      <c r="B2501" t="str">
        <f>"000739"</f>
        <v>000739</v>
      </c>
      <c r="C2501" t="s">
        <v>5048</v>
      </c>
      <c r="D2501" t="s">
        <v>98</v>
      </c>
      <c r="E2501">
        <v>-49904103</v>
      </c>
      <c r="F2501">
        <v>19940392</v>
      </c>
      <c r="G2501">
        <v>94934072</v>
      </c>
      <c r="H2501">
        <v>133170844</v>
      </c>
      <c r="I2501">
        <v>170746795</v>
      </c>
      <c r="J2501">
        <v>-13944763</v>
      </c>
      <c r="K2501">
        <v>-180416643</v>
      </c>
      <c r="L2501">
        <v>35642768</v>
      </c>
      <c r="M2501">
        <v>23103085</v>
      </c>
      <c r="N2501">
        <v>-30760221</v>
      </c>
      <c r="O2501">
        <v>-36820292</v>
      </c>
      <c r="P2501">
        <v>760</v>
      </c>
      <c r="Q2501" t="s">
        <v>5049</v>
      </c>
    </row>
    <row r="2502" spans="1:17" x14ac:dyDescent="0.3">
      <c r="A2502" t="s">
        <v>32</v>
      </c>
      <c r="B2502" t="str">
        <f>"300644"</f>
        <v>300644</v>
      </c>
      <c r="C2502" t="s">
        <v>5050</v>
      </c>
      <c r="D2502" t="s">
        <v>144</v>
      </c>
      <c r="E2502">
        <v>-49913273</v>
      </c>
      <c r="F2502">
        <v>-102114600</v>
      </c>
      <c r="G2502">
        <v>-602183</v>
      </c>
      <c r="H2502">
        <v>404006</v>
      </c>
      <c r="I2502">
        <v>-26858815</v>
      </c>
      <c r="J2502">
        <v>-7766615</v>
      </c>
      <c r="P2502">
        <v>133</v>
      </c>
      <c r="Q2502" t="s">
        <v>5051</v>
      </c>
    </row>
    <row r="2503" spans="1:17" x14ac:dyDescent="0.3">
      <c r="A2503" t="s">
        <v>32</v>
      </c>
      <c r="B2503" t="str">
        <f>"002590"</f>
        <v>002590</v>
      </c>
      <c r="C2503" t="s">
        <v>5052</v>
      </c>
      <c r="D2503" t="s">
        <v>199</v>
      </c>
      <c r="E2503">
        <v>-49913290</v>
      </c>
      <c r="F2503">
        <v>-79596908</v>
      </c>
      <c r="G2503">
        <v>62820883</v>
      </c>
      <c r="H2503">
        <v>-92184624</v>
      </c>
      <c r="I2503">
        <v>-5081498</v>
      </c>
      <c r="J2503">
        <v>-67407923</v>
      </c>
      <c r="K2503">
        <v>14220268</v>
      </c>
      <c r="L2503">
        <v>20598281</v>
      </c>
      <c r="M2503">
        <v>-39960443</v>
      </c>
      <c r="N2503">
        <v>-26885262</v>
      </c>
      <c r="O2503">
        <v>-28941565</v>
      </c>
      <c r="P2503">
        <v>119</v>
      </c>
      <c r="Q2503" t="s">
        <v>5053</v>
      </c>
    </row>
    <row r="2504" spans="1:17" x14ac:dyDescent="0.3">
      <c r="A2504" t="s">
        <v>17</v>
      </c>
      <c r="B2504" t="str">
        <f>"600083"</f>
        <v>600083</v>
      </c>
      <c r="C2504" t="s">
        <v>5054</v>
      </c>
      <c r="D2504" t="s">
        <v>345</v>
      </c>
      <c r="E2504">
        <v>-49936251</v>
      </c>
      <c r="F2504">
        <v>-23674604</v>
      </c>
      <c r="G2504">
        <v>1471858</v>
      </c>
      <c r="H2504">
        <v>17189517</v>
      </c>
      <c r="I2504">
        <v>-732995</v>
      </c>
      <c r="J2504">
        <v>-12728682</v>
      </c>
      <c r="K2504">
        <v>899867</v>
      </c>
      <c r="L2504">
        <v>-83198047</v>
      </c>
      <c r="M2504">
        <v>-12806784</v>
      </c>
      <c r="N2504">
        <v>-2749430</v>
      </c>
      <c r="O2504">
        <v>-1115319</v>
      </c>
      <c r="P2504">
        <v>83</v>
      </c>
      <c r="Q2504" t="s">
        <v>5055</v>
      </c>
    </row>
    <row r="2505" spans="1:17" x14ac:dyDescent="0.3">
      <c r="A2505" t="s">
        <v>32</v>
      </c>
      <c r="B2505" t="str">
        <f>"300655"</f>
        <v>300655</v>
      </c>
      <c r="C2505" t="s">
        <v>5056</v>
      </c>
      <c r="D2505" t="s">
        <v>124</v>
      </c>
      <c r="E2505">
        <v>-50000928</v>
      </c>
      <c r="F2505">
        <v>-49975718</v>
      </c>
      <c r="G2505">
        <v>4901918</v>
      </c>
      <c r="H2505">
        <v>15634456</v>
      </c>
      <c r="I2505">
        <v>-34121977</v>
      </c>
      <c r="J2505">
        <v>-13730015</v>
      </c>
      <c r="K2505">
        <v>-7059400</v>
      </c>
      <c r="P2505">
        <v>3076</v>
      </c>
      <c r="Q2505" t="s">
        <v>5057</v>
      </c>
    </row>
    <row r="2506" spans="1:17" x14ac:dyDescent="0.3">
      <c r="A2506" t="s">
        <v>17</v>
      </c>
      <c r="B2506" t="str">
        <f>"600321"</f>
        <v>600321</v>
      </c>
      <c r="C2506" t="s">
        <v>5058</v>
      </c>
      <c r="D2506" t="s">
        <v>400</v>
      </c>
      <c r="E2506">
        <v>-50005995</v>
      </c>
      <c r="F2506">
        <v>131460794</v>
      </c>
      <c r="G2506">
        <v>-784834966</v>
      </c>
      <c r="H2506">
        <v>-143639492</v>
      </c>
      <c r="I2506">
        <v>-55188801</v>
      </c>
      <c r="J2506">
        <v>16909079</v>
      </c>
      <c r="K2506">
        <v>-27330649</v>
      </c>
      <c r="L2506">
        <v>-72886147</v>
      </c>
      <c r="M2506">
        <v>-27808527</v>
      </c>
      <c r="N2506">
        <v>-45947101</v>
      </c>
      <c r="O2506">
        <v>-94653938</v>
      </c>
      <c r="P2506">
        <v>74</v>
      </c>
      <c r="Q2506" t="s">
        <v>5059</v>
      </c>
    </row>
    <row r="2507" spans="1:17" x14ac:dyDescent="0.3">
      <c r="A2507" t="s">
        <v>32</v>
      </c>
      <c r="B2507" t="str">
        <f>"002961"</f>
        <v>002961</v>
      </c>
      <c r="C2507" t="s">
        <v>5060</v>
      </c>
      <c r="D2507" t="s">
        <v>26</v>
      </c>
      <c r="E2507">
        <v>-50115437</v>
      </c>
      <c r="F2507">
        <v>-540222040</v>
      </c>
      <c r="G2507">
        <v>903063790</v>
      </c>
      <c r="H2507">
        <v>43960386</v>
      </c>
      <c r="P2507">
        <v>121</v>
      </c>
      <c r="Q2507" t="s">
        <v>5061</v>
      </c>
    </row>
    <row r="2508" spans="1:17" x14ac:dyDescent="0.3">
      <c r="A2508" t="s">
        <v>17</v>
      </c>
      <c r="B2508" t="str">
        <f>"600860"</f>
        <v>600860</v>
      </c>
      <c r="C2508" t="s">
        <v>5062</v>
      </c>
      <c r="D2508" t="s">
        <v>135</v>
      </c>
      <c r="E2508">
        <v>-50179042</v>
      </c>
      <c r="F2508">
        <v>-24192706</v>
      </c>
      <c r="G2508">
        <v>12994315</v>
      </c>
      <c r="H2508">
        <v>9032299</v>
      </c>
      <c r="I2508">
        <v>-17951939</v>
      </c>
      <c r="J2508">
        <v>-48104841</v>
      </c>
      <c r="K2508">
        <v>-51250490</v>
      </c>
      <c r="L2508">
        <v>-48107823</v>
      </c>
      <c r="M2508">
        <v>-55340043</v>
      </c>
      <c r="N2508">
        <v>-26822092</v>
      </c>
      <c r="O2508">
        <v>-64886782</v>
      </c>
      <c r="P2508">
        <v>108</v>
      </c>
      <c r="Q2508" t="s">
        <v>5063</v>
      </c>
    </row>
    <row r="2509" spans="1:17" x14ac:dyDescent="0.3">
      <c r="A2509" t="s">
        <v>17</v>
      </c>
      <c r="B2509" t="str">
        <f>"603286"</f>
        <v>603286</v>
      </c>
      <c r="C2509" t="s">
        <v>5064</v>
      </c>
      <c r="D2509" t="s">
        <v>199</v>
      </c>
      <c r="E2509">
        <v>-50235420</v>
      </c>
      <c r="F2509">
        <v>1571183</v>
      </c>
      <c r="G2509">
        <v>7511207</v>
      </c>
      <c r="H2509">
        <v>-6458772</v>
      </c>
      <c r="I2509">
        <v>-16078684</v>
      </c>
      <c r="J2509">
        <v>3737743</v>
      </c>
      <c r="K2509">
        <v>4097936</v>
      </c>
      <c r="P2509">
        <v>66</v>
      </c>
      <c r="Q2509" t="s">
        <v>5065</v>
      </c>
    </row>
    <row r="2510" spans="1:17" x14ac:dyDescent="0.3">
      <c r="A2510" t="s">
        <v>17</v>
      </c>
      <c r="B2510" t="str">
        <f>"603105"</f>
        <v>603105</v>
      </c>
      <c r="C2510" t="s">
        <v>5066</v>
      </c>
      <c r="D2510" t="s">
        <v>158</v>
      </c>
      <c r="E2510">
        <v>-50244994</v>
      </c>
      <c r="F2510">
        <v>-24688208</v>
      </c>
      <c r="G2510">
        <v>-31090577</v>
      </c>
      <c r="H2510">
        <v>-82788507</v>
      </c>
      <c r="I2510">
        <v>-236245636</v>
      </c>
      <c r="J2510">
        <v>-144052899</v>
      </c>
      <c r="P2510">
        <v>146</v>
      </c>
      <c r="Q2510" t="s">
        <v>5067</v>
      </c>
    </row>
    <row r="2511" spans="1:17" x14ac:dyDescent="0.3">
      <c r="A2511" t="s">
        <v>32</v>
      </c>
      <c r="B2511" t="str">
        <f>"002927"</f>
        <v>002927</v>
      </c>
      <c r="C2511" t="s">
        <v>5068</v>
      </c>
      <c r="D2511" t="s">
        <v>464</v>
      </c>
      <c r="E2511">
        <v>-50258825</v>
      </c>
      <c r="F2511">
        <v>-58070294</v>
      </c>
      <c r="G2511">
        <v>-34925194</v>
      </c>
      <c r="H2511">
        <v>-17373648</v>
      </c>
      <c r="I2511">
        <v>-23763865</v>
      </c>
      <c r="J2511">
        <v>-14040771</v>
      </c>
      <c r="P2511">
        <v>117</v>
      </c>
      <c r="Q2511" t="s">
        <v>5069</v>
      </c>
    </row>
    <row r="2512" spans="1:17" x14ac:dyDescent="0.3">
      <c r="A2512" t="s">
        <v>32</v>
      </c>
      <c r="B2512" t="str">
        <f>"301229"</f>
        <v>301229</v>
      </c>
      <c r="C2512" t="s">
        <v>5070</v>
      </c>
      <c r="E2512">
        <v>-50271901</v>
      </c>
      <c r="P2512">
        <v>6</v>
      </c>
      <c r="Q2512" t="s">
        <v>5071</v>
      </c>
    </row>
    <row r="2513" spans="1:17" x14ac:dyDescent="0.3">
      <c r="A2513" t="s">
        <v>32</v>
      </c>
      <c r="B2513" t="str">
        <f>"002209"</f>
        <v>002209</v>
      </c>
      <c r="C2513" t="s">
        <v>5072</v>
      </c>
      <c r="D2513" t="s">
        <v>135</v>
      </c>
      <c r="E2513">
        <v>-50298827</v>
      </c>
      <c r="F2513">
        <v>55444603</v>
      </c>
      <c r="G2513">
        <v>-19815702</v>
      </c>
      <c r="H2513">
        <v>-46776596</v>
      </c>
      <c r="I2513">
        <v>-9604464</v>
      </c>
      <c r="J2513">
        <v>25625242</v>
      </c>
      <c r="K2513">
        <v>-117681036</v>
      </c>
      <c r="L2513">
        <v>37495029</v>
      </c>
      <c r="M2513">
        <v>-39095475</v>
      </c>
      <c r="N2513">
        <v>-24709185</v>
      </c>
      <c r="O2513">
        <v>28152144</v>
      </c>
      <c r="P2513">
        <v>75</v>
      </c>
      <c r="Q2513" t="s">
        <v>5073</v>
      </c>
    </row>
    <row r="2514" spans="1:17" x14ac:dyDescent="0.3">
      <c r="A2514" t="s">
        <v>17</v>
      </c>
      <c r="B2514" t="str">
        <f>"600255"</f>
        <v>600255</v>
      </c>
      <c r="C2514" t="s">
        <v>5074</v>
      </c>
      <c r="D2514" t="s">
        <v>121</v>
      </c>
      <c r="E2514">
        <v>-50299859</v>
      </c>
      <c r="F2514">
        <v>-111092562</v>
      </c>
      <c r="G2514">
        <v>118105546</v>
      </c>
      <c r="H2514">
        <v>230491517</v>
      </c>
      <c r="I2514">
        <v>236701432</v>
      </c>
      <c r="J2514">
        <v>302010767</v>
      </c>
      <c r="K2514">
        <v>-35477589</v>
      </c>
      <c r="L2514">
        <v>-110459346</v>
      </c>
      <c r="M2514">
        <v>-147597231</v>
      </c>
      <c r="N2514">
        <v>-87260289</v>
      </c>
      <c r="O2514">
        <v>30429356</v>
      </c>
      <c r="P2514">
        <v>82</v>
      </c>
      <c r="Q2514" t="s">
        <v>5075</v>
      </c>
    </row>
    <row r="2515" spans="1:17" x14ac:dyDescent="0.3">
      <c r="A2515" t="s">
        <v>32</v>
      </c>
      <c r="B2515" t="str">
        <f>"002169"</f>
        <v>002169</v>
      </c>
      <c r="C2515" t="s">
        <v>5076</v>
      </c>
      <c r="D2515" t="s">
        <v>464</v>
      </c>
      <c r="E2515">
        <v>-50374468</v>
      </c>
      <c r="F2515">
        <v>-99778005</v>
      </c>
      <c r="G2515">
        <v>-107259068</v>
      </c>
      <c r="H2515">
        <v>-35180537</v>
      </c>
      <c r="I2515">
        <v>-163658258</v>
      </c>
      <c r="J2515">
        <v>-108195817</v>
      </c>
      <c r="K2515">
        <v>-105135949</v>
      </c>
      <c r="L2515">
        <v>-40505875</v>
      </c>
      <c r="M2515">
        <v>-53329776</v>
      </c>
      <c r="N2515">
        <v>-43975394</v>
      </c>
      <c r="O2515">
        <v>-35904787</v>
      </c>
      <c r="P2515">
        <v>219</v>
      </c>
      <c r="Q2515" t="s">
        <v>5077</v>
      </c>
    </row>
    <row r="2516" spans="1:17" x14ac:dyDescent="0.3">
      <c r="A2516" t="s">
        <v>17</v>
      </c>
      <c r="B2516" t="str">
        <f>"688682"</f>
        <v>688682</v>
      </c>
      <c r="C2516" t="s">
        <v>5078</v>
      </c>
      <c r="D2516" t="s">
        <v>188</v>
      </c>
      <c r="E2516">
        <v>-50427187</v>
      </c>
      <c r="F2516">
        <v>-35241208</v>
      </c>
      <c r="G2516">
        <v>-22593826</v>
      </c>
      <c r="P2516">
        <v>33</v>
      </c>
      <c r="Q2516" t="s">
        <v>5079</v>
      </c>
    </row>
    <row r="2517" spans="1:17" x14ac:dyDescent="0.3">
      <c r="A2517" t="s">
        <v>17</v>
      </c>
      <c r="B2517" t="str">
        <f>"605128"</f>
        <v>605128</v>
      </c>
      <c r="C2517" t="s">
        <v>5080</v>
      </c>
      <c r="D2517" t="s">
        <v>199</v>
      </c>
      <c r="E2517">
        <v>-50468441</v>
      </c>
      <c r="F2517">
        <v>-3869689</v>
      </c>
      <c r="G2517">
        <v>9421283</v>
      </c>
      <c r="P2517">
        <v>53</v>
      </c>
      <c r="Q2517" t="s">
        <v>5081</v>
      </c>
    </row>
    <row r="2518" spans="1:17" x14ac:dyDescent="0.3">
      <c r="A2518" t="s">
        <v>17</v>
      </c>
      <c r="B2518" t="str">
        <f>"605177"</f>
        <v>605177</v>
      </c>
      <c r="C2518" t="s">
        <v>5082</v>
      </c>
      <c r="D2518" t="s">
        <v>98</v>
      </c>
      <c r="E2518">
        <v>-50530707</v>
      </c>
      <c r="F2518">
        <v>11001981</v>
      </c>
      <c r="G2518">
        <v>-16869518</v>
      </c>
      <c r="P2518">
        <v>38</v>
      </c>
      <c r="Q2518" t="s">
        <v>5083</v>
      </c>
    </row>
    <row r="2519" spans="1:17" x14ac:dyDescent="0.3">
      <c r="A2519" t="s">
        <v>32</v>
      </c>
      <c r="B2519" t="str">
        <f>"300639"</f>
        <v>300639</v>
      </c>
      <c r="C2519" t="s">
        <v>5084</v>
      </c>
      <c r="D2519" t="s">
        <v>98</v>
      </c>
      <c r="E2519">
        <v>-50532701</v>
      </c>
      <c r="F2519">
        <v>-150588635</v>
      </c>
      <c r="G2519">
        <v>-48516245</v>
      </c>
      <c r="H2519">
        <v>-26083955</v>
      </c>
      <c r="I2519">
        <v>-27936434</v>
      </c>
      <c r="J2519">
        <v>-11170667</v>
      </c>
      <c r="K2519">
        <v>-26901298</v>
      </c>
      <c r="P2519">
        <v>536</v>
      </c>
      <c r="Q2519" t="s">
        <v>5085</v>
      </c>
    </row>
    <row r="2520" spans="1:17" x14ac:dyDescent="0.3">
      <c r="A2520" t="s">
        <v>32</v>
      </c>
      <c r="B2520" t="str">
        <f>"300193"</f>
        <v>300193</v>
      </c>
      <c r="C2520" t="s">
        <v>5086</v>
      </c>
      <c r="D2520" t="s">
        <v>135</v>
      </c>
      <c r="E2520">
        <v>-50570201</v>
      </c>
      <c r="F2520">
        <v>27792140</v>
      </c>
      <c r="G2520">
        <v>-17374175</v>
      </c>
      <c r="H2520">
        <v>21908725</v>
      </c>
      <c r="I2520">
        <v>4309063</v>
      </c>
      <c r="J2520">
        <v>10937525</v>
      </c>
      <c r="K2520">
        <v>12536406</v>
      </c>
      <c r="L2520">
        <v>-4454988</v>
      </c>
      <c r="M2520">
        <v>17252613</v>
      </c>
      <c r="N2520">
        <v>-32115110</v>
      </c>
      <c r="O2520">
        <v>-46176197</v>
      </c>
      <c r="P2520">
        <v>155</v>
      </c>
      <c r="Q2520" t="s">
        <v>5087</v>
      </c>
    </row>
    <row r="2521" spans="1:17" x14ac:dyDescent="0.3">
      <c r="A2521" t="s">
        <v>32</v>
      </c>
      <c r="B2521" t="str">
        <f>"300583"</f>
        <v>300583</v>
      </c>
      <c r="C2521" t="s">
        <v>5088</v>
      </c>
      <c r="D2521" t="s">
        <v>98</v>
      </c>
      <c r="E2521">
        <v>-50706642</v>
      </c>
      <c r="F2521">
        <v>-170093533</v>
      </c>
      <c r="G2521">
        <v>-49695993</v>
      </c>
      <c r="H2521">
        <v>-124180164</v>
      </c>
      <c r="I2521">
        <v>-127396628</v>
      </c>
      <c r="J2521">
        <v>-52864653</v>
      </c>
      <c r="K2521">
        <v>-75411932</v>
      </c>
      <c r="P2521">
        <v>76</v>
      </c>
      <c r="Q2521" t="s">
        <v>5089</v>
      </c>
    </row>
    <row r="2522" spans="1:17" x14ac:dyDescent="0.3">
      <c r="A2522" t="s">
        <v>32</v>
      </c>
      <c r="B2522" t="str">
        <f>"000902"</f>
        <v>000902</v>
      </c>
      <c r="C2522" t="s">
        <v>5090</v>
      </c>
      <c r="D2522" t="s">
        <v>144</v>
      </c>
      <c r="E2522">
        <v>-50708608</v>
      </c>
      <c r="F2522">
        <v>-238964282</v>
      </c>
      <c r="G2522">
        <v>537697462</v>
      </c>
      <c r="H2522">
        <v>231717054</v>
      </c>
      <c r="I2522">
        <v>-315207333</v>
      </c>
      <c r="J2522">
        <v>-324488104</v>
      </c>
      <c r="K2522">
        <v>-200737075</v>
      </c>
      <c r="L2522">
        <v>-116941243</v>
      </c>
      <c r="M2522">
        <v>-129363389</v>
      </c>
      <c r="N2522">
        <v>66653773</v>
      </c>
      <c r="O2522">
        <v>-25829812</v>
      </c>
      <c r="P2522">
        <v>407</v>
      </c>
      <c r="Q2522" t="s">
        <v>5091</v>
      </c>
    </row>
    <row r="2523" spans="1:17" x14ac:dyDescent="0.3">
      <c r="A2523" t="s">
        <v>17</v>
      </c>
      <c r="B2523" t="str">
        <f>"688310"</f>
        <v>688310</v>
      </c>
      <c r="C2523" t="s">
        <v>5092</v>
      </c>
      <c r="D2523" t="s">
        <v>135</v>
      </c>
      <c r="E2523">
        <v>-50716554</v>
      </c>
      <c r="F2523">
        <v>-5792400</v>
      </c>
      <c r="G2523">
        <v>-14528711</v>
      </c>
      <c r="H2523">
        <v>-51708814</v>
      </c>
      <c r="P2523">
        <v>93</v>
      </c>
      <c r="Q2523" t="s">
        <v>5093</v>
      </c>
    </row>
    <row r="2524" spans="1:17" x14ac:dyDescent="0.3">
      <c r="A2524" t="s">
        <v>17</v>
      </c>
      <c r="B2524" t="str">
        <f>"600749"</f>
        <v>600749</v>
      </c>
      <c r="C2524" t="s">
        <v>5094</v>
      </c>
      <c r="D2524" t="s">
        <v>497</v>
      </c>
      <c r="E2524">
        <v>-50725155</v>
      </c>
      <c r="F2524">
        <v>-37708064</v>
      </c>
      <c r="G2524">
        <v>-36072073</v>
      </c>
      <c r="H2524">
        <v>-27147726</v>
      </c>
      <c r="I2524">
        <v>-31870454</v>
      </c>
      <c r="J2524">
        <v>-26599413</v>
      </c>
      <c r="K2524">
        <v>-174114731</v>
      </c>
      <c r="L2524">
        <v>-25661252</v>
      </c>
      <c r="M2524">
        <v>-32393750</v>
      </c>
      <c r="N2524">
        <v>-53390979</v>
      </c>
      <c r="O2524">
        <v>-91793257</v>
      </c>
      <c r="P2524">
        <v>106</v>
      </c>
      <c r="Q2524" t="s">
        <v>5095</v>
      </c>
    </row>
    <row r="2525" spans="1:17" x14ac:dyDescent="0.3">
      <c r="A2525" t="s">
        <v>17</v>
      </c>
      <c r="B2525" t="str">
        <f>"600833"</f>
        <v>600833</v>
      </c>
      <c r="C2525" t="s">
        <v>5096</v>
      </c>
      <c r="D2525" t="s">
        <v>98</v>
      </c>
      <c r="E2525">
        <v>-50764065</v>
      </c>
      <c r="F2525">
        <v>11887810</v>
      </c>
      <c r="G2525">
        <v>-46771944</v>
      </c>
      <c r="H2525">
        <v>45019638</v>
      </c>
      <c r="I2525">
        <v>50881422</v>
      </c>
      <c r="J2525">
        <v>22168203</v>
      </c>
      <c r="K2525">
        <v>19762693</v>
      </c>
      <c r="L2525">
        <v>50224394</v>
      </c>
      <c r="M2525">
        <v>29910863</v>
      </c>
      <c r="N2525">
        <v>17231006</v>
      </c>
      <c r="O2525">
        <v>27496734</v>
      </c>
      <c r="P2525">
        <v>108</v>
      </c>
      <c r="Q2525" t="s">
        <v>5097</v>
      </c>
    </row>
    <row r="2526" spans="1:17" x14ac:dyDescent="0.3">
      <c r="A2526" t="s">
        <v>17</v>
      </c>
      <c r="B2526" t="str">
        <f>"688037"</f>
        <v>688037</v>
      </c>
      <c r="C2526" t="s">
        <v>5098</v>
      </c>
      <c r="D2526" t="s">
        <v>124</v>
      </c>
      <c r="E2526">
        <v>-50846430</v>
      </c>
      <c r="F2526">
        <v>-141103822</v>
      </c>
      <c r="G2526">
        <v>-26898545</v>
      </c>
      <c r="H2526">
        <v>-22160693</v>
      </c>
      <c r="P2526">
        <v>168</v>
      </c>
      <c r="Q2526" t="s">
        <v>5099</v>
      </c>
    </row>
    <row r="2527" spans="1:17" x14ac:dyDescent="0.3">
      <c r="A2527" t="s">
        <v>32</v>
      </c>
      <c r="B2527" t="str">
        <f>"300746"</f>
        <v>300746</v>
      </c>
      <c r="C2527" t="s">
        <v>5100</v>
      </c>
      <c r="D2527" t="s">
        <v>645</v>
      </c>
      <c r="E2527">
        <v>-50959002</v>
      </c>
      <c r="F2527">
        <v>-14218069</v>
      </c>
      <c r="G2527">
        <v>-34852046</v>
      </c>
      <c r="H2527">
        <v>-11552010</v>
      </c>
      <c r="I2527">
        <v>-1722567</v>
      </c>
      <c r="J2527">
        <v>-4828726</v>
      </c>
      <c r="P2527">
        <v>66</v>
      </c>
      <c r="Q2527" t="s">
        <v>5101</v>
      </c>
    </row>
    <row r="2528" spans="1:17" x14ac:dyDescent="0.3">
      <c r="A2528" t="s">
        <v>32</v>
      </c>
      <c r="B2528" t="str">
        <f>"300603"</f>
        <v>300603</v>
      </c>
      <c r="C2528" t="s">
        <v>5102</v>
      </c>
      <c r="D2528" t="s">
        <v>57</v>
      </c>
      <c r="E2528">
        <v>-50995259</v>
      </c>
      <c r="F2528">
        <v>-111125665</v>
      </c>
      <c r="G2528">
        <v>-124012217</v>
      </c>
      <c r="H2528">
        <v>-70297408</v>
      </c>
      <c r="I2528">
        <v>-140238759</v>
      </c>
      <c r="J2528">
        <v>-123318915</v>
      </c>
      <c r="K2528">
        <v>-44211243</v>
      </c>
      <c r="P2528">
        <v>196</v>
      </c>
      <c r="Q2528" t="s">
        <v>5103</v>
      </c>
    </row>
    <row r="2529" spans="1:17" x14ac:dyDescent="0.3">
      <c r="A2529" t="s">
        <v>17</v>
      </c>
      <c r="B2529" t="str">
        <f>"605255"</f>
        <v>605255</v>
      </c>
      <c r="C2529" t="s">
        <v>5104</v>
      </c>
      <c r="D2529" t="s">
        <v>199</v>
      </c>
      <c r="E2529">
        <v>-51077302</v>
      </c>
      <c r="F2529">
        <v>1176905</v>
      </c>
      <c r="G2529">
        <v>-4615757</v>
      </c>
      <c r="P2529">
        <v>51</v>
      </c>
      <c r="Q2529" t="s">
        <v>5105</v>
      </c>
    </row>
    <row r="2530" spans="1:17" x14ac:dyDescent="0.3">
      <c r="A2530" t="s">
        <v>32</v>
      </c>
      <c r="B2530" t="str">
        <f>"000548"</f>
        <v>000548</v>
      </c>
      <c r="C2530" t="s">
        <v>5106</v>
      </c>
      <c r="D2530" t="s">
        <v>46</v>
      </c>
      <c r="E2530">
        <v>-51182646</v>
      </c>
      <c r="F2530">
        <v>-359658030</v>
      </c>
      <c r="G2530">
        <v>-118722270</v>
      </c>
      <c r="H2530">
        <v>11890826</v>
      </c>
      <c r="I2530">
        <v>4631863</v>
      </c>
      <c r="J2530">
        <v>164093606</v>
      </c>
      <c r="K2530">
        <v>325827260</v>
      </c>
      <c r="L2530">
        <v>-30381692</v>
      </c>
      <c r="M2530">
        <v>3666481</v>
      </c>
      <c r="N2530">
        <v>21491204</v>
      </c>
      <c r="O2530">
        <v>40178337</v>
      </c>
      <c r="P2530">
        <v>90</v>
      </c>
      <c r="Q2530" t="s">
        <v>5107</v>
      </c>
    </row>
    <row r="2531" spans="1:17" x14ac:dyDescent="0.3">
      <c r="A2531" t="s">
        <v>32</v>
      </c>
      <c r="B2531" t="str">
        <f>"301059"</f>
        <v>301059</v>
      </c>
      <c r="C2531" t="s">
        <v>5108</v>
      </c>
      <c r="D2531" t="s">
        <v>144</v>
      </c>
      <c r="E2531">
        <v>-51236691</v>
      </c>
      <c r="P2531">
        <v>21</v>
      </c>
      <c r="Q2531" t="s">
        <v>5109</v>
      </c>
    </row>
    <row r="2532" spans="1:17" x14ac:dyDescent="0.3">
      <c r="A2532" t="s">
        <v>17</v>
      </c>
      <c r="B2532" t="str">
        <f>"688316"</f>
        <v>688316</v>
      </c>
      <c r="C2532" t="s">
        <v>5110</v>
      </c>
      <c r="D2532" t="s">
        <v>342</v>
      </c>
      <c r="E2532">
        <v>-51252163</v>
      </c>
      <c r="F2532">
        <v>-57872695</v>
      </c>
      <c r="G2532">
        <v>-46476597</v>
      </c>
      <c r="P2532">
        <v>31</v>
      </c>
      <c r="Q2532" t="s">
        <v>5111</v>
      </c>
    </row>
    <row r="2533" spans="1:17" x14ac:dyDescent="0.3">
      <c r="A2533" t="s">
        <v>32</v>
      </c>
      <c r="B2533" t="str">
        <f>"000025"</f>
        <v>000025</v>
      </c>
      <c r="C2533" t="s">
        <v>5112</v>
      </c>
      <c r="D2533" t="s">
        <v>199</v>
      </c>
      <c r="E2533">
        <v>-51290985</v>
      </c>
      <c r="F2533">
        <v>-23075663</v>
      </c>
      <c r="G2533">
        <v>-13588903</v>
      </c>
      <c r="H2533">
        <v>-13601544</v>
      </c>
      <c r="I2533">
        <v>-17865387</v>
      </c>
      <c r="J2533">
        <v>-2301119</v>
      </c>
      <c r="K2533">
        <v>-20124042</v>
      </c>
      <c r="L2533">
        <v>-2598680</v>
      </c>
      <c r="M2533">
        <v>-55675530</v>
      </c>
      <c r="N2533">
        <v>-8317624</v>
      </c>
      <c r="O2533">
        <v>-12011220</v>
      </c>
      <c r="P2533">
        <v>140</v>
      </c>
      <c r="Q2533" t="s">
        <v>5113</v>
      </c>
    </row>
    <row r="2534" spans="1:17" x14ac:dyDescent="0.3">
      <c r="A2534" t="s">
        <v>32</v>
      </c>
      <c r="B2534" t="str">
        <f>"002402"</f>
        <v>002402</v>
      </c>
      <c r="C2534" t="s">
        <v>5114</v>
      </c>
      <c r="D2534" t="s">
        <v>124</v>
      </c>
      <c r="E2534">
        <v>-51298821</v>
      </c>
      <c r="F2534">
        <v>-178636468</v>
      </c>
      <c r="G2534">
        <v>109472956</v>
      </c>
      <c r="H2534">
        <v>125649540</v>
      </c>
      <c r="I2534">
        <v>-85795903</v>
      </c>
      <c r="J2534">
        <v>58232836</v>
      </c>
      <c r="K2534">
        <v>-11584791</v>
      </c>
      <c r="L2534">
        <v>25191114</v>
      </c>
      <c r="M2534">
        <v>657974</v>
      </c>
      <c r="N2534">
        <v>8026306</v>
      </c>
      <c r="O2534">
        <v>-40566189</v>
      </c>
      <c r="P2534">
        <v>1282</v>
      </c>
      <c r="Q2534" t="s">
        <v>5115</v>
      </c>
    </row>
    <row r="2535" spans="1:17" x14ac:dyDescent="0.3">
      <c r="A2535" t="s">
        <v>32</v>
      </c>
      <c r="B2535" t="str">
        <f>"300910"</f>
        <v>300910</v>
      </c>
      <c r="C2535" t="s">
        <v>5116</v>
      </c>
      <c r="D2535" t="s">
        <v>144</v>
      </c>
      <c r="E2535">
        <v>-51346178</v>
      </c>
      <c r="F2535">
        <v>-28918721</v>
      </c>
      <c r="G2535">
        <v>-9747322</v>
      </c>
      <c r="P2535">
        <v>116</v>
      </c>
      <c r="Q2535" t="s">
        <v>5117</v>
      </c>
    </row>
    <row r="2536" spans="1:17" x14ac:dyDescent="0.3">
      <c r="A2536" t="s">
        <v>17</v>
      </c>
      <c r="B2536" t="str">
        <f>"600674"</f>
        <v>600674</v>
      </c>
      <c r="C2536" t="s">
        <v>5118</v>
      </c>
      <c r="D2536" t="s">
        <v>158</v>
      </c>
      <c r="E2536">
        <v>-51427472</v>
      </c>
      <c r="F2536">
        <v>-101779617</v>
      </c>
      <c r="G2536">
        <v>-13664661</v>
      </c>
      <c r="H2536">
        <v>117587169</v>
      </c>
      <c r="I2536">
        <v>178190894</v>
      </c>
      <c r="J2536">
        <v>151335255</v>
      </c>
      <c r="K2536">
        <v>161611651</v>
      </c>
      <c r="L2536">
        <v>259385842</v>
      </c>
      <c r="M2536">
        <v>110474811</v>
      </c>
      <c r="N2536">
        <v>196272626</v>
      </c>
      <c r="O2536">
        <v>93043753</v>
      </c>
      <c r="P2536">
        <v>1531</v>
      </c>
      <c r="Q2536" t="s">
        <v>5119</v>
      </c>
    </row>
    <row r="2537" spans="1:17" x14ac:dyDescent="0.3">
      <c r="A2537" t="s">
        <v>32</v>
      </c>
      <c r="B2537" t="str">
        <f>"300100"</f>
        <v>300100</v>
      </c>
      <c r="C2537" t="s">
        <v>5120</v>
      </c>
      <c r="D2537" t="s">
        <v>199</v>
      </c>
      <c r="E2537">
        <v>-51428617</v>
      </c>
      <c r="F2537">
        <v>43074038</v>
      </c>
      <c r="G2537">
        <v>199330126</v>
      </c>
      <c r="H2537">
        <v>45196449</v>
      </c>
      <c r="I2537">
        <v>17727785</v>
      </c>
      <c r="J2537">
        <v>-11507923</v>
      </c>
      <c r="K2537">
        <v>-32218523</v>
      </c>
      <c r="L2537">
        <v>6877755</v>
      </c>
      <c r="M2537">
        <v>-33714088</v>
      </c>
      <c r="N2537">
        <v>-14197847</v>
      </c>
      <c r="O2537">
        <v>30839435</v>
      </c>
      <c r="P2537">
        <v>129</v>
      </c>
      <c r="Q2537" t="s">
        <v>5121</v>
      </c>
    </row>
    <row r="2538" spans="1:17" x14ac:dyDescent="0.3">
      <c r="A2538" t="s">
        <v>32</v>
      </c>
      <c r="B2538" t="str">
        <f>"301117"</f>
        <v>301117</v>
      </c>
      <c r="C2538" t="s">
        <v>5122</v>
      </c>
      <c r="D2538" t="s">
        <v>342</v>
      </c>
      <c r="E2538">
        <v>-51432364</v>
      </c>
      <c r="P2538">
        <v>9</v>
      </c>
      <c r="Q2538" t="s">
        <v>5123</v>
      </c>
    </row>
    <row r="2539" spans="1:17" x14ac:dyDescent="0.3">
      <c r="A2539" t="s">
        <v>17</v>
      </c>
      <c r="B2539" t="str">
        <f>"600303"</f>
        <v>600303</v>
      </c>
      <c r="C2539" t="s">
        <v>5124</v>
      </c>
      <c r="D2539" t="s">
        <v>199</v>
      </c>
      <c r="E2539">
        <v>-51539043</v>
      </c>
      <c r="F2539">
        <v>-137403952</v>
      </c>
      <c r="G2539">
        <v>282023511</v>
      </c>
      <c r="H2539">
        <v>-159805360</v>
      </c>
      <c r="I2539">
        <v>74902537</v>
      </c>
      <c r="J2539">
        <v>41123857</v>
      </c>
      <c r="K2539">
        <v>-240492597</v>
      </c>
      <c r="L2539">
        <v>-233827194</v>
      </c>
      <c r="M2539">
        <v>-213121770</v>
      </c>
      <c r="N2539">
        <v>-380995783</v>
      </c>
      <c r="O2539">
        <v>-81453965</v>
      </c>
      <c r="P2539">
        <v>131</v>
      </c>
      <c r="Q2539" t="s">
        <v>5125</v>
      </c>
    </row>
    <row r="2540" spans="1:17" x14ac:dyDescent="0.3">
      <c r="A2540" t="s">
        <v>32</v>
      </c>
      <c r="B2540" t="str">
        <f>"300775"</f>
        <v>300775</v>
      </c>
      <c r="C2540" t="s">
        <v>5126</v>
      </c>
      <c r="D2540" t="s">
        <v>188</v>
      </c>
      <c r="E2540">
        <v>-51570547</v>
      </c>
      <c r="F2540">
        <v>-26585665</v>
      </c>
      <c r="G2540">
        <v>-47749812</v>
      </c>
      <c r="H2540">
        <v>-3889194</v>
      </c>
      <c r="I2540">
        <v>-27503961</v>
      </c>
      <c r="P2540">
        <v>187</v>
      </c>
      <c r="Q2540" t="s">
        <v>5127</v>
      </c>
    </row>
    <row r="2541" spans="1:17" x14ac:dyDescent="0.3">
      <c r="A2541" t="s">
        <v>32</v>
      </c>
      <c r="B2541" t="str">
        <f>"001212"</f>
        <v>001212</v>
      </c>
      <c r="C2541" t="s">
        <v>5128</v>
      </c>
      <c r="D2541" t="s">
        <v>400</v>
      </c>
      <c r="E2541">
        <v>-51597199</v>
      </c>
      <c r="F2541">
        <v>2710782</v>
      </c>
      <c r="G2541">
        <v>43675183</v>
      </c>
      <c r="P2541">
        <v>19</v>
      </c>
      <c r="Q2541" t="s">
        <v>5129</v>
      </c>
    </row>
    <row r="2542" spans="1:17" x14ac:dyDescent="0.3">
      <c r="A2542" t="s">
        <v>32</v>
      </c>
      <c r="B2542" t="str">
        <f>"300085"</f>
        <v>300085</v>
      </c>
      <c r="C2542" t="s">
        <v>5130</v>
      </c>
      <c r="D2542" t="s">
        <v>342</v>
      </c>
      <c r="E2542">
        <v>-51739851</v>
      </c>
      <c r="F2542">
        <v>-51471408</v>
      </c>
      <c r="G2542">
        <v>-37488498</v>
      </c>
      <c r="H2542">
        <v>-93530926</v>
      </c>
      <c r="I2542">
        <v>-77863866</v>
      </c>
      <c r="J2542">
        <v>-54281994</v>
      </c>
      <c r="K2542">
        <v>-87289506</v>
      </c>
      <c r="L2542">
        <v>-39388535</v>
      </c>
      <c r="M2542">
        <v>-19948803</v>
      </c>
      <c r="N2542">
        <v>-24437363</v>
      </c>
      <c r="O2542">
        <v>-32373255</v>
      </c>
      <c r="P2542">
        <v>255</v>
      </c>
      <c r="Q2542" t="s">
        <v>5131</v>
      </c>
    </row>
    <row r="2543" spans="1:17" x14ac:dyDescent="0.3">
      <c r="A2543" t="s">
        <v>17</v>
      </c>
      <c r="B2543" t="str">
        <f>"600636"</f>
        <v>600636</v>
      </c>
      <c r="C2543" t="s">
        <v>5132</v>
      </c>
      <c r="D2543" t="s">
        <v>497</v>
      </c>
      <c r="E2543">
        <v>-51785543</v>
      </c>
      <c r="F2543">
        <v>-67252932</v>
      </c>
      <c r="G2543">
        <v>-66867491</v>
      </c>
      <c r="H2543">
        <v>-59193553</v>
      </c>
      <c r="I2543">
        <v>124479645</v>
      </c>
      <c r="J2543">
        <v>-31154030</v>
      </c>
      <c r="K2543">
        <v>107216575</v>
      </c>
      <c r="L2543">
        <v>1834140</v>
      </c>
      <c r="M2543">
        <v>13485341</v>
      </c>
      <c r="N2543">
        <v>295769846</v>
      </c>
      <c r="O2543">
        <v>7205328</v>
      </c>
      <c r="P2543">
        <v>136</v>
      </c>
      <c r="Q2543" t="s">
        <v>5133</v>
      </c>
    </row>
    <row r="2544" spans="1:17" x14ac:dyDescent="0.3">
      <c r="A2544" t="s">
        <v>32</v>
      </c>
      <c r="B2544" t="str">
        <f>"300517"</f>
        <v>300517</v>
      </c>
      <c r="C2544" t="s">
        <v>5134</v>
      </c>
      <c r="D2544" t="s">
        <v>645</v>
      </c>
      <c r="E2544">
        <v>-51828228</v>
      </c>
      <c r="F2544">
        <v>-48808816</v>
      </c>
      <c r="G2544">
        <v>32340466</v>
      </c>
      <c r="H2544">
        <v>61002204</v>
      </c>
      <c r="I2544">
        <v>-54467726</v>
      </c>
      <c r="J2544">
        <v>-14235429</v>
      </c>
      <c r="K2544">
        <v>-33021596</v>
      </c>
      <c r="L2544">
        <v>19037077</v>
      </c>
      <c r="P2544">
        <v>76</v>
      </c>
      <c r="Q2544" t="s">
        <v>5135</v>
      </c>
    </row>
    <row r="2545" spans="1:17" x14ac:dyDescent="0.3">
      <c r="A2545" t="s">
        <v>32</v>
      </c>
      <c r="B2545" t="str">
        <f>"300778"</f>
        <v>300778</v>
      </c>
      <c r="C2545" t="s">
        <v>5136</v>
      </c>
      <c r="D2545" t="s">
        <v>645</v>
      </c>
      <c r="E2545">
        <v>-52014064</v>
      </c>
      <c r="F2545">
        <v>-97038147</v>
      </c>
      <c r="G2545">
        <v>-83540423</v>
      </c>
      <c r="H2545">
        <v>-73845513</v>
      </c>
      <c r="I2545">
        <v>-44233738</v>
      </c>
      <c r="P2545">
        <v>104</v>
      </c>
      <c r="Q2545" t="s">
        <v>5137</v>
      </c>
    </row>
    <row r="2546" spans="1:17" x14ac:dyDescent="0.3">
      <c r="A2546" t="s">
        <v>32</v>
      </c>
      <c r="B2546" t="str">
        <f>"301148"</f>
        <v>301148</v>
      </c>
      <c r="C2546" t="s">
        <v>5138</v>
      </c>
      <c r="E2546">
        <v>-52061046</v>
      </c>
      <c r="G2546">
        <v>-20975456</v>
      </c>
      <c r="P2546">
        <v>1</v>
      </c>
      <c r="Q2546" t="s">
        <v>5139</v>
      </c>
    </row>
    <row r="2547" spans="1:17" x14ac:dyDescent="0.3">
      <c r="A2547" t="s">
        <v>32</v>
      </c>
      <c r="B2547" t="str">
        <f>"301022"</f>
        <v>301022</v>
      </c>
      <c r="C2547" t="s">
        <v>5140</v>
      </c>
      <c r="D2547" t="s">
        <v>199</v>
      </c>
      <c r="E2547">
        <v>-52356735</v>
      </c>
      <c r="F2547">
        <v>8078884</v>
      </c>
      <c r="G2547">
        <v>-21120600</v>
      </c>
      <c r="P2547">
        <v>24</v>
      </c>
      <c r="Q2547" t="s">
        <v>5141</v>
      </c>
    </row>
    <row r="2548" spans="1:17" x14ac:dyDescent="0.3">
      <c r="A2548" t="s">
        <v>17</v>
      </c>
      <c r="B2548" t="str">
        <f>"603967"</f>
        <v>603967</v>
      </c>
      <c r="C2548" t="s">
        <v>5142</v>
      </c>
      <c r="D2548" t="s">
        <v>46</v>
      </c>
      <c r="E2548">
        <v>-52367216</v>
      </c>
      <c r="F2548">
        <v>-184368937</v>
      </c>
      <c r="G2548">
        <v>-32121484</v>
      </c>
      <c r="H2548">
        <v>24160413</v>
      </c>
      <c r="I2548">
        <v>55815528</v>
      </c>
      <c r="P2548">
        <v>85</v>
      </c>
      <c r="Q2548" t="s">
        <v>5143</v>
      </c>
    </row>
    <row r="2549" spans="1:17" x14ac:dyDescent="0.3">
      <c r="A2549" t="s">
        <v>32</v>
      </c>
      <c r="B2549" t="str">
        <f>"002715"</f>
        <v>002715</v>
      </c>
      <c r="C2549" t="s">
        <v>5144</v>
      </c>
      <c r="D2549" t="s">
        <v>199</v>
      </c>
      <c r="E2549">
        <v>-52458850</v>
      </c>
      <c r="F2549">
        <v>-23068697</v>
      </c>
      <c r="G2549">
        <v>-5897892</v>
      </c>
      <c r="H2549">
        <v>10000843</v>
      </c>
      <c r="I2549">
        <v>-2662142</v>
      </c>
      <c r="J2549">
        <v>18558302</v>
      </c>
      <c r="K2549">
        <v>5840924</v>
      </c>
      <c r="L2549">
        <v>-15421877</v>
      </c>
      <c r="M2549">
        <v>-37301550</v>
      </c>
      <c r="N2549">
        <v>-24673437</v>
      </c>
      <c r="P2549">
        <v>61</v>
      </c>
      <c r="Q2549" t="s">
        <v>5145</v>
      </c>
    </row>
    <row r="2550" spans="1:17" x14ac:dyDescent="0.3">
      <c r="A2550" t="s">
        <v>32</v>
      </c>
      <c r="B2550" t="str">
        <f>"002125"</f>
        <v>002125</v>
      </c>
      <c r="C2550" t="s">
        <v>5146</v>
      </c>
      <c r="D2550" t="s">
        <v>144</v>
      </c>
      <c r="E2550">
        <v>-52492648</v>
      </c>
      <c r="F2550">
        <v>-37869030</v>
      </c>
      <c r="G2550">
        <v>-19052075</v>
      </c>
      <c r="H2550">
        <v>-72045477</v>
      </c>
      <c r="I2550">
        <v>-42505585</v>
      </c>
      <c r="J2550">
        <v>-128646943</v>
      </c>
      <c r="K2550">
        <v>-89736098</v>
      </c>
      <c r="L2550">
        <v>-71651921</v>
      </c>
      <c r="M2550">
        <v>-31592865</v>
      </c>
      <c r="N2550">
        <v>21018802</v>
      </c>
      <c r="O2550">
        <v>-12423303</v>
      </c>
      <c r="P2550">
        <v>157</v>
      </c>
      <c r="Q2550" t="s">
        <v>5147</v>
      </c>
    </row>
    <row r="2551" spans="1:17" x14ac:dyDescent="0.3">
      <c r="A2551" t="s">
        <v>32</v>
      </c>
      <c r="B2551" t="str">
        <f>"300651"</f>
        <v>300651</v>
      </c>
      <c r="C2551" t="s">
        <v>5148</v>
      </c>
      <c r="D2551" t="s">
        <v>497</v>
      </c>
      <c r="E2551">
        <v>-52582442</v>
      </c>
      <c r="F2551">
        <v>-16378820</v>
      </c>
      <c r="G2551">
        <v>-24367060</v>
      </c>
      <c r="H2551">
        <v>-17088123</v>
      </c>
      <c r="I2551">
        <v>-49597954</v>
      </c>
      <c r="J2551">
        <v>-39225203</v>
      </c>
      <c r="K2551">
        <v>-29759245</v>
      </c>
      <c r="P2551">
        <v>99</v>
      </c>
      <c r="Q2551" t="s">
        <v>5149</v>
      </c>
    </row>
    <row r="2552" spans="1:17" x14ac:dyDescent="0.3">
      <c r="A2552" t="s">
        <v>17</v>
      </c>
      <c r="B2552" t="str">
        <f>"600327"</f>
        <v>600327</v>
      </c>
      <c r="C2552" t="s">
        <v>5150</v>
      </c>
      <c r="D2552" t="s">
        <v>199</v>
      </c>
      <c r="E2552">
        <v>-52591444</v>
      </c>
      <c r="F2552">
        <v>178007802</v>
      </c>
      <c r="G2552">
        <v>180192391</v>
      </c>
      <c r="H2552">
        <v>69893767</v>
      </c>
      <c r="I2552">
        <v>36601857</v>
      </c>
      <c r="J2552">
        <v>-95736530</v>
      </c>
      <c r="K2552">
        <v>40034334</v>
      </c>
      <c r="L2552">
        <v>103944840</v>
      </c>
      <c r="M2552">
        <v>-34575664</v>
      </c>
      <c r="N2552">
        <v>-49018125</v>
      </c>
      <c r="O2552">
        <v>-69399288</v>
      </c>
      <c r="P2552">
        <v>221</v>
      </c>
      <c r="Q2552" t="s">
        <v>5151</v>
      </c>
    </row>
    <row r="2553" spans="1:17" x14ac:dyDescent="0.3">
      <c r="A2553" t="s">
        <v>32</v>
      </c>
      <c r="B2553" t="str">
        <f>"002868"</f>
        <v>002868</v>
      </c>
      <c r="C2553" t="s">
        <v>5152</v>
      </c>
      <c r="D2553" t="s">
        <v>175</v>
      </c>
      <c r="E2553">
        <v>-52604280</v>
      </c>
      <c r="F2553">
        <v>-98748759</v>
      </c>
      <c r="G2553">
        <v>-7292891</v>
      </c>
      <c r="H2553">
        <v>-5586090</v>
      </c>
      <c r="I2553">
        <v>-9114072</v>
      </c>
      <c r="J2553">
        <v>15996009</v>
      </c>
      <c r="K2553">
        <v>26761193</v>
      </c>
      <c r="P2553">
        <v>88</v>
      </c>
      <c r="Q2553" t="s">
        <v>5153</v>
      </c>
    </row>
    <row r="2554" spans="1:17" x14ac:dyDescent="0.3">
      <c r="A2554" t="s">
        <v>32</v>
      </c>
      <c r="B2554" t="str">
        <f>"300291"</f>
        <v>300291</v>
      </c>
      <c r="C2554" t="s">
        <v>5154</v>
      </c>
      <c r="D2554" t="s">
        <v>245</v>
      </c>
      <c r="E2554">
        <v>-52737619</v>
      </c>
      <c r="F2554">
        <v>-4859983</v>
      </c>
      <c r="G2554">
        <v>44410079</v>
      </c>
      <c r="H2554">
        <v>-33158148</v>
      </c>
      <c r="I2554">
        <v>-37003281</v>
      </c>
      <c r="J2554">
        <v>71757089</v>
      </c>
      <c r="K2554">
        <v>-240864161</v>
      </c>
      <c r="L2554">
        <v>-116340427</v>
      </c>
      <c r="M2554">
        <v>-12133713</v>
      </c>
      <c r="N2554">
        <v>-11466167</v>
      </c>
      <c r="O2554">
        <v>-57209688</v>
      </c>
      <c r="P2554">
        <v>93</v>
      </c>
      <c r="Q2554" t="s">
        <v>5155</v>
      </c>
    </row>
    <row r="2555" spans="1:17" x14ac:dyDescent="0.3">
      <c r="A2555" t="s">
        <v>32</v>
      </c>
      <c r="B2555" t="str">
        <f>"301218"</f>
        <v>301218</v>
      </c>
      <c r="C2555" t="s">
        <v>5156</v>
      </c>
      <c r="E2555">
        <v>-52771673</v>
      </c>
      <c r="P2555">
        <v>8</v>
      </c>
      <c r="Q2555" t="s">
        <v>5157</v>
      </c>
    </row>
    <row r="2556" spans="1:17" x14ac:dyDescent="0.3">
      <c r="A2556" t="s">
        <v>17</v>
      </c>
      <c r="B2556" t="str">
        <f>"688157"</f>
        <v>688157</v>
      </c>
      <c r="C2556" t="s">
        <v>5158</v>
      </c>
      <c r="D2556" t="s">
        <v>144</v>
      </c>
      <c r="E2556">
        <v>-52784480</v>
      </c>
      <c r="F2556">
        <v>-4145679</v>
      </c>
      <c r="G2556">
        <v>13108775</v>
      </c>
      <c r="H2556">
        <v>-29526411</v>
      </c>
      <c r="P2556">
        <v>100</v>
      </c>
      <c r="Q2556" t="s">
        <v>5159</v>
      </c>
    </row>
    <row r="2557" spans="1:17" x14ac:dyDescent="0.3">
      <c r="A2557" t="s">
        <v>17</v>
      </c>
      <c r="B2557" t="str">
        <f>"900913"</f>
        <v>900913</v>
      </c>
      <c r="C2557" t="s">
        <v>5160</v>
      </c>
      <c r="E2557">
        <v>-52849426.2914</v>
      </c>
      <c r="F2557">
        <v>43469053.8288</v>
      </c>
      <c r="G2557">
        <v>-67530193.808899999</v>
      </c>
      <c r="H2557">
        <v>-56783024.476000004</v>
      </c>
      <c r="I2557">
        <v>-55235805.093599997</v>
      </c>
      <c r="J2557">
        <v>-61126209.605999999</v>
      </c>
      <c r="K2557">
        <v>-117897933.49240001</v>
      </c>
      <c r="L2557">
        <v>-26286647.426800001</v>
      </c>
      <c r="M2557">
        <v>-103301397.94320001</v>
      </c>
      <c r="N2557">
        <v>63137.116000000002</v>
      </c>
      <c r="O2557">
        <v>347815.82880000002</v>
      </c>
      <c r="P2557">
        <v>7</v>
      </c>
      <c r="Q2557" t="s">
        <v>5161</v>
      </c>
    </row>
    <row r="2558" spans="1:17" x14ac:dyDescent="0.3">
      <c r="A2558" t="s">
        <v>17</v>
      </c>
      <c r="B2558" t="str">
        <f>"688096"</f>
        <v>688096</v>
      </c>
      <c r="C2558" t="s">
        <v>5162</v>
      </c>
      <c r="D2558" t="s">
        <v>1334</v>
      </c>
      <c r="E2558">
        <v>-52919854</v>
      </c>
      <c r="F2558">
        <v>-83235420</v>
      </c>
      <c r="G2558">
        <v>-41315007</v>
      </c>
      <c r="H2558">
        <v>-12234608</v>
      </c>
      <c r="I2558">
        <v>-5129269</v>
      </c>
      <c r="P2558">
        <v>73</v>
      </c>
      <c r="Q2558" t="s">
        <v>5163</v>
      </c>
    </row>
    <row r="2559" spans="1:17" x14ac:dyDescent="0.3">
      <c r="A2559" t="s">
        <v>17</v>
      </c>
      <c r="B2559" t="str">
        <f>"688776"</f>
        <v>688776</v>
      </c>
      <c r="C2559" t="s">
        <v>5164</v>
      </c>
      <c r="D2559" t="s">
        <v>188</v>
      </c>
      <c r="E2559">
        <v>-52923407</v>
      </c>
      <c r="P2559">
        <v>23</v>
      </c>
      <c r="Q2559" t="s">
        <v>5165</v>
      </c>
    </row>
    <row r="2560" spans="1:17" x14ac:dyDescent="0.3">
      <c r="A2560" t="s">
        <v>17</v>
      </c>
      <c r="B2560" t="str">
        <f>"600870"</f>
        <v>600870</v>
      </c>
      <c r="C2560" t="s">
        <v>5166</v>
      </c>
      <c r="D2560" t="s">
        <v>218</v>
      </c>
      <c r="E2560">
        <v>-53152851</v>
      </c>
      <c r="F2560">
        <v>8624325</v>
      </c>
      <c r="G2560">
        <v>3589840</v>
      </c>
      <c r="H2560">
        <v>-4696456</v>
      </c>
      <c r="I2560">
        <v>10571858</v>
      </c>
      <c r="J2560">
        <v>-6619728</v>
      </c>
      <c r="K2560">
        <v>-2983817</v>
      </c>
      <c r="L2560">
        <v>30182697</v>
      </c>
      <c r="M2560">
        <v>86300915</v>
      </c>
      <c r="N2560">
        <v>20408649</v>
      </c>
      <c r="O2560">
        <v>82693584</v>
      </c>
      <c r="P2560">
        <v>55</v>
      </c>
      <c r="Q2560" t="s">
        <v>5167</v>
      </c>
    </row>
    <row r="2561" spans="1:17" x14ac:dyDescent="0.3">
      <c r="A2561" t="s">
        <v>32</v>
      </c>
      <c r="B2561" t="str">
        <f>"301012"</f>
        <v>301012</v>
      </c>
      <c r="C2561" t="s">
        <v>5168</v>
      </c>
      <c r="D2561" t="s">
        <v>464</v>
      </c>
      <c r="E2561">
        <v>-53185593</v>
      </c>
      <c r="F2561">
        <v>-26949137</v>
      </c>
      <c r="G2561">
        <v>-1382347</v>
      </c>
      <c r="P2561">
        <v>23</v>
      </c>
      <c r="Q2561" t="s">
        <v>5169</v>
      </c>
    </row>
    <row r="2562" spans="1:17" x14ac:dyDescent="0.3">
      <c r="A2562" t="s">
        <v>32</v>
      </c>
      <c r="B2562" t="str">
        <f>"002717"</f>
        <v>002717</v>
      </c>
      <c r="C2562" t="s">
        <v>5170</v>
      </c>
      <c r="D2562" t="s">
        <v>645</v>
      </c>
      <c r="E2562">
        <v>-53262009</v>
      </c>
      <c r="F2562">
        <v>-802263118</v>
      </c>
      <c r="G2562">
        <v>-446873975</v>
      </c>
      <c r="H2562">
        <v>-515116290</v>
      </c>
      <c r="I2562">
        <v>-503420809</v>
      </c>
      <c r="J2562">
        <v>-239484865</v>
      </c>
      <c r="K2562">
        <v>-62374071</v>
      </c>
      <c r="L2562">
        <v>-73126581</v>
      </c>
      <c r="M2562">
        <v>-63072737</v>
      </c>
      <c r="N2562">
        <v>-50693499</v>
      </c>
      <c r="P2562">
        <v>394</v>
      </c>
      <c r="Q2562" t="s">
        <v>5171</v>
      </c>
    </row>
    <row r="2563" spans="1:17" x14ac:dyDescent="0.3">
      <c r="A2563" t="s">
        <v>17</v>
      </c>
      <c r="B2563" t="str">
        <f>"603790"</f>
        <v>603790</v>
      </c>
      <c r="C2563" t="s">
        <v>5172</v>
      </c>
      <c r="D2563" t="s">
        <v>144</v>
      </c>
      <c r="E2563">
        <v>-53407829</v>
      </c>
      <c r="F2563">
        <v>-30001825</v>
      </c>
      <c r="G2563">
        <v>-9501351</v>
      </c>
      <c r="H2563">
        <v>25008622</v>
      </c>
      <c r="I2563">
        <v>-35962366</v>
      </c>
      <c r="P2563">
        <v>64</v>
      </c>
      <c r="Q2563" t="s">
        <v>5173</v>
      </c>
    </row>
    <row r="2564" spans="1:17" x14ac:dyDescent="0.3">
      <c r="A2564" t="s">
        <v>17</v>
      </c>
      <c r="B2564" t="str">
        <f>"605068"</f>
        <v>605068</v>
      </c>
      <c r="C2564" t="s">
        <v>5174</v>
      </c>
      <c r="D2564" t="s">
        <v>199</v>
      </c>
      <c r="E2564">
        <v>-53431463</v>
      </c>
      <c r="F2564">
        <v>74203206</v>
      </c>
      <c r="G2564">
        <v>72641578</v>
      </c>
      <c r="P2564">
        <v>90</v>
      </c>
      <c r="Q2564" t="s">
        <v>5175</v>
      </c>
    </row>
    <row r="2565" spans="1:17" x14ac:dyDescent="0.3">
      <c r="A2565" t="s">
        <v>32</v>
      </c>
      <c r="B2565" t="str">
        <f>"300991"</f>
        <v>300991</v>
      </c>
      <c r="C2565" t="s">
        <v>5176</v>
      </c>
      <c r="D2565" t="s">
        <v>124</v>
      </c>
      <c r="E2565">
        <v>-53559028</v>
      </c>
      <c r="F2565">
        <v>-76512523</v>
      </c>
      <c r="G2565">
        <v>2730457</v>
      </c>
      <c r="P2565">
        <v>58</v>
      </c>
      <c r="Q2565" t="s">
        <v>5177</v>
      </c>
    </row>
    <row r="2566" spans="1:17" x14ac:dyDescent="0.3">
      <c r="A2566" t="s">
        <v>32</v>
      </c>
      <c r="B2566" t="str">
        <f>"002674"</f>
        <v>002674</v>
      </c>
      <c r="C2566" t="s">
        <v>5178</v>
      </c>
      <c r="D2566" t="s">
        <v>130</v>
      </c>
      <c r="E2566">
        <v>-53571082</v>
      </c>
      <c r="F2566">
        <v>3417977</v>
      </c>
      <c r="G2566">
        <v>-63853314</v>
      </c>
      <c r="H2566">
        <v>-127060582</v>
      </c>
      <c r="I2566">
        <v>43313144</v>
      </c>
      <c r="J2566">
        <v>-328450374</v>
      </c>
      <c r="K2566">
        <v>58031017</v>
      </c>
      <c r="L2566">
        <v>-202943939</v>
      </c>
      <c r="M2566">
        <v>-116378874</v>
      </c>
      <c r="N2566">
        <v>-293458533</v>
      </c>
      <c r="O2566">
        <v>-33610280</v>
      </c>
      <c r="P2566">
        <v>102</v>
      </c>
      <c r="Q2566" t="s">
        <v>5179</v>
      </c>
    </row>
    <row r="2567" spans="1:17" x14ac:dyDescent="0.3">
      <c r="A2567" t="s">
        <v>32</v>
      </c>
      <c r="B2567" t="str">
        <f>"300854"</f>
        <v>300854</v>
      </c>
      <c r="C2567" t="s">
        <v>5180</v>
      </c>
      <c r="D2567" t="s">
        <v>1334</v>
      </c>
      <c r="E2567">
        <v>-53597449</v>
      </c>
      <c r="P2567">
        <v>19</v>
      </c>
      <c r="Q2567" t="s">
        <v>5181</v>
      </c>
    </row>
    <row r="2568" spans="1:17" x14ac:dyDescent="0.3">
      <c r="A2568" t="s">
        <v>32</v>
      </c>
      <c r="B2568" t="str">
        <f>"301018"</f>
        <v>301018</v>
      </c>
      <c r="C2568" t="s">
        <v>5182</v>
      </c>
      <c r="D2568" t="s">
        <v>135</v>
      </c>
      <c r="E2568">
        <v>-53602163</v>
      </c>
      <c r="F2568">
        <v>-74568683</v>
      </c>
      <c r="G2568">
        <v>-97629392</v>
      </c>
      <c r="P2568">
        <v>37</v>
      </c>
      <c r="Q2568" t="s">
        <v>5183</v>
      </c>
    </row>
    <row r="2569" spans="1:17" x14ac:dyDescent="0.3">
      <c r="A2569" t="s">
        <v>17</v>
      </c>
      <c r="B2569" t="str">
        <f>"603399"</f>
        <v>603399</v>
      </c>
      <c r="C2569" t="s">
        <v>5184</v>
      </c>
      <c r="D2569" t="s">
        <v>121</v>
      </c>
      <c r="E2569">
        <v>-53740986</v>
      </c>
      <c r="F2569">
        <v>60677528</v>
      </c>
      <c r="G2569">
        <v>-118818304</v>
      </c>
      <c r="H2569">
        <v>213955325</v>
      </c>
      <c r="I2569">
        <v>63958581</v>
      </c>
      <c r="J2569">
        <v>-26104179</v>
      </c>
      <c r="K2569">
        <v>82818616</v>
      </c>
      <c r="L2569">
        <v>-62547869</v>
      </c>
      <c r="M2569">
        <v>52138472</v>
      </c>
      <c r="N2569">
        <v>-302016609</v>
      </c>
      <c r="O2569">
        <v>-324157148</v>
      </c>
      <c r="P2569">
        <v>72</v>
      </c>
      <c r="Q2569" t="s">
        <v>5185</v>
      </c>
    </row>
    <row r="2570" spans="1:17" x14ac:dyDescent="0.3">
      <c r="A2570" t="s">
        <v>32</v>
      </c>
      <c r="B2570" t="str">
        <f>"300342"</f>
        <v>300342</v>
      </c>
      <c r="C2570" t="s">
        <v>5186</v>
      </c>
      <c r="D2570" t="s">
        <v>127</v>
      </c>
      <c r="E2570">
        <v>-53742736</v>
      </c>
      <c r="F2570">
        <v>-67052859</v>
      </c>
      <c r="G2570">
        <v>24579131</v>
      </c>
      <c r="H2570">
        <v>-23250356</v>
      </c>
      <c r="I2570">
        <v>-34311817</v>
      </c>
      <c r="J2570">
        <v>-32382206</v>
      </c>
      <c r="K2570">
        <v>-26628827</v>
      </c>
      <c r="L2570">
        <v>-266209</v>
      </c>
      <c r="M2570">
        <v>-5000546</v>
      </c>
      <c r="N2570">
        <v>-4502189</v>
      </c>
      <c r="O2570">
        <v>2753390</v>
      </c>
      <c r="P2570">
        <v>181</v>
      </c>
      <c r="Q2570" t="s">
        <v>5187</v>
      </c>
    </row>
    <row r="2571" spans="1:17" x14ac:dyDescent="0.3">
      <c r="A2571" t="s">
        <v>32</v>
      </c>
      <c r="B2571" t="str">
        <f>"300212"</f>
        <v>300212</v>
      </c>
      <c r="C2571" t="s">
        <v>5188</v>
      </c>
      <c r="D2571" t="s">
        <v>342</v>
      </c>
      <c r="E2571">
        <v>-53749801</v>
      </c>
      <c r="F2571">
        <v>-334897494</v>
      </c>
      <c r="G2571">
        <v>-190990770</v>
      </c>
      <c r="H2571">
        <v>-103495298</v>
      </c>
      <c r="I2571">
        <v>-499447570</v>
      </c>
      <c r="J2571">
        <v>-588184234</v>
      </c>
      <c r="K2571">
        <v>-201558006</v>
      </c>
      <c r="L2571">
        <v>-156331545</v>
      </c>
      <c r="M2571">
        <v>-159772621</v>
      </c>
      <c r="N2571">
        <v>-53693786</v>
      </c>
      <c r="O2571">
        <v>-58460195</v>
      </c>
      <c r="P2571">
        <v>389</v>
      </c>
      <c r="Q2571" t="s">
        <v>5189</v>
      </c>
    </row>
    <row r="2572" spans="1:17" x14ac:dyDescent="0.3">
      <c r="A2572" t="s">
        <v>32</v>
      </c>
      <c r="B2572" t="str">
        <f>"300559"</f>
        <v>300559</v>
      </c>
      <c r="C2572" t="s">
        <v>5190</v>
      </c>
      <c r="D2572" t="s">
        <v>342</v>
      </c>
      <c r="E2572">
        <v>-54013955</v>
      </c>
      <c r="F2572">
        <v>-88736022</v>
      </c>
      <c r="G2572">
        <v>-59610253</v>
      </c>
      <c r="H2572">
        <v>-8499354</v>
      </c>
      <c r="I2572">
        <v>-41710529</v>
      </c>
      <c r="J2572">
        <v>-8397954</v>
      </c>
      <c r="K2572">
        <v>-12248064</v>
      </c>
      <c r="P2572">
        <v>369</v>
      </c>
      <c r="Q2572" t="s">
        <v>5191</v>
      </c>
    </row>
    <row r="2573" spans="1:17" x14ac:dyDescent="0.3">
      <c r="A2573" t="s">
        <v>32</v>
      </c>
      <c r="B2573" t="str">
        <f>"300684"</f>
        <v>300684</v>
      </c>
      <c r="C2573" t="s">
        <v>5192</v>
      </c>
      <c r="D2573" t="s">
        <v>124</v>
      </c>
      <c r="E2573">
        <v>-54137235</v>
      </c>
      <c r="F2573">
        <v>-1998841</v>
      </c>
      <c r="G2573">
        <v>37153097</v>
      </c>
      <c r="H2573">
        <v>37234113</v>
      </c>
      <c r="I2573">
        <v>43843226</v>
      </c>
      <c r="J2573">
        <v>-19244352</v>
      </c>
      <c r="P2573">
        <v>348</v>
      </c>
      <c r="Q2573" t="s">
        <v>5193</v>
      </c>
    </row>
    <row r="2574" spans="1:17" x14ac:dyDescent="0.3">
      <c r="A2574" t="s">
        <v>32</v>
      </c>
      <c r="B2574" t="str">
        <f>"000622"</f>
        <v>000622</v>
      </c>
      <c r="C2574" t="s">
        <v>5194</v>
      </c>
      <c r="D2574" t="s">
        <v>345</v>
      </c>
      <c r="E2574">
        <v>-54260807</v>
      </c>
      <c r="F2574">
        <v>-81152559</v>
      </c>
      <c r="G2574">
        <v>-56693306</v>
      </c>
      <c r="H2574">
        <v>-104264643</v>
      </c>
      <c r="I2574">
        <v>-15499539</v>
      </c>
      <c r="J2574">
        <v>-13861985</v>
      </c>
      <c r="K2574">
        <v>-9728433</v>
      </c>
      <c r="L2574">
        <v>-8634982</v>
      </c>
      <c r="M2574">
        <v>-40907133</v>
      </c>
      <c r="N2574">
        <v>-6064387</v>
      </c>
      <c r="O2574">
        <v>-5018529</v>
      </c>
      <c r="P2574">
        <v>101</v>
      </c>
      <c r="Q2574" t="s">
        <v>5195</v>
      </c>
    </row>
    <row r="2575" spans="1:17" x14ac:dyDescent="0.3">
      <c r="A2575" t="s">
        <v>32</v>
      </c>
      <c r="B2575" t="str">
        <f>"300315"</f>
        <v>300315</v>
      </c>
      <c r="C2575" t="s">
        <v>5196</v>
      </c>
      <c r="D2575" t="s">
        <v>245</v>
      </c>
      <c r="E2575">
        <v>-54328560</v>
      </c>
      <c r="F2575">
        <v>-92999621</v>
      </c>
      <c r="G2575">
        <v>20176340</v>
      </c>
      <c r="H2575">
        <v>-5450361</v>
      </c>
      <c r="I2575">
        <v>23601084</v>
      </c>
      <c r="J2575">
        <v>123128466</v>
      </c>
      <c r="K2575">
        <v>157125663</v>
      </c>
      <c r="L2575">
        <v>8548726</v>
      </c>
      <c r="M2575">
        <v>6695095</v>
      </c>
      <c r="N2575">
        <v>-4456997</v>
      </c>
      <c r="O2575">
        <v>-1657311</v>
      </c>
      <c r="P2575">
        <v>456</v>
      </c>
      <c r="Q2575" t="s">
        <v>5197</v>
      </c>
    </row>
    <row r="2576" spans="1:17" x14ac:dyDescent="0.3">
      <c r="A2576" t="s">
        <v>17</v>
      </c>
      <c r="B2576" t="str">
        <f>"688378"</f>
        <v>688378</v>
      </c>
      <c r="C2576" t="s">
        <v>5198</v>
      </c>
      <c r="D2576" t="s">
        <v>135</v>
      </c>
      <c r="E2576">
        <v>-54331155</v>
      </c>
      <c r="F2576">
        <v>-109258439</v>
      </c>
      <c r="G2576">
        <v>-98137907</v>
      </c>
      <c r="P2576">
        <v>50</v>
      </c>
      <c r="Q2576" t="s">
        <v>5199</v>
      </c>
    </row>
    <row r="2577" spans="1:17" x14ac:dyDescent="0.3">
      <c r="A2577" t="s">
        <v>32</v>
      </c>
      <c r="B2577" t="str">
        <f>"002747"</f>
        <v>002747</v>
      </c>
      <c r="C2577" t="s">
        <v>5200</v>
      </c>
      <c r="D2577" t="s">
        <v>135</v>
      </c>
      <c r="E2577">
        <v>-54360004</v>
      </c>
      <c r="F2577">
        <v>9449117</v>
      </c>
      <c r="G2577">
        <v>-33211230</v>
      </c>
      <c r="H2577">
        <v>-4426143</v>
      </c>
      <c r="I2577">
        <v>-153994464</v>
      </c>
      <c r="J2577">
        <v>-77906449</v>
      </c>
      <c r="K2577">
        <v>-20236285</v>
      </c>
      <c r="L2577">
        <v>-7180907</v>
      </c>
      <c r="M2577">
        <v>-12687646</v>
      </c>
      <c r="P2577">
        <v>474</v>
      </c>
      <c r="Q2577" t="s">
        <v>5201</v>
      </c>
    </row>
    <row r="2578" spans="1:17" x14ac:dyDescent="0.3">
      <c r="A2578" t="s">
        <v>32</v>
      </c>
      <c r="B2578" t="str">
        <f>"300062"</f>
        <v>300062</v>
      </c>
      <c r="C2578" t="s">
        <v>5202</v>
      </c>
      <c r="D2578" t="s">
        <v>464</v>
      </c>
      <c r="E2578">
        <v>-54449645</v>
      </c>
      <c r="F2578">
        <v>13638148</v>
      </c>
      <c r="G2578">
        <v>-23346166</v>
      </c>
      <c r="H2578">
        <v>-23582632</v>
      </c>
      <c r="I2578">
        <v>-105636384</v>
      </c>
      <c r="J2578">
        <v>-63036037</v>
      </c>
      <c r="K2578">
        <v>31538403</v>
      </c>
      <c r="L2578">
        <v>16064188</v>
      </c>
      <c r="M2578">
        <v>-47154402</v>
      </c>
      <c r="N2578">
        <v>-20701719</v>
      </c>
      <c r="O2578">
        <v>-13712719</v>
      </c>
      <c r="P2578">
        <v>125</v>
      </c>
      <c r="Q2578" t="s">
        <v>5203</v>
      </c>
    </row>
    <row r="2579" spans="1:17" x14ac:dyDescent="0.3">
      <c r="A2579" t="s">
        <v>32</v>
      </c>
      <c r="B2579" t="str">
        <f>"002454"</f>
        <v>002454</v>
      </c>
      <c r="C2579" t="s">
        <v>5204</v>
      </c>
      <c r="D2579" t="s">
        <v>199</v>
      </c>
      <c r="E2579">
        <v>-54455684</v>
      </c>
      <c r="F2579">
        <v>113025105</v>
      </c>
      <c r="G2579">
        <v>206706535</v>
      </c>
      <c r="H2579">
        <v>99135922</v>
      </c>
      <c r="I2579">
        <v>-92415201</v>
      </c>
      <c r="J2579">
        <v>-11352598</v>
      </c>
      <c r="K2579">
        <v>-65600928</v>
      </c>
      <c r="L2579">
        <v>-34597360</v>
      </c>
      <c r="M2579">
        <v>13155394</v>
      </c>
      <c r="N2579">
        <v>65575693</v>
      </c>
      <c r="O2579">
        <v>-7451104</v>
      </c>
      <c r="P2579">
        <v>191</v>
      </c>
      <c r="Q2579" t="s">
        <v>5205</v>
      </c>
    </row>
    <row r="2580" spans="1:17" x14ac:dyDescent="0.3">
      <c r="A2580" t="s">
        <v>32</v>
      </c>
      <c r="B2580" t="str">
        <f>"300798"</f>
        <v>300798</v>
      </c>
      <c r="C2580" t="s">
        <v>5206</v>
      </c>
      <c r="D2580" t="s">
        <v>144</v>
      </c>
      <c r="E2580">
        <v>-54491807</v>
      </c>
      <c r="F2580">
        <v>-25062432</v>
      </c>
      <c r="G2580">
        <v>-10386705</v>
      </c>
      <c r="H2580">
        <v>9303510</v>
      </c>
      <c r="P2580">
        <v>55</v>
      </c>
      <c r="Q2580" t="s">
        <v>5207</v>
      </c>
    </row>
    <row r="2581" spans="1:17" x14ac:dyDescent="0.3">
      <c r="A2581" t="s">
        <v>32</v>
      </c>
      <c r="B2581" t="str">
        <f>"002114"</f>
        <v>002114</v>
      </c>
      <c r="C2581" t="s">
        <v>5208</v>
      </c>
      <c r="D2581" t="s">
        <v>121</v>
      </c>
      <c r="E2581">
        <v>-54523694</v>
      </c>
      <c r="F2581">
        <v>-29154227</v>
      </c>
      <c r="G2581">
        <v>-110614557</v>
      </c>
      <c r="H2581">
        <v>-28127378</v>
      </c>
      <c r="I2581">
        <v>8261985</v>
      </c>
      <c r="J2581">
        <v>-176743278</v>
      </c>
      <c r="K2581">
        <v>-122278783</v>
      </c>
      <c r="L2581">
        <v>50522147</v>
      </c>
      <c r="M2581">
        <v>58545714</v>
      </c>
      <c r="N2581">
        <v>32898835</v>
      </c>
      <c r="O2581">
        <v>231908892</v>
      </c>
      <c r="P2581">
        <v>73</v>
      </c>
      <c r="Q2581" t="s">
        <v>5209</v>
      </c>
    </row>
    <row r="2582" spans="1:17" x14ac:dyDescent="0.3">
      <c r="A2582" t="s">
        <v>17</v>
      </c>
      <c r="B2582" t="str">
        <f>"603909"</f>
        <v>603909</v>
      </c>
      <c r="C2582" t="s">
        <v>5210</v>
      </c>
      <c r="D2582" t="s">
        <v>645</v>
      </c>
      <c r="E2582">
        <v>-54530363</v>
      </c>
      <c r="F2582">
        <v>-25615266</v>
      </c>
      <c r="G2582">
        <v>-24038133</v>
      </c>
      <c r="H2582">
        <v>-30305187</v>
      </c>
      <c r="I2582">
        <v>-30026384</v>
      </c>
      <c r="J2582">
        <v>-24434574</v>
      </c>
      <c r="K2582">
        <v>-18093916</v>
      </c>
      <c r="P2582">
        <v>65</v>
      </c>
      <c r="Q2582" t="s">
        <v>5211</v>
      </c>
    </row>
    <row r="2583" spans="1:17" x14ac:dyDescent="0.3">
      <c r="A2583" t="s">
        <v>32</v>
      </c>
      <c r="B2583" t="str">
        <f>"300426"</f>
        <v>300426</v>
      </c>
      <c r="C2583" t="s">
        <v>5212</v>
      </c>
      <c r="D2583" t="s">
        <v>245</v>
      </c>
      <c r="E2583">
        <v>-54579668</v>
      </c>
      <c r="F2583">
        <v>6616134</v>
      </c>
      <c r="G2583">
        <v>-110841916</v>
      </c>
      <c r="H2583">
        <v>-172167634</v>
      </c>
      <c r="I2583">
        <v>-55941425</v>
      </c>
      <c r="J2583">
        <v>-198804546</v>
      </c>
      <c r="K2583">
        <v>-189062611</v>
      </c>
      <c r="L2583">
        <v>-38601553</v>
      </c>
      <c r="M2583">
        <v>-98881758</v>
      </c>
      <c r="P2583">
        <v>130</v>
      </c>
      <c r="Q2583" t="s">
        <v>5213</v>
      </c>
    </row>
    <row r="2584" spans="1:17" x14ac:dyDescent="0.3">
      <c r="A2584" t="s">
        <v>32</v>
      </c>
      <c r="B2584" t="str">
        <f>"300838"</f>
        <v>300838</v>
      </c>
      <c r="C2584" t="s">
        <v>5214</v>
      </c>
      <c r="D2584" t="s">
        <v>135</v>
      </c>
      <c r="E2584">
        <v>-54682604</v>
      </c>
      <c r="F2584">
        <v>-8301185</v>
      </c>
      <c r="G2584">
        <v>-4717530</v>
      </c>
      <c r="H2584">
        <v>-22830052</v>
      </c>
      <c r="P2584">
        <v>39</v>
      </c>
      <c r="Q2584" t="s">
        <v>5215</v>
      </c>
    </row>
    <row r="2585" spans="1:17" x14ac:dyDescent="0.3">
      <c r="A2585" t="s">
        <v>32</v>
      </c>
      <c r="B2585" t="str">
        <f>"300351"</f>
        <v>300351</v>
      </c>
      <c r="C2585" t="s">
        <v>5216</v>
      </c>
      <c r="D2585" t="s">
        <v>135</v>
      </c>
      <c r="E2585">
        <v>-54703443</v>
      </c>
      <c r="F2585">
        <v>-75785217</v>
      </c>
      <c r="G2585">
        <v>-2212097</v>
      </c>
      <c r="H2585">
        <v>-59293762</v>
      </c>
      <c r="I2585">
        <v>-16184039</v>
      </c>
      <c r="J2585">
        <v>-54277235</v>
      </c>
      <c r="K2585">
        <v>-18236536</v>
      </c>
      <c r="L2585">
        <v>-78979354</v>
      </c>
      <c r="M2585">
        <v>-5829077</v>
      </c>
      <c r="N2585">
        <v>2072689</v>
      </c>
      <c r="O2585">
        <v>-2971876</v>
      </c>
      <c r="P2585">
        <v>235</v>
      </c>
      <c r="Q2585" t="s">
        <v>5217</v>
      </c>
    </row>
    <row r="2586" spans="1:17" x14ac:dyDescent="0.3">
      <c r="A2586" t="s">
        <v>17</v>
      </c>
      <c r="B2586" t="str">
        <f>"603773"</f>
        <v>603773</v>
      </c>
      <c r="C2586" t="s">
        <v>5218</v>
      </c>
      <c r="D2586" t="s">
        <v>124</v>
      </c>
      <c r="E2586">
        <v>-54794375</v>
      </c>
      <c r="F2586">
        <v>-151400044</v>
      </c>
      <c r="G2586">
        <v>4266912</v>
      </c>
      <c r="H2586">
        <v>8193738</v>
      </c>
      <c r="I2586">
        <v>64186855</v>
      </c>
      <c r="J2586">
        <v>14472763</v>
      </c>
      <c r="P2586">
        <v>141</v>
      </c>
      <c r="Q2586" t="s">
        <v>5219</v>
      </c>
    </row>
    <row r="2587" spans="1:17" x14ac:dyDescent="0.3">
      <c r="A2587" t="s">
        <v>32</v>
      </c>
      <c r="B2587" t="str">
        <f>"002722"</f>
        <v>002722</v>
      </c>
      <c r="C2587" t="s">
        <v>5220</v>
      </c>
      <c r="D2587" t="s">
        <v>130</v>
      </c>
      <c r="E2587">
        <v>-54833866</v>
      </c>
      <c r="F2587">
        <v>-33360551</v>
      </c>
      <c r="G2587">
        <v>32931620</v>
      </c>
      <c r="H2587">
        <v>-116677280</v>
      </c>
      <c r="I2587">
        <v>-107130959</v>
      </c>
      <c r="J2587">
        <v>-48547907</v>
      </c>
      <c r="K2587">
        <v>-8517618</v>
      </c>
      <c r="L2587">
        <v>-6351625</v>
      </c>
      <c r="M2587">
        <v>-17524265</v>
      </c>
      <c r="N2587">
        <v>-25440685</v>
      </c>
      <c r="P2587">
        <v>102</v>
      </c>
      <c r="Q2587" t="s">
        <v>5221</v>
      </c>
    </row>
    <row r="2588" spans="1:17" x14ac:dyDescent="0.3">
      <c r="A2588" t="s">
        <v>17</v>
      </c>
      <c r="B2588" t="str">
        <f>"603811"</f>
        <v>603811</v>
      </c>
      <c r="C2588" t="s">
        <v>5222</v>
      </c>
      <c r="D2588" t="s">
        <v>98</v>
      </c>
      <c r="E2588">
        <v>-54916788</v>
      </c>
      <c r="F2588">
        <v>-1140703</v>
      </c>
      <c r="G2588">
        <v>-18367842</v>
      </c>
      <c r="H2588">
        <v>-13776969</v>
      </c>
      <c r="I2588">
        <v>-28978430</v>
      </c>
      <c r="J2588">
        <v>-10475926</v>
      </c>
      <c r="K2588">
        <v>4442960</v>
      </c>
      <c r="P2588">
        <v>328</v>
      </c>
      <c r="Q2588" t="s">
        <v>5223</v>
      </c>
    </row>
    <row r="2589" spans="1:17" x14ac:dyDescent="0.3">
      <c r="A2589" t="s">
        <v>32</v>
      </c>
      <c r="B2589" t="str">
        <f>"300545"</f>
        <v>300545</v>
      </c>
      <c r="C2589" t="s">
        <v>5224</v>
      </c>
      <c r="D2589" t="s">
        <v>124</v>
      </c>
      <c r="E2589">
        <v>-54934316</v>
      </c>
      <c r="F2589">
        <v>-85628622</v>
      </c>
      <c r="G2589">
        <v>-70862568</v>
      </c>
      <c r="H2589">
        <v>54873579</v>
      </c>
      <c r="I2589">
        <v>-142810895</v>
      </c>
      <c r="J2589">
        <v>-41648487</v>
      </c>
      <c r="K2589">
        <v>9033272</v>
      </c>
      <c r="P2589">
        <v>182</v>
      </c>
      <c r="Q2589" t="s">
        <v>5225</v>
      </c>
    </row>
    <row r="2590" spans="1:17" x14ac:dyDescent="0.3">
      <c r="A2590" t="s">
        <v>32</v>
      </c>
      <c r="B2590" t="str">
        <f>"300789"</f>
        <v>300789</v>
      </c>
      <c r="C2590" t="s">
        <v>5226</v>
      </c>
      <c r="D2590" t="s">
        <v>342</v>
      </c>
      <c r="E2590">
        <v>-54985442</v>
      </c>
      <c r="F2590">
        <v>-30329747</v>
      </c>
      <c r="G2590">
        <v>9143034</v>
      </c>
      <c r="H2590">
        <v>-6159266</v>
      </c>
      <c r="P2590">
        <v>79</v>
      </c>
      <c r="Q2590" t="s">
        <v>5227</v>
      </c>
    </row>
    <row r="2591" spans="1:17" x14ac:dyDescent="0.3">
      <c r="A2591" t="s">
        <v>32</v>
      </c>
      <c r="B2591" t="str">
        <f>"002977"</f>
        <v>002977</v>
      </c>
      <c r="C2591" t="s">
        <v>5228</v>
      </c>
      <c r="D2591" t="s">
        <v>188</v>
      </c>
      <c r="E2591">
        <v>-55018276</v>
      </c>
      <c r="F2591">
        <v>-40722649</v>
      </c>
      <c r="G2591">
        <v>-17827188</v>
      </c>
      <c r="H2591">
        <v>-56028971</v>
      </c>
      <c r="P2591">
        <v>126</v>
      </c>
      <c r="Q2591" t="s">
        <v>5229</v>
      </c>
    </row>
    <row r="2592" spans="1:17" x14ac:dyDescent="0.3">
      <c r="A2592" t="s">
        <v>32</v>
      </c>
      <c r="B2592" t="str">
        <f>"301092"</f>
        <v>301092</v>
      </c>
      <c r="C2592" t="s">
        <v>5230</v>
      </c>
      <c r="D2592" t="s">
        <v>144</v>
      </c>
      <c r="E2592">
        <v>-55073566</v>
      </c>
      <c r="G2592">
        <v>5803563</v>
      </c>
      <c r="P2592">
        <v>22</v>
      </c>
      <c r="Q2592" t="s">
        <v>5231</v>
      </c>
    </row>
    <row r="2593" spans="1:17" x14ac:dyDescent="0.3">
      <c r="A2593" t="s">
        <v>32</v>
      </c>
      <c r="B2593" t="str">
        <f>"002227"</f>
        <v>002227</v>
      </c>
      <c r="C2593" t="s">
        <v>5232</v>
      </c>
      <c r="D2593" t="s">
        <v>464</v>
      </c>
      <c r="E2593">
        <v>-55092706</v>
      </c>
      <c r="F2593">
        <v>-21815027</v>
      </c>
      <c r="G2593">
        <v>-29457363</v>
      </c>
      <c r="H2593">
        <v>-48738360</v>
      </c>
      <c r="I2593">
        <v>-42679179</v>
      </c>
      <c r="J2593">
        <v>-33146040</v>
      </c>
      <c r="K2593">
        <v>-101402545</v>
      </c>
      <c r="L2593">
        <v>-20730770</v>
      </c>
      <c r="M2593">
        <v>-56152711</v>
      </c>
      <c r="N2593">
        <v>-21915027</v>
      </c>
      <c r="O2593">
        <v>-21489505</v>
      </c>
      <c r="P2593">
        <v>162</v>
      </c>
      <c r="Q2593" t="s">
        <v>5233</v>
      </c>
    </row>
    <row r="2594" spans="1:17" x14ac:dyDescent="0.3">
      <c r="A2594" t="s">
        <v>17</v>
      </c>
      <c r="B2594" t="str">
        <f>"601366"</f>
        <v>601366</v>
      </c>
      <c r="C2594" t="s">
        <v>5234</v>
      </c>
      <c r="D2594" t="s">
        <v>218</v>
      </c>
      <c r="E2594">
        <v>-55133061</v>
      </c>
      <c r="F2594">
        <v>266091800</v>
      </c>
      <c r="G2594">
        <v>211209410</v>
      </c>
      <c r="H2594">
        <v>-166893073</v>
      </c>
      <c r="I2594">
        <v>176736279</v>
      </c>
      <c r="J2594">
        <v>-90291927</v>
      </c>
      <c r="K2594">
        <v>288317002</v>
      </c>
      <c r="P2594">
        <v>132</v>
      </c>
      <c r="Q2594" t="s">
        <v>5235</v>
      </c>
    </row>
    <row r="2595" spans="1:17" x14ac:dyDescent="0.3">
      <c r="A2595" t="s">
        <v>32</v>
      </c>
      <c r="B2595" t="str">
        <f>"003026"</f>
        <v>003026</v>
      </c>
      <c r="C2595" t="s">
        <v>5236</v>
      </c>
      <c r="D2595" t="s">
        <v>124</v>
      </c>
      <c r="E2595">
        <v>-55231115</v>
      </c>
      <c r="F2595">
        <v>13792876</v>
      </c>
      <c r="G2595">
        <v>15248992</v>
      </c>
      <c r="P2595">
        <v>106</v>
      </c>
      <c r="Q2595" t="s">
        <v>5237</v>
      </c>
    </row>
    <row r="2596" spans="1:17" x14ac:dyDescent="0.3">
      <c r="A2596" t="s">
        <v>17</v>
      </c>
      <c r="B2596" t="str">
        <f>"603166"</f>
        <v>603166</v>
      </c>
      <c r="C2596" t="s">
        <v>5238</v>
      </c>
      <c r="D2596" t="s">
        <v>199</v>
      </c>
      <c r="E2596">
        <v>-55246148</v>
      </c>
      <c r="F2596">
        <v>-8678126</v>
      </c>
      <c r="G2596">
        <v>-17596833</v>
      </c>
      <c r="H2596">
        <v>33647504</v>
      </c>
      <c r="I2596">
        <v>57956230</v>
      </c>
      <c r="J2596">
        <v>-92915183</v>
      </c>
      <c r="K2596">
        <v>-49210858</v>
      </c>
      <c r="L2596">
        <v>-82956844</v>
      </c>
      <c r="M2596">
        <v>-18429422</v>
      </c>
      <c r="P2596">
        <v>141</v>
      </c>
      <c r="Q2596" t="s">
        <v>5239</v>
      </c>
    </row>
    <row r="2597" spans="1:17" x14ac:dyDescent="0.3">
      <c r="A2597" t="s">
        <v>17</v>
      </c>
      <c r="B2597" t="str">
        <f>"603578"</f>
        <v>603578</v>
      </c>
      <c r="C2597" t="s">
        <v>5240</v>
      </c>
      <c r="D2597" t="s">
        <v>127</v>
      </c>
      <c r="E2597">
        <v>-55333848</v>
      </c>
      <c r="F2597">
        <v>25151873</v>
      </c>
      <c r="G2597">
        <v>-15684672</v>
      </c>
      <c r="H2597">
        <v>40161345</v>
      </c>
      <c r="I2597">
        <v>-18390662</v>
      </c>
      <c r="J2597">
        <v>-20856501</v>
      </c>
      <c r="K2597">
        <v>14428772</v>
      </c>
      <c r="P2597">
        <v>132</v>
      </c>
      <c r="Q2597" t="s">
        <v>5241</v>
      </c>
    </row>
    <row r="2598" spans="1:17" x14ac:dyDescent="0.3">
      <c r="A2598" t="s">
        <v>17</v>
      </c>
      <c r="B2598" t="str">
        <f>"603538"</f>
        <v>603538</v>
      </c>
      <c r="C2598" t="s">
        <v>5242</v>
      </c>
      <c r="D2598" t="s">
        <v>98</v>
      </c>
      <c r="E2598">
        <v>-55359539</v>
      </c>
      <c r="F2598">
        <v>-147710736</v>
      </c>
      <c r="G2598">
        <v>37195624</v>
      </c>
      <c r="H2598">
        <v>19562764</v>
      </c>
      <c r="I2598">
        <v>-64119802</v>
      </c>
      <c r="J2598">
        <v>8287307</v>
      </c>
      <c r="K2598">
        <v>-48021388</v>
      </c>
      <c r="P2598">
        <v>266</v>
      </c>
      <c r="Q2598" t="s">
        <v>5243</v>
      </c>
    </row>
    <row r="2599" spans="1:17" x14ac:dyDescent="0.3">
      <c r="A2599" t="s">
        <v>17</v>
      </c>
      <c r="B2599" t="str">
        <f>"603133"</f>
        <v>603133</v>
      </c>
      <c r="C2599" t="s">
        <v>5244</v>
      </c>
      <c r="D2599" t="s">
        <v>124</v>
      </c>
      <c r="E2599">
        <v>-55396657</v>
      </c>
      <c r="F2599">
        <v>-50791403</v>
      </c>
      <c r="G2599">
        <v>-57820315</v>
      </c>
      <c r="H2599">
        <v>-143960111</v>
      </c>
      <c r="I2599">
        <v>1321855</v>
      </c>
      <c r="J2599">
        <v>8286766</v>
      </c>
      <c r="K2599">
        <v>3603075</v>
      </c>
      <c r="P2599">
        <v>138</v>
      </c>
      <c r="Q2599" t="s">
        <v>5245</v>
      </c>
    </row>
    <row r="2600" spans="1:17" x14ac:dyDescent="0.3">
      <c r="A2600" t="s">
        <v>32</v>
      </c>
      <c r="B2600" t="str">
        <f>"000591"</f>
        <v>000591</v>
      </c>
      <c r="C2600" t="s">
        <v>5246</v>
      </c>
      <c r="D2600" t="s">
        <v>158</v>
      </c>
      <c r="E2600">
        <v>-55410675</v>
      </c>
      <c r="F2600">
        <v>-43464190</v>
      </c>
      <c r="G2600">
        <v>-249672306</v>
      </c>
      <c r="H2600">
        <v>-291203526</v>
      </c>
      <c r="I2600">
        <v>-182954931</v>
      </c>
      <c r="J2600">
        <v>-551181995</v>
      </c>
      <c r="K2600">
        <v>-518283185</v>
      </c>
      <c r="L2600">
        <v>21460015</v>
      </c>
      <c r="M2600">
        <v>29472768</v>
      </c>
      <c r="N2600">
        <v>49216523</v>
      </c>
      <c r="O2600">
        <v>-54883309</v>
      </c>
      <c r="P2600">
        <v>665</v>
      </c>
      <c r="Q2600" t="s">
        <v>5247</v>
      </c>
    </row>
    <row r="2601" spans="1:17" x14ac:dyDescent="0.3">
      <c r="A2601" t="s">
        <v>17</v>
      </c>
      <c r="B2601" t="str">
        <f>"688626"</f>
        <v>688626</v>
      </c>
      <c r="C2601" t="s">
        <v>5248</v>
      </c>
      <c r="D2601" t="s">
        <v>98</v>
      </c>
      <c r="E2601">
        <v>-55482799</v>
      </c>
      <c r="F2601">
        <v>-2834931</v>
      </c>
      <c r="G2601">
        <v>-32859024</v>
      </c>
      <c r="P2601">
        <v>82</v>
      </c>
      <c r="Q2601" t="s">
        <v>5249</v>
      </c>
    </row>
    <row r="2602" spans="1:17" x14ac:dyDescent="0.3">
      <c r="A2602" t="s">
        <v>17</v>
      </c>
      <c r="B2602" t="str">
        <f>"603269"</f>
        <v>603269</v>
      </c>
      <c r="C2602" t="s">
        <v>5250</v>
      </c>
      <c r="D2602" t="s">
        <v>135</v>
      </c>
      <c r="E2602">
        <v>-55483026</v>
      </c>
      <c r="F2602">
        <v>-84555405</v>
      </c>
      <c r="G2602">
        <v>-41418842</v>
      </c>
      <c r="H2602">
        <v>-58796261</v>
      </c>
      <c r="I2602">
        <v>-2307098</v>
      </c>
      <c r="J2602">
        <v>7961577</v>
      </c>
      <c r="K2602">
        <v>-36332241</v>
      </c>
      <c r="P2602">
        <v>63</v>
      </c>
      <c r="Q2602" t="s">
        <v>5251</v>
      </c>
    </row>
    <row r="2603" spans="1:17" x14ac:dyDescent="0.3">
      <c r="A2603" t="s">
        <v>17</v>
      </c>
      <c r="B2603" t="str">
        <f>"688418"</f>
        <v>688418</v>
      </c>
      <c r="C2603" t="s">
        <v>5252</v>
      </c>
      <c r="D2603" t="s">
        <v>57</v>
      </c>
      <c r="E2603">
        <v>-55605066</v>
      </c>
      <c r="F2603">
        <v>-91237976</v>
      </c>
      <c r="G2603">
        <v>-49278582</v>
      </c>
      <c r="H2603">
        <v>-29820088</v>
      </c>
      <c r="P2603">
        <v>40</v>
      </c>
      <c r="Q2603" t="s">
        <v>5253</v>
      </c>
    </row>
    <row r="2604" spans="1:17" x14ac:dyDescent="0.3">
      <c r="A2604" t="s">
        <v>17</v>
      </c>
      <c r="B2604" t="str">
        <f>"688301"</f>
        <v>688301</v>
      </c>
      <c r="C2604" t="s">
        <v>5254</v>
      </c>
      <c r="D2604" t="s">
        <v>98</v>
      </c>
      <c r="E2604">
        <v>-55745296</v>
      </c>
      <c r="F2604">
        <v>57185296</v>
      </c>
      <c r="G2604">
        <v>17691416</v>
      </c>
      <c r="P2604">
        <v>178</v>
      </c>
      <c r="Q2604" t="s">
        <v>5255</v>
      </c>
    </row>
    <row r="2605" spans="1:17" x14ac:dyDescent="0.3">
      <c r="A2605" t="s">
        <v>32</v>
      </c>
      <c r="B2605" t="str">
        <f>"002219"</f>
        <v>002219</v>
      </c>
      <c r="C2605" t="s">
        <v>5256</v>
      </c>
      <c r="D2605" t="s">
        <v>98</v>
      </c>
      <c r="E2605">
        <v>-55778644</v>
      </c>
      <c r="F2605">
        <v>-41517274</v>
      </c>
      <c r="G2605">
        <v>21328319</v>
      </c>
      <c r="H2605">
        <v>52474176</v>
      </c>
      <c r="I2605">
        <v>-81140047</v>
      </c>
      <c r="J2605">
        <v>-249141883</v>
      </c>
      <c r="K2605">
        <v>-253691</v>
      </c>
      <c r="L2605">
        <v>13304370</v>
      </c>
      <c r="M2605">
        <v>36824181</v>
      </c>
      <c r="N2605">
        <v>-56787165</v>
      </c>
      <c r="O2605">
        <v>8471282</v>
      </c>
      <c r="P2605">
        <v>94</v>
      </c>
      <c r="Q2605" t="s">
        <v>5257</v>
      </c>
    </row>
    <row r="2606" spans="1:17" x14ac:dyDescent="0.3">
      <c r="A2606" t="s">
        <v>17</v>
      </c>
      <c r="B2606" t="str">
        <f>"688528"</f>
        <v>688528</v>
      </c>
      <c r="C2606" t="s">
        <v>5258</v>
      </c>
      <c r="D2606" t="s">
        <v>135</v>
      </c>
      <c r="E2606">
        <v>-55850985</v>
      </c>
      <c r="F2606">
        <v>-77493951</v>
      </c>
      <c r="G2606">
        <v>-23727040</v>
      </c>
      <c r="H2606">
        <v>-16798642</v>
      </c>
      <c r="P2606">
        <v>42</v>
      </c>
      <c r="Q2606" t="s">
        <v>5259</v>
      </c>
    </row>
    <row r="2607" spans="1:17" x14ac:dyDescent="0.3">
      <c r="A2607" t="s">
        <v>17</v>
      </c>
      <c r="B2607" t="str">
        <f>"688030"</f>
        <v>688030</v>
      </c>
      <c r="C2607" t="s">
        <v>5260</v>
      </c>
      <c r="D2607" t="s">
        <v>342</v>
      </c>
      <c r="E2607">
        <v>-55863596</v>
      </c>
      <c r="F2607">
        <v>-116823290</v>
      </c>
      <c r="G2607">
        <v>-64817927</v>
      </c>
      <c r="H2607">
        <v>-51725459</v>
      </c>
      <c r="P2607">
        <v>145</v>
      </c>
      <c r="Q2607" t="s">
        <v>5261</v>
      </c>
    </row>
    <row r="2608" spans="1:17" x14ac:dyDescent="0.3">
      <c r="A2608" t="s">
        <v>32</v>
      </c>
      <c r="B2608" t="str">
        <f>"300045"</f>
        <v>300045</v>
      </c>
      <c r="C2608" t="s">
        <v>5262</v>
      </c>
      <c r="D2608" t="s">
        <v>188</v>
      </c>
      <c r="E2608">
        <v>-55966875</v>
      </c>
      <c r="F2608">
        <v>-124772531</v>
      </c>
      <c r="G2608">
        <v>-81350827</v>
      </c>
      <c r="H2608">
        <v>-91954001</v>
      </c>
      <c r="I2608">
        <v>-14989210</v>
      </c>
      <c r="J2608">
        <v>-60255685</v>
      </c>
      <c r="K2608">
        <v>-65024704</v>
      </c>
      <c r="L2608">
        <v>-71254468</v>
      </c>
      <c r="M2608">
        <v>-33080709</v>
      </c>
      <c r="N2608">
        <v>-35921635</v>
      </c>
      <c r="O2608">
        <v>-40446605</v>
      </c>
      <c r="P2608">
        <v>158</v>
      </c>
      <c r="Q2608" t="s">
        <v>5263</v>
      </c>
    </row>
    <row r="2609" spans="1:17" x14ac:dyDescent="0.3">
      <c r="A2609" t="s">
        <v>32</v>
      </c>
      <c r="B2609" t="str">
        <f>"300496"</f>
        <v>300496</v>
      </c>
      <c r="C2609" t="s">
        <v>5264</v>
      </c>
      <c r="D2609" t="s">
        <v>342</v>
      </c>
      <c r="E2609">
        <v>-56161904</v>
      </c>
      <c r="F2609">
        <v>17579087</v>
      </c>
      <c r="G2609">
        <v>50696254</v>
      </c>
      <c r="H2609">
        <v>12601008</v>
      </c>
      <c r="I2609">
        <v>36321420</v>
      </c>
      <c r="J2609">
        <v>-11126242</v>
      </c>
      <c r="K2609">
        <v>3263786</v>
      </c>
      <c r="L2609">
        <v>-38387909</v>
      </c>
      <c r="M2609">
        <v>-15178843</v>
      </c>
      <c r="P2609">
        <v>1141</v>
      </c>
      <c r="Q2609" t="s">
        <v>5265</v>
      </c>
    </row>
    <row r="2610" spans="1:17" x14ac:dyDescent="0.3">
      <c r="A2610" t="s">
        <v>32</v>
      </c>
      <c r="B2610" t="str">
        <f>"000695"</f>
        <v>000695</v>
      </c>
      <c r="C2610" t="s">
        <v>5266</v>
      </c>
      <c r="D2610" t="s">
        <v>455</v>
      </c>
      <c r="E2610">
        <v>-56171200</v>
      </c>
      <c r="F2610">
        <v>-26565366</v>
      </c>
      <c r="G2610">
        <v>-49402067</v>
      </c>
      <c r="H2610">
        <v>-948203</v>
      </c>
      <c r="I2610">
        <v>-38363915</v>
      </c>
      <c r="J2610">
        <v>-41392135</v>
      </c>
      <c r="K2610">
        <v>17609260</v>
      </c>
      <c r="L2610">
        <v>-2473630</v>
      </c>
      <c r="M2610">
        <v>2725206</v>
      </c>
      <c r="N2610">
        <v>20121033</v>
      </c>
      <c r="O2610">
        <v>-31070157</v>
      </c>
      <c r="P2610">
        <v>82</v>
      </c>
      <c r="Q2610" t="s">
        <v>5267</v>
      </c>
    </row>
    <row r="2611" spans="1:17" x14ac:dyDescent="0.3">
      <c r="A2611" t="s">
        <v>17</v>
      </c>
      <c r="B2611" t="str">
        <f>"600898"</f>
        <v>600898</v>
      </c>
      <c r="C2611" t="s">
        <v>5268</v>
      </c>
      <c r="D2611" t="s">
        <v>124</v>
      </c>
      <c r="E2611">
        <v>-56290440</v>
      </c>
      <c r="F2611">
        <v>-223613883</v>
      </c>
      <c r="G2611">
        <v>25026745</v>
      </c>
      <c r="H2611">
        <v>16355474</v>
      </c>
      <c r="I2611">
        <v>-17815471</v>
      </c>
      <c r="J2611">
        <v>-46482214</v>
      </c>
      <c r="K2611">
        <v>-3167517</v>
      </c>
      <c r="L2611">
        <v>-23732560</v>
      </c>
      <c r="M2611">
        <v>-20596893</v>
      </c>
      <c r="N2611">
        <v>3042892</v>
      </c>
      <c r="O2611">
        <v>-1365502</v>
      </c>
      <c r="P2611">
        <v>57</v>
      </c>
      <c r="Q2611" t="s">
        <v>5269</v>
      </c>
    </row>
    <row r="2612" spans="1:17" x14ac:dyDescent="0.3">
      <c r="A2612" t="s">
        <v>32</v>
      </c>
      <c r="B2612" t="str">
        <f>"002095"</f>
        <v>002095</v>
      </c>
      <c r="C2612" t="s">
        <v>5270</v>
      </c>
      <c r="D2612" t="s">
        <v>245</v>
      </c>
      <c r="E2612">
        <v>-56315174</v>
      </c>
      <c r="F2612">
        <v>-32831389</v>
      </c>
      <c r="G2612">
        <v>-45651684</v>
      </c>
      <c r="H2612">
        <v>-61622136</v>
      </c>
      <c r="I2612">
        <v>98381009</v>
      </c>
      <c r="J2612">
        <v>-131688395</v>
      </c>
      <c r="K2612">
        <v>2472413</v>
      </c>
      <c r="L2612">
        <v>4852095</v>
      </c>
      <c r="M2612">
        <v>2343756</v>
      </c>
      <c r="N2612">
        <v>8945772</v>
      </c>
      <c r="O2612">
        <v>14012425</v>
      </c>
      <c r="P2612">
        <v>97</v>
      </c>
      <c r="Q2612" t="s">
        <v>5271</v>
      </c>
    </row>
    <row r="2613" spans="1:17" x14ac:dyDescent="0.3">
      <c r="A2613" t="s">
        <v>32</v>
      </c>
      <c r="B2613" t="str">
        <f>"000040"</f>
        <v>000040</v>
      </c>
      <c r="C2613" t="s">
        <v>5272</v>
      </c>
      <c r="D2613" t="s">
        <v>158</v>
      </c>
      <c r="E2613">
        <v>-56329200</v>
      </c>
      <c r="F2613">
        <v>-8241193</v>
      </c>
      <c r="G2613">
        <v>-476056776</v>
      </c>
      <c r="H2613">
        <v>-209867712</v>
      </c>
      <c r="I2613">
        <v>-1945475337</v>
      </c>
      <c r="J2613">
        <v>-459612083</v>
      </c>
      <c r="K2613">
        <v>-221927146</v>
      </c>
      <c r="L2613">
        <v>-226688605</v>
      </c>
      <c r="M2613">
        <v>-171504036</v>
      </c>
      <c r="N2613">
        <v>-166289929</v>
      </c>
      <c r="O2613">
        <v>71094822</v>
      </c>
      <c r="P2613">
        <v>220</v>
      </c>
      <c r="Q2613" t="s">
        <v>5273</v>
      </c>
    </row>
    <row r="2614" spans="1:17" x14ac:dyDescent="0.3">
      <c r="A2614" t="s">
        <v>17</v>
      </c>
      <c r="B2614" t="str">
        <f>"688585"</f>
        <v>688585</v>
      </c>
      <c r="C2614" t="s">
        <v>5274</v>
      </c>
      <c r="D2614" t="s">
        <v>144</v>
      </c>
      <c r="E2614">
        <v>-56337212</v>
      </c>
      <c r="F2614">
        <v>-139399225</v>
      </c>
      <c r="G2614">
        <v>-23479626</v>
      </c>
      <c r="H2614">
        <v>3003300</v>
      </c>
      <c r="P2614">
        <v>26</v>
      </c>
      <c r="Q2614" t="s">
        <v>5275</v>
      </c>
    </row>
    <row r="2615" spans="1:17" x14ac:dyDescent="0.3">
      <c r="A2615" t="s">
        <v>32</v>
      </c>
      <c r="B2615" t="str">
        <f>"301043"</f>
        <v>301043</v>
      </c>
      <c r="C2615" t="s">
        <v>5276</v>
      </c>
      <c r="D2615" t="s">
        <v>135</v>
      </c>
      <c r="E2615">
        <v>-56438231</v>
      </c>
      <c r="F2615">
        <v>-48942781</v>
      </c>
      <c r="G2615">
        <v>-54031036</v>
      </c>
      <c r="P2615">
        <v>18</v>
      </c>
      <c r="Q2615" t="s">
        <v>5277</v>
      </c>
    </row>
    <row r="2616" spans="1:17" x14ac:dyDescent="0.3">
      <c r="A2616" t="s">
        <v>32</v>
      </c>
      <c r="B2616" t="str">
        <f>"000638"</f>
        <v>000638</v>
      </c>
      <c r="C2616" t="s">
        <v>5278</v>
      </c>
      <c r="D2616" t="s">
        <v>342</v>
      </c>
      <c r="E2616">
        <v>-56499194</v>
      </c>
      <c r="F2616">
        <v>-46653621</v>
      </c>
      <c r="G2616">
        <v>-10601272</v>
      </c>
      <c r="H2616">
        <v>-10537995</v>
      </c>
      <c r="I2616">
        <v>-44641708</v>
      </c>
      <c r="J2616">
        <v>360407119</v>
      </c>
      <c r="K2616">
        <v>225255796</v>
      </c>
      <c r="L2616">
        <v>-167271347</v>
      </c>
      <c r="M2616">
        <v>-38952224</v>
      </c>
      <c r="N2616">
        <v>209261639</v>
      </c>
      <c r="O2616">
        <v>-33837266</v>
      </c>
      <c r="P2616">
        <v>87</v>
      </c>
      <c r="Q2616" t="s">
        <v>5279</v>
      </c>
    </row>
    <row r="2617" spans="1:17" x14ac:dyDescent="0.3">
      <c r="A2617" t="s">
        <v>32</v>
      </c>
      <c r="B2617" t="str">
        <f>"002807"</f>
        <v>002807</v>
      </c>
      <c r="C2617" t="s">
        <v>5280</v>
      </c>
      <c r="D2617" t="s">
        <v>19</v>
      </c>
      <c r="E2617">
        <v>-56534000</v>
      </c>
      <c r="F2617">
        <v>3901960000</v>
      </c>
      <c r="G2617">
        <v>-901517000</v>
      </c>
      <c r="H2617">
        <v>324402000</v>
      </c>
      <c r="I2617">
        <v>213005000</v>
      </c>
      <c r="J2617">
        <v>260639000</v>
      </c>
      <c r="K2617">
        <v>3184591000</v>
      </c>
      <c r="L2617">
        <v>2242468000</v>
      </c>
      <c r="P2617">
        <v>571</v>
      </c>
      <c r="Q2617" t="s">
        <v>5281</v>
      </c>
    </row>
    <row r="2618" spans="1:17" x14ac:dyDescent="0.3">
      <c r="A2618" t="s">
        <v>17</v>
      </c>
      <c r="B2618" t="str">
        <f>"601678"</f>
        <v>601678</v>
      </c>
      <c r="C2618" t="s">
        <v>5282</v>
      </c>
      <c r="D2618" t="s">
        <v>144</v>
      </c>
      <c r="E2618">
        <v>-56586072</v>
      </c>
      <c r="F2618">
        <v>395633793</v>
      </c>
      <c r="G2618">
        <v>53266702</v>
      </c>
      <c r="H2618">
        <v>236473933</v>
      </c>
      <c r="I2618">
        <v>117693234</v>
      </c>
      <c r="J2618">
        <v>149628225</v>
      </c>
      <c r="K2618">
        <v>244293017</v>
      </c>
      <c r="L2618">
        <v>-192459709</v>
      </c>
      <c r="M2618">
        <v>17124061</v>
      </c>
      <c r="N2618">
        <v>-154681017</v>
      </c>
      <c r="O2618">
        <v>30981292</v>
      </c>
      <c r="P2618">
        <v>353</v>
      </c>
      <c r="Q2618" t="s">
        <v>5283</v>
      </c>
    </row>
    <row r="2619" spans="1:17" x14ac:dyDescent="0.3">
      <c r="A2619" t="s">
        <v>17</v>
      </c>
      <c r="B2619" t="str">
        <f>"688046"</f>
        <v>688046</v>
      </c>
      <c r="C2619" t="s">
        <v>5284</v>
      </c>
      <c r="E2619">
        <v>-56629419</v>
      </c>
      <c r="P2619">
        <v>2</v>
      </c>
      <c r="Q2619" t="s">
        <v>5285</v>
      </c>
    </row>
    <row r="2620" spans="1:17" x14ac:dyDescent="0.3">
      <c r="A2620" t="s">
        <v>32</v>
      </c>
      <c r="B2620" t="str">
        <f>"002876"</f>
        <v>002876</v>
      </c>
      <c r="C2620" t="s">
        <v>5286</v>
      </c>
      <c r="D2620" t="s">
        <v>124</v>
      </c>
      <c r="E2620">
        <v>-56633114</v>
      </c>
      <c r="F2620">
        <v>39086545</v>
      </c>
      <c r="G2620">
        <v>-211064013</v>
      </c>
      <c r="H2620">
        <v>-95361808</v>
      </c>
      <c r="I2620">
        <v>12132584</v>
      </c>
      <c r="J2620">
        <v>-152668554</v>
      </c>
      <c r="P2620">
        <v>213</v>
      </c>
      <c r="Q2620" t="s">
        <v>5287</v>
      </c>
    </row>
    <row r="2621" spans="1:17" x14ac:dyDescent="0.3">
      <c r="A2621" t="s">
        <v>17</v>
      </c>
      <c r="B2621" t="str">
        <f>"600237"</f>
        <v>600237</v>
      </c>
      <c r="C2621" t="s">
        <v>5288</v>
      </c>
      <c r="D2621" t="s">
        <v>124</v>
      </c>
      <c r="E2621">
        <v>-56677552</v>
      </c>
      <c r="F2621">
        <v>10517990</v>
      </c>
      <c r="G2621">
        <v>4406983</v>
      </c>
      <c r="H2621">
        <v>21108239</v>
      </c>
      <c r="I2621">
        <v>-20372612</v>
      </c>
      <c r="J2621">
        <v>-30464072</v>
      </c>
      <c r="K2621">
        <v>-8933147</v>
      </c>
      <c r="L2621">
        <v>21065367</v>
      </c>
      <c r="M2621">
        <v>-12395290</v>
      </c>
      <c r="N2621">
        <v>-332193</v>
      </c>
      <c r="O2621">
        <v>-39388545</v>
      </c>
      <c r="P2621">
        <v>152</v>
      </c>
      <c r="Q2621" t="s">
        <v>5289</v>
      </c>
    </row>
    <row r="2622" spans="1:17" x14ac:dyDescent="0.3">
      <c r="A2622" t="s">
        <v>32</v>
      </c>
      <c r="B2622" t="str">
        <f>"002637"</f>
        <v>002637</v>
      </c>
      <c r="C2622" t="s">
        <v>5290</v>
      </c>
      <c r="D2622" t="s">
        <v>144</v>
      </c>
      <c r="E2622">
        <v>-56678786</v>
      </c>
      <c r="F2622">
        <v>-535355079</v>
      </c>
      <c r="G2622">
        <v>-276516565</v>
      </c>
      <c r="H2622">
        <v>122302151</v>
      </c>
      <c r="I2622">
        <v>-84581786</v>
      </c>
      <c r="J2622">
        <v>-406092344</v>
      </c>
      <c r="K2622">
        <v>-43190650</v>
      </c>
      <c r="L2622">
        <v>-154014513</v>
      </c>
      <c r="M2622">
        <v>-168940397</v>
      </c>
      <c r="N2622">
        <v>-25741349</v>
      </c>
      <c r="O2622">
        <v>-100082789</v>
      </c>
      <c r="P2622">
        <v>145</v>
      </c>
      <c r="Q2622" t="s">
        <v>5291</v>
      </c>
    </row>
    <row r="2623" spans="1:17" x14ac:dyDescent="0.3">
      <c r="A2623" t="s">
        <v>32</v>
      </c>
      <c r="B2623" t="str">
        <f>"002033"</f>
        <v>002033</v>
      </c>
      <c r="C2623" t="s">
        <v>5292</v>
      </c>
      <c r="D2623" t="s">
        <v>497</v>
      </c>
      <c r="E2623">
        <v>-56716836</v>
      </c>
      <c r="F2623">
        <v>-35555971</v>
      </c>
      <c r="G2623">
        <v>-61316953</v>
      </c>
      <c r="H2623">
        <v>-3550506</v>
      </c>
      <c r="I2623">
        <v>-3981328</v>
      </c>
      <c r="J2623">
        <v>22048400</v>
      </c>
      <c r="K2623">
        <v>9210069</v>
      </c>
      <c r="L2623">
        <v>-18561250</v>
      </c>
      <c r="M2623">
        <v>-21300893</v>
      </c>
      <c r="N2623">
        <v>-57179035</v>
      </c>
      <c r="O2623">
        <v>-23110172</v>
      </c>
      <c r="P2623">
        <v>278</v>
      </c>
      <c r="Q2623" t="s">
        <v>5293</v>
      </c>
    </row>
    <row r="2624" spans="1:17" x14ac:dyDescent="0.3">
      <c r="A2624" t="s">
        <v>17</v>
      </c>
      <c r="B2624" t="str">
        <f>"605055"</f>
        <v>605055</v>
      </c>
      <c r="C2624" t="s">
        <v>5294</v>
      </c>
      <c r="D2624" t="s">
        <v>130</v>
      </c>
      <c r="E2624">
        <v>-56722313</v>
      </c>
      <c r="F2624">
        <v>-124424560</v>
      </c>
      <c r="G2624">
        <v>-157844572</v>
      </c>
      <c r="P2624">
        <v>38</v>
      </c>
      <c r="Q2624" t="s">
        <v>5295</v>
      </c>
    </row>
    <row r="2625" spans="1:17" x14ac:dyDescent="0.3">
      <c r="A2625" t="s">
        <v>32</v>
      </c>
      <c r="B2625" t="str">
        <f>"002072"</f>
        <v>002072</v>
      </c>
      <c r="C2625" t="s">
        <v>5296</v>
      </c>
      <c r="D2625" t="s">
        <v>345</v>
      </c>
      <c r="E2625">
        <v>-56791965</v>
      </c>
      <c r="F2625">
        <v>-23930078</v>
      </c>
      <c r="G2625">
        <v>-1100175</v>
      </c>
      <c r="H2625">
        <v>-2153797</v>
      </c>
      <c r="I2625">
        <v>4473923</v>
      </c>
      <c r="J2625">
        <v>-1284303</v>
      </c>
      <c r="K2625">
        <v>-1502389</v>
      </c>
      <c r="L2625">
        <v>-3799910</v>
      </c>
      <c r="M2625">
        <v>4350129</v>
      </c>
      <c r="N2625">
        <v>11154934</v>
      </c>
      <c r="O2625">
        <v>7638513</v>
      </c>
      <c r="P2625">
        <v>64</v>
      </c>
      <c r="Q2625" t="s">
        <v>5297</v>
      </c>
    </row>
    <row r="2626" spans="1:17" x14ac:dyDescent="0.3">
      <c r="A2626" t="s">
        <v>17</v>
      </c>
      <c r="B2626" t="str">
        <f>"688663"</f>
        <v>688663</v>
      </c>
      <c r="C2626" t="s">
        <v>5298</v>
      </c>
      <c r="D2626" t="s">
        <v>464</v>
      </c>
      <c r="E2626">
        <v>-56810314</v>
      </c>
      <c r="F2626">
        <v>-4042276</v>
      </c>
      <c r="G2626">
        <v>-2854043</v>
      </c>
      <c r="P2626">
        <v>32</v>
      </c>
      <c r="Q2626" t="s">
        <v>5299</v>
      </c>
    </row>
    <row r="2627" spans="1:17" x14ac:dyDescent="0.3">
      <c r="A2627" t="s">
        <v>17</v>
      </c>
      <c r="B2627" t="str">
        <f>"603886"</f>
        <v>603886</v>
      </c>
      <c r="C2627" t="s">
        <v>5300</v>
      </c>
      <c r="D2627" t="s">
        <v>172</v>
      </c>
      <c r="E2627">
        <v>-56841509</v>
      </c>
      <c r="F2627">
        <v>-37317397</v>
      </c>
      <c r="G2627">
        <v>-47438031</v>
      </c>
      <c r="H2627">
        <v>-74551699</v>
      </c>
      <c r="I2627">
        <v>-69024310</v>
      </c>
      <c r="J2627">
        <v>-39998373</v>
      </c>
      <c r="K2627">
        <v>-87000831</v>
      </c>
      <c r="P2627">
        <v>3079</v>
      </c>
      <c r="Q2627" t="s">
        <v>5301</v>
      </c>
    </row>
    <row r="2628" spans="1:17" x14ac:dyDescent="0.3">
      <c r="A2628" t="s">
        <v>17</v>
      </c>
      <c r="B2628" t="str">
        <f>"603089"</f>
        <v>603089</v>
      </c>
      <c r="C2628" t="s">
        <v>5302</v>
      </c>
      <c r="D2628" t="s">
        <v>199</v>
      </c>
      <c r="E2628">
        <v>-56871300</v>
      </c>
      <c r="F2628">
        <v>-25503873</v>
      </c>
      <c r="G2628">
        <v>39347</v>
      </c>
      <c r="H2628">
        <v>2711325</v>
      </c>
      <c r="I2628">
        <v>-78222913</v>
      </c>
      <c r="J2628">
        <v>-21592468</v>
      </c>
      <c r="K2628">
        <v>-6474244</v>
      </c>
      <c r="P2628">
        <v>111</v>
      </c>
      <c r="Q2628" t="s">
        <v>5303</v>
      </c>
    </row>
    <row r="2629" spans="1:17" x14ac:dyDescent="0.3">
      <c r="A2629" t="s">
        <v>32</v>
      </c>
      <c r="B2629" t="str">
        <f>"300864"</f>
        <v>300864</v>
      </c>
      <c r="C2629" t="s">
        <v>5304</v>
      </c>
      <c r="D2629" t="s">
        <v>1334</v>
      </c>
      <c r="E2629">
        <v>-56914094</v>
      </c>
      <c r="F2629">
        <v>-44341577</v>
      </c>
      <c r="G2629">
        <v>-38600585</v>
      </c>
      <c r="P2629">
        <v>121</v>
      </c>
      <c r="Q2629" t="s">
        <v>5305</v>
      </c>
    </row>
    <row r="2630" spans="1:17" x14ac:dyDescent="0.3">
      <c r="A2630" t="s">
        <v>32</v>
      </c>
      <c r="B2630" t="str">
        <f>"002678"</f>
        <v>002678</v>
      </c>
      <c r="C2630" t="s">
        <v>5306</v>
      </c>
      <c r="D2630" t="s">
        <v>455</v>
      </c>
      <c r="E2630">
        <v>-56937381</v>
      </c>
      <c r="F2630">
        <v>-93525390</v>
      </c>
      <c r="G2630">
        <v>-186352211</v>
      </c>
      <c r="H2630">
        <v>-161276904</v>
      </c>
      <c r="I2630">
        <v>-225401559</v>
      </c>
      <c r="J2630">
        <v>-87042427</v>
      </c>
      <c r="K2630">
        <v>-225403424</v>
      </c>
      <c r="L2630">
        <v>-117339611</v>
      </c>
      <c r="M2630">
        <v>-102143098</v>
      </c>
      <c r="N2630">
        <v>-125035067</v>
      </c>
      <c r="O2630">
        <v>-14080180</v>
      </c>
      <c r="P2630">
        <v>113</v>
      </c>
      <c r="Q2630" t="s">
        <v>5307</v>
      </c>
    </row>
    <row r="2631" spans="1:17" x14ac:dyDescent="0.3">
      <c r="A2631" t="s">
        <v>17</v>
      </c>
      <c r="B2631" t="str">
        <f>"603988"</f>
        <v>603988</v>
      </c>
      <c r="C2631" t="s">
        <v>5308</v>
      </c>
      <c r="D2631" t="s">
        <v>464</v>
      </c>
      <c r="E2631">
        <v>-56937655</v>
      </c>
      <c r="F2631">
        <v>-6057411</v>
      </c>
      <c r="G2631">
        <v>-26732725</v>
      </c>
      <c r="H2631">
        <v>10047664</v>
      </c>
      <c r="I2631">
        <v>1365274</v>
      </c>
      <c r="J2631">
        <v>8858227</v>
      </c>
      <c r="K2631">
        <v>10217494</v>
      </c>
      <c r="L2631">
        <v>-8560045</v>
      </c>
      <c r="M2631">
        <v>-10938673</v>
      </c>
      <c r="P2631">
        <v>192</v>
      </c>
      <c r="Q2631" t="s">
        <v>5309</v>
      </c>
    </row>
    <row r="2632" spans="1:17" x14ac:dyDescent="0.3">
      <c r="A2632" t="s">
        <v>17</v>
      </c>
      <c r="B2632" t="str">
        <f>"603665"</f>
        <v>603665</v>
      </c>
      <c r="C2632" t="s">
        <v>5310</v>
      </c>
      <c r="D2632" t="s">
        <v>130</v>
      </c>
      <c r="E2632">
        <v>-56960017</v>
      </c>
      <c r="F2632">
        <v>-112849080</v>
      </c>
      <c r="G2632">
        <v>-86716023</v>
      </c>
      <c r="H2632">
        <v>-33024568</v>
      </c>
      <c r="I2632">
        <v>-1565424</v>
      </c>
      <c r="J2632">
        <v>10707868</v>
      </c>
      <c r="K2632">
        <v>-2868781</v>
      </c>
      <c r="P2632">
        <v>89</v>
      </c>
      <c r="Q2632" t="s">
        <v>5311</v>
      </c>
    </row>
    <row r="2633" spans="1:17" x14ac:dyDescent="0.3">
      <c r="A2633" t="s">
        <v>32</v>
      </c>
      <c r="B2633" t="str">
        <f>"002186"</f>
        <v>002186</v>
      </c>
      <c r="C2633" t="s">
        <v>5312</v>
      </c>
      <c r="D2633" t="s">
        <v>497</v>
      </c>
      <c r="E2633">
        <v>-57318936</v>
      </c>
      <c r="F2633">
        <v>-60505266</v>
      </c>
      <c r="G2633">
        <v>-59653346</v>
      </c>
      <c r="H2633">
        <v>-31703954</v>
      </c>
      <c r="I2633">
        <v>-31969052</v>
      </c>
      <c r="J2633">
        <v>45966448</v>
      </c>
      <c r="K2633">
        <v>-18032061</v>
      </c>
      <c r="L2633">
        <v>13135706</v>
      </c>
      <c r="M2633">
        <v>12405984</v>
      </c>
      <c r="N2633">
        <v>32790408</v>
      </c>
      <c r="O2633">
        <v>43141494</v>
      </c>
      <c r="P2633">
        <v>179</v>
      </c>
      <c r="Q2633" t="s">
        <v>5313</v>
      </c>
    </row>
    <row r="2634" spans="1:17" x14ac:dyDescent="0.3">
      <c r="A2634" t="s">
        <v>32</v>
      </c>
      <c r="B2634" t="str">
        <f>"003009"</f>
        <v>003009</v>
      </c>
      <c r="C2634" t="s">
        <v>5314</v>
      </c>
      <c r="D2634" t="s">
        <v>188</v>
      </c>
      <c r="E2634">
        <v>-57348104</v>
      </c>
      <c r="F2634">
        <v>-44664464</v>
      </c>
      <c r="G2634">
        <v>-82880895</v>
      </c>
      <c r="P2634">
        <v>105</v>
      </c>
      <c r="Q2634" t="s">
        <v>5315</v>
      </c>
    </row>
    <row r="2635" spans="1:17" x14ac:dyDescent="0.3">
      <c r="A2635" t="s">
        <v>32</v>
      </c>
      <c r="B2635" t="str">
        <f>"000801"</f>
        <v>000801</v>
      </c>
      <c r="C2635" t="s">
        <v>5316</v>
      </c>
      <c r="D2635" t="s">
        <v>127</v>
      </c>
      <c r="E2635">
        <v>-57379967</v>
      </c>
      <c r="F2635">
        <v>-92286721</v>
      </c>
      <c r="G2635">
        <v>-8509188</v>
      </c>
      <c r="H2635">
        <v>-228624382</v>
      </c>
      <c r="I2635">
        <v>-61624784</v>
      </c>
      <c r="J2635">
        <v>-108558391</v>
      </c>
      <c r="K2635">
        <v>-196314515</v>
      </c>
      <c r="L2635">
        <v>-4020904</v>
      </c>
      <c r="M2635">
        <v>-56650965</v>
      </c>
      <c r="N2635">
        <v>-111288858</v>
      </c>
      <c r="O2635">
        <v>-169469057</v>
      </c>
      <c r="P2635">
        <v>218</v>
      </c>
      <c r="Q2635" t="s">
        <v>5317</v>
      </c>
    </row>
    <row r="2636" spans="1:17" x14ac:dyDescent="0.3">
      <c r="A2636" t="s">
        <v>32</v>
      </c>
      <c r="B2636" t="str">
        <f>"002563"</f>
        <v>002563</v>
      </c>
      <c r="C2636" t="s">
        <v>5318</v>
      </c>
      <c r="D2636" t="s">
        <v>130</v>
      </c>
      <c r="E2636">
        <v>-57457739</v>
      </c>
      <c r="F2636">
        <v>678706766</v>
      </c>
      <c r="G2636">
        <v>-282938103</v>
      </c>
      <c r="H2636">
        <v>-146274762</v>
      </c>
      <c r="I2636">
        <v>196493365</v>
      </c>
      <c r="J2636">
        <v>-148999533</v>
      </c>
      <c r="K2636">
        <v>-33698675</v>
      </c>
      <c r="L2636">
        <v>370323011</v>
      </c>
      <c r="M2636">
        <v>149131059</v>
      </c>
      <c r="N2636">
        <v>289997689</v>
      </c>
      <c r="O2636">
        <v>-165288689</v>
      </c>
      <c r="P2636">
        <v>904</v>
      </c>
      <c r="Q2636" t="s">
        <v>5319</v>
      </c>
    </row>
    <row r="2637" spans="1:17" x14ac:dyDescent="0.3">
      <c r="A2637" t="s">
        <v>32</v>
      </c>
      <c r="B2637" t="str">
        <f>"300468"</f>
        <v>300468</v>
      </c>
      <c r="C2637" t="s">
        <v>5320</v>
      </c>
      <c r="D2637" t="s">
        <v>342</v>
      </c>
      <c r="E2637">
        <v>-57489361</v>
      </c>
      <c r="F2637">
        <v>-73945489</v>
      </c>
      <c r="G2637">
        <v>-70204354</v>
      </c>
      <c r="H2637">
        <v>733585</v>
      </c>
      <c r="I2637">
        <v>-50577594</v>
      </c>
      <c r="J2637">
        <v>-46718304</v>
      </c>
      <c r="K2637">
        <v>-74336551</v>
      </c>
      <c r="L2637">
        <v>-61282491</v>
      </c>
      <c r="M2637">
        <v>-44792173</v>
      </c>
      <c r="P2637">
        <v>213</v>
      </c>
      <c r="Q2637" t="s">
        <v>5321</v>
      </c>
    </row>
    <row r="2638" spans="1:17" x14ac:dyDescent="0.3">
      <c r="A2638" t="s">
        <v>32</v>
      </c>
      <c r="B2638" t="str">
        <f>"301049"</f>
        <v>301049</v>
      </c>
      <c r="C2638" t="s">
        <v>5322</v>
      </c>
      <c r="D2638" t="s">
        <v>1334</v>
      </c>
      <c r="E2638">
        <v>-57515241</v>
      </c>
      <c r="P2638">
        <v>26</v>
      </c>
      <c r="Q2638" t="s">
        <v>5323</v>
      </c>
    </row>
    <row r="2639" spans="1:17" x14ac:dyDescent="0.3">
      <c r="A2639" t="s">
        <v>17</v>
      </c>
      <c r="B2639" t="str">
        <f>"600963"</f>
        <v>600963</v>
      </c>
      <c r="C2639" t="s">
        <v>5324</v>
      </c>
      <c r="D2639" t="s">
        <v>455</v>
      </c>
      <c r="E2639">
        <v>-57541512</v>
      </c>
      <c r="F2639">
        <v>-52838060</v>
      </c>
      <c r="G2639">
        <v>216744590</v>
      </c>
      <c r="H2639">
        <v>161566900</v>
      </c>
      <c r="I2639">
        <v>264899963</v>
      </c>
      <c r="J2639">
        <v>448201686</v>
      </c>
      <c r="K2639">
        <v>-200681261</v>
      </c>
      <c r="L2639">
        <v>7739394</v>
      </c>
      <c r="M2639">
        <v>528588139</v>
      </c>
      <c r="N2639">
        <v>58479150</v>
      </c>
      <c r="O2639">
        <v>-489417911</v>
      </c>
      <c r="P2639">
        <v>201</v>
      </c>
      <c r="Q2639" t="s">
        <v>5325</v>
      </c>
    </row>
    <row r="2640" spans="1:17" x14ac:dyDescent="0.3">
      <c r="A2640" t="s">
        <v>17</v>
      </c>
      <c r="B2640" t="str">
        <f>"603633"</f>
        <v>603633</v>
      </c>
      <c r="C2640" t="s">
        <v>5326</v>
      </c>
      <c r="D2640" t="s">
        <v>124</v>
      </c>
      <c r="E2640">
        <v>-57542884</v>
      </c>
      <c r="F2640">
        <v>-32634125</v>
      </c>
      <c r="G2640">
        <v>11287283</v>
      </c>
      <c r="H2640">
        <v>-11073653</v>
      </c>
      <c r="I2640">
        <v>-11208397</v>
      </c>
      <c r="J2640">
        <v>-20681559</v>
      </c>
      <c r="K2640">
        <v>15068570</v>
      </c>
      <c r="P2640">
        <v>90</v>
      </c>
      <c r="Q2640" t="s">
        <v>5327</v>
      </c>
    </row>
    <row r="2641" spans="1:17" x14ac:dyDescent="0.3">
      <c r="A2641" t="s">
        <v>32</v>
      </c>
      <c r="B2641" t="str">
        <f>"300741"</f>
        <v>300741</v>
      </c>
      <c r="C2641" t="s">
        <v>5328</v>
      </c>
      <c r="D2641" t="s">
        <v>144</v>
      </c>
      <c r="E2641">
        <v>-57569906</v>
      </c>
      <c r="F2641">
        <v>183318709</v>
      </c>
      <c r="G2641">
        <v>150456097</v>
      </c>
      <c r="H2641">
        <v>129574292</v>
      </c>
      <c r="I2641">
        <v>313337217</v>
      </c>
      <c r="J2641">
        <v>397197719</v>
      </c>
      <c r="P2641">
        <v>458</v>
      </c>
      <c r="Q2641" t="s">
        <v>5329</v>
      </c>
    </row>
    <row r="2642" spans="1:17" x14ac:dyDescent="0.3">
      <c r="A2642" t="s">
        <v>32</v>
      </c>
      <c r="B2642" t="str">
        <f>"000605"</f>
        <v>000605</v>
      </c>
      <c r="C2642" t="s">
        <v>5330</v>
      </c>
      <c r="D2642" t="s">
        <v>1334</v>
      </c>
      <c r="E2642">
        <v>-57577164</v>
      </c>
      <c r="F2642">
        <v>-47619093</v>
      </c>
      <c r="G2642">
        <v>-229067925</v>
      </c>
      <c r="H2642">
        <v>-47718249</v>
      </c>
      <c r="I2642">
        <v>-119858659</v>
      </c>
      <c r="J2642">
        <v>-87688884</v>
      </c>
      <c r="K2642">
        <v>46667343</v>
      </c>
      <c r="L2642">
        <v>29466632</v>
      </c>
      <c r="M2642">
        <v>-15608428</v>
      </c>
      <c r="N2642">
        <v>-1155457</v>
      </c>
      <c r="O2642">
        <v>-1387165</v>
      </c>
      <c r="P2642">
        <v>85</v>
      </c>
      <c r="Q2642" t="s">
        <v>5331</v>
      </c>
    </row>
    <row r="2643" spans="1:17" x14ac:dyDescent="0.3">
      <c r="A2643" t="s">
        <v>32</v>
      </c>
      <c r="B2643" t="str">
        <f>"300374"</f>
        <v>300374</v>
      </c>
      <c r="C2643" t="s">
        <v>5332</v>
      </c>
      <c r="D2643" t="s">
        <v>400</v>
      </c>
      <c r="E2643">
        <v>-57581682</v>
      </c>
      <c r="F2643">
        <v>-9474751</v>
      </c>
      <c r="G2643">
        <v>1579712</v>
      </c>
      <c r="H2643">
        <v>-93314019</v>
      </c>
      <c r="I2643">
        <v>-324015000</v>
      </c>
      <c r="J2643">
        <v>-116723865</v>
      </c>
      <c r="K2643">
        <v>-89294154</v>
      </c>
      <c r="L2643">
        <v>-112440486</v>
      </c>
      <c r="M2643">
        <v>-80199979</v>
      </c>
      <c r="P2643">
        <v>61</v>
      </c>
      <c r="Q2643" t="s">
        <v>5333</v>
      </c>
    </row>
    <row r="2644" spans="1:17" x14ac:dyDescent="0.3">
      <c r="A2644" t="s">
        <v>17</v>
      </c>
      <c r="B2644" t="str">
        <f>"688321"</f>
        <v>688321</v>
      </c>
      <c r="C2644" t="s">
        <v>5334</v>
      </c>
      <c r="D2644" t="s">
        <v>98</v>
      </c>
      <c r="E2644">
        <v>-57611186</v>
      </c>
      <c r="F2644">
        <v>-41584323</v>
      </c>
      <c r="G2644">
        <v>-65728822</v>
      </c>
      <c r="H2644">
        <v>-22165429</v>
      </c>
      <c r="I2644">
        <v>-48929751</v>
      </c>
      <c r="P2644">
        <v>157</v>
      </c>
      <c r="Q2644" t="s">
        <v>5335</v>
      </c>
    </row>
    <row r="2645" spans="1:17" x14ac:dyDescent="0.3">
      <c r="A2645" t="s">
        <v>32</v>
      </c>
      <c r="B2645" t="str">
        <f>"000506"</f>
        <v>000506</v>
      </c>
      <c r="C2645" t="s">
        <v>5336</v>
      </c>
      <c r="D2645" t="s">
        <v>151</v>
      </c>
      <c r="E2645">
        <v>-57662885</v>
      </c>
      <c r="F2645">
        <v>-40826279</v>
      </c>
      <c r="G2645">
        <v>31785344</v>
      </c>
      <c r="H2645">
        <v>-9957646</v>
      </c>
      <c r="I2645">
        <v>38843137</v>
      </c>
      <c r="J2645">
        <v>-29420692</v>
      </c>
      <c r="K2645">
        <v>32640433</v>
      </c>
      <c r="L2645">
        <v>19568036</v>
      </c>
      <c r="M2645">
        <v>-59055313</v>
      </c>
      <c r="N2645">
        <v>164196766</v>
      </c>
      <c r="O2645">
        <v>26570208</v>
      </c>
      <c r="P2645">
        <v>85</v>
      </c>
      <c r="Q2645" t="s">
        <v>5337</v>
      </c>
    </row>
    <row r="2646" spans="1:17" x14ac:dyDescent="0.3">
      <c r="A2646" t="s">
        <v>32</v>
      </c>
      <c r="B2646" t="str">
        <f>"300359"</f>
        <v>300359</v>
      </c>
      <c r="C2646" t="s">
        <v>5338</v>
      </c>
      <c r="D2646" t="s">
        <v>497</v>
      </c>
      <c r="E2646">
        <v>-57750278</v>
      </c>
      <c r="F2646">
        <v>-15956217</v>
      </c>
      <c r="G2646">
        <v>-83368419</v>
      </c>
      <c r="H2646">
        <v>-74184910</v>
      </c>
      <c r="I2646">
        <v>-50622271</v>
      </c>
      <c r="J2646">
        <v>-108631047</v>
      </c>
      <c r="K2646">
        <v>-182895379</v>
      </c>
      <c r="L2646">
        <v>-11620997</v>
      </c>
      <c r="M2646">
        <v>6203577</v>
      </c>
      <c r="N2646">
        <v>1755780</v>
      </c>
      <c r="P2646">
        <v>166</v>
      </c>
      <c r="Q2646" t="s">
        <v>5339</v>
      </c>
    </row>
    <row r="2647" spans="1:17" x14ac:dyDescent="0.3">
      <c r="A2647" t="s">
        <v>32</v>
      </c>
      <c r="B2647" t="str">
        <f>"300005"</f>
        <v>300005</v>
      </c>
      <c r="C2647" t="s">
        <v>5340</v>
      </c>
      <c r="D2647" t="s">
        <v>130</v>
      </c>
      <c r="E2647">
        <v>-57758052</v>
      </c>
      <c r="F2647">
        <v>-7853878</v>
      </c>
      <c r="G2647">
        <v>-213925340</v>
      </c>
      <c r="H2647">
        <v>-2839577</v>
      </c>
      <c r="I2647">
        <v>-144418184</v>
      </c>
      <c r="J2647">
        <v>-177933036</v>
      </c>
      <c r="K2647">
        <v>-142194029</v>
      </c>
      <c r="L2647">
        <v>-39692148</v>
      </c>
      <c r="M2647">
        <v>-124161324</v>
      </c>
      <c r="N2647">
        <v>-54843299</v>
      </c>
      <c r="O2647">
        <v>-63552493</v>
      </c>
      <c r="P2647">
        <v>181</v>
      </c>
      <c r="Q2647" t="s">
        <v>5341</v>
      </c>
    </row>
    <row r="2648" spans="1:17" x14ac:dyDescent="0.3">
      <c r="A2648" t="s">
        <v>17</v>
      </c>
      <c r="B2648" t="str">
        <f>"603321"</f>
        <v>603321</v>
      </c>
      <c r="C2648" t="s">
        <v>5342</v>
      </c>
      <c r="D2648" t="s">
        <v>135</v>
      </c>
      <c r="E2648">
        <v>-57822261</v>
      </c>
      <c r="F2648">
        <v>-42581602</v>
      </c>
      <c r="G2648">
        <v>-115190872</v>
      </c>
      <c r="H2648">
        <v>-49923160</v>
      </c>
      <c r="I2648">
        <v>-17536466</v>
      </c>
      <c r="J2648">
        <v>-40922188</v>
      </c>
      <c r="P2648">
        <v>59</v>
      </c>
      <c r="Q2648" t="s">
        <v>5343</v>
      </c>
    </row>
    <row r="2649" spans="1:17" x14ac:dyDescent="0.3">
      <c r="A2649" t="s">
        <v>32</v>
      </c>
      <c r="B2649" t="str">
        <f>"300629"</f>
        <v>300629</v>
      </c>
      <c r="C2649" t="s">
        <v>5344</v>
      </c>
      <c r="D2649" t="s">
        <v>135</v>
      </c>
      <c r="E2649">
        <v>-57860270</v>
      </c>
      <c r="F2649">
        <v>-13685913</v>
      </c>
      <c r="G2649">
        <v>46871859</v>
      </c>
      <c r="H2649">
        <v>1684926</v>
      </c>
      <c r="I2649">
        <v>-23327665</v>
      </c>
      <c r="J2649">
        <v>204843</v>
      </c>
      <c r="K2649">
        <v>-9726157</v>
      </c>
      <c r="P2649">
        <v>65</v>
      </c>
      <c r="Q2649" t="s">
        <v>5345</v>
      </c>
    </row>
    <row r="2650" spans="1:17" x14ac:dyDescent="0.3">
      <c r="A2650" t="s">
        <v>32</v>
      </c>
      <c r="B2650" t="str">
        <f>"300908"</f>
        <v>300908</v>
      </c>
      <c r="C2650" t="s">
        <v>5346</v>
      </c>
      <c r="D2650" t="s">
        <v>172</v>
      </c>
      <c r="E2650">
        <v>-57911041</v>
      </c>
      <c r="F2650">
        <v>2270168</v>
      </c>
      <c r="G2650">
        <v>33171066</v>
      </c>
      <c r="P2650">
        <v>173</v>
      </c>
      <c r="Q2650" t="s">
        <v>5347</v>
      </c>
    </row>
    <row r="2651" spans="1:17" x14ac:dyDescent="0.3">
      <c r="A2651" t="s">
        <v>32</v>
      </c>
      <c r="B2651" t="str">
        <f>"002910"</f>
        <v>002910</v>
      </c>
      <c r="C2651" t="s">
        <v>5348</v>
      </c>
      <c r="D2651" t="s">
        <v>172</v>
      </c>
      <c r="E2651">
        <v>-58091487</v>
      </c>
      <c r="F2651">
        <v>-57685068</v>
      </c>
      <c r="G2651">
        <v>2797659</v>
      </c>
      <c r="H2651">
        <v>-55412569</v>
      </c>
      <c r="I2651">
        <v>-51260441</v>
      </c>
      <c r="J2651">
        <v>13926521</v>
      </c>
      <c r="P2651">
        <v>147</v>
      </c>
      <c r="Q2651" t="s">
        <v>5349</v>
      </c>
    </row>
    <row r="2652" spans="1:17" x14ac:dyDescent="0.3">
      <c r="A2652" t="s">
        <v>32</v>
      </c>
      <c r="B2652" t="str">
        <f>"300546"</f>
        <v>300546</v>
      </c>
      <c r="C2652" t="s">
        <v>5350</v>
      </c>
      <c r="D2652" t="s">
        <v>342</v>
      </c>
      <c r="E2652">
        <v>-58101753</v>
      </c>
      <c r="F2652">
        <v>-54692798</v>
      </c>
      <c r="G2652">
        <v>-56669268</v>
      </c>
      <c r="H2652">
        <v>-83755712</v>
      </c>
      <c r="I2652">
        <v>-105471050</v>
      </c>
      <c r="J2652">
        <v>-49883721</v>
      </c>
      <c r="K2652">
        <v>-45269444</v>
      </c>
      <c r="P2652">
        <v>196</v>
      </c>
      <c r="Q2652" t="s">
        <v>5351</v>
      </c>
    </row>
    <row r="2653" spans="1:17" x14ac:dyDescent="0.3">
      <c r="A2653" t="s">
        <v>32</v>
      </c>
      <c r="B2653" t="str">
        <f>"300733"</f>
        <v>300733</v>
      </c>
      <c r="C2653" t="s">
        <v>5352</v>
      </c>
      <c r="D2653" t="s">
        <v>199</v>
      </c>
      <c r="E2653">
        <v>-58115404</v>
      </c>
      <c r="F2653">
        <v>-30885487</v>
      </c>
      <c r="G2653">
        <v>-50175399</v>
      </c>
      <c r="H2653">
        <v>-43212664</v>
      </c>
      <c r="I2653">
        <v>-22882003</v>
      </c>
      <c r="J2653">
        <v>36556114</v>
      </c>
      <c r="P2653">
        <v>60</v>
      </c>
      <c r="Q2653" t="s">
        <v>5353</v>
      </c>
    </row>
    <row r="2654" spans="1:17" x14ac:dyDescent="0.3">
      <c r="A2654" t="s">
        <v>17</v>
      </c>
      <c r="B2654" t="str">
        <f>"603199"</f>
        <v>603199</v>
      </c>
      <c r="C2654" t="s">
        <v>5354</v>
      </c>
      <c r="D2654" t="s">
        <v>497</v>
      </c>
      <c r="E2654">
        <v>-58280711</v>
      </c>
      <c r="F2654">
        <v>-33705033</v>
      </c>
      <c r="G2654">
        <v>-98356306</v>
      </c>
      <c r="H2654">
        <v>-13117487</v>
      </c>
      <c r="I2654">
        <v>-26302839</v>
      </c>
      <c r="J2654">
        <v>5764383</v>
      </c>
      <c r="K2654">
        <v>-9358039</v>
      </c>
      <c r="L2654">
        <v>-13361874</v>
      </c>
      <c r="M2654">
        <v>-8009902</v>
      </c>
      <c r="P2654">
        <v>144</v>
      </c>
      <c r="Q2654" t="s">
        <v>5355</v>
      </c>
    </row>
    <row r="2655" spans="1:17" x14ac:dyDescent="0.3">
      <c r="A2655" t="s">
        <v>17</v>
      </c>
      <c r="B2655" t="str">
        <f>"688260"</f>
        <v>688260</v>
      </c>
      <c r="C2655" t="s">
        <v>5356</v>
      </c>
      <c r="D2655" t="s">
        <v>124</v>
      </c>
      <c r="E2655">
        <v>-58379972</v>
      </c>
      <c r="F2655">
        <v>-23633545</v>
      </c>
      <c r="G2655">
        <v>12439138</v>
      </c>
      <c r="P2655">
        <v>24</v>
      </c>
      <c r="Q2655" t="s">
        <v>5357</v>
      </c>
    </row>
    <row r="2656" spans="1:17" x14ac:dyDescent="0.3">
      <c r="A2656" t="s">
        <v>32</v>
      </c>
      <c r="B2656" t="str">
        <f>"002461"</f>
        <v>002461</v>
      </c>
      <c r="C2656" t="s">
        <v>5358</v>
      </c>
      <c r="D2656" t="s">
        <v>172</v>
      </c>
      <c r="E2656">
        <v>-58411556</v>
      </c>
      <c r="F2656">
        <v>-60439169</v>
      </c>
      <c r="G2656">
        <v>-133294012</v>
      </c>
      <c r="H2656">
        <v>-90931235</v>
      </c>
      <c r="I2656">
        <v>-151869262</v>
      </c>
      <c r="J2656">
        <v>-225663209</v>
      </c>
      <c r="K2656">
        <v>-367843587</v>
      </c>
      <c r="L2656">
        <v>-181868227</v>
      </c>
      <c r="M2656">
        <v>-174845001</v>
      </c>
      <c r="N2656">
        <v>18541208</v>
      </c>
      <c r="O2656">
        <v>-129818876</v>
      </c>
      <c r="P2656">
        <v>461</v>
      </c>
      <c r="Q2656" t="s">
        <v>5359</v>
      </c>
    </row>
    <row r="2657" spans="1:17" x14ac:dyDescent="0.3">
      <c r="A2657" t="s">
        <v>17</v>
      </c>
      <c r="B2657" t="str">
        <f>"600561"</f>
        <v>600561</v>
      </c>
      <c r="C2657" t="s">
        <v>5360</v>
      </c>
      <c r="D2657" t="s">
        <v>46</v>
      </c>
      <c r="E2657">
        <v>-58607537</v>
      </c>
      <c r="F2657">
        <v>-24060015</v>
      </c>
      <c r="G2657">
        <v>-105628653</v>
      </c>
      <c r="H2657">
        <v>26521010</v>
      </c>
      <c r="I2657">
        <v>62095342</v>
      </c>
      <c r="J2657">
        <v>-105456469</v>
      </c>
      <c r="K2657">
        <v>108870822</v>
      </c>
      <c r="L2657">
        <v>-53709629</v>
      </c>
      <c r="M2657">
        <v>27344418</v>
      </c>
      <c r="N2657">
        <v>76126649</v>
      </c>
      <c r="O2657">
        <v>3569675</v>
      </c>
      <c r="P2657">
        <v>59</v>
      </c>
      <c r="Q2657" t="s">
        <v>5361</v>
      </c>
    </row>
    <row r="2658" spans="1:17" x14ac:dyDescent="0.3">
      <c r="A2658" t="s">
        <v>32</v>
      </c>
      <c r="B2658" t="str">
        <f>"301055"</f>
        <v>301055</v>
      </c>
      <c r="C2658" t="s">
        <v>5362</v>
      </c>
      <c r="D2658" t="s">
        <v>455</v>
      </c>
      <c r="E2658">
        <v>-58664038</v>
      </c>
      <c r="P2658">
        <v>28</v>
      </c>
      <c r="Q2658" t="s">
        <v>5363</v>
      </c>
    </row>
    <row r="2659" spans="1:17" x14ac:dyDescent="0.3">
      <c r="A2659" t="s">
        <v>17</v>
      </c>
      <c r="B2659" t="str">
        <f>"605338"</f>
        <v>605338</v>
      </c>
      <c r="C2659" t="s">
        <v>5364</v>
      </c>
      <c r="D2659" t="s">
        <v>172</v>
      </c>
      <c r="E2659">
        <v>-58733562</v>
      </c>
      <c r="F2659">
        <v>-46446121</v>
      </c>
      <c r="G2659">
        <v>-37142754</v>
      </c>
      <c r="P2659">
        <v>198</v>
      </c>
      <c r="Q2659" t="s">
        <v>5365</v>
      </c>
    </row>
    <row r="2660" spans="1:17" x14ac:dyDescent="0.3">
      <c r="A2660" t="s">
        <v>32</v>
      </c>
      <c r="B2660" t="str">
        <f>"002946"</f>
        <v>002946</v>
      </c>
      <c r="C2660" t="s">
        <v>5366</v>
      </c>
      <c r="D2660" t="s">
        <v>172</v>
      </c>
      <c r="E2660">
        <v>-58817166</v>
      </c>
      <c r="F2660">
        <v>28923984</v>
      </c>
      <c r="G2660">
        <v>-273156155</v>
      </c>
      <c r="H2660">
        <v>-46434935</v>
      </c>
      <c r="I2660">
        <v>-97201022</v>
      </c>
      <c r="P2660">
        <v>343</v>
      </c>
      <c r="Q2660" t="s">
        <v>5367</v>
      </c>
    </row>
    <row r="2661" spans="1:17" x14ac:dyDescent="0.3">
      <c r="A2661" t="s">
        <v>17</v>
      </c>
      <c r="B2661" t="str">
        <f>"603687"</f>
        <v>603687</v>
      </c>
      <c r="C2661" t="s">
        <v>5368</v>
      </c>
      <c r="D2661" t="s">
        <v>455</v>
      </c>
      <c r="E2661">
        <v>-58847125</v>
      </c>
      <c r="F2661">
        <v>-17316836</v>
      </c>
      <c r="G2661">
        <v>-126512728</v>
      </c>
      <c r="H2661">
        <v>-3863033</v>
      </c>
      <c r="I2661">
        <v>26358859</v>
      </c>
      <c r="P2661">
        <v>92</v>
      </c>
      <c r="Q2661" t="s">
        <v>5369</v>
      </c>
    </row>
    <row r="2662" spans="1:17" x14ac:dyDescent="0.3">
      <c r="A2662" t="s">
        <v>17</v>
      </c>
      <c r="B2662" t="str">
        <f>"600261"</f>
        <v>600261</v>
      </c>
      <c r="C2662" t="s">
        <v>5370</v>
      </c>
      <c r="D2662" t="s">
        <v>127</v>
      </c>
      <c r="E2662">
        <v>-58860924</v>
      </c>
      <c r="F2662">
        <v>-199190754</v>
      </c>
      <c r="G2662">
        <v>81835134</v>
      </c>
      <c r="H2662">
        <v>-28409845</v>
      </c>
      <c r="I2662">
        <v>-126524919</v>
      </c>
      <c r="J2662">
        <v>-121812014</v>
      </c>
      <c r="K2662">
        <v>256059761</v>
      </c>
      <c r="L2662">
        <v>-43767154</v>
      </c>
      <c r="M2662">
        <v>203629477</v>
      </c>
      <c r="N2662">
        <v>-1633296</v>
      </c>
      <c r="O2662">
        <v>-45449683</v>
      </c>
      <c r="P2662">
        <v>440</v>
      </c>
      <c r="Q2662" t="s">
        <v>5371</v>
      </c>
    </row>
    <row r="2663" spans="1:17" x14ac:dyDescent="0.3">
      <c r="A2663" t="s">
        <v>17</v>
      </c>
      <c r="B2663" t="str">
        <f>"600161"</f>
        <v>600161</v>
      </c>
      <c r="C2663" t="s">
        <v>5372</v>
      </c>
      <c r="D2663" t="s">
        <v>98</v>
      </c>
      <c r="E2663">
        <v>-58890971</v>
      </c>
      <c r="F2663">
        <v>140713987</v>
      </c>
      <c r="G2663">
        <v>305474368</v>
      </c>
      <c r="H2663">
        <v>237536435</v>
      </c>
      <c r="I2663">
        <v>-107574987</v>
      </c>
      <c r="J2663">
        <v>-75884482</v>
      </c>
      <c r="K2663">
        <v>-64445459</v>
      </c>
      <c r="L2663">
        <v>-113116548</v>
      </c>
      <c r="M2663">
        <v>-255410789</v>
      </c>
      <c r="N2663">
        <v>-161621294</v>
      </c>
      <c r="O2663">
        <v>-195925457</v>
      </c>
      <c r="P2663">
        <v>1406</v>
      </c>
      <c r="Q2663" t="s">
        <v>5373</v>
      </c>
    </row>
    <row r="2664" spans="1:17" x14ac:dyDescent="0.3">
      <c r="A2664" t="s">
        <v>32</v>
      </c>
      <c r="B2664" t="str">
        <f>"300329"</f>
        <v>300329</v>
      </c>
      <c r="C2664" t="s">
        <v>5374</v>
      </c>
      <c r="D2664" t="s">
        <v>455</v>
      </c>
      <c r="E2664">
        <v>-58920724</v>
      </c>
      <c r="F2664">
        <v>-46255671</v>
      </c>
      <c r="G2664">
        <v>-72227369</v>
      </c>
      <c r="H2664">
        <v>-74705997</v>
      </c>
      <c r="I2664">
        <v>-9995073</v>
      </c>
      <c r="J2664">
        <v>-18129579</v>
      </c>
      <c r="K2664">
        <v>-23154716</v>
      </c>
      <c r="L2664">
        <v>-23791407</v>
      </c>
      <c r="M2664">
        <v>-40280433</v>
      </c>
      <c r="N2664">
        <v>-37101112</v>
      </c>
      <c r="O2664">
        <v>-34869808</v>
      </c>
      <c r="P2664">
        <v>96</v>
      </c>
      <c r="Q2664" t="s">
        <v>5375</v>
      </c>
    </row>
    <row r="2665" spans="1:17" x14ac:dyDescent="0.3">
      <c r="A2665" t="s">
        <v>17</v>
      </c>
      <c r="B2665" t="str">
        <f>"688365"</f>
        <v>688365</v>
      </c>
      <c r="C2665" t="s">
        <v>5376</v>
      </c>
      <c r="D2665" t="s">
        <v>342</v>
      </c>
      <c r="E2665">
        <v>-58974665</v>
      </c>
      <c r="F2665">
        <v>-26905838</v>
      </c>
      <c r="G2665">
        <v>8728781</v>
      </c>
      <c r="H2665">
        <v>8509110</v>
      </c>
      <c r="P2665">
        <v>72</v>
      </c>
      <c r="Q2665" t="s">
        <v>5377</v>
      </c>
    </row>
    <row r="2666" spans="1:17" x14ac:dyDescent="0.3">
      <c r="A2666" t="s">
        <v>17</v>
      </c>
      <c r="B2666" t="str">
        <f>"603177"</f>
        <v>603177</v>
      </c>
      <c r="C2666" t="s">
        <v>5378</v>
      </c>
      <c r="D2666" t="s">
        <v>1334</v>
      </c>
      <c r="E2666">
        <v>-59037253</v>
      </c>
      <c r="F2666">
        <v>-22497944</v>
      </c>
      <c r="G2666">
        <v>-85560419</v>
      </c>
      <c r="H2666">
        <v>-69914608</v>
      </c>
      <c r="I2666">
        <v>-109968773</v>
      </c>
      <c r="J2666">
        <v>-58347717</v>
      </c>
      <c r="K2666">
        <v>-77621764</v>
      </c>
      <c r="P2666">
        <v>68</v>
      </c>
      <c r="Q2666" t="s">
        <v>5379</v>
      </c>
    </row>
    <row r="2667" spans="1:17" x14ac:dyDescent="0.3">
      <c r="A2667" t="s">
        <v>17</v>
      </c>
      <c r="B2667" t="str">
        <f>"603112"</f>
        <v>603112</v>
      </c>
      <c r="C2667" t="s">
        <v>5380</v>
      </c>
      <c r="D2667" t="s">
        <v>127</v>
      </c>
      <c r="E2667">
        <v>-59072036</v>
      </c>
      <c r="F2667">
        <v>-32472963</v>
      </c>
      <c r="G2667">
        <v>-18555184</v>
      </c>
      <c r="P2667">
        <v>48</v>
      </c>
      <c r="Q2667" t="s">
        <v>5381</v>
      </c>
    </row>
    <row r="2668" spans="1:17" x14ac:dyDescent="0.3">
      <c r="A2668" t="s">
        <v>17</v>
      </c>
      <c r="B2668" t="str">
        <f>"603617"</f>
        <v>603617</v>
      </c>
      <c r="C2668" t="s">
        <v>5382</v>
      </c>
      <c r="D2668" t="s">
        <v>135</v>
      </c>
      <c r="E2668">
        <v>-59207905</v>
      </c>
      <c r="F2668">
        <v>-63528969</v>
      </c>
      <c r="G2668">
        <v>-14099185</v>
      </c>
      <c r="H2668">
        <v>26039287</v>
      </c>
      <c r="I2668">
        <v>41598253</v>
      </c>
      <c r="J2668">
        <v>24786272</v>
      </c>
      <c r="K2668">
        <v>31575256</v>
      </c>
      <c r="P2668">
        <v>105</v>
      </c>
      <c r="Q2668" t="s">
        <v>5383</v>
      </c>
    </row>
    <row r="2669" spans="1:17" x14ac:dyDescent="0.3">
      <c r="A2669" t="s">
        <v>32</v>
      </c>
      <c r="B2669" t="str">
        <f>"301013"</f>
        <v>301013</v>
      </c>
      <c r="C2669" t="s">
        <v>5384</v>
      </c>
      <c r="D2669" t="s">
        <v>135</v>
      </c>
      <c r="E2669">
        <v>-59215597</v>
      </c>
      <c r="F2669">
        <v>-85527342</v>
      </c>
      <c r="G2669">
        <v>39902680</v>
      </c>
      <c r="P2669">
        <v>20</v>
      </c>
      <c r="Q2669" t="s">
        <v>5385</v>
      </c>
    </row>
    <row r="2670" spans="1:17" x14ac:dyDescent="0.3">
      <c r="A2670" t="s">
        <v>32</v>
      </c>
      <c r="B2670" t="str">
        <f>"300596"</f>
        <v>300596</v>
      </c>
      <c r="C2670" t="s">
        <v>5386</v>
      </c>
      <c r="D2670" t="s">
        <v>144</v>
      </c>
      <c r="E2670">
        <v>-59360127</v>
      </c>
      <c r="F2670">
        <v>-61403582</v>
      </c>
      <c r="G2670">
        <v>-47178309</v>
      </c>
      <c r="H2670">
        <v>-106898038</v>
      </c>
      <c r="I2670">
        <v>-65988853</v>
      </c>
      <c r="J2670">
        <v>-21293493</v>
      </c>
      <c r="K2670">
        <v>-851572</v>
      </c>
      <c r="P2670">
        <v>391</v>
      </c>
      <c r="Q2670" t="s">
        <v>5387</v>
      </c>
    </row>
    <row r="2671" spans="1:17" x14ac:dyDescent="0.3">
      <c r="A2671" t="s">
        <v>32</v>
      </c>
      <c r="B2671" t="str">
        <f>"002963"</f>
        <v>002963</v>
      </c>
      <c r="C2671" t="s">
        <v>5388</v>
      </c>
      <c r="D2671" t="s">
        <v>645</v>
      </c>
      <c r="E2671">
        <v>-59396498</v>
      </c>
      <c r="F2671">
        <v>-2903676</v>
      </c>
      <c r="G2671">
        <v>-61515483</v>
      </c>
      <c r="H2671">
        <v>-55933125</v>
      </c>
      <c r="P2671">
        <v>75</v>
      </c>
      <c r="Q2671" t="s">
        <v>5389</v>
      </c>
    </row>
    <row r="2672" spans="1:17" x14ac:dyDescent="0.3">
      <c r="A2672" t="s">
        <v>17</v>
      </c>
      <c r="B2672" t="str">
        <f>"688087"</f>
        <v>688087</v>
      </c>
      <c r="C2672" t="s">
        <v>5390</v>
      </c>
      <c r="D2672" t="s">
        <v>144</v>
      </c>
      <c r="E2672">
        <v>-59410224</v>
      </c>
      <c r="F2672">
        <v>40613953</v>
      </c>
      <c r="G2672">
        <v>-65381138</v>
      </c>
      <c r="P2672">
        <v>36</v>
      </c>
      <c r="Q2672" t="s">
        <v>5391</v>
      </c>
    </row>
    <row r="2673" spans="1:17" x14ac:dyDescent="0.3">
      <c r="A2673" t="s">
        <v>17</v>
      </c>
      <c r="B2673" t="str">
        <f>"603335"</f>
        <v>603335</v>
      </c>
      <c r="C2673" t="s">
        <v>5392</v>
      </c>
      <c r="D2673" t="s">
        <v>199</v>
      </c>
      <c r="E2673">
        <v>-59462134</v>
      </c>
      <c r="F2673">
        <v>-11643647</v>
      </c>
      <c r="G2673">
        <v>-11527713</v>
      </c>
      <c r="H2673">
        <v>7374869</v>
      </c>
      <c r="I2673">
        <v>-29312190</v>
      </c>
      <c r="J2673">
        <v>10225791</v>
      </c>
      <c r="P2673">
        <v>66</v>
      </c>
      <c r="Q2673" t="s">
        <v>5393</v>
      </c>
    </row>
    <row r="2674" spans="1:17" x14ac:dyDescent="0.3">
      <c r="A2674" t="s">
        <v>32</v>
      </c>
      <c r="B2674" t="str">
        <f>"002922"</f>
        <v>002922</v>
      </c>
      <c r="C2674" t="s">
        <v>5394</v>
      </c>
      <c r="D2674" t="s">
        <v>124</v>
      </c>
      <c r="E2674">
        <v>-59615941</v>
      </c>
      <c r="F2674">
        <v>66914804</v>
      </c>
      <c r="G2674">
        <v>-11174717</v>
      </c>
      <c r="H2674">
        <v>-64191916</v>
      </c>
      <c r="I2674">
        <v>-21730920</v>
      </c>
      <c r="J2674">
        <v>-14890337</v>
      </c>
      <c r="P2674">
        <v>170</v>
      </c>
      <c r="Q2674" t="s">
        <v>5395</v>
      </c>
    </row>
    <row r="2675" spans="1:17" x14ac:dyDescent="0.3">
      <c r="A2675" t="s">
        <v>32</v>
      </c>
      <c r="B2675" t="str">
        <f>"000551"</f>
        <v>000551</v>
      </c>
      <c r="C2675" t="s">
        <v>5396</v>
      </c>
      <c r="D2675" t="s">
        <v>1334</v>
      </c>
      <c r="E2675">
        <v>-59618273</v>
      </c>
      <c r="F2675">
        <v>-23258890</v>
      </c>
      <c r="G2675">
        <v>-58028261</v>
      </c>
      <c r="H2675">
        <v>-39488793</v>
      </c>
      <c r="I2675">
        <v>-176712</v>
      </c>
      <c r="J2675">
        <v>-66174046</v>
      </c>
      <c r="K2675">
        <v>40954326</v>
      </c>
      <c r="L2675">
        <v>-70647585</v>
      </c>
      <c r="M2675">
        <v>-68807015</v>
      </c>
      <c r="N2675">
        <v>-22112716</v>
      </c>
      <c r="O2675">
        <v>-88256929</v>
      </c>
      <c r="P2675">
        <v>122</v>
      </c>
      <c r="Q2675" t="s">
        <v>5397</v>
      </c>
    </row>
    <row r="2676" spans="1:17" x14ac:dyDescent="0.3">
      <c r="A2676" t="s">
        <v>17</v>
      </c>
      <c r="B2676" t="str">
        <f>"605005"</f>
        <v>605005</v>
      </c>
      <c r="C2676" t="s">
        <v>5398</v>
      </c>
      <c r="D2676" t="s">
        <v>199</v>
      </c>
      <c r="E2676">
        <v>-59694286</v>
      </c>
      <c r="F2676">
        <v>-43577841</v>
      </c>
      <c r="G2676">
        <v>6567791</v>
      </c>
      <c r="P2676">
        <v>63</v>
      </c>
      <c r="Q2676" t="s">
        <v>5399</v>
      </c>
    </row>
    <row r="2677" spans="1:17" x14ac:dyDescent="0.3">
      <c r="A2677" t="s">
        <v>17</v>
      </c>
      <c r="B2677" t="str">
        <f>"605299"</f>
        <v>605299</v>
      </c>
      <c r="C2677" t="s">
        <v>5400</v>
      </c>
      <c r="D2677" t="s">
        <v>455</v>
      </c>
      <c r="E2677">
        <v>-59920862</v>
      </c>
      <c r="F2677">
        <v>-71051356</v>
      </c>
      <c r="G2677">
        <v>-31379167</v>
      </c>
      <c r="I2677">
        <v>-57843457</v>
      </c>
      <c r="P2677">
        <v>58</v>
      </c>
      <c r="Q2677" t="s">
        <v>5401</v>
      </c>
    </row>
    <row r="2678" spans="1:17" x14ac:dyDescent="0.3">
      <c r="A2678" t="s">
        <v>32</v>
      </c>
      <c r="B2678" t="str">
        <f>"301040"</f>
        <v>301040</v>
      </c>
      <c r="C2678" t="s">
        <v>5402</v>
      </c>
      <c r="D2678" t="s">
        <v>464</v>
      </c>
      <c r="E2678">
        <v>-59969588</v>
      </c>
      <c r="F2678">
        <v>-6913482</v>
      </c>
      <c r="G2678">
        <v>39130487</v>
      </c>
      <c r="P2678">
        <v>22</v>
      </c>
      <c r="Q2678" t="s">
        <v>5403</v>
      </c>
    </row>
    <row r="2679" spans="1:17" x14ac:dyDescent="0.3">
      <c r="A2679" t="s">
        <v>32</v>
      </c>
      <c r="B2679" t="str">
        <f>"300425"</f>
        <v>300425</v>
      </c>
      <c r="C2679" t="s">
        <v>5404</v>
      </c>
      <c r="D2679" t="s">
        <v>1334</v>
      </c>
      <c r="E2679">
        <v>-59972556</v>
      </c>
      <c r="F2679">
        <v>-83407417</v>
      </c>
      <c r="G2679">
        <v>-96166954</v>
      </c>
      <c r="H2679">
        <v>-97486165</v>
      </c>
      <c r="I2679">
        <v>-102640729</v>
      </c>
      <c r="J2679">
        <v>-59710662</v>
      </c>
      <c r="K2679">
        <v>-47797026</v>
      </c>
      <c r="L2679">
        <v>-38074283</v>
      </c>
      <c r="M2679">
        <v>-29069167</v>
      </c>
      <c r="P2679">
        <v>121</v>
      </c>
      <c r="Q2679" t="s">
        <v>5405</v>
      </c>
    </row>
    <row r="2680" spans="1:17" x14ac:dyDescent="0.3">
      <c r="A2680" t="s">
        <v>32</v>
      </c>
      <c r="B2680" t="str">
        <f>"300153"</f>
        <v>300153</v>
      </c>
      <c r="C2680" t="s">
        <v>5406</v>
      </c>
      <c r="D2680" t="s">
        <v>464</v>
      </c>
      <c r="E2680">
        <v>-60131735</v>
      </c>
      <c r="F2680">
        <v>-52366353</v>
      </c>
      <c r="G2680">
        <v>-107436448</v>
      </c>
      <c r="H2680">
        <v>-48239864</v>
      </c>
      <c r="I2680">
        <v>-30604935</v>
      </c>
      <c r="J2680">
        <v>-107491603</v>
      </c>
      <c r="K2680">
        <v>-60469649</v>
      </c>
      <c r="L2680">
        <v>-12361786</v>
      </c>
      <c r="M2680">
        <v>-49336987</v>
      </c>
      <c r="N2680">
        <v>-3258840</v>
      </c>
      <c r="O2680">
        <v>-83125126</v>
      </c>
      <c r="P2680">
        <v>108</v>
      </c>
      <c r="Q2680" t="s">
        <v>5407</v>
      </c>
    </row>
    <row r="2681" spans="1:17" x14ac:dyDescent="0.3">
      <c r="A2681" t="s">
        <v>32</v>
      </c>
      <c r="B2681" t="str">
        <f>"002942"</f>
        <v>002942</v>
      </c>
      <c r="C2681" t="s">
        <v>5408</v>
      </c>
      <c r="D2681" t="s">
        <v>144</v>
      </c>
      <c r="E2681">
        <v>-60234348</v>
      </c>
      <c r="F2681">
        <v>-50367741</v>
      </c>
      <c r="G2681">
        <v>-63294205</v>
      </c>
      <c r="H2681">
        <v>29800829</v>
      </c>
      <c r="I2681">
        <v>26906824</v>
      </c>
      <c r="P2681">
        <v>414</v>
      </c>
      <c r="Q2681" t="s">
        <v>5409</v>
      </c>
    </row>
    <row r="2682" spans="1:17" x14ac:dyDescent="0.3">
      <c r="A2682" t="s">
        <v>17</v>
      </c>
      <c r="B2682" t="str">
        <f>"600866"</f>
        <v>600866</v>
      </c>
      <c r="C2682" t="s">
        <v>5410</v>
      </c>
      <c r="D2682" t="s">
        <v>144</v>
      </c>
      <c r="E2682">
        <v>-60355107</v>
      </c>
      <c r="F2682">
        <v>-72710393</v>
      </c>
      <c r="G2682">
        <v>1051188</v>
      </c>
      <c r="H2682">
        <v>55017616</v>
      </c>
      <c r="I2682">
        <v>-2162538</v>
      </c>
      <c r="J2682">
        <v>-17198193</v>
      </c>
      <c r="K2682">
        <v>-1449405</v>
      </c>
      <c r="L2682">
        <v>-3002471</v>
      </c>
      <c r="M2682">
        <v>-80498693</v>
      </c>
      <c r="N2682">
        <v>-50737346</v>
      </c>
      <c r="O2682">
        <v>-162811546</v>
      </c>
      <c r="P2682">
        <v>143</v>
      </c>
      <c r="Q2682" t="s">
        <v>5411</v>
      </c>
    </row>
    <row r="2683" spans="1:17" x14ac:dyDescent="0.3">
      <c r="A2683" t="s">
        <v>17</v>
      </c>
      <c r="B2683" t="str">
        <f>"688090"</f>
        <v>688090</v>
      </c>
      <c r="C2683" t="s">
        <v>5412</v>
      </c>
      <c r="D2683" t="s">
        <v>135</v>
      </c>
      <c r="E2683">
        <v>-60396216</v>
      </c>
      <c r="F2683">
        <v>-114987575</v>
      </c>
      <c r="G2683">
        <v>-95797186</v>
      </c>
      <c r="H2683">
        <v>-63089197</v>
      </c>
      <c r="P2683">
        <v>63</v>
      </c>
      <c r="Q2683" t="s">
        <v>5413</v>
      </c>
    </row>
    <row r="2684" spans="1:17" x14ac:dyDescent="0.3">
      <c r="A2684" t="s">
        <v>32</v>
      </c>
      <c r="B2684" t="str">
        <f>"301028"</f>
        <v>301028</v>
      </c>
      <c r="C2684" t="s">
        <v>5414</v>
      </c>
      <c r="D2684" t="s">
        <v>135</v>
      </c>
      <c r="E2684">
        <v>-60484210</v>
      </c>
      <c r="F2684">
        <v>-30467207</v>
      </c>
      <c r="G2684">
        <v>-36309086</v>
      </c>
      <c r="P2684">
        <v>53</v>
      </c>
      <c r="Q2684" t="s">
        <v>5415</v>
      </c>
    </row>
    <row r="2685" spans="1:17" x14ac:dyDescent="0.3">
      <c r="A2685" t="s">
        <v>17</v>
      </c>
      <c r="B2685" t="str">
        <f>"605081"</f>
        <v>605081</v>
      </c>
      <c r="C2685" t="s">
        <v>5416</v>
      </c>
      <c r="D2685" t="s">
        <v>1334</v>
      </c>
      <c r="E2685">
        <v>-60621962</v>
      </c>
      <c r="F2685">
        <v>-151293452</v>
      </c>
      <c r="G2685">
        <v>-60416916</v>
      </c>
      <c r="P2685">
        <v>30</v>
      </c>
      <c r="Q2685" t="s">
        <v>5417</v>
      </c>
    </row>
    <row r="2686" spans="1:17" x14ac:dyDescent="0.3">
      <c r="A2686" t="s">
        <v>17</v>
      </c>
      <c r="B2686" t="str">
        <f>"688466"</f>
        <v>688466</v>
      </c>
      <c r="C2686" t="s">
        <v>5418</v>
      </c>
      <c r="D2686" t="s">
        <v>1334</v>
      </c>
      <c r="E2686">
        <v>-60643973</v>
      </c>
      <c r="F2686">
        <v>-96953366</v>
      </c>
      <c r="G2686">
        <v>-77091672</v>
      </c>
      <c r="H2686">
        <v>-47990295</v>
      </c>
      <c r="P2686">
        <v>60</v>
      </c>
      <c r="Q2686" t="s">
        <v>5419</v>
      </c>
    </row>
    <row r="2687" spans="1:17" x14ac:dyDescent="0.3">
      <c r="A2687" t="s">
        <v>17</v>
      </c>
      <c r="B2687" t="str">
        <f>"603718"</f>
        <v>603718</v>
      </c>
      <c r="C2687" t="s">
        <v>5420</v>
      </c>
      <c r="D2687" t="s">
        <v>175</v>
      </c>
      <c r="E2687">
        <v>-60657698</v>
      </c>
      <c r="F2687">
        <v>-9782981</v>
      </c>
      <c r="G2687">
        <v>-18695013</v>
      </c>
      <c r="H2687">
        <v>-21561575</v>
      </c>
      <c r="I2687">
        <v>-23542173</v>
      </c>
      <c r="J2687">
        <v>-16321331</v>
      </c>
      <c r="K2687">
        <v>-24034910</v>
      </c>
      <c r="L2687">
        <v>2786755</v>
      </c>
      <c r="M2687">
        <v>6063671</v>
      </c>
      <c r="P2687">
        <v>166</v>
      </c>
      <c r="Q2687" t="s">
        <v>5421</v>
      </c>
    </row>
    <row r="2688" spans="1:17" x14ac:dyDescent="0.3">
      <c r="A2688" t="s">
        <v>17</v>
      </c>
      <c r="B2688" t="str">
        <f>"603586"</f>
        <v>603586</v>
      </c>
      <c r="C2688" t="s">
        <v>5422</v>
      </c>
      <c r="D2688" t="s">
        <v>199</v>
      </c>
      <c r="E2688">
        <v>-60664621</v>
      </c>
      <c r="F2688">
        <v>-5795885</v>
      </c>
      <c r="G2688">
        <v>91922554</v>
      </c>
      <c r="H2688">
        <v>39777774</v>
      </c>
      <c r="I2688">
        <v>-7417942</v>
      </c>
      <c r="J2688">
        <v>-120069</v>
      </c>
      <c r="K2688">
        <v>36625189</v>
      </c>
      <c r="P2688">
        <v>109</v>
      </c>
      <c r="Q2688" t="s">
        <v>5423</v>
      </c>
    </row>
    <row r="2689" spans="1:17" x14ac:dyDescent="0.3">
      <c r="A2689" t="s">
        <v>17</v>
      </c>
      <c r="B2689" t="str">
        <f>"605138"</f>
        <v>605138</v>
      </c>
      <c r="C2689" t="s">
        <v>5424</v>
      </c>
      <c r="D2689" t="s">
        <v>130</v>
      </c>
      <c r="E2689">
        <v>-60766983</v>
      </c>
      <c r="P2689">
        <v>27</v>
      </c>
      <c r="Q2689" t="s">
        <v>5425</v>
      </c>
    </row>
    <row r="2690" spans="1:17" x14ac:dyDescent="0.3">
      <c r="A2690" t="s">
        <v>32</v>
      </c>
      <c r="B2690" t="str">
        <f>"301073"</f>
        <v>301073</v>
      </c>
      <c r="C2690" t="s">
        <v>5426</v>
      </c>
      <c r="D2690" t="s">
        <v>497</v>
      </c>
      <c r="E2690">
        <v>-60898263</v>
      </c>
      <c r="P2690">
        <v>22</v>
      </c>
      <c r="Q2690" t="s">
        <v>5427</v>
      </c>
    </row>
    <row r="2691" spans="1:17" x14ac:dyDescent="0.3">
      <c r="A2691" t="s">
        <v>17</v>
      </c>
      <c r="B2691" t="str">
        <f>"603683"</f>
        <v>603683</v>
      </c>
      <c r="C2691" t="s">
        <v>5428</v>
      </c>
      <c r="D2691" t="s">
        <v>144</v>
      </c>
      <c r="E2691">
        <v>-60987857</v>
      </c>
      <c r="F2691">
        <v>-28151346</v>
      </c>
      <c r="G2691">
        <v>-74582779</v>
      </c>
      <c r="H2691">
        <v>-83299216</v>
      </c>
      <c r="I2691">
        <v>-81001262</v>
      </c>
      <c r="J2691">
        <v>-59934752</v>
      </c>
      <c r="P2691">
        <v>58</v>
      </c>
      <c r="Q2691" t="s">
        <v>5429</v>
      </c>
    </row>
    <row r="2692" spans="1:17" x14ac:dyDescent="0.3">
      <c r="A2692" t="s">
        <v>32</v>
      </c>
      <c r="B2692" t="str">
        <f>"300929"</f>
        <v>300929</v>
      </c>
      <c r="C2692" t="s">
        <v>5430</v>
      </c>
      <c r="D2692" t="s">
        <v>1334</v>
      </c>
      <c r="E2692">
        <v>-61002368</v>
      </c>
      <c r="F2692">
        <v>-120970628</v>
      </c>
      <c r="G2692">
        <v>-16917606</v>
      </c>
      <c r="P2692">
        <v>48</v>
      </c>
      <c r="Q2692" t="s">
        <v>5431</v>
      </c>
    </row>
    <row r="2693" spans="1:17" x14ac:dyDescent="0.3">
      <c r="A2693" t="s">
        <v>32</v>
      </c>
      <c r="B2693" t="str">
        <f>"002015"</f>
        <v>002015</v>
      </c>
      <c r="C2693" t="s">
        <v>5432</v>
      </c>
      <c r="D2693" t="s">
        <v>158</v>
      </c>
      <c r="E2693">
        <v>-61034067</v>
      </c>
      <c r="F2693">
        <v>72777503</v>
      </c>
      <c r="G2693">
        <v>66521699</v>
      </c>
      <c r="H2693">
        <v>-7268530</v>
      </c>
      <c r="I2693">
        <v>-16297206</v>
      </c>
      <c r="J2693">
        <v>-96440</v>
      </c>
      <c r="K2693">
        <v>-47714627</v>
      </c>
      <c r="L2693">
        <v>5057828</v>
      </c>
      <c r="M2693">
        <v>22606034</v>
      </c>
      <c r="N2693">
        <v>133647859</v>
      </c>
      <c r="O2693">
        <v>104697190</v>
      </c>
      <c r="P2693">
        <v>240</v>
      </c>
      <c r="Q2693" t="s">
        <v>5433</v>
      </c>
    </row>
    <row r="2694" spans="1:17" x14ac:dyDescent="0.3">
      <c r="A2694" t="s">
        <v>32</v>
      </c>
      <c r="B2694" t="str">
        <f>"300147"</f>
        <v>300147</v>
      </c>
      <c r="C2694" t="s">
        <v>5434</v>
      </c>
      <c r="D2694" t="s">
        <v>98</v>
      </c>
      <c r="E2694">
        <v>-61171722</v>
      </c>
      <c r="F2694">
        <v>-93206133</v>
      </c>
      <c r="G2694">
        <v>-644517425</v>
      </c>
      <c r="H2694">
        <v>-276997168</v>
      </c>
      <c r="I2694">
        <v>-406963552</v>
      </c>
      <c r="J2694">
        <v>-213277806</v>
      </c>
      <c r="K2694">
        <v>-142061823</v>
      </c>
      <c r="L2694">
        <v>-91096694</v>
      </c>
      <c r="M2694">
        <v>-31936077</v>
      </c>
      <c r="N2694">
        <v>-16740910</v>
      </c>
      <c r="O2694">
        <v>-112716268</v>
      </c>
      <c r="P2694">
        <v>166</v>
      </c>
      <c r="Q2694" t="s">
        <v>5435</v>
      </c>
    </row>
    <row r="2695" spans="1:17" x14ac:dyDescent="0.3">
      <c r="A2695" t="s">
        <v>32</v>
      </c>
      <c r="B2695" t="str">
        <f>"000721"</f>
        <v>000721</v>
      </c>
      <c r="C2695" t="s">
        <v>5436</v>
      </c>
      <c r="D2695" t="s">
        <v>497</v>
      </c>
      <c r="E2695">
        <v>-61207099</v>
      </c>
      <c r="F2695">
        <v>-51240185</v>
      </c>
      <c r="G2695">
        <v>-15738920</v>
      </c>
      <c r="H2695">
        <v>-113590904</v>
      </c>
      <c r="I2695">
        <v>-86625</v>
      </c>
      <c r="J2695">
        <v>4492605</v>
      </c>
      <c r="K2695">
        <v>-8301159</v>
      </c>
      <c r="L2695">
        <v>-45845959</v>
      </c>
      <c r="M2695">
        <v>-30147331</v>
      </c>
      <c r="N2695">
        <v>-31629617</v>
      </c>
      <c r="O2695">
        <v>-40181179</v>
      </c>
      <c r="P2695">
        <v>130</v>
      </c>
      <c r="Q2695" t="s">
        <v>5437</v>
      </c>
    </row>
    <row r="2696" spans="1:17" x14ac:dyDescent="0.3">
      <c r="A2696" t="s">
        <v>17</v>
      </c>
      <c r="B2696" t="str">
        <f>"688505"</f>
        <v>688505</v>
      </c>
      <c r="C2696" t="s">
        <v>5438</v>
      </c>
      <c r="D2696" t="s">
        <v>98</v>
      </c>
      <c r="E2696">
        <v>-61213096</v>
      </c>
      <c r="F2696">
        <v>-40548829</v>
      </c>
      <c r="G2696">
        <v>18717638</v>
      </c>
      <c r="H2696">
        <v>43827693</v>
      </c>
      <c r="P2696">
        <v>68</v>
      </c>
      <c r="Q2696" t="s">
        <v>5439</v>
      </c>
    </row>
    <row r="2697" spans="1:17" x14ac:dyDescent="0.3">
      <c r="A2697" t="s">
        <v>17</v>
      </c>
      <c r="B2697" t="str">
        <f>"688028"</f>
        <v>688028</v>
      </c>
      <c r="C2697" t="s">
        <v>5440</v>
      </c>
      <c r="D2697" t="s">
        <v>135</v>
      </c>
      <c r="E2697">
        <v>-61246322</v>
      </c>
      <c r="F2697">
        <v>235202</v>
      </c>
      <c r="G2697">
        <v>-19052157</v>
      </c>
      <c r="H2697">
        <v>-4482405</v>
      </c>
      <c r="I2697">
        <v>15987200</v>
      </c>
      <c r="P2697">
        <v>77</v>
      </c>
      <c r="Q2697" t="s">
        <v>5441</v>
      </c>
    </row>
    <row r="2698" spans="1:17" x14ac:dyDescent="0.3">
      <c r="A2698" t="s">
        <v>17</v>
      </c>
      <c r="B2698" t="str">
        <f>"688577"</f>
        <v>688577</v>
      </c>
      <c r="C2698" t="s">
        <v>5442</v>
      </c>
      <c r="D2698" t="s">
        <v>135</v>
      </c>
      <c r="E2698">
        <v>-61250296</v>
      </c>
      <c r="F2698">
        <v>-25151108</v>
      </c>
      <c r="G2698">
        <v>22033867</v>
      </c>
      <c r="P2698">
        <v>56</v>
      </c>
      <c r="Q2698" t="s">
        <v>5443</v>
      </c>
    </row>
    <row r="2699" spans="1:17" x14ac:dyDescent="0.3">
      <c r="A2699" t="s">
        <v>32</v>
      </c>
      <c r="B2699" t="str">
        <f>"002287"</f>
        <v>002287</v>
      </c>
      <c r="C2699" t="s">
        <v>5444</v>
      </c>
      <c r="D2699" t="s">
        <v>98</v>
      </c>
      <c r="E2699">
        <v>-61336763</v>
      </c>
      <c r="F2699">
        <v>114408382</v>
      </c>
      <c r="G2699">
        <v>190685050</v>
      </c>
      <c r="H2699">
        <v>-89868321</v>
      </c>
      <c r="I2699">
        <v>81780585</v>
      </c>
      <c r="J2699">
        <v>28760341</v>
      </c>
      <c r="K2699">
        <v>22441635</v>
      </c>
      <c r="L2699">
        <v>77568037</v>
      </c>
      <c r="M2699">
        <v>102061748</v>
      </c>
      <c r="N2699">
        <v>44780118</v>
      </c>
      <c r="O2699">
        <v>10274813</v>
      </c>
      <c r="P2699">
        <v>13300</v>
      </c>
      <c r="Q2699" t="s">
        <v>5445</v>
      </c>
    </row>
    <row r="2700" spans="1:17" x14ac:dyDescent="0.3">
      <c r="A2700" t="s">
        <v>32</v>
      </c>
      <c r="B2700" t="str">
        <f>"300756"</f>
        <v>300756</v>
      </c>
      <c r="C2700" t="s">
        <v>5446</v>
      </c>
      <c r="D2700" t="s">
        <v>455</v>
      </c>
      <c r="E2700">
        <v>-61358008</v>
      </c>
      <c r="F2700">
        <v>-48430481</v>
      </c>
      <c r="G2700">
        <v>-46046579</v>
      </c>
      <c r="H2700">
        <v>-22329259</v>
      </c>
      <c r="I2700">
        <v>-31710035</v>
      </c>
      <c r="J2700">
        <v>820386</v>
      </c>
      <c r="P2700">
        <v>76</v>
      </c>
      <c r="Q2700" t="s">
        <v>5447</v>
      </c>
    </row>
    <row r="2701" spans="1:17" x14ac:dyDescent="0.3">
      <c r="A2701" t="s">
        <v>17</v>
      </c>
      <c r="B2701" t="str">
        <f>"603638"</f>
        <v>603638</v>
      </c>
      <c r="C2701" t="s">
        <v>5448</v>
      </c>
      <c r="D2701" t="s">
        <v>135</v>
      </c>
      <c r="E2701">
        <v>-61371413</v>
      </c>
      <c r="F2701">
        <v>-285126732</v>
      </c>
      <c r="G2701">
        <v>-167827084</v>
      </c>
      <c r="H2701">
        <v>-112295409</v>
      </c>
      <c r="I2701">
        <v>-54180626</v>
      </c>
      <c r="J2701">
        <v>-27328934</v>
      </c>
      <c r="K2701">
        <v>-30854343</v>
      </c>
      <c r="P2701">
        <v>664</v>
      </c>
      <c r="Q2701" t="s">
        <v>5449</v>
      </c>
    </row>
    <row r="2702" spans="1:17" x14ac:dyDescent="0.3">
      <c r="A2702" t="s">
        <v>17</v>
      </c>
      <c r="B2702" t="str">
        <f>"603888"</f>
        <v>603888</v>
      </c>
      <c r="C2702" t="s">
        <v>5450</v>
      </c>
      <c r="D2702" t="s">
        <v>245</v>
      </c>
      <c r="E2702">
        <v>-61380974</v>
      </c>
      <c r="F2702">
        <v>-166046743</v>
      </c>
      <c r="G2702">
        <v>-88715275</v>
      </c>
      <c r="H2702">
        <v>-129923711</v>
      </c>
      <c r="I2702">
        <v>-109407306</v>
      </c>
      <c r="J2702">
        <v>-71967199</v>
      </c>
      <c r="K2702">
        <v>-58448278</v>
      </c>
      <c r="P2702">
        <v>227</v>
      </c>
      <c r="Q2702" t="s">
        <v>5451</v>
      </c>
    </row>
    <row r="2703" spans="1:17" x14ac:dyDescent="0.3">
      <c r="A2703" t="s">
        <v>17</v>
      </c>
      <c r="B2703" t="str">
        <f>"688656"</f>
        <v>688656</v>
      </c>
      <c r="C2703" t="s">
        <v>5452</v>
      </c>
      <c r="D2703" t="s">
        <v>98</v>
      </c>
      <c r="E2703">
        <v>-61392277</v>
      </c>
      <c r="F2703">
        <v>-27844516</v>
      </c>
      <c r="G2703">
        <v>-14846828</v>
      </c>
      <c r="H2703">
        <v>5951200</v>
      </c>
      <c r="P2703">
        <v>60</v>
      </c>
      <c r="Q2703" t="s">
        <v>5453</v>
      </c>
    </row>
    <row r="2704" spans="1:17" x14ac:dyDescent="0.3">
      <c r="A2704" t="s">
        <v>32</v>
      </c>
      <c r="B2704" t="str">
        <f>"300597"</f>
        <v>300597</v>
      </c>
      <c r="C2704" t="s">
        <v>5454</v>
      </c>
      <c r="D2704" t="s">
        <v>57</v>
      </c>
      <c r="E2704">
        <v>-61393434</v>
      </c>
      <c r="F2704">
        <v>-39186993</v>
      </c>
      <c r="G2704">
        <v>-28907676</v>
      </c>
      <c r="H2704">
        <v>-17907203</v>
      </c>
      <c r="I2704">
        <v>-11957401</v>
      </c>
      <c r="J2704">
        <v>-5587230</v>
      </c>
      <c r="K2704">
        <v>-13605833</v>
      </c>
      <c r="P2704">
        <v>110</v>
      </c>
      <c r="Q2704" t="s">
        <v>5455</v>
      </c>
    </row>
    <row r="2705" spans="1:17" x14ac:dyDescent="0.3">
      <c r="A2705" t="s">
        <v>17</v>
      </c>
      <c r="B2705" t="str">
        <f>"603356"</f>
        <v>603356</v>
      </c>
      <c r="C2705" t="s">
        <v>5456</v>
      </c>
      <c r="D2705" t="s">
        <v>135</v>
      </c>
      <c r="E2705">
        <v>-61529766</v>
      </c>
      <c r="F2705">
        <v>-30093406</v>
      </c>
      <c r="G2705">
        <v>-48320240</v>
      </c>
      <c r="H2705">
        <v>-17009817</v>
      </c>
      <c r="I2705">
        <v>-22800675</v>
      </c>
      <c r="J2705">
        <v>8906238</v>
      </c>
      <c r="P2705">
        <v>65</v>
      </c>
      <c r="Q2705" t="s">
        <v>5457</v>
      </c>
    </row>
    <row r="2706" spans="1:17" x14ac:dyDescent="0.3">
      <c r="A2706" t="s">
        <v>32</v>
      </c>
      <c r="B2706" t="str">
        <f>"300061"</f>
        <v>300061</v>
      </c>
      <c r="C2706" t="s">
        <v>5458</v>
      </c>
      <c r="D2706" t="s">
        <v>245</v>
      </c>
      <c r="E2706">
        <v>-61697847</v>
      </c>
      <c r="F2706">
        <v>-45956094</v>
      </c>
      <c r="G2706">
        <v>-300375771</v>
      </c>
      <c r="H2706">
        <v>98896690</v>
      </c>
      <c r="I2706">
        <v>-52362263</v>
      </c>
      <c r="J2706">
        <v>-630563</v>
      </c>
      <c r="K2706">
        <v>-735919</v>
      </c>
      <c r="L2706">
        <v>-11285177</v>
      </c>
      <c r="M2706">
        <v>-12212719</v>
      </c>
      <c r="N2706">
        <v>-5392300</v>
      </c>
      <c r="O2706">
        <v>-22156933</v>
      </c>
      <c r="P2706">
        <v>120</v>
      </c>
      <c r="Q2706" t="s">
        <v>5459</v>
      </c>
    </row>
    <row r="2707" spans="1:17" x14ac:dyDescent="0.3">
      <c r="A2707" t="s">
        <v>32</v>
      </c>
      <c r="B2707" t="str">
        <f>"300799"</f>
        <v>300799</v>
      </c>
      <c r="C2707" t="s">
        <v>5460</v>
      </c>
      <c r="D2707" t="s">
        <v>342</v>
      </c>
      <c r="E2707">
        <v>-61768567</v>
      </c>
      <c r="F2707">
        <v>-35331350</v>
      </c>
      <c r="G2707">
        <v>-18606353</v>
      </c>
      <c r="H2707">
        <v>-29583453</v>
      </c>
      <c r="P2707">
        <v>140</v>
      </c>
      <c r="Q2707" t="s">
        <v>5461</v>
      </c>
    </row>
    <row r="2708" spans="1:17" x14ac:dyDescent="0.3">
      <c r="A2708" t="s">
        <v>17</v>
      </c>
      <c r="B2708" t="str">
        <f>"600238"</f>
        <v>600238</v>
      </c>
      <c r="C2708" t="s">
        <v>5462</v>
      </c>
      <c r="D2708" t="s">
        <v>172</v>
      </c>
      <c r="E2708">
        <v>-61782011</v>
      </c>
      <c r="F2708">
        <v>-81482804</v>
      </c>
      <c r="G2708">
        <v>-57111757</v>
      </c>
      <c r="H2708">
        <v>-119563251</v>
      </c>
      <c r="I2708">
        <v>-212434826</v>
      </c>
      <c r="J2708">
        <v>-155316590</v>
      </c>
      <c r="K2708">
        <v>-34158160</v>
      </c>
      <c r="L2708">
        <v>-27456689</v>
      </c>
      <c r="M2708">
        <v>-158675496</v>
      </c>
      <c r="N2708">
        <v>-3582934</v>
      </c>
      <c r="O2708">
        <v>-98414202</v>
      </c>
      <c r="P2708">
        <v>146</v>
      </c>
      <c r="Q2708" t="s">
        <v>5463</v>
      </c>
    </row>
    <row r="2709" spans="1:17" x14ac:dyDescent="0.3">
      <c r="A2709" t="s">
        <v>32</v>
      </c>
      <c r="B2709" t="str">
        <f>"002880"</f>
        <v>002880</v>
      </c>
      <c r="C2709" t="s">
        <v>5464</v>
      </c>
      <c r="D2709" t="s">
        <v>98</v>
      </c>
      <c r="E2709">
        <v>-61818189</v>
      </c>
      <c r="F2709">
        <v>-16080142</v>
      </c>
      <c r="G2709">
        <v>49608520</v>
      </c>
      <c r="H2709">
        <v>-28732835</v>
      </c>
      <c r="I2709">
        <v>-69689974</v>
      </c>
      <c r="J2709">
        <v>-18250773</v>
      </c>
      <c r="P2709">
        <v>214</v>
      </c>
      <c r="Q2709" t="s">
        <v>5465</v>
      </c>
    </row>
    <row r="2710" spans="1:17" x14ac:dyDescent="0.3">
      <c r="A2710" t="s">
        <v>17</v>
      </c>
      <c r="B2710" t="str">
        <f>"600299"</f>
        <v>600299</v>
      </c>
      <c r="C2710" t="s">
        <v>5466</v>
      </c>
      <c r="D2710" t="s">
        <v>144</v>
      </c>
      <c r="E2710">
        <v>-61949020</v>
      </c>
      <c r="F2710">
        <v>-163385594</v>
      </c>
      <c r="G2710">
        <v>338696248</v>
      </c>
      <c r="H2710">
        <v>-106429816</v>
      </c>
      <c r="I2710">
        <v>-356602289</v>
      </c>
      <c r="J2710">
        <v>356476285</v>
      </c>
      <c r="K2710">
        <v>823170166</v>
      </c>
      <c r="L2710">
        <v>-88394657</v>
      </c>
      <c r="M2710">
        <v>-187182471</v>
      </c>
      <c r="N2710">
        <v>-135124812</v>
      </c>
      <c r="O2710">
        <v>-291109363</v>
      </c>
      <c r="P2710">
        <v>497</v>
      </c>
      <c r="Q2710" t="s">
        <v>5467</v>
      </c>
    </row>
    <row r="2711" spans="1:17" x14ac:dyDescent="0.3">
      <c r="A2711" t="s">
        <v>32</v>
      </c>
      <c r="B2711" t="str">
        <f>"301036"</f>
        <v>301036</v>
      </c>
      <c r="C2711" t="s">
        <v>5468</v>
      </c>
      <c r="D2711" t="s">
        <v>144</v>
      </c>
      <c r="E2711">
        <v>-62091992</v>
      </c>
      <c r="F2711">
        <v>-12586318</v>
      </c>
      <c r="G2711">
        <v>-9460220</v>
      </c>
      <c r="P2711">
        <v>20</v>
      </c>
      <c r="Q2711" t="s">
        <v>5469</v>
      </c>
    </row>
    <row r="2712" spans="1:17" x14ac:dyDescent="0.3">
      <c r="A2712" t="s">
        <v>32</v>
      </c>
      <c r="B2712" t="str">
        <f>"002103"</f>
        <v>002103</v>
      </c>
      <c r="C2712" t="s">
        <v>5470</v>
      </c>
      <c r="D2712" t="s">
        <v>245</v>
      </c>
      <c r="E2712">
        <v>-62117903</v>
      </c>
      <c r="F2712">
        <v>-105479358</v>
      </c>
      <c r="G2712">
        <v>-24627125</v>
      </c>
      <c r="H2712">
        <v>-19061072</v>
      </c>
      <c r="I2712">
        <v>-81318348</v>
      </c>
      <c r="J2712">
        <v>-70435971</v>
      </c>
      <c r="K2712">
        <v>49124724</v>
      </c>
      <c r="L2712">
        <v>-48494054</v>
      </c>
      <c r="M2712">
        <v>-39489130</v>
      </c>
      <c r="N2712">
        <v>-19732721</v>
      </c>
      <c r="O2712">
        <v>-13797238</v>
      </c>
      <c r="P2712">
        <v>108</v>
      </c>
      <c r="Q2712" t="s">
        <v>5471</v>
      </c>
    </row>
    <row r="2713" spans="1:17" x14ac:dyDescent="0.3">
      <c r="A2713" t="s">
        <v>17</v>
      </c>
      <c r="B2713" t="str">
        <f>"688038"</f>
        <v>688038</v>
      </c>
      <c r="C2713" t="s">
        <v>5472</v>
      </c>
      <c r="D2713" t="s">
        <v>342</v>
      </c>
      <c r="E2713">
        <v>-62188316</v>
      </c>
      <c r="F2713">
        <v>-57769069</v>
      </c>
      <c r="G2713">
        <v>-115930185</v>
      </c>
      <c r="P2713">
        <v>17</v>
      </c>
      <c r="Q2713" t="s">
        <v>5473</v>
      </c>
    </row>
    <row r="2714" spans="1:17" x14ac:dyDescent="0.3">
      <c r="A2714" t="s">
        <v>32</v>
      </c>
      <c r="B2714" t="str">
        <f>"003011"</f>
        <v>003011</v>
      </c>
      <c r="C2714" t="s">
        <v>5474</v>
      </c>
      <c r="D2714" t="s">
        <v>455</v>
      </c>
      <c r="E2714">
        <v>-62380802</v>
      </c>
      <c r="F2714">
        <v>-179314865</v>
      </c>
      <c r="G2714">
        <v>-21306411</v>
      </c>
      <c r="P2714">
        <v>90</v>
      </c>
      <c r="Q2714" t="s">
        <v>5475</v>
      </c>
    </row>
    <row r="2715" spans="1:17" x14ac:dyDescent="0.3">
      <c r="A2715" t="s">
        <v>17</v>
      </c>
      <c r="B2715" t="str">
        <f>"603759"</f>
        <v>603759</v>
      </c>
      <c r="C2715" t="s">
        <v>5476</v>
      </c>
      <c r="D2715" t="s">
        <v>1334</v>
      </c>
      <c r="E2715">
        <v>-62498975</v>
      </c>
      <c r="F2715">
        <v>-112442018</v>
      </c>
      <c r="G2715">
        <v>-19882791</v>
      </c>
      <c r="P2715">
        <v>48</v>
      </c>
      <c r="Q2715" t="s">
        <v>5477</v>
      </c>
    </row>
    <row r="2716" spans="1:17" x14ac:dyDescent="0.3">
      <c r="A2716" t="s">
        <v>32</v>
      </c>
      <c r="B2716" t="str">
        <f>"301158"</f>
        <v>301158</v>
      </c>
      <c r="C2716" t="s">
        <v>5478</v>
      </c>
      <c r="D2716" t="s">
        <v>135</v>
      </c>
      <c r="E2716">
        <v>-62644958</v>
      </c>
      <c r="P2716">
        <v>12</v>
      </c>
      <c r="Q2716" t="s">
        <v>5479</v>
      </c>
    </row>
    <row r="2717" spans="1:17" x14ac:dyDescent="0.3">
      <c r="A2717" t="s">
        <v>32</v>
      </c>
      <c r="B2717" t="str">
        <f>"000036"</f>
        <v>000036</v>
      </c>
      <c r="C2717" t="s">
        <v>5480</v>
      </c>
      <c r="D2717" t="s">
        <v>151</v>
      </c>
      <c r="E2717">
        <v>-62668020</v>
      </c>
      <c r="F2717">
        <v>263245358</v>
      </c>
      <c r="G2717">
        <v>-22275191</v>
      </c>
      <c r="H2717">
        <v>-21153746</v>
      </c>
      <c r="I2717">
        <v>256925600</v>
      </c>
      <c r="J2717">
        <v>-26715874</v>
      </c>
      <c r="K2717">
        <v>901655121</v>
      </c>
      <c r="L2717">
        <v>-187244390</v>
      </c>
      <c r="M2717">
        <v>-463024633</v>
      </c>
      <c r="N2717">
        <v>-58393050</v>
      </c>
      <c r="O2717">
        <v>-43101115</v>
      </c>
      <c r="P2717">
        <v>880</v>
      </c>
      <c r="Q2717" t="s">
        <v>5481</v>
      </c>
    </row>
    <row r="2718" spans="1:17" x14ac:dyDescent="0.3">
      <c r="A2718" t="s">
        <v>17</v>
      </c>
      <c r="B2718" t="str">
        <f>"600601"</f>
        <v>600601</v>
      </c>
      <c r="C2718" t="s">
        <v>5482</v>
      </c>
      <c r="D2718" t="s">
        <v>124</v>
      </c>
      <c r="E2718">
        <v>-62723452</v>
      </c>
      <c r="F2718">
        <v>-239533118</v>
      </c>
      <c r="G2718">
        <v>6800909</v>
      </c>
      <c r="H2718">
        <v>-112301691</v>
      </c>
      <c r="I2718">
        <v>-303214395</v>
      </c>
      <c r="J2718">
        <v>-518779578</v>
      </c>
      <c r="K2718">
        <v>-524142092</v>
      </c>
      <c r="L2718">
        <v>-536104109</v>
      </c>
      <c r="M2718">
        <v>-183385825</v>
      </c>
      <c r="N2718">
        <v>-73346014</v>
      </c>
      <c r="O2718">
        <v>-372350158</v>
      </c>
      <c r="P2718">
        <v>228</v>
      </c>
      <c r="Q2718" t="s">
        <v>5483</v>
      </c>
    </row>
    <row r="2719" spans="1:17" x14ac:dyDescent="0.3">
      <c r="A2719" t="s">
        <v>32</v>
      </c>
      <c r="B2719" t="str">
        <f>"300430"</f>
        <v>300430</v>
      </c>
      <c r="C2719" t="s">
        <v>5484</v>
      </c>
      <c r="D2719" t="s">
        <v>135</v>
      </c>
      <c r="E2719">
        <v>-62739342</v>
      </c>
      <c r="F2719">
        <v>-91300688</v>
      </c>
      <c r="G2719">
        <v>-72337630</v>
      </c>
      <c r="H2719">
        <v>-58495593</v>
      </c>
      <c r="I2719">
        <v>-29919716</v>
      </c>
      <c r="J2719">
        <v>-44265493</v>
      </c>
      <c r="K2719">
        <v>-44940377</v>
      </c>
      <c r="L2719">
        <v>-53328496</v>
      </c>
      <c r="M2719">
        <v>-54253766</v>
      </c>
      <c r="P2719">
        <v>95</v>
      </c>
      <c r="Q2719" t="s">
        <v>5485</v>
      </c>
    </row>
    <row r="2720" spans="1:17" x14ac:dyDescent="0.3">
      <c r="A2720" t="s">
        <v>17</v>
      </c>
      <c r="B2720" t="str">
        <f>"600149"</f>
        <v>600149</v>
      </c>
      <c r="C2720" t="s">
        <v>5486</v>
      </c>
      <c r="D2720" t="s">
        <v>158</v>
      </c>
      <c r="E2720">
        <v>-62918020</v>
      </c>
      <c r="F2720">
        <v>-41125680</v>
      </c>
      <c r="G2720">
        <v>-23884777</v>
      </c>
      <c r="H2720">
        <v>-39701841</v>
      </c>
      <c r="I2720">
        <v>-2553802</v>
      </c>
      <c r="J2720">
        <v>-1760816</v>
      </c>
      <c r="K2720">
        <v>-2305502</v>
      </c>
      <c r="L2720">
        <v>-3512496</v>
      </c>
      <c r="M2720">
        <v>550509</v>
      </c>
      <c r="N2720">
        <v>-643390</v>
      </c>
      <c r="O2720">
        <v>-3763287</v>
      </c>
      <c r="P2720">
        <v>44</v>
      </c>
      <c r="Q2720" t="s">
        <v>5487</v>
      </c>
    </row>
    <row r="2721" spans="1:17" x14ac:dyDescent="0.3">
      <c r="A2721" t="s">
        <v>17</v>
      </c>
      <c r="B2721" t="str">
        <f>"688228"</f>
        <v>688228</v>
      </c>
      <c r="C2721" t="s">
        <v>5488</v>
      </c>
      <c r="D2721" t="s">
        <v>342</v>
      </c>
      <c r="E2721">
        <v>-63095973</v>
      </c>
      <c r="F2721">
        <v>-54145925</v>
      </c>
      <c r="G2721">
        <v>-34908357</v>
      </c>
      <c r="H2721">
        <v>-43162334</v>
      </c>
      <c r="P2721">
        <v>94</v>
      </c>
      <c r="Q2721" t="s">
        <v>5489</v>
      </c>
    </row>
    <row r="2722" spans="1:17" x14ac:dyDescent="0.3">
      <c r="A2722" t="s">
        <v>32</v>
      </c>
      <c r="B2722" t="str">
        <f>"300593"</f>
        <v>300593</v>
      </c>
      <c r="C2722" t="s">
        <v>5490</v>
      </c>
      <c r="D2722" t="s">
        <v>464</v>
      </c>
      <c r="E2722">
        <v>-63217985</v>
      </c>
      <c r="F2722">
        <v>-84667735</v>
      </c>
      <c r="G2722">
        <v>-3131571</v>
      </c>
      <c r="H2722">
        <v>-5370586</v>
      </c>
      <c r="I2722">
        <v>-2892159</v>
      </c>
      <c r="J2722">
        <v>-21010618</v>
      </c>
      <c r="K2722">
        <v>-22781233</v>
      </c>
      <c r="P2722">
        <v>255</v>
      </c>
      <c r="Q2722" t="s">
        <v>5491</v>
      </c>
    </row>
    <row r="2723" spans="1:17" x14ac:dyDescent="0.3">
      <c r="A2723" t="s">
        <v>17</v>
      </c>
      <c r="B2723" t="str">
        <f>"605588"</f>
        <v>605588</v>
      </c>
      <c r="C2723" t="s">
        <v>5492</v>
      </c>
      <c r="D2723" t="s">
        <v>124</v>
      </c>
      <c r="E2723">
        <v>-63270802</v>
      </c>
      <c r="F2723">
        <v>-113268990</v>
      </c>
      <c r="G2723">
        <v>-27393574</v>
      </c>
      <c r="P2723">
        <v>16</v>
      </c>
      <c r="Q2723" t="s">
        <v>5493</v>
      </c>
    </row>
    <row r="2724" spans="1:17" x14ac:dyDescent="0.3">
      <c r="A2724" t="s">
        <v>32</v>
      </c>
      <c r="B2724" t="str">
        <f>"200025"</f>
        <v>200025</v>
      </c>
      <c r="C2724" t="s">
        <v>5494</v>
      </c>
      <c r="E2724">
        <v>-63293075.490000002</v>
      </c>
      <c r="F2724">
        <v>-27333122.8235</v>
      </c>
      <c r="G2724">
        <v>-14851312.0887</v>
      </c>
      <c r="H2724">
        <v>-15901565.090399999</v>
      </c>
      <c r="I2724">
        <v>-22340666.443500001</v>
      </c>
      <c r="J2724">
        <v>-2596122.4558000001</v>
      </c>
      <c r="K2724">
        <v>-24175011.654599998</v>
      </c>
      <c r="L2724">
        <v>-3248350</v>
      </c>
      <c r="M2724">
        <v>-69505331.651999995</v>
      </c>
      <c r="N2724">
        <v>-10395366.475199999</v>
      </c>
      <c r="O2724">
        <v>-14809834.26</v>
      </c>
      <c r="P2724">
        <v>7</v>
      </c>
      <c r="Q2724" t="s">
        <v>5495</v>
      </c>
    </row>
    <row r="2725" spans="1:17" x14ac:dyDescent="0.3">
      <c r="A2725" t="s">
        <v>17</v>
      </c>
      <c r="B2725" t="str">
        <f>"688600"</f>
        <v>688600</v>
      </c>
      <c r="C2725" t="s">
        <v>5496</v>
      </c>
      <c r="D2725" t="s">
        <v>1334</v>
      </c>
      <c r="E2725">
        <v>-63315176</v>
      </c>
      <c r="F2725">
        <v>-28893087</v>
      </c>
      <c r="G2725">
        <v>-17732803</v>
      </c>
      <c r="H2725">
        <v>-10929084</v>
      </c>
      <c r="P2725">
        <v>62</v>
      </c>
      <c r="Q2725" t="s">
        <v>5497</v>
      </c>
    </row>
    <row r="2726" spans="1:17" x14ac:dyDescent="0.3">
      <c r="A2726" t="s">
        <v>32</v>
      </c>
      <c r="B2726" t="str">
        <f>"003018"</f>
        <v>003018</v>
      </c>
      <c r="C2726" t="s">
        <v>5498</v>
      </c>
      <c r="D2726" t="s">
        <v>455</v>
      </c>
      <c r="E2726">
        <v>-63315511</v>
      </c>
      <c r="F2726">
        <v>-26883230</v>
      </c>
      <c r="G2726">
        <v>-46090622</v>
      </c>
      <c r="P2726">
        <v>38</v>
      </c>
      <c r="Q2726" t="s">
        <v>5499</v>
      </c>
    </row>
    <row r="2727" spans="1:17" x14ac:dyDescent="0.3">
      <c r="A2727" t="s">
        <v>32</v>
      </c>
      <c r="B2727" t="str">
        <f>"300984"</f>
        <v>300984</v>
      </c>
      <c r="C2727" t="s">
        <v>5500</v>
      </c>
      <c r="D2727" t="s">
        <v>135</v>
      </c>
      <c r="E2727">
        <v>-63320341</v>
      </c>
      <c r="F2727">
        <v>-9896899</v>
      </c>
      <c r="G2727">
        <v>33303304</v>
      </c>
      <c r="P2727">
        <v>18</v>
      </c>
      <c r="Q2727" t="s">
        <v>5501</v>
      </c>
    </row>
    <row r="2728" spans="1:17" x14ac:dyDescent="0.3">
      <c r="A2728" t="s">
        <v>17</v>
      </c>
      <c r="B2728" t="str">
        <f>"688106"</f>
        <v>688106</v>
      </c>
      <c r="C2728" t="s">
        <v>5502</v>
      </c>
      <c r="D2728" t="s">
        <v>124</v>
      </c>
      <c r="E2728">
        <v>-63415600</v>
      </c>
      <c r="F2728">
        <v>-25083970</v>
      </c>
      <c r="G2728">
        <v>-2930575</v>
      </c>
      <c r="H2728">
        <v>32119856</v>
      </c>
      <c r="P2728">
        <v>137</v>
      </c>
      <c r="Q2728" t="s">
        <v>5503</v>
      </c>
    </row>
    <row r="2729" spans="1:17" x14ac:dyDescent="0.3">
      <c r="A2729" t="s">
        <v>32</v>
      </c>
      <c r="B2729" t="str">
        <f>"002753"</f>
        <v>002753</v>
      </c>
      <c r="C2729" t="s">
        <v>5504</v>
      </c>
      <c r="D2729" t="s">
        <v>144</v>
      </c>
      <c r="E2729">
        <v>-63474272</v>
      </c>
      <c r="F2729">
        <v>1173958</v>
      </c>
      <c r="G2729">
        <v>73604830</v>
      </c>
      <c r="H2729">
        <v>-19318807</v>
      </c>
      <c r="I2729">
        <v>-11091086</v>
      </c>
      <c r="J2729">
        <v>-85960167</v>
      </c>
      <c r="K2729">
        <v>8931313</v>
      </c>
      <c r="L2729">
        <v>2170800</v>
      </c>
      <c r="M2729">
        <v>6833100</v>
      </c>
      <c r="P2729">
        <v>170</v>
      </c>
      <c r="Q2729" t="s">
        <v>5505</v>
      </c>
    </row>
    <row r="2730" spans="1:17" x14ac:dyDescent="0.3">
      <c r="A2730" t="s">
        <v>32</v>
      </c>
      <c r="B2730" t="str">
        <f>"300020"</f>
        <v>300020</v>
      </c>
      <c r="C2730" t="s">
        <v>5506</v>
      </c>
      <c r="D2730" t="s">
        <v>342</v>
      </c>
      <c r="E2730">
        <v>-63538036</v>
      </c>
      <c r="F2730">
        <v>-397740953</v>
      </c>
      <c r="G2730">
        <v>-205110033</v>
      </c>
      <c r="H2730">
        <v>-528501125</v>
      </c>
      <c r="I2730">
        <v>-380707571</v>
      </c>
      <c r="J2730">
        <v>-137294333</v>
      </c>
      <c r="K2730">
        <v>-185943890</v>
      </c>
      <c r="L2730">
        <v>-48430667</v>
      </c>
      <c r="M2730">
        <v>-175049617</v>
      </c>
      <c r="N2730">
        <v>-71790362</v>
      </c>
      <c r="O2730">
        <v>-58593648</v>
      </c>
      <c r="P2730">
        <v>237</v>
      </c>
      <c r="Q2730" t="s">
        <v>5507</v>
      </c>
    </row>
    <row r="2731" spans="1:17" x14ac:dyDescent="0.3">
      <c r="A2731" t="s">
        <v>32</v>
      </c>
      <c r="B2731" t="str">
        <f>"300611"</f>
        <v>300611</v>
      </c>
      <c r="C2731" t="s">
        <v>5508</v>
      </c>
      <c r="D2731" t="s">
        <v>199</v>
      </c>
      <c r="E2731">
        <v>-63766298</v>
      </c>
      <c r="F2731">
        <v>-57258214</v>
      </c>
      <c r="G2731">
        <v>22721948</v>
      </c>
      <c r="H2731">
        <v>-14533147</v>
      </c>
      <c r="I2731">
        <v>-23077410</v>
      </c>
      <c r="J2731">
        <v>-19767474</v>
      </c>
      <c r="K2731">
        <v>-11932676</v>
      </c>
      <c r="P2731">
        <v>97</v>
      </c>
      <c r="Q2731" t="s">
        <v>5509</v>
      </c>
    </row>
    <row r="2732" spans="1:17" x14ac:dyDescent="0.3">
      <c r="A2732" t="s">
        <v>17</v>
      </c>
      <c r="B2732" t="str">
        <f>"603058"</f>
        <v>603058</v>
      </c>
      <c r="C2732" t="s">
        <v>5510</v>
      </c>
      <c r="D2732" t="s">
        <v>455</v>
      </c>
      <c r="E2732">
        <v>-63839280</v>
      </c>
      <c r="F2732">
        <v>-45077889</v>
      </c>
      <c r="G2732">
        <v>47395067</v>
      </c>
      <c r="H2732">
        <v>-29859631</v>
      </c>
      <c r="I2732">
        <v>-6497977</v>
      </c>
      <c r="J2732">
        <v>24048101</v>
      </c>
      <c r="K2732">
        <v>32094311</v>
      </c>
      <c r="P2732">
        <v>121</v>
      </c>
      <c r="Q2732" t="s">
        <v>5511</v>
      </c>
    </row>
    <row r="2733" spans="1:17" x14ac:dyDescent="0.3">
      <c r="A2733" t="s">
        <v>32</v>
      </c>
      <c r="B2733" t="str">
        <f>"002093"</f>
        <v>002093</v>
      </c>
      <c r="C2733" t="s">
        <v>5512</v>
      </c>
      <c r="D2733" t="s">
        <v>57</v>
      </c>
      <c r="E2733">
        <v>-63955278</v>
      </c>
      <c r="F2733">
        <v>-69584082</v>
      </c>
      <c r="G2733">
        <v>-182041011</v>
      </c>
      <c r="H2733">
        <v>-11532360</v>
      </c>
      <c r="I2733">
        <v>-91770598</v>
      </c>
      <c r="J2733">
        <v>-57296614</v>
      </c>
      <c r="K2733">
        <v>-86042323</v>
      </c>
      <c r="L2733">
        <v>-29835060</v>
      </c>
      <c r="M2733">
        <v>-50820941</v>
      </c>
      <c r="N2733">
        <v>-182637862</v>
      </c>
      <c r="O2733">
        <v>-16066640</v>
      </c>
      <c r="P2733">
        <v>288</v>
      </c>
      <c r="Q2733" t="s">
        <v>5513</v>
      </c>
    </row>
    <row r="2734" spans="1:17" x14ac:dyDescent="0.3">
      <c r="A2734" t="s">
        <v>32</v>
      </c>
      <c r="B2734" t="str">
        <f>"300621"</f>
        <v>300621</v>
      </c>
      <c r="C2734" t="s">
        <v>5514</v>
      </c>
      <c r="D2734" t="s">
        <v>645</v>
      </c>
      <c r="E2734">
        <v>-64010593</v>
      </c>
      <c r="F2734">
        <v>-37569814</v>
      </c>
      <c r="G2734">
        <v>-64939452</v>
      </c>
      <c r="H2734">
        <v>-127122350</v>
      </c>
      <c r="I2734">
        <v>8142178</v>
      </c>
      <c r="J2734">
        <v>-121901303</v>
      </c>
      <c r="K2734">
        <v>-18723196</v>
      </c>
      <c r="P2734">
        <v>57</v>
      </c>
      <c r="Q2734" t="s">
        <v>5515</v>
      </c>
    </row>
    <row r="2735" spans="1:17" x14ac:dyDescent="0.3">
      <c r="A2735" t="s">
        <v>32</v>
      </c>
      <c r="B2735" t="str">
        <f>"300805"</f>
        <v>300805</v>
      </c>
      <c r="C2735" t="s">
        <v>5516</v>
      </c>
      <c r="D2735" t="s">
        <v>245</v>
      </c>
      <c r="E2735">
        <v>-64085039</v>
      </c>
      <c r="F2735">
        <v>-46175103</v>
      </c>
      <c r="G2735">
        <v>4343294</v>
      </c>
      <c r="H2735">
        <v>-61216096</v>
      </c>
      <c r="P2735">
        <v>71</v>
      </c>
      <c r="Q2735" t="s">
        <v>5517</v>
      </c>
    </row>
    <row r="2736" spans="1:17" x14ac:dyDescent="0.3">
      <c r="A2736" t="s">
        <v>32</v>
      </c>
      <c r="B2736" t="str">
        <f>"000978"</f>
        <v>000978</v>
      </c>
      <c r="C2736" t="s">
        <v>5518</v>
      </c>
      <c r="D2736" t="s">
        <v>497</v>
      </c>
      <c r="E2736">
        <v>-64103785</v>
      </c>
      <c r="F2736">
        <v>-59161203</v>
      </c>
      <c r="G2736">
        <v>-71639245</v>
      </c>
      <c r="H2736">
        <v>-92650982</v>
      </c>
      <c r="I2736">
        <v>-41460613</v>
      </c>
      <c r="J2736">
        <v>-57783132</v>
      </c>
      <c r="K2736">
        <v>-44276661</v>
      </c>
      <c r="L2736">
        <v>-50307165</v>
      </c>
      <c r="M2736">
        <v>-168984448</v>
      </c>
      <c r="N2736">
        <v>-68500396</v>
      </c>
      <c r="O2736">
        <v>-45051461</v>
      </c>
      <c r="P2736">
        <v>140</v>
      </c>
      <c r="Q2736" t="s">
        <v>5519</v>
      </c>
    </row>
    <row r="2737" spans="1:17" x14ac:dyDescent="0.3">
      <c r="A2737" t="s">
        <v>17</v>
      </c>
      <c r="B2737" t="str">
        <f>"601010"</f>
        <v>601010</v>
      </c>
      <c r="C2737" t="s">
        <v>5520</v>
      </c>
      <c r="D2737" t="s">
        <v>218</v>
      </c>
      <c r="E2737">
        <v>-64149839</v>
      </c>
      <c r="F2737">
        <v>32375754</v>
      </c>
      <c r="G2737">
        <v>-274016491</v>
      </c>
      <c r="H2737">
        <v>36723001</v>
      </c>
      <c r="I2737">
        <v>-116111529</v>
      </c>
      <c r="J2737">
        <v>13172490</v>
      </c>
      <c r="K2737">
        <v>25142392</v>
      </c>
      <c r="L2737">
        <v>-16807113</v>
      </c>
      <c r="M2737">
        <v>-124552663</v>
      </c>
      <c r="N2737">
        <v>-19807087</v>
      </c>
      <c r="O2737">
        <v>-116939865</v>
      </c>
      <c r="P2737">
        <v>94</v>
      </c>
      <c r="Q2737" t="s">
        <v>5521</v>
      </c>
    </row>
    <row r="2738" spans="1:17" x14ac:dyDescent="0.3">
      <c r="A2738" t="s">
        <v>32</v>
      </c>
      <c r="B2738" t="str">
        <f>"002330"</f>
        <v>002330</v>
      </c>
      <c r="C2738" t="s">
        <v>5522</v>
      </c>
      <c r="D2738" t="s">
        <v>172</v>
      </c>
      <c r="E2738">
        <v>-64199874</v>
      </c>
      <c r="F2738">
        <v>-35885192</v>
      </c>
      <c r="G2738">
        <v>21541521</v>
      </c>
      <c r="H2738">
        <v>-31284139</v>
      </c>
      <c r="I2738">
        <v>-21235856</v>
      </c>
      <c r="J2738">
        <v>-21136212</v>
      </c>
      <c r="K2738">
        <v>-7827961</v>
      </c>
      <c r="L2738">
        <v>510494</v>
      </c>
      <c r="M2738">
        <v>-32249608</v>
      </c>
      <c r="N2738">
        <v>-42106078</v>
      </c>
      <c r="O2738">
        <v>4485225</v>
      </c>
      <c r="P2738">
        <v>540</v>
      </c>
      <c r="Q2738" t="s">
        <v>5523</v>
      </c>
    </row>
    <row r="2739" spans="1:17" x14ac:dyDescent="0.3">
      <c r="A2739" t="s">
        <v>32</v>
      </c>
      <c r="B2739" t="str">
        <f>"300259"</f>
        <v>300259</v>
      </c>
      <c r="C2739" t="s">
        <v>5524</v>
      </c>
      <c r="D2739" t="s">
        <v>135</v>
      </c>
      <c r="E2739">
        <v>-64242420</v>
      </c>
      <c r="F2739">
        <v>-57847459</v>
      </c>
      <c r="G2739">
        <v>-24001316</v>
      </c>
      <c r="H2739">
        <v>-6110854</v>
      </c>
      <c r="I2739">
        <v>-69329829</v>
      </c>
      <c r="J2739">
        <v>-44915520</v>
      </c>
      <c r="K2739">
        <v>-15692897</v>
      </c>
      <c r="L2739">
        <v>-29355490</v>
      </c>
      <c r="M2739">
        <v>-15038496</v>
      </c>
      <c r="N2739">
        <v>-22349421</v>
      </c>
      <c r="O2739">
        <v>-6166666</v>
      </c>
      <c r="P2739">
        <v>360</v>
      </c>
      <c r="Q2739" t="s">
        <v>5525</v>
      </c>
    </row>
    <row r="2740" spans="1:17" x14ac:dyDescent="0.3">
      <c r="A2740" t="s">
        <v>32</v>
      </c>
      <c r="B2740" t="str">
        <f>"301279"</f>
        <v>301279</v>
      </c>
      <c r="C2740" t="s">
        <v>5526</v>
      </c>
      <c r="E2740">
        <v>-64264212</v>
      </c>
      <c r="F2740">
        <v>-33315642</v>
      </c>
      <c r="P2740">
        <v>5</v>
      </c>
      <c r="Q2740" t="s">
        <v>5527</v>
      </c>
    </row>
    <row r="2741" spans="1:17" x14ac:dyDescent="0.3">
      <c r="A2741" t="s">
        <v>17</v>
      </c>
      <c r="B2741" t="str">
        <f>"688098"</f>
        <v>688098</v>
      </c>
      <c r="C2741" t="s">
        <v>5528</v>
      </c>
      <c r="D2741" t="s">
        <v>175</v>
      </c>
      <c r="E2741">
        <v>-64306758</v>
      </c>
      <c r="F2741">
        <v>-97831461</v>
      </c>
      <c r="G2741">
        <v>-36155167</v>
      </c>
      <c r="H2741">
        <v>-37260000</v>
      </c>
      <c r="I2741">
        <v>-4727400</v>
      </c>
      <c r="P2741">
        <v>73</v>
      </c>
      <c r="Q2741" t="s">
        <v>5529</v>
      </c>
    </row>
    <row r="2742" spans="1:17" x14ac:dyDescent="0.3">
      <c r="A2742" t="s">
        <v>17</v>
      </c>
      <c r="B2742" t="str">
        <f>"603608"</f>
        <v>603608</v>
      </c>
      <c r="C2742" t="s">
        <v>5530</v>
      </c>
      <c r="D2742" t="s">
        <v>130</v>
      </c>
      <c r="E2742">
        <v>-64670623</v>
      </c>
      <c r="F2742">
        <v>-56006193</v>
      </c>
      <c r="G2742">
        <v>20610858</v>
      </c>
      <c r="H2742">
        <v>-2118893</v>
      </c>
      <c r="I2742">
        <v>18698334</v>
      </c>
      <c r="J2742">
        <v>9726614</v>
      </c>
      <c r="K2742">
        <v>16238861</v>
      </c>
      <c r="L2742">
        <v>-5249749</v>
      </c>
      <c r="P2742">
        <v>138</v>
      </c>
      <c r="Q2742" t="s">
        <v>5531</v>
      </c>
    </row>
    <row r="2743" spans="1:17" x14ac:dyDescent="0.3">
      <c r="A2743" t="s">
        <v>17</v>
      </c>
      <c r="B2743" t="str">
        <f>"603709"</f>
        <v>603709</v>
      </c>
      <c r="C2743" t="s">
        <v>5532</v>
      </c>
      <c r="D2743" t="s">
        <v>455</v>
      </c>
      <c r="E2743">
        <v>-64762734</v>
      </c>
      <c r="F2743">
        <v>-110744927</v>
      </c>
      <c r="G2743">
        <v>-42483507</v>
      </c>
      <c r="H2743">
        <v>-29878560</v>
      </c>
      <c r="I2743">
        <v>-26703573</v>
      </c>
      <c r="J2743">
        <v>-5958616</v>
      </c>
      <c r="P2743">
        <v>99</v>
      </c>
      <c r="Q2743" t="s">
        <v>5533</v>
      </c>
    </row>
    <row r="2744" spans="1:17" x14ac:dyDescent="0.3">
      <c r="A2744" t="s">
        <v>17</v>
      </c>
      <c r="B2744" t="str">
        <f>"688595"</f>
        <v>688595</v>
      </c>
      <c r="C2744" t="s">
        <v>5534</v>
      </c>
      <c r="D2744" t="s">
        <v>124</v>
      </c>
      <c r="E2744">
        <v>-64764109</v>
      </c>
      <c r="F2744">
        <v>-9411389</v>
      </c>
      <c r="G2744">
        <v>-51549221</v>
      </c>
      <c r="P2744">
        <v>128</v>
      </c>
      <c r="Q2744" t="s">
        <v>5535</v>
      </c>
    </row>
    <row r="2745" spans="1:17" x14ac:dyDescent="0.3">
      <c r="A2745" t="s">
        <v>32</v>
      </c>
      <c r="B2745" t="str">
        <f>"002554"</f>
        <v>002554</v>
      </c>
      <c r="C2745" t="s">
        <v>5536</v>
      </c>
      <c r="D2745" t="s">
        <v>64</v>
      </c>
      <c r="E2745">
        <v>-64769923</v>
      </c>
      <c r="F2745">
        <v>-133384160</v>
      </c>
      <c r="G2745">
        <v>-66421293</v>
      </c>
      <c r="H2745">
        <v>-5350978</v>
      </c>
      <c r="I2745">
        <v>-184778018</v>
      </c>
      <c r="J2745">
        <v>122687230</v>
      </c>
      <c r="K2745">
        <v>-160780051</v>
      </c>
      <c r="L2745">
        <v>-45555768</v>
      </c>
      <c r="M2745">
        <v>-85104379</v>
      </c>
      <c r="N2745">
        <v>-108152134</v>
      </c>
      <c r="O2745">
        <v>-97878396</v>
      </c>
      <c r="P2745">
        <v>112</v>
      </c>
      <c r="Q2745" t="s">
        <v>5537</v>
      </c>
    </row>
    <row r="2746" spans="1:17" x14ac:dyDescent="0.3">
      <c r="A2746" t="s">
        <v>32</v>
      </c>
      <c r="B2746" t="str">
        <f>"002188"</f>
        <v>002188</v>
      </c>
      <c r="C2746" t="s">
        <v>5538</v>
      </c>
      <c r="D2746" t="s">
        <v>245</v>
      </c>
      <c r="E2746">
        <v>-64781767</v>
      </c>
      <c r="F2746">
        <v>2074892</v>
      </c>
      <c r="G2746">
        <v>20106822</v>
      </c>
      <c r="H2746">
        <v>-16965550</v>
      </c>
      <c r="I2746">
        <v>-23071975</v>
      </c>
      <c r="J2746">
        <v>7848162</v>
      </c>
      <c r="K2746">
        <v>-31847273</v>
      </c>
      <c r="L2746">
        <v>-7205897</v>
      </c>
      <c r="M2746">
        <v>-4450904</v>
      </c>
      <c r="N2746">
        <v>-4612409</v>
      </c>
      <c r="O2746">
        <v>13229348</v>
      </c>
      <c r="P2746">
        <v>69</v>
      </c>
      <c r="Q2746" t="s">
        <v>5539</v>
      </c>
    </row>
    <row r="2747" spans="1:17" x14ac:dyDescent="0.3">
      <c r="A2747" t="s">
        <v>32</v>
      </c>
      <c r="B2747" t="str">
        <f>"300405"</f>
        <v>300405</v>
      </c>
      <c r="C2747" t="s">
        <v>5540</v>
      </c>
      <c r="D2747" t="s">
        <v>144</v>
      </c>
      <c r="E2747">
        <v>-64783152</v>
      </c>
      <c r="F2747">
        <v>-57287301</v>
      </c>
      <c r="G2747">
        <v>-39167895</v>
      </c>
      <c r="H2747">
        <v>-78426549</v>
      </c>
      <c r="I2747">
        <v>24496324</v>
      </c>
      <c r="J2747">
        <v>-73372192</v>
      </c>
      <c r="K2747">
        <v>22494557</v>
      </c>
      <c r="L2747">
        <v>-125795138</v>
      </c>
      <c r="M2747">
        <v>-63001044</v>
      </c>
      <c r="P2747">
        <v>59</v>
      </c>
      <c r="Q2747" t="s">
        <v>5541</v>
      </c>
    </row>
    <row r="2748" spans="1:17" x14ac:dyDescent="0.3">
      <c r="A2748" t="s">
        <v>32</v>
      </c>
      <c r="B2748" t="str">
        <f>"300895"</f>
        <v>300895</v>
      </c>
      <c r="C2748" t="s">
        <v>5542</v>
      </c>
      <c r="D2748" t="s">
        <v>342</v>
      </c>
      <c r="E2748">
        <v>-64796386</v>
      </c>
      <c r="F2748">
        <v>-100801044</v>
      </c>
      <c r="G2748">
        <v>-18024857</v>
      </c>
      <c r="P2748">
        <v>48</v>
      </c>
      <c r="Q2748" t="s">
        <v>5543</v>
      </c>
    </row>
    <row r="2749" spans="1:17" x14ac:dyDescent="0.3">
      <c r="A2749" t="s">
        <v>17</v>
      </c>
      <c r="B2749" t="str">
        <f>"601975"</f>
        <v>601975</v>
      </c>
      <c r="C2749" t="s">
        <v>5544</v>
      </c>
      <c r="D2749" t="s">
        <v>46</v>
      </c>
      <c r="E2749">
        <v>-64844215</v>
      </c>
      <c r="F2749">
        <v>105785773</v>
      </c>
      <c r="G2749">
        <v>569795899</v>
      </c>
      <c r="H2749">
        <v>281903172</v>
      </c>
      <c r="I2749">
        <v>217810929</v>
      </c>
      <c r="M2749">
        <v>183729475</v>
      </c>
      <c r="N2749">
        <v>281809507</v>
      </c>
      <c r="O2749">
        <v>-218536509</v>
      </c>
      <c r="P2749">
        <v>270</v>
      </c>
      <c r="Q2749" t="s">
        <v>5545</v>
      </c>
    </row>
    <row r="2750" spans="1:17" x14ac:dyDescent="0.3">
      <c r="A2750" t="s">
        <v>32</v>
      </c>
      <c r="B2750" t="str">
        <f>"301063"</f>
        <v>301063</v>
      </c>
      <c r="C2750" t="s">
        <v>5546</v>
      </c>
      <c r="D2750" t="s">
        <v>135</v>
      </c>
      <c r="E2750">
        <v>-64853638</v>
      </c>
      <c r="G2750">
        <v>-7170208</v>
      </c>
      <c r="P2750">
        <v>17</v>
      </c>
      <c r="Q2750" t="s">
        <v>5547</v>
      </c>
    </row>
    <row r="2751" spans="1:17" x14ac:dyDescent="0.3">
      <c r="A2751" t="s">
        <v>17</v>
      </c>
      <c r="B2751" t="str">
        <f>"605123"</f>
        <v>605123</v>
      </c>
      <c r="C2751" t="s">
        <v>5548</v>
      </c>
      <c r="D2751" t="s">
        <v>188</v>
      </c>
      <c r="E2751">
        <v>-64952606</v>
      </c>
      <c r="F2751">
        <v>-69111330</v>
      </c>
      <c r="G2751">
        <v>-50391632</v>
      </c>
      <c r="P2751">
        <v>143</v>
      </c>
      <c r="Q2751" t="s">
        <v>5549</v>
      </c>
    </row>
    <row r="2752" spans="1:17" x14ac:dyDescent="0.3">
      <c r="A2752" t="s">
        <v>32</v>
      </c>
      <c r="B2752" t="str">
        <f>"002896"</f>
        <v>002896</v>
      </c>
      <c r="C2752" t="s">
        <v>5550</v>
      </c>
      <c r="D2752" t="s">
        <v>135</v>
      </c>
      <c r="E2752">
        <v>-64955613</v>
      </c>
      <c r="F2752">
        <v>-26060259</v>
      </c>
      <c r="G2752">
        <v>17358201</v>
      </c>
      <c r="H2752">
        <v>-36520459</v>
      </c>
      <c r="I2752">
        <v>-45829692</v>
      </c>
      <c r="J2752">
        <v>-8690586</v>
      </c>
      <c r="P2752">
        <v>137</v>
      </c>
      <c r="Q2752" t="s">
        <v>5551</v>
      </c>
    </row>
    <row r="2753" spans="1:17" x14ac:dyDescent="0.3">
      <c r="A2753" t="s">
        <v>32</v>
      </c>
      <c r="B2753" t="str">
        <f>"300708"</f>
        <v>300708</v>
      </c>
      <c r="C2753" t="s">
        <v>5552</v>
      </c>
      <c r="D2753" t="s">
        <v>124</v>
      </c>
      <c r="E2753">
        <v>-64966473</v>
      </c>
      <c r="F2753">
        <v>198057304</v>
      </c>
      <c r="G2753">
        <v>-59554581</v>
      </c>
      <c r="H2753">
        <v>-23868351</v>
      </c>
      <c r="I2753">
        <v>-208709159</v>
      </c>
      <c r="J2753">
        <v>27162759</v>
      </c>
      <c r="P2753">
        <v>165</v>
      </c>
      <c r="Q2753" t="s">
        <v>5553</v>
      </c>
    </row>
    <row r="2754" spans="1:17" x14ac:dyDescent="0.3">
      <c r="A2754" t="s">
        <v>32</v>
      </c>
      <c r="B2754" t="str">
        <f>"002719"</f>
        <v>002719</v>
      </c>
      <c r="C2754" t="s">
        <v>5554</v>
      </c>
      <c r="D2754" t="s">
        <v>172</v>
      </c>
      <c r="E2754">
        <v>-64974429</v>
      </c>
      <c r="F2754">
        <v>-34156312</v>
      </c>
      <c r="G2754">
        <v>-70585458</v>
      </c>
      <c r="H2754">
        <v>-42140487</v>
      </c>
      <c r="I2754">
        <v>-44787083</v>
      </c>
      <c r="J2754">
        <v>-55686210</v>
      </c>
      <c r="K2754">
        <v>-94639884</v>
      </c>
      <c r="L2754">
        <v>-4671064</v>
      </c>
      <c r="M2754">
        <v>-19600264</v>
      </c>
      <c r="N2754">
        <v>-2935020</v>
      </c>
      <c r="P2754">
        <v>97</v>
      </c>
      <c r="Q2754" t="s">
        <v>5555</v>
      </c>
    </row>
    <row r="2755" spans="1:17" x14ac:dyDescent="0.3">
      <c r="A2755" t="s">
        <v>17</v>
      </c>
      <c r="B2755" t="str">
        <f>"688670"</f>
        <v>688670</v>
      </c>
      <c r="C2755" t="s">
        <v>5556</v>
      </c>
      <c r="D2755" t="s">
        <v>98</v>
      </c>
      <c r="E2755">
        <v>-65127767</v>
      </c>
      <c r="F2755">
        <v>-39572719</v>
      </c>
      <c r="G2755">
        <v>-3333285</v>
      </c>
      <c r="P2755">
        <v>19</v>
      </c>
      <c r="Q2755" t="s">
        <v>5557</v>
      </c>
    </row>
    <row r="2756" spans="1:17" x14ac:dyDescent="0.3">
      <c r="A2756" t="s">
        <v>32</v>
      </c>
      <c r="B2756" t="str">
        <f>"002937"</f>
        <v>002937</v>
      </c>
      <c r="C2756" t="s">
        <v>5558</v>
      </c>
      <c r="D2756" t="s">
        <v>124</v>
      </c>
      <c r="E2756">
        <v>-65173414</v>
      </c>
      <c r="F2756">
        <v>-10341760</v>
      </c>
      <c r="G2756">
        <v>-35412365</v>
      </c>
      <c r="H2756">
        <v>79954239</v>
      </c>
      <c r="I2756">
        <v>-2625992</v>
      </c>
      <c r="P2756">
        <v>210</v>
      </c>
      <c r="Q2756" t="s">
        <v>5559</v>
      </c>
    </row>
    <row r="2757" spans="1:17" x14ac:dyDescent="0.3">
      <c r="A2757" t="s">
        <v>17</v>
      </c>
      <c r="B2757" t="str">
        <f>"688286"</f>
        <v>688286</v>
      </c>
      <c r="C2757" t="s">
        <v>5560</v>
      </c>
      <c r="D2757" t="s">
        <v>124</v>
      </c>
      <c r="E2757">
        <v>-65256915</v>
      </c>
      <c r="F2757">
        <v>-40508424</v>
      </c>
      <c r="G2757">
        <v>-30201867</v>
      </c>
      <c r="H2757">
        <v>6998486</v>
      </c>
      <c r="P2757">
        <v>91</v>
      </c>
      <c r="Q2757" t="s">
        <v>5561</v>
      </c>
    </row>
    <row r="2758" spans="1:17" x14ac:dyDescent="0.3">
      <c r="A2758" t="s">
        <v>17</v>
      </c>
      <c r="B2758" t="str">
        <f>"603829"</f>
        <v>603829</v>
      </c>
      <c r="C2758" t="s">
        <v>5562</v>
      </c>
      <c r="D2758" t="s">
        <v>464</v>
      </c>
      <c r="E2758">
        <v>-65601899</v>
      </c>
      <c r="F2758">
        <v>-54636830</v>
      </c>
      <c r="G2758">
        <v>-81483858</v>
      </c>
      <c r="H2758">
        <v>-71337407</v>
      </c>
      <c r="I2758">
        <v>-48338205</v>
      </c>
      <c r="J2758">
        <v>-3917634</v>
      </c>
      <c r="P2758">
        <v>50</v>
      </c>
      <c r="Q2758" t="s">
        <v>5563</v>
      </c>
    </row>
    <row r="2759" spans="1:17" x14ac:dyDescent="0.3">
      <c r="A2759" t="s">
        <v>32</v>
      </c>
      <c r="B2759" t="str">
        <f>"300829"</f>
        <v>300829</v>
      </c>
      <c r="C2759" t="s">
        <v>5564</v>
      </c>
      <c r="D2759" t="s">
        <v>144</v>
      </c>
      <c r="E2759">
        <v>-65635327</v>
      </c>
      <c r="F2759">
        <v>-39919764</v>
      </c>
      <c r="G2759">
        <v>18532468</v>
      </c>
      <c r="P2759">
        <v>126</v>
      </c>
      <c r="Q2759" t="s">
        <v>5565</v>
      </c>
    </row>
    <row r="2760" spans="1:17" x14ac:dyDescent="0.3">
      <c r="A2760" t="s">
        <v>32</v>
      </c>
      <c r="B2760" t="str">
        <f>"002579"</f>
        <v>002579</v>
      </c>
      <c r="C2760" t="s">
        <v>5566</v>
      </c>
      <c r="D2760" t="s">
        <v>124</v>
      </c>
      <c r="E2760">
        <v>-65750904</v>
      </c>
      <c r="F2760">
        <v>-391125346</v>
      </c>
      <c r="G2760">
        <v>-48956671</v>
      </c>
      <c r="H2760">
        <v>23061186</v>
      </c>
      <c r="I2760">
        <v>-18543022</v>
      </c>
      <c r="J2760">
        <v>-5527779</v>
      </c>
      <c r="K2760">
        <v>-22147633</v>
      </c>
      <c r="L2760">
        <v>-26077199</v>
      </c>
      <c r="M2760">
        <v>-45682958</v>
      </c>
      <c r="N2760">
        <v>-8659977</v>
      </c>
      <c r="O2760">
        <v>-9935136</v>
      </c>
      <c r="P2760">
        <v>279</v>
      </c>
      <c r="Q2760" t="s">
        <v>5567</v>
      </c>
    </row>
    <row r="2761" spans="1:17" x14ac:dyDescent="0.3">
      <c r="A2761" t="s">
        <v>32</v>
      </c>
      <c r="B2761" t="str">
        <f>"300807"</f>
        <v>300807</v>
      </c>
      <c r="C2761" t="s">
        <v>5568</v>
      </c>
      <c r="D2761" t="s">
        <v>342</v>
      </c>
      <c r="E2761">
        <v>-65758945</v>
      </c>
      <c r="F2761">
        <v>-40123877</v>
      </c>
      <c r="G2761">
        <v>-56715451</v>
      </c>
      <c r="H2761">
        <v>-67789436</v>
      </c>
      <c r="I2761">
        <v>-66950837</v>
      </c>
      <c r="P2761">
        <v>103</v>
      </c>
      <c r="Q2761" t="s">
        <v>5569</v>
      </c>
    </row>
    <row r="2762" spans="1:17" x14ac:dyDescent="0.3">
      <c r="A2762" t="s">
        <v>32</v>
      </c>
      <c r="B2762" t="str">
        <f>"300941"</f>
        <v>300941</v>
      </c>
      <c r="C2762" t="s">
        <v>5570</v>
      </c>
      <c r="D2762" t="s">
        <v>342</v>
      </c>
      <c r="E2762">
        <v>-65819279</v>
      </c>
      <c r="F2762">
        <v>-99071712</v>
      </c>
      <c r="G2762">
        <v>-94101660</v>
      </c>
      <c r="H2762">
        <v>-45318801</v>
      </c>
      <c r="I2762">
        <v>-69461648</v>
      </c>
      <c r="P2762">
        <v>69</v>
      </c>
      <c r="Q2762" t="s">
        <v>5571</v>
      </c>
    </row>
    <row r="2763" spans="1:17" x14ac:dyDescent="0.3">
      <c r="A2763" t="s">
        <v>32</v>
      </c>
      <c r="B2763" t="str">
        <f>"300095"</f>
        <v>300095</v>
      </c>
      <c r="C2763" t="s">
        <v>5572</v>
      </c>
      <c r="D2763" t="s">
        <v>135</v>
      </c>
      <c r="E2763">
        <v>-65973096</v>
      </c>
      <c r="F2763">
        <v>-21114450</v>
      </c>
      <c r="G2763">
        <v>31385367</v>
      </c>
      <c r="H2763">
        <v>-97481781</v>
      </c>
      <c r="I2763">
        <v>-18126413</v>
      </c>
      <c r="J2763">
        <v>-12132685</v>
      </c>
      <c r="K2763">
        <v>-27507211</v>
      </c>
      <c r="L2763">
        <v>-19846797</v>
      </c>
      <c r="M2763">
        <v>-34124551</v>
      </c>
      <c r="N2763">
        <v>-10033633</v>
      </c>
      <c r="O2763">
        <v>-18636571</v>
      </c>
      <c r="P2763">
        <v>128</v>
      </c>
      <c r="Q2763" t="s">
        <v>5573</v>
      </c>
    </row>
    <row r="2764" spans="1:17" x14ac:dyDescent="0.3">
      <c r="A2764" t="s">
        <v>17</v>
      </c>
      <c r="B2764" t="str">
        <f>"600201"</f>
        <v>600201</v>
      </c>
      <c r="C2764" t="s">
        <v>5574</v>
      </c>
      <c r="D2764" t="s">
        <v>175</v>
      </c>
      <c r="E2764">
        <v>-65993183</v>
      </c>
      <c r="F2764">
        <v>-30019842</v>
      </c>
      <c r="G2764">
        <v>-4233628</v>
      </c>
      <c r="H2764">
        <v>-145150687</v>
      </c>
      <c r="I2764">
        <v>-47253207</v>
      </c>
      <c r="J2764">
        <v>114290579</v>
      </c>
      <c r="K2764">
        <v>86323767</v>
      </c>
      <c r="L2764">
        <v>-50528932</v>
      </c>
      <c r="M2764">
        <v>93874354</v>
      </c>
      <c r="N2764">
        <v>-52847804</v>
      </c>
      <c r="O2764">
        <v>-81259286</v>
      </c>
      <c r="P2764">
        <v>1766</v>
      </c>
      <c r="Q2764" t="s">
        <v>5575</v>
      </c>
    </row>
    <row r="2765" spans="1:17" x14ac:dyDescent="0.3">
      <c r="A2765" t="s">
        <v>32</v>
      </c>
      <c r="B2765" t="str">
        <f>"300592"</f>
        <v>300592</v>
      </c>
      <c r="C2765" t="s">
        <v>5576</v>
      </c>
      <c r="D2765" t="s">
        <v>645</v>
      </c>
      <c r="E2765">
        <v>-66042056</v>
      </c>
      <c r="F2765">
        <v>3877429</v>
      </c>
      <c r="G2765">
        <v>2785344</v>
      </c>
      <c r="H2765">
        <v>-38084433</v>
      </c>
      <c r="I2765">
        <v>-46018955</v>
      </c>
      <c r="J2765">
        <v>-35223699</v>
      </c>
      <c r="K2765">
        <v>-41938053</v>
      </c>
      <c r="P2765">
        <v>65</v>
      </c>
      <c r="Q2765" t="s">
        <v>5577</v>
      </c>
    </row>
    <row r="2766" spans="1:17" x14ac:dyDescent="0.3">
      <c r="A2766" t="s">
        <v>32</v>
      </c>
      <c r="B2766" t="str">
        <f>"002599"</f>
        <v>002599</v>
      </c>
      <c r="C2766" t="s">
        <v>5578</v>
      </c>
      <c r="D2766" t="s">
        <v>455</v>
      </c>
      <c r="E2766">
        <v>-66063299</v>
      </c>
      <c r="F2766">
        <v>-124877790</v>
      </c>
      <c r="G2766">
        <v>-61877225</v>
      </c>
      <c r="H2766">
        <v>-44389623</v>
      </c>
      <c r="I2766">
        <v>-135161277</v>
      </c>
      <c r="J2766">
        <v>-94464700</v>
      </c>
      <c r="K2766">
        <v>5155031</v>
      </c>
      <c r="L2766">
        <v>-29884597</v>
      </c>
      <c r="M2766">
        <v>-10580207</v>
      </c>
      <c r="N2766">
        <v>-8204412</v>
      </c>
      <c r="O2766">
        <v>-15506547</v>
      </c>
      <c r="P2766">
        <v>87</v>
      </c>
      <c r="Q2766" t="s">
        <v>5579</v>
      </c>
    </row>
    <row r="2767" spans="1:17" x14ac:dyDescent="0.3">
      <c r="A2767" t="s">
        <v>32</v>
      </c>
      <c r="B2767" t="str">
        <f>"300678"</f>
        <v>300678</v>
      </c>
      <c r="C2767" t="s">
        <v>5580</v>
      </c>
      <c r="D2767" t="s">
        <v>342</v>
      </c>
      <c r="E2767">
        <v>-66088111</v>
      </c>
      <c r="F2767">
        <v>-30269987</v>
      </c>
      <c r="G2767">
        <v>-43974944</v>
      </c>
      <c r="H2767">
        <v>-40938158</v>
      </c>
      <c r="I2767">
        <v>-24934666</v>
      </c>
      <c r="J2767">
        <v>-43474966</v>
      </c>
      <c r="K2767">
        <v>-36696888</v>
      </c>
      <c r="P2767">
        <v>105</v>
      </c>
      <c r="Q2767" t="s">
        <v>5581</v>
      </c>
    </row>
    <row r="2768" spans="1:17" x14ac:dyDescent="0.3">
      <c r="A2768" t="s">
        <v>17</v>
      </c>
      <c r="B2768" t="str">
        <f>"605058"</f>
        <v>605058</v>
      </c>
      <c r="C2768" t="s">
        <v>5582</v>
      </c>
      <c r="D2768" t="s">
        <v>124</v>
      </c>
      <c r="E2768">
        <v>-66199099</v>
      </c>
      <c r="F2768">
        <v>47110674</v>
      </c>
      <c r="G2768">
        <v>-219730</v>
      </c>
      <c r="P2768">
        <v>48</v>
      </c>
      <c r="Q2768" t="s">
        <v>5583</v>
      </c>
    </row>
    <row r="2769" spans="1:17" x14ac:dyDescent="0.3">
      <c r="A2769" t="s">
        <v>32</v>
      </c>
      <c r="B2769" t="str">
        <f>"300469"</f>
        <v>300469</v>
      </c>
      <c r="C2769" t="s">
        <v>5584</v>
      </c>
      <c r="D2769" t="s">
        <v>342</v>
      </c>
      <c r="E2769">
        <v>-66277411</v>
      </c>
      <c r="F2769">
        <v>-72154502</v>
      </c>
      <c r="G2769">
        <v>-95460060</v>
      </c>
      <c r="H2769">
        <v>-148181770</v>
      </c>
      <c r="I2769">
        <v>-172387883</v>
      </c>
      <c r="J2769">
        <v>-141311385</v>
      </c>
      <c r="K2769">
        <v>-150593642</v>
      </c>
      <c r="L2769">
        <v>-104396018</v>
      </c>
      <c r="P2769">
        <v>96</v>
      </c>
      <c r="Q2769" t="s">
        <v>5585</v>
      </c>
    </row>
    <row r="2770" spans="1:17" x14ac:dyDescent="0.3">
      <c r="A2770" t="s">
        <v>32</v>
      </c>
      <c r="B2770" t="str">
        <f>"000949"</f>
        <v>000949</v>
      </c>
      <c r="C2770" t="s">
        <v>5586</v>
      </c>
      <c r="D2770" t="s">
        <v>144</v>
      </c>
      <c r="E2770">
        <v>-66404082</v>
      </c>
      <c r="F2770">
        <v>35381874</v>
      </c>
      <c r="G2770">
        <v>50645831</v>
      </c>
      <c r="H2770">
        <v>-258925732</v>
      </c>
      <c r="I2770">
        <v>-93320663</v>
      </c>
      <c r="J2770">
        <v>-129737624</v>
      </c>
      <c r="K2770">
        <v>-47597731</v>
      </c>
      <c r="L2770">
        <v>33930677</v>
      </c>
      <c r="M2770">
        <v>66843823</v>
      </c>
      <c r="N2770">
        <v>-50737953</v>
      </c>
      <c r="O2770">
        <v>200813366</v>
      </c>
      <c r="P2770">
        <v>157</v>
      </c>
      <c r="Q2770" t="s">
        <v>5587</v>
      </c>
    </row>
    <row r="2771" spans="1:17" x14ac:dyDescent="0.3">
      <c r="A2771" t="s">
        <v>32</v>
      </c>
      <c r="B2771" t="str">
        <f>"300503"</f>
        <v>300503</v>
      </c>
      <c r="C2771" t="s">
        <v>5588</v>
      </c>
      <c r="D2771" t="s">
        <v>135</v>
      </c>
      <c r="E2771">
        <v>-66404663</v>
      </c>
      <c r="F2771">
        <v>-48993989</v>
      </c>
      <c r="G2771">
        <v>-12009771</v>
      </c>
      <c r="H2771">
        <v>-114282013</v>
      </c>
      <c r="I2771">
        <v>-9935948</v>
      </c>
      <c r="J2771">
        <v>1750942</v>
      </c>
      <c r="K2771">
        <v>-20080156</v>
      </c>
      <c r="L2771">
        <v>-63008</v>
      </c>
      <c r="P2771">
        <v>136</v>
      </c>
      <c r="Q2771" t="s">
        <v>5589</v>
      </c>
    </row>
    <row r="2772" spans="1:17" x14ac:dyDescent="0.3">
      <c r="A2772" t="s">
        <v>32</v>
      </c>
      <c r="B2772" t="str">
        <f>"300183"</f>
        <v>300183</v>
      </c>
      <c r="C2772" t="s">
        <v>5590</v>
      </c>
      <c r="D2772" t="s">
        <v>57</v>
      </c>
      <c r="E2772">
        <v>-66448536</v>
      </c>
      <c r="F2772">
        <v>28554268</v>
      </c>
      <c r="G2772">
        <v>66250941</v>
      </c>
      <c r="H2772">
        <v>39933034</v>
      </c>
      <c r="I2772">
        <v>-10970297</v>
      </c>
      <c r="J2772">
        <v>15498839</v>
      </c>
      <c r="K2772">
        <v>5208964</v>
      </c>
      <c r="L2772">
        <v>-6086350</v>
      </c>
      <c r="M2772">
        <v>57550769</v>
      </c>
      <c r="N2772">
        <v>34387745</v>
      </c>
      <c r="O2772">
        <v>31943703</v>
      </c>
      <c r="P2772">
        <v>276</v>
      </c>
      <c r="Q2772" t="s">
        <v>5591</v>
      </c>
    </row>
    <row r="2773" spans="1:17" x14ac:dyDescent="0.3">
      <c r="A2773" t="s">
        <v>32</v>
      </c>
      <c r="B2773" t="str">
        <f>"300511"</f>
        <v>300511</v>
      </c>
      <c r="C2773" t="s">
        <v>5592</v>
      </c>
      <c r="D2773" t="s">
        <v>175</v>
      </c>
      <c r="E2773">
        <v>-66452807</v>
      </c>
      <c r="F2773">
        <v>-84614362</v>
      </c>
      <c r="G2773">
        <v>46472455</v>
      </c>
      <c r="H2773">
        <v>147609530</v>
      </c>
      <c r="I2773">
        <v>-26671704</v>
      </c>
      <c r="J2773">
        <v>-151445018</v>
      </c>
      <c r="K2773">
        <v>-17490026</v>
      </c>
      <c r="L2773">
        <v>-22587752</v>
      </c>
      <c r="P2773">
        <v>301</v>
      </c>
      <c r="Q2773" t="s">
        <v>5593</v>
      </c>
    </row>
    <row r="2774" spans="1:17" x14ac:dyDescent="0.3">
      <c r="A2774" t="s">
        <v>32</v>
      </c>
      <c r="B2774" t="str">
        <f>"300990"</f>
        <v>300990</v>
      </c>
      <c r="C2774" t="s">
        <v>5594</v>
      </c>
      <c r="D2774" t="s">
        <v>135</v>
      </c>
      <c r="E2774">
        <v>-66607616</v>
      </c>
      <c r="F2774">
        <v>-29790658</v>
      </c>
      <c r="G2774">
        <v>-3133190</v>
      </c>
      <c r="P2774">
        <v>42</v>
      </c>
      <c r="Q2774" t="s">
        <v>5595</v>
      </c>
    </row>
    <row r="2775" spans="1:17" x14ac:dyDescent="0.3">
      <c r="A2775" t="s">
        <v>32</v>
      </c>
      <c r="B2775" t="str">
        <f>"000545"</f>
        <v>000545</v>
      </c>
      <c r="C2775" t="s">
        <v>5596</v>
      </c>
      <c r="D2775" t="s">
        <v>144</v>
      </c>
      <c r="E2775">
        <v>-66626203</v>
      </c>
      <c r="F2775">
        <v>-107850484</v>
      </c>
      <c r="G2775">
        <v>-55810848</v>
      </c>
      <c r="H2775">
        <v>30181199</v>
      </c>
      <c r="I2775">
        <v>-182049084</v>
      </c>
      <c r="J2775">
        <v>6062626</v>
      </c>
      <c r="K2775">
        <v>-106601333</v>
      </c>
      <c r="L2775">
        <v>-40811664</v>
      </c>
      <c r="M2775">
        <v>-43083287</v>
      </c>
      <c r="N2775">
        <v>-87253</v>
      </c>
      <c r="O2775">
        <v>1727640</v>
      </c>
      <c r="P2775">
        <v>106</v>
      </c>
      <c r="Q2775" t="s">
        <v>5597</v>
      </c>
    </row>
    <row r="2776" spans="1:17" x14ac:dyDescent="0.3">
      <c r="A2776" t="s">
        <v>32</v>
      </c>
      <c r="B2776" t="str">
        <f>"300845"</f>
        <v>300845</v>
      </c>
      <c r="C2776" t="s">
        <v>5598</v>
      </c>
      <c r="D2776" t="s">
        <v>342</v>
      </c>
      <c r="E2776">
        <v>-66846164</v>
      </c>
      <c r="F2776">
        <v>-64914781</v>
      </c>
      <c r="G2776">
        <v>-57544247</v>
      </c>
      <c r="H2776">
        <v>-74445484</v>
      </c>
      <c r="P2776">
        <v>83</v>
      </c>
      <c r="Q2776" t="s">
        <v>5599</v>
      </c>
    </row>
    <row r="2777" spans="1:17" x14ac:dyDescent="0.3">
      <c r="A2777" t="s">
        <v>32</v>
      </c>
      <c r="B2777" t="str">
        <f>"300318"</f>
        <v>300318</v>
      </c>
      <c r="C2777" t="s">
        <v>5600</v>
      </c>
      <c r="D2777" t="s">
        <v>98</v>
      </c>
      <c r="E2777">
        <v>-66893489</v>
      </c>
      <c r="F2777">
        <v>-72953284</v>
      </c>
      <c r="G2777">
        <v>7843196</v>
      </c>
      <c r="H2777">
        <v>-77346275</v>
      </c>
      <c r="I2777">
        <v>-50942150</v>
      </c>
      <c r="J2777">
        <v>-42122556</v>
      </c>
      <c r="K2777">
        <v>-50722671</v>
      </c>
      <c r="L2777">
        <v>-25370509</v>
      </c>
      <c r="M2777">
        <v>-9265862</v>
      </c>
      <c r="N2777">
        <v>-3687227</v>
      </c>
      <c r="O2777">
        <v>-4766799</v>
      </c>
      <c r="P2777">
        <v>144</v>
      </c>
      <c r="Q2777" t="s">
        <v>5601</v>
      </c>
    </row>
    <row r="2778" spans="1:17" x14ac:dyDescent="0.3">
      <c r="A2778" t="s">
        <v>17</v>
      </c>
      <c r="B2778" t="str">
        <f>"600250"</f>
        <v>600250</v>
      </c>
      <c r="C2778" t="s">
        <v>5602</v>
      </c>
      <c r="D2778" t="s">
        <v>218</v>
      </c>
      <c r="E2778">
        <v>-66976842</v>
      </c>
      <c r="F2778">
        <v>-19228016</v>
      </c>
      <c r="G2778">
        <v>49397133</v>
      </c>
      <c r="H2778">
        <v>-11789705</v>
      </c>
      <c r="I2778">
        <v>112950898</v>
      </c>
      <c r="J2778">
        <v>-46315285</v>
      </c>
      <c r="K2778">
        <v>-112274568</v>
      </c>
      <c r="L2778">
        <v>56819780</v>
      </c>
      <c r="M2778">
        <v>172222872</v>
      </c>
      <c r="N2778">
        <v>180507526</v>
      </c>
      <c r="O2778">
        <v>-207610997</v>
      </c>
      <c r="P2778">
        <v>70</v>
      </c>
      <c r="Q2778" t="s">
        <v>5603</v>
      </c>
    </row>
    <row r="2779" spans="1:17" x14ac:dyDescent="0.3">
      <c r="A2779" t="s">
        <v>32</v>
      </c>
      <c r="B2779" t="str">
        <f>"300437"</f>
        <v>300437</v>
      </c>
      <c r="C2779" t="s">
        <v>5604</v>
      </c>
      <c r="D2779" t="s">
        <v>1334</v>
      </c>
      <c r="E2779">
        <v>-67074415</v>
      </c>
      <c r="F2779">
        <v>13416733</v>
      </c>
      <c r="G2779">
        <v>-74353876</v>
      </c>
      <c r="H2779">
        <v>-156469071</v>
      </c>
      <c r="I2779">
        <v>-197395691</v>
      </c>
      <c r="J2779">
        <v>-63048327</v>
      </c>
      <c r="K2779">
        <v>-25416262</v>
      </c>
      <c r="L2779">
        <v>-14833661</v>
      </c>
      <c r="M2779">
        <v>-28740539</v>
      </c>
      <c r="P2779">
        <v>143</v>
      </c>
      <c r="Q2779" t="s">
        <v>5605</v>
      </c>
    </row>
    <row r="2780" spans="1:17" x14ac:dyDescent="0.3">
      <c r="A2780" t="s">
        <v>17</v>
      </c>
      <c r="B2780" t="str">
        <f>"688690"</f>
        <v>688690</v>
      </c>
      <c r="C2780" t="s">
        <v>5606</v>
      </c>
      <c r="D2780" t="s">
        <v>98</v>
      </c>
      <c r="E2780">
        <v>-67104302</v>
      </c>
      <c r="F2780">
        <v>-25619507</v>
      </c>
      <c r="G2780">
        <v>-4379217</v>
      </c>
      <c r="P2780">
        <v>116</v>
      </c>
      <c r="Q2780" t="s">
        <v>5607</v>
      </c>
    </row>
    <row r="2781" spans="1:17" x14ac:dyDescent="0.3">
      <c r="A2781" t="s">
        <v>32</v>
      </c>
      <c r="B2781" t="str">
        <f>"002139"</f>
        <v>002139</v>
      </c>
      <c r="C2781" t="s">
        <v>5608</v>
      </c>
      <c r="D2781" t="s">
        <v>124</v>
      </c>
      <c r="E2781">
        <v>-67173522</v>
      </c>
      <c r="F2781">
        <v>-329544921</v>
      </c>
      <c r="G2781">
        <v>-104657915</v>
      </c>
      <c r="H2781">
        <v>-78848138</v>
      </c>
      <c r="I2781">
        <v>-248347782</v>
      </c>
      <c r="J2781">
        <v>-102907365</v>
      </c>
      <c r="K2781">
        <v>-112622827</v>
      </c>
      <c r="L2781">
        <v>-83796554</v>
      </c>
      <c r="M2781">
        <v>214374</v>
      </c>
      <c r="N2781">
        <v>-9236581</v>
      </c>
      <c r="O2781">
        <v>-18491820</v>
      </c>
      <c r="P2781">
        <v>920</v>
      </c>
      <c r="Q2781" t="s">
        <v>5609</v>
      </c>
    </row>
    <row r="2782" spans="1:17" x14ac:dyDescent="0.3">
      <c r="A2782" t="s">
        <v>17</v>
      </c>
      <c r="B2782" t="str">
        <f>"601126"</f>
        <v>601126</v>
      </c>
      <c r="C2782" t="s">
        <v>5610</v>
      </c>
      <c r="D2782" t="s">
        <v>464</v>
      </c>
      <c r="E2782">
        <v>-67279155</v>
      </c>
      <c r="F2782">
        <v>168907348</v>
      </c>
      <c r="G2782">
        <v>102338336</v>
      </c>
      <c r="H2782">
        <v>244758942</v>
      </c>
      <c r="I2782">
        <v>-59068011</v>
      </c>
      <c r="J2782">
        <v>-206411015</v>
      </c>
      <c r="K2782">
        <v>-181615411</v>
      </c>
      <c r="L2782">
        <v>-146219363</v>
      </c>
      <c r="M2782">
        <v>-258389639</v>
      </c>
      <c r="N2782">
        <v>-244334172</v>
      </c>
      <c r="O2782">
        <v>-244749843</v>
      </c>
      <c r="P2782">
        <v>280</v>
      </c>
      <c r="Q2782" t="s">
        <v>5611</v>
      </c>
    </row>
    <row r="2783" spans="1:17" x14ac:dyDescent="0.3">
      <c r="A2783" t="s">
        <v>32</v>
      </c>
      <c r="B2783" t="str">
        <f>"002708"</f>
        <v>002708</v>
      </c>
      <c r="C2783" t="s">
        <v>5612</v>
      </c>
      <c r="D2783" t="s">
        <v>199</v>
      </c>
      <c r="E2783">
        <v>-67367200</v>
      </c>
      <c r="F2783">
        <v>-55754430</v>
      </c>
      <c r="G2783">
        <v>34668613</v>
      </c>
      <c r="H2783">
        <v>6995002</v>
      </c>
      <c r="I2783">
        <v>-20915610</v>
      </c>
      <c r="J2783">
        <v>-31478917</v>
      </c>
      <c r="K2783">
        <v>16236566</v>
      </c>
      <c r="L2783">
        <v>4386373</v>
      </c>
      <c r="M2783">
        <v>-9823248</v>
      </c>
      <c r="N2783">
        <v>4456084</v>
      </c>
      <c r="P2783">
        <v>91</v>
      </c>
      <c r="Q2783" t="s">
        <v>5613</v>
      </c>
    </row>
    <row r="2784" spans="1:17" x14ac:dyDescent="0.3">
      <c r="A2784" t="s">
        <v>32</v>
      </c>
      <c r="B2784" t="str">
        <f>"300766"</f>
        <v>300766</v>
      </c>
      <c r="C2784" t="s">
        <v>5614</v>
      </c>
      <c r="D2784" t="s">
        <v>342</v>
      </c>
      <c r="E2784">
        <v>-67440943</v>
      </c>
      <c r="F2784">
        <v>-73608904</v>
      </c>
      <c r="G2784">
        <v>-21474603</v>
      </c>
      <c r="H2784">
        <v>10657579</v>
      </c>
      <c r="I2784">
        <v>50798443</v>
      </c>
      <c r="P2784">
        <v>141</v>
      </c>
      <c r="Q2784" t="s">
        <v>5615</v>
      </c>
    </row>
    <row r="2785" spans="1:17" x14ac:dyDescent="0.3">
      <c r="A2785" t="s">
        <v>17</v>
      </c>
      <c r="B2785" t="str">
        <f>"600750"</f>
        <v>600750</v>
      </c>
      <c r="C2785" t="s">
        <v>5616</v>
      </c>
      <c r="D2785" t="s">
        <v>98</v>
      </c>
      <c r="E2785">
        <v>-67510190</v>
      </c>
      <c r="F2785">
        <v>52917648</v>
      </c>
      <c r="G2785">
        <v>116255081</v>
      </c>
      <c r="H2785">
        <v>56026732</v>
      </c>
      <c r="I2785">
        <v>64539432</v>
      </c>
      <c r="J2785">
        <v>-38537488</v>
      </c>
      <c r="K2785">
        <v>95855149</v>
      </c>
      <c r="L2785">
        <v>75662631</v>
      </c>
      <c r="M2785">
        <v>-8355422</v>
      </c>
      <c r="N2785">
        <v>28336338</v>
      </c>
      <c r="O2785">
        <v>26801515</v>
      </c>
      <c r="P2785">
        <v>817</v>
      </c>
      <c r="Q2785" t="s">
        <v>5617</v>
      </c>
    </row>
    <row r="2786" spans="1:17" x14ac:dyDescent="0.3">
      <c r="A2786" t="s">
        <v>17</v>
      </c>
      <c r="B2786" t="str">
        <f>"600220"</f>
        <v>600220</v>
      </c>
      <c r="C2786" t="s">
        <v>5618</v>
      </c>
      <c r="D2786" t="s">
        <v>130</v>
      </c>
      <c r="E2786">
        <v>-67656195</v>
      </c>
      <c r="F2786">
        <v>88440060</v>
      </c>
      <c r="G2786">
        <v>24372104</v>
      </c>
      <c r="H2786">
        <v>-152224430</v>
      </c>
      <c r="I2786">
        <v>-290504574</v>
      </c>
      <c r="J2786">
        <v>-111114789</v>
      </c>
      <c r="K2786">
        <v>-72908604</v>
      </c>
      <c r="L2786">
        <v>115926844</v>
      </c>
      <c r="M2786">
        <v>44594692</v>
      </c>
      <c r="N2786">
        <v>-1446189</v>
      </c>
      <c r="O2786">
        <v>189002013</v>
      </c>
      <c r="P2786">
        <v>118</v>
      </c>
      <c r="Q2786" t="s">
        <v>5619</v>
      </c>
    </row>
    <row r="2787" spans="1:17" x14ac:dyDescent="0.3">
      <c r="A2787" t="s">
        <v>32</v>
      </c>
      <c r="B2787" t="str">
        <f>"002851"</f>
        <v>002851</v>
      </c>
      <c r="C2787" t="s">
        <v>5620</v>
      </c>
      <c r="D2787" t="s">
        <v>464</v>
      </c>
      <c r="E2787">
        <v>-67657876</v>
      </c>
      <c r="F2787">
        <v>-175275965</v>
      </c>
      <c r="G2787">
        <v>58952241</v>
      </c>
      <c r="H2787">
        <v>114735424</v>
      </c>
      <c r="I2787">
        <v>-15467436</v>
      </c>
      <c r="J2787">
        <v>22159760</v>
      </c>
      <c r="K2787">
        <v>37252044</v>
      </c>
      <c r="P2787">
        <v>566</v>
      </c>
      <c r="Q2787" t="s">
        <v>5621</v>
      </c>
    </row>
    <row r="2788" spans="1:17" x14ac:dyDescent="0.3">
      <c r="A2788" t="s">
        <v>17</v>
      </c>
      <c r="B2788" t="str">
        <f>"603066"</f>
        <v>603066</v>
      </c>
      <c r="C2788" t="s">
        <v>5622</v>
      </c>
      <c r="D2788" t="s">
        <v>46</v>
      </c>
      <c r="E2788">
        <v>-67826621</v>
      </c>
      <c r="F2788">
        <v>-5905159</v>
      </c>
      <c r="G2788">
        <v>-20252544</v>
      </c>
      <c r="H2788">
        <v>-51029236</v>
      </c>
      <c r="I2788">
        <v>-69523978</v>
      </c>
      <c r="J2788">
        <v>14105828</v>
      </c>
      <c r="K2788">
        <v>12762726</v>
      </c>
      <c r="L2788">
        <v>26392100</v>
      </c>
      <c r="M2788">
        <v>-9372300</v>
      </c>
      <c r="P2788">
        <v>116</v>
      </c>
      <c r="Q2788" t="s">
        <v>5623</v>
      </c>
    </row>
    <row r="2789" spans="1:17" x14ac:dyDescent="0.3">
      <c r="A2789" t="s">
        <v>32</v>
      </c>
      <c r="B2789" t="str">
        <f>"300949"</f>
        <v>300949</v>
      </c>
      <c r="C2789" t="s">
        <v>5624</v>
      </c>
      <c r="D2789" t="s">
        <v>645</v>
      </c>
      <c r="E2789">
        <v>-67902387</v>
      </c>
      <c r="F2789">
        <v>-53533316</v>
      </c>
      <c r="G2789">
        <v>-33602414</v>
      </c>
      <c r="P2789">
        <v>39</v>
      </c>
      <c r="Q2789" t="s">
        <v>5625</v>
      </c>
    </row>
    <row r="2790" spans="1:17" x14ac:dyDescent="0.3">
      <c r="A2790" t="s">
        <v>32</v>
      </c>
      <c r="B2790" t="str">
        <f>"300353"</f>
        <v>300353</v>
      </c>
      <c r="C2790" t="s">
        <v>5626</v>
      </c>
      <c r="D2790" t="s">
        <v>57</v>
      </c>
      <c r="E2790">
        <v>-67926729</v>
      </c>
      <c r="F2790">
        <v>21992789</v>
      </c>
      <c r="G2790">
        <v>-57209353</v>
      </c>
      <c r="H2790">
        <v>-70703745</v>
      </c>
      <c r="I2790">
        <v>-131478198</v>
      </c>
      <c r="J2790">
        <v>-79610198</v>
      </c>
      <c r="K2790">
        <v>-34658686</v>
      </c>
      <c r="L2790">
        <v>-18428803</v>
      </c>
      <c r="M2790">
        <v>-13774086</v>
      </c>
      <c r="N2790">
        <v>-95559857</v>
      </c>
      <c r="O2790">
        <v>-661342</v>
      </c>
      <c r="P2790">
        <v>3033</v>
      </c>
      <c r="Q2790" t="s">
        <v>5627</v>
      </c>
    </row>
    <row r="2791" spans="1:17" x14ac:dyDescent="0.3">
      <c r="A2791" t="s">
        <v>32</v>
      </c>
      <c r="B2791" t="str">
        <f>"000880"</f>
        <v>000880</v>
      </c>
      <c r="C2791" t="s">
        <v>5628</v>
      </c>
      <c r="D2791" t="s">
        <v>199</v>
      </c>
      <c r="E2791">
        <v>-68113875</v>
      </c>
      <c r="F2791">
        <v>93112082</v>
      </c>
      <c r="G2791">
        <v>-44173805</v>
      </c>
      <c r="H2791">
        <v>-46516190</v>
      </c>
      <c r="I2791">
        <v>-51132461</v>
      </c>
      <c r="J2791">
        <v>71398787</v>
      </c>
      <c r="K2791">
        <v>-19526321</v>
      </c>
      <c r="L2791">
        <v>-142575815</v>
      </c>
      <c r="M2791">
        <v>6935839</v>
      </c>
      <c r="N2791">
        <v>39471311</v>
      </c>
      <c r="O2791">
        <v>-141686752</v>
      </c>
      <c r="P2791">
        <v>102</v>
      </c>
      <c r="Q2791" t="s">
        <v>5629</v>
      </c>
    </row>
    <row r="2792" spans="1:17" x14ac:dyDescent="0.3">
      <c r="A2792" t="s">
        <v>17</v>
      </c>
      <c r="B2792" t="str">
        <f>"603131"</f>
        <v>603131</v>
      </c>
      <c r="C2792" t="s">
        <v>5630</v>
      </c>
      <c r="D2792" t="s">
        <v>135</v>
      </c>
      <c r="E2792">
        <v>-68116937</v>
      </c>
      <c r="F2792">
        <v>-99144604</v>
      </c>
      <c r="G2792">
        <v>-80741582</v>
      </c>
      <c r="H2792">
        <v>-81025188</v>
      </c>
      <c r="I2792">
        <v>-96884649</v>
      </c>
      <c r="J2792">
        <v>-12359538</v>
      </c>
      <c r="K2792">
        <v>-7025872</v>
      </c>
      <c r="L2792">
        <v>-8268000</v>
      </c>
      <c r="P2792">
        <v>143</v>
      </c>
      <c r="Q2792" t="s">
        <v>5631</v>
      </c>
    </row>
    <row r="2793" spans="1:17" x14ac:dyDescent="0.3">
      <c r="A2793" t="s">
        <v>32</v>
      </c>
      <c r="B2793" t="str">
        <f>"300893"</f>
        <v>300893</v>
      </c>
      <c r="C2793" t="s">
        <v>5632</v>
      </c>
      <c r="D2793" t="s">
        <v>199</v>
      </c>
      <c r="E2793">
        <v>-68223167</v>
      </c>
      <c r="F2793">
        <v>-43989279</v>
      </c>
      <c r="G2793">
        <v>-5600821</v>
      </c>
      <c r="H2793">
        <v>-3889782</v>
      </c>
      <c r="P2793">
        <v>49</v>
      </c>
      <c r="Q2793" t="s">
        <v>5633</v>
      </c>
    </row>
    <row r="2794" spans="1:17" x14ac:dyDescent="0.3">
      <c r="A2794" t="s">
        <v>17</v>
      </c>
      <c r="B2794" t="str">
        <f>"600889"</f>
        <v>600889</v>
      </c>
      <c r="C2794" t="s">
        <v>5634</v>
      </c>
      <c r="D2794" t="s">
        <v>144</v>
      </c>
      <c r="E2794">
        <v>-68225610</v>
      </c>
      <c r="F2794">
        <v>-86030175</v>
      </c>
      <c r="G2794">
        <v>-21944801</v>
      </c>
      <c r="H2794">
        <v>-60440844</v>
      </c>
      <c r="I2794">
        <v>-18916820</v>
      </c>
      <c r="J2794">
        <v>-112042292</v>
      </c>
      <c r="K2794">
        <v>58895259</v>
      </c>
      <c r="L2794">
        <v>70193507</v>
      </c>
      <c r="M2794">
        <v>123413498</v>
      </c>
      <c r="N2794">
        <v>-78047093</v>
      </c>
      <c r="O2794">
        <v>-19055304</v>
      </c>
      <c r="P2794">
        <v>77</v>
      </c>
      <c r="Q2794" t="s">
        <v>5635</v>
      </c>
    </row>
    <row r="2795" spans="1:17" x14ac:dyDescent="0.3">
      <c r="A2795" t="s">
        <v>32</v>
      </c>
      <c r="B2795" t="str">
        <f>"000890"</f>
        <v>000890</v>
      </c>
      <c r="C2795" t="s">
        <v>5636</v>
      </c>
      <c r="D2795" t="s">
        <v>135</v>
      </c>
      <c r="E2795">
        <v>-68231893</v>
      </c>
      <c r="F2795">
        <v>-114608753</v>
      </c>
      <c r="G2795">
        <v>713121839</v>
      </c>
      <c r="H2795">
        <v>-78959815</v>
      </c>
      <c r="I2795">
        <v>15559496</v>
      </c>
      <c r="J2795">
        <v>-731463763</v>
      </c>
      <c r="K2795">
        <v>187299805</v>
      </c>
      <c r="L2795">
        <v>41024613</v>
      </c>
      <c r="M2795">
        <v>185747949</v>
      </c>
      <c r="N2795">
        <v>22453664</v>
      </c>
      <c r="O2795">
        <v>72301796</v>
      </c>
      <c r="P2795">
        <v>133</v>
      </c>
      <c r="Q2795" t="s">
        <v>5637</v>
      </c>
    </row>
    <row r="2796" spans="1:17" x14ac:dyDescent="0.3">
      <c r="A2796" t="s">
        <v>17</v>
      </c>
      <c r="B2796" t="str">
        <f>"600812"</f>
        <v>600812</v>
      </c>
      <c r="C2796" t="s">
        <v>5638</v>
      </c>
      <c r="D2796" t="s">
        <v>98</v>
      </c>
      <c r="E2796">
        <v>-68424398</v>
      </c>
      <c r="F2796">
        <v>-97247951</v>
      </c>
      <c r="G2796">
        <v>-61431886</v>
      </c>
      <c r="H2796">
        <v>76101203</v>
      </c>
      <c r="I2796">
        <v>169285922</v>
      </c>
      <c r="J2796">
        <v>-59793384</v>
      </c>
      <c r="K2796">
        <v>-53985617</v>
      </c>
      <c r="L2796">
        <v>-97030150</v>
      </c>
      <c r="M2796">
        <v>-201252519</v>
      </c>
      <c r="N2796">
        <v>-324469449</v>
      </c>
      <c r="O2796">
        <v>-562817358</v>
      </c>
      <c r="P2796">
        <v>226</v>
      </c>
      <c r="Q2796" t="s">
        <v>5639</v>
      </c>
    </row>
    <row r="2797" spans="1:17" x14ac:dyDescent="0.3">
      <c r="A2797" t="s">
        <v>17</v>
      </c>
      <c r="B2797" t="str">
        <f>"603189"</f>
        <v>603189</v>
      </c>
      <c r="C2797" t="s">
        <v>5640</v>
      </c>
      <c r="D2797" t="s">
        <v>342</v>
      </c>
      <c r="E2797">
        <v>-68483138</v>
      </c>
      <c r="F2797">
        <v>-68293376</v>
      </c>
      <c r="G2797">
        <v>-53325673</v>
      </c>
      <c r="H2797">
        <v>-25941255</v>
      </c>
      <c r="I2797">
        <v>-13963219</v>
      </c>
      <c r="J2797">
        <v>-33784387</v>
      </c>
      <c r="K2797">
        <v>-59849845</v>
      </c>
      <c r="P2797">
        <v>166</v>
      </c>
      <c r="Q2797" t="s">
        <v>5641</v>
      </c>
    </row>
    <row r="2798" spans="1:17" x14ac:dyDescent="0.3">
      <c r="A2798" t="s">
        <v>17</v>
      </c>
      <c r="B2798" t="str">
        <f>"688071"</f>
        <v>688071</v>
      </c>
      <c r="C2798" t="s">
        <v>5642</v>
      </c>
      <c r="D2798" t="s">
        <v>135</v>
      </c>
      <c r="E2798">
        <v>-68540159</v>
      </c>
      <c r="F2798">
        <v>-39495125</v>
      </c>
      <c r="G2798">
        <v>5875399</v>
      </c>
      <c r="P2798">
        <v>28</v>
      </c>
      <c r="Q2798" t="s">
        <v>5643</v>
      </c>
    </row>
    <row r="2799" spans="1:17" x14ac:dyDescent="0.3">
      <c r="A2799" t="s">
        <v>32</v>
      </c>
      <c r="B2799" t="str">
        <f>"300286"</f>
        <v>300286</v>
      </c>
      <c r="C2799" t="s">
        <v>5644</v>
      </c>
      <c r="D2799" t="s">
        <v>464</v>
      </c>
      <c r="E2799">
        <v>-68569172</v>
      </c>
      <c r="F2799">
        <v>13127467</v>
      </c>
      <c r="G2799">
        <v>-44669874</v>
      </c>
      <c r="H2799">
        <v>17221148</v>
      </c>
      <c r="I2799">
        <v>8592810</v>
      </c>
      <c r="J2799">
        <v>11100336</v>
      </c>
      <c r="K2799">
        <v>11730130</v>
      </c>
      <c r="L2799">
        <v>12589500</v>
      </c>
      <c r="M2799">
        <v>11146673</v>
      </c>
      <c r="N2799">
        <v>8397698</v>
      </c>
      <c r="O2799">
        <v>2648060</v>
      </c>
      <c r="P2799">
        <v>273</v>
      </c>
      <c r="Q2799" t="s">
        <v>5645</v>
      </c>
    </row>
    <row r="2800" spans="1:17" x14ac:dyDescent="0.3">
      <c r="A2800" t="s">
        <v>17</v>
      </c>
      <c r="B2800" t="str">
        <f>"603656"</f>
        <v>603656</v>
      </c>
      <c r="C2800" t="s">
        <v>5646</v>
      </c>
      <c r="D2800" t="s">
        <v>135</v>
      </c>
      <c r="E2800">
        <v>-68667983</v>
      </c>
      <c r="F2800">
        <v>-49430408</v>
      </c>
      <c r="G2800">
        <v>-98164246</v>
      </c>
      <c r="H2800">
        <v>-20961950</v>
      </c>
      <c r="I2800">
        <v>-19406911</v>
      </c>
      <c r="J2800">
        <v>-8153537</v>
      </c>
      <c r="K2800">
        <v>-9909348</v>
      </c>
      <c r="P2800">
        <v>80</v>
      </c>
      <c r="Q2800" t="s">
        <v>5647</v>
      </c>
    </row>
    <row r="2801" spans="1:17" x14ac:dyDescent="0.3">
      <c r="A2801" t="s">
        <v>17</v>
      </c>
      <c r="B2801" t="str">
        <f>"603038"</f>
        <v>603038</v>
      </c>
      <c r="C2801" t="s">
        <v>5648</v>
      </c>
      <c r="D2801" t="s">
        <v>400</v>
      </c>
      <c r="E2801">
        <v>-68830412</v>
      </c>
      <c r="F2801">
        <v>-170381506</v>
      </c>
      <c r="G2801">
        <v>-113321751</v>
      </c>
      <c r="H2801">
        <v>-49334168</v>
      </c>
      <c r="I2801">
        <v>-15218955</v>
      </c>
      <c r="J2801">
        <v>-41131610</v>
      </c>
      <c r="K2801">
        <v>-12520135</v>
      </c>
      <c r="P2801">
        <v>70</v>
      </c>
      <c r="Q2801" t="s">
        <v>5649</v>
      </c>
    </row>
    <row r="2802" spans="1:17" x14ac:dyDescent="0.3">
      <c r="A2802" t="s">
        <v>32</v>
      </c>
      <c r="B2802" t="str">
        <f>"300531"</f>
        <v>300531</v>
      </c>
      <c r="C2802" t="s">
        <v>5650</v>
      </c>
      <c r="D2802" t="s">
        <v>342</v>
      </c>
      <c r="E2802">
        <v>-68837172</v>
      </c>
      <c r="F2802">
        <v>24859162</v>
      </c>
      <c r="G2802">
        <v>-20808153</v>
      </c>
      <c r="H2802">
        <v>6297257</v>
      </c>
      <c r="I2802">
        <v>-8027057</v>
      </c>
      <c r="J2802">
        <v>-2013040</v>
      </c>
      <c r="K2802">
        <v>-27820804</v>
      </c>
      <c r="P2802">
        <v>174</v>
      </c>
      <c r="Q2802" t="s">
        <v>5651</v>
      </c>
    </row>
    <row r="2803" spans="1:17" x14ac:dyDescent="0.3">
      <c r="A2803" t="s">
        <v>17</v>
      </c>
      <c r="B2803" t="str">
        <f>"600281"</f>
        <v>600281</v>
      </c>
      <c r="C2803" t="s">
        <v>5652</v>
      </c>
      <c r="D2803" t="s">
        <v>121</v>
      </c>
      <c r="E2803">
        <v>-68900538</v>
      </c>
      <c r="F2803">
        <v>-10390218</v>
      </c>
      <c r="G2803">
        <v>-20125641</v>
      </c>
      <c r="H2803">
        <v>-38347073</v>
      </c>
      <c r="I2803">
        <v>-71922808</v>
      </c>
      <c r="J2803">
        <v>-49467436</v>
      </c>
      <c r="K2803">
        <v>-50263005</v>
      </c>
      <c r="L2803">
        <v>-14298034</v>
      </c>
      <c r="M2803">
        <v>-25085738</v>
      </c>
      <c r="N2803">
        <v>-16368936</v>
      </c>
      <c r="O2803">
        <v>-47842470</v>
      </c>
      <c r="P2803">
        <v>68</v>
      </c>
      <c r="Q2803" t="s">
        <v>5653</v>
      </c>
    </row>
    <row r="2804" spans="1:17" x14ac:dyDescent="0.3">
      <c r="A2804" t="s">
        <v>32</v>
      </c>
      <c r="B2804" t="str">
        <f>"300860"</f>
        <v>300860</v>
      </c>
      <c r="C2804" t="s">
        <v>5654</v>
      </c>
      <c r="D2804" t="s">
        <v>497</v>
      </c>
      <c r="E2804">
        <v>-68927250</v>
      </c>
      <c r="F2804">
        <v>-83709782</v>
      </c>
      <c r="G2804">
        <v>-27727377</v>
      </c>
      <c r="P2804">
        <v>95</v>
      </c>
      <c r="Q2804" t="s">
        <v>5655</v>
      </c>
    </row>
    <row r="2805" spans="1:17" x14ac:dyDescent="0.3">
      <c r="A2805" t="s">
        <v>32</v>
      </c>
      <c r="B2805" t="str">
        <f>"300753"</f>
        <v>300753</v>
      </c>
      <c r="C2805" t="s">
        <v>5656</v>
      </c>
      <c r="D2805" t="s">
        <v>98</v>
      </c>
      <c r="E2805">
        <v>-69054902</v>
      </c>
      <c r="F2805">
        <v>-68292710</v>
      </c>
      <c r="G2805">
        <v>-32961197</v>
      </c>
      <c r="H2805">
        <v>-33361467</v>
      </c>
      <c r="I2805">
        <v>-27939816</v>
      </c>
      <c r="P2805">
        <v>243</v>
      </c>
      <c r="Q2805" t="s">
        <v>5657</v>
      </c>
    </row>
    <row r="2806" spans="1:17" x14ac:dyDescent="0.3">
      <c r="A2806" t="s">
        <v>32</v>
      </c>
      <c r="B2806" t="str">
        <f>"002238"</f>
        <v>002238</v>
      </c>
      <c r="C2806" t="s">
        <v>5658</v>
      </c>
      <c r="D2806" t="s">
        <v>245</v>
      </c>
      <c r="E2806">
        <v>-69080005</v>
      </c>
      <c r="F2806">
        <v>-71391437</v>
      </c>
      <c r="G2806">
        <v>-33520701</v>
      </c>
      <c r="H2806">
        <v>-1823346</v>
      </c>
      <c r="I2806">
        <v>-4216275</v>
      </c>
      <c r="J2806">
        <v>-15081629</v>
      </c>
      <c r="K2806">
        <v>17770307</v>
      </c>
      <c r="L2806">
        <v>53207970</v>
      </c>
      <c r="M2806">
        <v>26922881</v>
      </c>
      <c r="N2806">
        <v>-15825391</v>
      </c>
      <c r="O2806">
        <v>23409022</v>
      </c>
      <c r="P2806">
        <v>205</v>
      </c>
      <c r="Q2806" t="s">
        <v>5659</v>
      </c>
    </row>
    <row r="2807" spans="1:17" x14ac:dyDescent="0.3">
      <c r="A2807" t="s">
        <v>17</v>
      </c>
      <c r="B2807" t="str">
        <f>"600257"</f>
        <v>600257</v>
      </c>
      <c r="C2807" t="s">
        <v>5660</v>
      </c>
      <c r="D2807" t="s">
        <v>175</v>
      </c>
      <c r="E2807">
        <v>-69171474</v>
      </c>
      <c r="F2807">
        <v>-37114707</v>
      </c>
      <c r="G2807">
        <v>-93423356</v>
      </c>
      <c r="H2807">
        <v>-107450993</v>
      </c>
      <c r="I2807">
        <v>-119414990</v>
      </c>
      <c r="J2807">
        <v>-123519950</v>
      </c>
      <c r="K2807">
        <v>-89664902</v>
      </c>
      <c r="L2807">
        <v>-72694648</v>
      </c>
      <c r="M2807">
        <v>-60587213</v>
      </c>
      <c r="N2807">
        <v>-34213151</v>
      </c>
      <c r="O2807">
        <v>-35037504</v>
      </c>
      <c r="P2807">
        <v>96</v>
      </c>
      <c r="Q2807" t="s">
        <v>5661</v>
      </c>
    </row>
    <row r="2808" spans="1:17" x14ac:dyDescent="0.3">
      <c r="A2808" t="s">
        <v>32</v>
      </c>
      <c r="B2808" t="str">
        <f>"002730"</f>
        <v>002730</v>
      </c>
      <c r="C2808" t="s">
        <v>5662</v>
      </c>
      <c r="D2808" t="s">
        <v>135</v>
      </c>
      <c r="E2808">
        <v>-69217420</v>
      </c>
      <c r="F2808">
        <v>49280709</v>
      </c>
      <c r="G2808">
        <v>39963084</v>
      </c>
      <c r="H2808">
        <v>23505417</v>
      </c>
      <c r="I2808">
        <v>-29251090</v>
      </c>
      <c r="J2808">
        <v>27577227</v>
      </c>
      <c r="K2808">
        <v>43478210</v>
      </c>
      <c r="L2808">
        <v>13763244</v>
      </c>
      <c r="M2808">
        <v>-4345616</v>
      </c>
      <c r="P2808">
        <v>82</v>
      </c>
      <c r="Q2808" t="s">
        <v>5663</v>
      </c>
    </row>
    <row r="2809" spans="1:17" x14ac:dyDescent="0.3">
      <c r="A2809" t="s">
        <v>17</v>
      </c>
      <c r="B2809" t="str">
        <f>"688010"</f>
        <v>688010</v>
      </c>
      <c r="C2809" t="s">
        <v>5664</v>
      </c>
      <c r="D2809" t="s">
        <v>124</v>
      </c>
      <c r="E2809">
        <v>-69263715</v>
      </c>
      <c r="F2809">
        <v>-68230396</v>
      </c>
      <c r="G2809">
        <v>-72136449</v>
      </c>
      <c r="H2809">
        <v>-56089131</v>
      </c>
      <c r="I2809">
        <v>-60434885</v>
      </c>
      <c r="P2809">
        <v>125</v>
      </c>
      <c r="Q2809" t="s">
        <v>5665</v>
      </c>
    </row>
    <row r="2810" spans="1:17" x14ac:dyDescent="0.3">
      <c r="A2810" t="s">
        <v>32</v>
      </c>
      <c r="B2810" t="str">
        <f>"002357"</f>
        <v>002357</v>
      </c>
      <c r="C2810" t="s">
        <v>5666</v>
      </c>
      <c r="D2810" t="s">
        <v>46</v>
      </c>
      <c r="E2810">
        <v>-69487886</v>
      </c>
      <c r="F2810">
        <v>-38523652</v>
      </c>
      <c r="G2810">
        <v>-18807349</v>
      </c>
      <c r="H2810">
        <v>108345853</v>
      </c>
      <c r="I2810">
        <v>34204220</v>
      </c>
      <c r="J2810">
        <v>48876396</v>
      </c>
      <c r="K2810">
        <v>17237406</v>
      </c>
      <c r="L2810">
        <v>43110838</v>
      </c>
      <c r="M2810">
        <v>40608937</v>
      </c>
      <c r="N2810">
        <v>48547415</v>
      </c>
      <c r="O2810">
        <v>31536750</v>
      </c>
      <c r="P2810">
        <v>102</v>
      </c>
      <c r="Q2810" t="s">
        <v>5667</v>
      </c>
    </row>
    <row r="2811" spans="1:17" x14ac:dyDescent="0.3">
      <c r="A2811" t="s">
        <v>17</v>
      </c>
      <c r="B2811" t="str">
        <f>"688108"</f>
        <v>688108</v>
      </c>
      <c r="C2811" t="s">
        <v>5668</v>
      </c>
      <c r="D2811" t="s">
        <v>98</v>
      </c>
      <c r="E2811">
        <v>-69664723</v>
      </c>
      <c r="F2811">
        <v>-62108633</v>
      </c>
      <c r="G2811">
        <v>-14246805</v>
      </c>
      <c r="H2811">
        <v>-32592463</v>
      </c>
      <c r="I2811">
        <v>3374800</v>
      </c>
      <c r="P2811">
        <v>104</v>
      </c>
      <c r="Q2811" t="s">
        <v>5669</v>
      </c>
    </row>
    <row r="2812" spans="1:17" x14ac:dyDescent="0.3">
      <c r="A2812" t="s">
        <v>17</v>
      </c>
      <c r="B2812" t="str">
        <f>"600239"</f>
        <v>600239</v>
      </c>
      <c r="C2812" t="s">
        <v>5670</v>
      </c>
      <c r="D2812" t="s">
        <v>151</v>
      </c>
      <c r="E2812">
        <v>-69751021</v>
      </c>
      <c r="F2812">
        <v>1035920886</v>
      </c>
      <c r="G2812">
        <v>168354039</v>
      </c>
      <c r="H2812">
        <v>-776129333</v>
      </c>
      <c r="I2812">
        <v>-2086022577</v>
      </c>
      <c r="J2812">
        <v>-374789828</v>
      </c>
      <c r="K2812">
        <v>-662200328</v>
      </c>
      <c r="L2812">
        <v>-1524022174</v>
      </c>
      <c r="M2812">
        <v>-936096820</v>
      </c>
      <c r="N2812">
        <v>-247328474</v>
      </c>
      <c r="O2812">
        <v>-559805398</v>
      </c>
      <c r="P2812">
        <v>128</v>
      </c>
      <c r="Q2812" t="s">
        <v>5671</v>
      </c>
    </row>
    <row r="2813" spans="1:17" x14ac:dyDescent="0.3">
      <c r="A2813" t="s">
        <v>32</v>
      </c>
      <c r="B2813" t="str">
        <f>"002226"</f>
        <v>002226</v>
      </c>
      <c r="C2813" t="s">
        <v>5672</v>
      </c>
      <c r="D2813" t="s">
        <v>144</v>
      </c>
      <c r="E2813">
        <v>-70050664</v>
      </c>
      <c r="F2813">
        <v>-69748766</v>
      </c>
      <c r="G2813">
        <v>-79526400</v>
      </c>
      <c r="H2813">
        <v>-43574323</v>
      </c>
      <c r="I2813">
        <v>-262977830</v>
      </c>
      <c r="J2813">
        <v>-38498419</v>
      </c>
      <c r="K2813">
        <v>-33097344</v>
      </c>
      <c r="L2813">
        <v>-13525153</v>
      </c>
      <c r="M2813">
        <v>-60242245</v>
      </c>
      <c r="N2813">
        <v>-50766017</v>
      </c>
      <c r="O2813">
        <v>-58476735</v>
      </c>
      <c r="P2813">
        <v>172</v>
      </c>
      <c r="Q2813" t="s">
        <v>5673</v>
      </c>
    </row>
    <row r="2814" spans="1:17" x14ac:dyDescent="0.3">
      <c r="A2814" t="s">
        <v>32</v>
      </c>
      <c r="B2814" t="str">
        <f>"002815"</f>
        <v>002815</v>
      </c>
      <c r="C2814" t="s">
        <v>5674</v>
      </c>
      <c r="D2814" t="s">
        <v>124</v>
      </c>
      <c r="E2814">
        <v>-70153375</v>
      </c>
      <c r="F2814">
        <v>-18683613</v>
      </c>
      <c r="G2814">
        <v>125589135</v>
      </c>
      <c r="H2814">
        <v>115423786</v>
      </c>
      <c r="I2814">
        <v>-24137689</v>
      </c>
      <c r="J2814">
        <v>-34513618</v>
      </c>
      <c r="K2814">
        <v>25336912</v>
      </c>
      <c r="P2814">
        <v>920</v>
      </c>
      <c r="Q2814" t="s">
        <v>5675</v>
      </c>
    </row>
    <row r="2815" spans="1:17" x14ac:dyDescent="0.3">
      <c r="A2815" t="s">
        <v>32</v>
      </c>
      <c r="B2815" t="str">
        <f>"000058"</f>
        <v>000058</v>
      </c>
      <c r="C2815" t="s">
        <v>5676</v>
      </c>
      <c r="D2815" t="s">
        <v>218</v>
      </c>
      <c r="E2815">
        <v>-70180240</v>
      </c>
      <c r="F2815">
        <v>-70315283</v>
      </c>
      <c r="G2815">
        <v>-37089033</v>
      </c>
      <c r="H2815">
        <v>-14272828</v>
      </c>
      <c r="I2815">
        <v>-34129120</v>
      </c>
      <c r="J2815">
        <v>31450200</v>
      </c>
      <c r="K2815">
        <v>-33226564</v>
      </c>
      <c r="L2815">
        <v>-40061094</v>
      </c>
      <c r="M2815">
        <v>-3626319</v>
      </c>
      <c r="N2815">
        <v>-82547283</v>
      </c>
      <c r="O2815">
        <v>9922207</v>
      </c>
      <c r="P2815">
        <v>142</v>
      </c>
      <c r="Q2815" t="s">
        <v>5677</v>
      </c>
    </row>
    <row r="2816" spans="1:17" x14ac:dyDescent="0.3">
      <c r="A2816" t="s">
        <v>32</v>
      </c>
      <c r="B2816" t="str">
        <f>"002649"</f>
        <v>002649</v>
      </c>
      <c r="C2816" t="s">
        <v>5678</v>
      </c>
      <c r="D2816" t="s">
        <v>342</v>
      </c>
      <c r="E2816">
        <v>-70199681</v>
      </c>
      <c r="F2816">
        <v>-5217273</v>
      </c>
      <c r="G2816">
        <v>20734235</v>
      </c>
      <c r="H2816">
        <v>18096221</v>
      </c>
      <c r="I2816">
        <v>-62724331</v>
      </c>
      <c r="J2816">
        <v>-14454107</v>
      </c>
      <c r="K2816">
        <v>-43644258</v>
      </c>
      <c r="L2816">
        <v>-33237210</v>
      </c>
      <c r="M2816">
        <v>-56872374</v>
      </c>
      <c r="N2816">
        <v>-60586593</v>
      </c>
      <c r="O2816">
        <v>-20250800</v>
      </c>
      <c r="P2816">
        <v>274</v>
      </c>
      <c r="Q2816" t="s">
        <v>5679</v>
      </c>
    </row>
    <row r="2817" spans="1:17" x14ac:dyDescent="0.3">
      <c r="A2817" t="s">
        <v>32</v>
      </c>
      <c r="B2817" t="str">
        <f>"300937"</f>
        <v>300937</v>
      </c>
      <c r="C2817" t="s">
        <v>5680</v>
      </c>
      <c r="D2817" t="s">
        <v>98</v>
      </c>
      <c r="E2817">
        <v>-70215626</v>
      </c>
      <c r="F2817">
        <v>-115621613</v>
      </c>
      <c r="G2817">
        <v>43741187</v>
      </c>
      <c r="P2817">
        <v>35</v>
      </c>
      <c r="Q2817" t="s">
        <v>5681</v>
      </c>
    </row>
    <row r="2818" spans="1:17" x14ac:dyDescent="0.3">
      <c r="A2818" t="s">
        <v>17</v>
      </c>
      <c r="B2818" t="str">
        <f>"603122"</f>
        <v>603122</v>
      </c>
      <c r="C2818" t="s">
        <v>5682</v>
      </c>
      <c r="E2818">
        <v>-70241208</v>
      </c>
      <c r="F2818">
        <v>-132234681</v>
      </c>
      <c r="G2818">
        <v>-96758213</v>
      </c>
      <c r="P2818">
        <v>12</v>
      </c>
      <c r="Q2818" t="s">
        <v>5683</v>
      </c>
    </row>
    <row r="2819" spans="1:17" x14ac:dyDescent="0.3">
      <c r="A2819" t="s">
        <v>17</v>
      </c>
      <c r="B2819" t="str">
        <f>"688233"</f>
        <v>688233</v>
      </c>
      <c r="C2819" t="s">
        <v>5684</v>
      </c>
      <c r="D2819" t="s">
        <v>124</v>
      </c>
      <c r="E2819">
        <v>-70372988</v>
      </c>
      <c r="F2819">
        <v>-1350977</v>
      </c>
      <c r="G2819">
        <v>-1389994</v>
      </c>
      <c r="H2819">
        <v>26980580</v>
      </c>
      <c r="P2819">
        <v>170</v>
      </c>
      <c r="Q2819" t="s">
        <v>5685</v>
      </c>
    </row>
    <row r="2820" spans="1:17" x14ac:dyDescent="0.3">
      <c r="A2820" t="s">
        <v>17</v>
      </c>
      <c r="B2820" t="str">
        <f>"688357"</f>
        <v>688357</v>
      </c>
      <c r="C2820" t="s">
        <v>5686</v>
      </c>
      <c r="D2820" t="s">
        <v>144</v>
      </c>
      <c r="E2820">
        <v>-70374890</v>
      </c>
      <c r="F2820">
        <v>-19921287</v>
      </c>
      <c r="G2820">
        <v>-10642047</v>
      </c>
      <c r="H2820">
        <v>-5268862</v>
      </c>
      <c r="P2820">
        <v>157</v>
      </c>
      <c r="Q2820" t="s">
        <v>5687</v>
      </c>
    </row>
    <row r="2821" spans="1:17" x14ac:dyDescent="0.3">
      <c r="A2821" t="s">
        <v>32</v>
      </c>
      <c r="B2821" t="str">
        <f>"300942"</f>
        <v>300942</v>
      </c>
      <c r="C2821" t="s">
        <v>5688</v>
      </c>
      <c r="D2821" t="s">
        <v>98</v>
      </c>
      <c r="E2821">
        <v>-70387660</v>
      </c>
      <c r="F2821">
        <v>86097015</v>
      </c>
      <c r="G2821">
        <v>-28730091</v>
      </c>
      <c r="H2821">
        <v>-23253595</v>
      </c>
      <c r="P2821">
        <v>98</v>
      </c>
      <c r="Q2821" t="s">
        <v>5689</v>
      </c>
    </row>
    <row r="2822" spans="1:17" x14ac:dyDescent="0.3">
      <c r="A2822" t="s">
        <v>32</v>
      </c>
      <c r="B2822" t="str">
        <f>"002875"</f>
        <v>002875</v>
      </c>
      <c r="C2822" t="s">
        <v>5690</v>
      </c>
      <c r="D2822" t="s">
        <v>130</v>
      </c>
      <c r="E2822">
        <v>-70434119</v>
      </c>
      <c r="F2822">
        <v>64155845</v>
      </c>
      <c r="G2822">
        <v>6148801</v>
      </c>
      <c r="H2822">
        <v>-71981101</v>
      </c>
      <c r="I2822">
        <v>-8966404</v>
      </c>
      <c r="J2822">
        <v>9359300</v>
      </c>
      <c r="K2822">
        <v>-23049800</v>
      </c>
      <c r="P2822">
        <v>92</v>
      </c>
      <c r="Q2822" t="s">
        <v>5691</v>
      </c>
    </row>
    <row r="2823" spans="1:17" x14ac:dyDescent="0.3">
      <c r="A2823" t="s">
        <v>17</v>
      </c>
      <c r="B2823" t="str">
        <f>"688036"</f>
        <v>688036</v>
      </c>
      <c r="C2823" t="s">
        <v>5692</v>
      </c>
      <c r="D2823" t="s">
        <v>124</v>
      </c>
      <c r="E2823">
        <v>-70468907</v>
      </c>
      <c r="F2823">
        <v>-119397830</v>
      </c>
      <c r="G2823">
        <v>-1025567007</v>
      </c>
      <c r="H2823">
        <v>-186531322</v>
      </c>
      <c r="I2823">
        <v>59305900</v>
      </c>
      <c r="P2823">
        <v>599</v>
      </c>
      <c r="Q2823" t="s">
        <v>5693</v>
      </c>
    </row>
    <row r="2824" spans="1:17" x14ac:dyDescent="0.3">
      <c r="A2824" t="s">
        <v>17</v>
      </c>
      <c r="B2824" t="str">
        <f>"603236"</f>
        <v>603236</v>
      </c>
      <c r="C2824" t="s">
        <v>5694</v>
      </c>
      <c r="D2824" t="s">
        <v>57</v>
      </c>
      <c r="E2824">
        <v>-70571482</v>
      </c>
      <c r="F2824">
        <v>-332875175</v>
      </c>
      <c r="G2824">
        <v>-472504699</v>
      </c>
      <c r="H2824">
        <v>-189415383</v>
      </c>
      <c r="I2824">
        <v>-147141700</v>
      </c>
      <c r="P2824">
        <v>589</v>
      </c>
      <c r="Q2824" t="s">
        <v>5695</v>
      </c>
    </row>
    <row r="2825" spans="1:17" x14ac:dyDescent="0.3">
      <c r="A2825" t="s">
        <v>32</v>
      </c>
      <c r="B2825" t="str">
        <f>"002278"</f>
        <v>002278</v>
      </c>
      <c r="C2825" t="s">
        <v>5696</v>
      </c>
      <c r="D2825" t="s">
        <v>135</v>
      </c>
      <c r="E2825">
        <v>-70626134</v>
      </c>
      <c r="F2825">
        <v>-46952012</v>
      </c>
      <c r="G2825">
        <v>-44654351</v>
      </c>
      <c r="H2825">
        <v>-18111986</v>
      </c>
      <c r="I2825">
        <v>-16111938</v>
      </c>
      <c r="J2825">
        <v>-8855442</v>
      </c>
      <c r="K2825">
        <v>-47979945</v>
      </c>
      <c r="L2825">
        <v>-50923156</v>
      </c>
      <c r="M2825">
        <v>-25378996</v>
      </c>
      <c r="N2825">
        <v>-44427863</v>
      </c>
      <c r="O2825">
        <v>-13096234</v>
      </c>
      <c r="P2825">
        <v>57</v>
      </c>
      <c r="Q2825" t="s">
        <v>5697</v>
      </c>
    </row>
    <row r="2826" spans="1:17" x14ac:dyDescent="0.3">
      <c r="A2826" t="s">
        <v>17</v>
      </c>
      <c r="B2826" t="str">
        <f>"688168"</f>
        <v>688168</v>
      </c>
      <c r="C2826" t="s">
        <v>5698</v>
      </c>
      <c r="D2826" t="s">
        <v>342</v>
      </c>
      <c r="E2826">
        <v>-70839248</v>
      </c>
      <c r="F2826">
        <v>-6560402</v>
      </c>
      <c r="G2826">
        <v>-18524771</v>
      </c>
      <c r="H2826">
        <v>-9027044</v>
      </c>
      <c r="P2826">
        <v>144</v>
      </c>
      <c r="Q2826" t="s">
        <v>5699</v>
      </c>
    </row>
    <row r="2827" spans="1:17" x14ac:dyDescent="0.3">
      <c r="A2827" t="s">
        <v>32</v>
      </c>
      <c r="B2827" t="str">
        <f>"300017"</f>
        <v>300017</v>
      </c>
      <c r="C2827" t="s">
        <v>5700</v>
      </c>
      <c r="D2827" t="s">
        <v>342</v>
      </c>
      <c r="E2827">
        <v>-70897850</v>
      </c>
      <c r="F2827">
        <v>210527621</v>
      </c>
      <c r="G2827">
        <v>-50802051</v>
      </c>
      <c r="H2827">
        <v>-274263193</v>
      </c>
      <c r="I2827">
        <v>-66799950</v>
      </c>
      <c r="J2827">
        <v>-55490868</v>
      </c>
      <c r="K2827">
        <v>90006428</v>
      </c>
      <c r="L2827">
        <v>27364430</v>
      </c>
      <c r="M2827">
        <v>-32469355</v>
      </c>
      <c r="N2827">
        <v>11016286</v>
      </c>
      <c r="O2827">
        <v>-24585191</v>
      </c>
      <c r="P2827">
        <v>759</v>
      </c>
      <c r="Q2827" t="s">
        <v>5701</v>
      </c>
    </row>
    <row r="2828" spans="1:17" x14ac:dyDescent="0.3">
      <c r="A2828" t="s">
        <v>17</v>
      </c>
      <c r="B2828" t="str">
        <f>"688678"</f>
        <v>688678</v>
      </c>
      <c r="C2828" t="s">
        <v>5702</v>
      </c>
      <c r="D2828" t="s">
        <v>124</v>
      </c>
      <c r="E2828">
        <v>-70902891</v>
      </c>
      <c r="F2828">
        <v>-42468042</v>
      </c>
      <c r="G2828">
        <v>8735313</v>
      </c>
      <c r="H2828">
        <v>17510900</v>
      </c>
      <c r="P2828">
        <v>29</v>
      </c>
      <c r="Q2828" t="s">
        <v>5703</v>
      </c>
    </row>
    <row r="2829" spans="1:17" x14ac:dyDescent="0.3">
      <c r="A2829" t="s">
        <v>17</v>
      </c>
      <c r="B2829" t="str">
        <f>"688377"</f>
        <v>688377</v>
      </c>
      <c r="C2829" t="s">
        <v>5704</v>
      </c>
      <c r="D2829" t="s">
        <v>135</v>
      </c>
      <c r="E2829">
        <v>-71000900</v>
      </c>
      <c r="F2829">
        <v>-9460702</v>
      </c>
      <c r="G2829">
        <v>27970340</v>
      </c>
      <c r="H2829">
        <v>12678943</v>
      </c>
      <c r="P2829">
        <v>52</v>
      </c>
      <c r="Q2829" t="s">
        <v>5705</v>
      </c>
    </row>
    <row r="2830" spans="1:17" x14ac:dyDescent="0.3">
      <c r="A2830" t="s">
        <v>32</v>
      </c>
      <c r="B2830" t="str">
        <f>"000810"</f>
        <v>000810</v>
      </c>
      <c r="C2830" t="s">
        <v>5706</v>
      </c>
      <c r="D2830" t="s">
        <v>127</v>
      </c>
      <c r="E2830">
        <v>-71039636</v>
      </c>
      <c r="F2830">
        <v>-23797558</v>
      </c>
      <c r="G2830">
        <v>695836797</v>
      </c>
      <c r="H2830">
        <v>-505429387</v>
      </c>
      <c r="I2830">
        <v>-358298657</v>
      </c>
      <c r="J2830">
        <v>-399457707</v>
      </c>
      <c r="K2830">
        <v>-474996</v>
      </c>
      <c r="L2830">
        <v>-73433949</v>
      </c>
      <c r="M2830">
        <v>9121072</v>
      </c>
      <c r="N2830">
        <v>38046609</v>
      </c>
      <c r="O2830">
        <v>24659291</v>
      </c>
      <c r="P2830">
        <v>385</v>
      </c>
      <c r="Q2830" t="s">
        <v>5707</v>
      </c>
    </row>
    <row r="2831" spans="1:17" x14ac:dyDescent="0.3">
      <c r="A2831" t="s">
        <v>32</v>
      </c>
      <c r="B2831" t="str">
        <f>"002906"</f>
        <v>002906</v>
      </c>
      <c r="C2831" t="s">
        <v>5708</v>
      </c>
      <c r="D2831" t="s">
        <v>199</v>
      </c>
      <c r="E2831">
        <v>-71052308</v>
      </c>
      <c r="F2831">
        <v>-168549504</v>
      </c>
      <c r="G2831">
        <v>-62979021</v>
      </c>
      <c r="H2831">
        <v>-219627150</v>
      </c>
      <c r="I2831">
        <v>-262417511</v>
      </c>
      <c r="J2831">
        <v>-322560671</v>
      </c>
      <c r="P2831">
        <v>229</v>
      </c>
      <c r="Q2831" t="s">
        <v>5709</v>
      </c>
    </row>
    <row r="2832" spans="1:17" x14ac:dyDescent="0.3">
      <c r="A2832" t="s">
        <v>32</v>
      </c>
      <c r="B2832" t="str">
        <f>"002830"</f>
        <v>002830</v>
      </c>
      <c r="C2832" t="s">
        <v>5710</v>
      </c>
      <c r="D2832" t="s">
        <v>645</v>
      </c>
      <c r="E2832">
        <v>-71106911</v>
      </c>
      <c r="F2832">
        <v>-56522468</v>
      </c>
      <c r="G2832">
        <v>-109694413</v>
      </c>
      <c r="H2832">
        <v>-60337063</v>
      </c>
      <c r="I2832">
        <v>-57329026</v>
      </c>
      <c r="J2832">
        <v>-32959190</v>
      </c>
      <c r="K2832">
        <v>-57090019</v>
      </c>
      <c r="P2832">
        <v>78</v>
      </c>
      <c r="Q2832" t="s">
        <v>5711</v>
      </c>
    </row>
    <row r="2833" spans="1:17" x14ac:dyDescent="0.3">
      <c r="A2833" t="s">
        <v>32</v>
      </c>
      <c r="B2833" t="str">
        <f>"300510"</f>
        <v>300510</v>
      </c>
      <c r="C2833" t="s">
        <v>5712</v>
      </c>
      <c r="D2833" t="s">
        <v>464</v>
      </c>
      <c r="E2833">
        <v>-71190548</v>
      </c>
      <c r="F2833">
        <v>-48742648</v>
      </c>
      <c r="G2833">
        <v>-115048541</v>
      </c>
      <c r="H2833">
        <v>-140849953</v>
      </c>
      <c r="I2833">
        <v>-63254076</v>
      </c>
      <c r="J2833">
        <v>-57710512</v>
      </c>
      <c r="K2833">
        <v>1494228</v>
      </c>
      <c r="L2833">
        <v>-1257342</v>
      </c>
      <c r="P2833">
        <v>115</v>
      </c>
      <c r="Q2833" t="s">
        <v>5713</v>
      </c>
    </row>
    <row r="2834" spans="1:17" x14ac:dyDescent="0.3">
      <c r="A2834" t="s">
        <v>32</v>
      </c>
      <c r="B2834" t="str">
        <f>"002792"</f>
        <v>002792</v>
      </c>
      <c r="C2834" t="s">
        <v>5714</v>
      </c>
      <c r="D2834" t="s">
        <v>57</v>
      </c>
      <c r="E2834">
        <v>-71283365</v>
      </c>
      <c r="F2834">
        <v>64690077</v>
      </c>
      <c r="G2834">
        <v>77417611</v>
      </c>
      <c r="H2834">
        <v>-94581311</v>
      </c>
      <c r="I2834">
        <v>-151803123</v>
      </c>
      <c r="J2834">
        <v>-12001084</v>
      </c>
      <c r="K2834">
        <v>-124111261</v>
      </c>
      <c r="L2834">
        <v>29799948</v>
      </c>
      <c r="P2834">
        <v>343</v>
      </c>
      <c r="Q2834" t="s">
        <v>5715</v>
      </c>
    </row>
    <row r="2835" spans="1:17" x14ac:dyDescent="0.3">
      <c r="A2835" t="s">
        <v>32</v>
      </c>
      <c r="B2835" t="str">
        <f>"300790"</f>
        <v>300790</v>
      </c>
      <c r="C2835" t="s">
        <v>5716</v>
      </c>
      <c r="D2835" t="s">
        <v>342</v>
      </c>
      <c r="E2835">
        <v>-71341028</v>
      </c>
      <c r="F2835">
        <v>-53237577</v>
      </c>
      <c r="G2835">
        <v>-101738747</v>
      </c>
      <c r="H2835">
        <v>-6016077</v>
      </c>
      <c r="P2835">
        <v>159</v>
      </c>
      <c r="Q2835" t="s">
        <v>5717</v>
      </c>
    </row>
    <row r="2836" spans="1:17" x14ac:dyDescent="0.3">
      <c r="A2836" t="s">
        <v>17</v>
      </c>
      <c r="B2836" t="str">
        <f>"603258"</f>
        <v>603258</v>
      </c>
      <c r="C2836" t="s">
        <v>5718</v>
      </c>
      <c r="D2836" t="s">
        <v>245</v>
      </c>
      <c r="E2836">
        <v>-71343784</v>
      </c>
      <c r="F2836">
        <v>53753329</v>
      </c>
      <c r="G2836">
        <v>128619844</v>
      </c>
      <c r="H2836">
        <v>6458817</v>
      </c>
      <c r="I2836">
        <v>-65208141</v>
      </c>
      <c r="J2836">
        <v>711073</v>
      </c>
      <c r="K2836">
        <v>68734499</v>
      </c>
      <c r="P2836">
        <v>770</v>
      </c>
      <c r="Q2836" t="s">
        <v>5719</v>
      </c>
    </row>
    <row r="2837" spans="1:17" x14ac:dyDescent="0.3">
      <c r="A2837" t="s">
        <v>32</v>
      </c>
      <c r="B2837" t="str">
        <f>"300010"</f>
        <v>300010</v>
      </c>
      <c r="C2837" t="s">
        <v>5720</v>
      </c>
      <c r="D2837" t="s">
        <v>497</v>
      </c>
      <c r="E2837">
        <v>-71424289</v>
      </c>
      <c r="F2837">
        <v>-21953174</v>
      </c>
      <c r="G2837">
        <v>-280590007</v>
      </c>
      <c r="H2837">
        <v>-77362578</v>
      </c>
      <c r="I2837">
        <v>-251860496</v>
      </c>
      <c r="J2837">
        <v>-291429127</v>
      </c>
      <c r="K2837">
        <v>-75742710</v>
      </c>
      <c r="L2837">
        <v>-87279097</v>
      </c>
      <c r="M2837">
        <v>-51105643</v>
      </c>
      <c r="N2837">
        <v>-38317274</v>
      </c>
      <c r="O2837">
        <v>-68061899</v>
      </c>
      <c r="P2837">
        <v>262</v>
      </c>
      <c r="Q2837" t="s">
        <v>5721</v>
      </c>
    </row>
    <row r="2838" spans="1:17" x14ac:dyDescent="0.3">
      <c r="A2838" t="s">
        <v>17</v>
      </c>
      <c r="B2838" t="str">
        <f>"688227"</f>
        <v>688227</v>
      </c>
      <c r="C2838" t="s">
        <v>5722</v>
      </c>
      <c r="D2838" t="s">
        <v>342</v>
      </c>
      <c r="E2838">
        <v>-71438082</v>
      </c>
      <c r="P2838">
        <v>13</v>
      </c>
      <c r="Q2838" t="s">
        <v>5723</v>
      </c>
    </row>
    <row r="2839" spans="1:17" x14ac:dyDescent="0.3">
      <c r="A2839" t="s">
        <v>17</v>
      </c>
      <c r="B2839" t="str">
        <f>"688636"</f>
        <v>688636</v>
      </c>
      <c r="C2839" t="s">
        <v>5724</v>
      </c>
      <c r="D2839" t="s">
        <v>188</v>
      </c>
      <c r="E2839">
        <v>-71444833</v>
      </c>
      <c r="F2839">
        <v>-61537652</v>
      </c>
      <c r="G2839">
        <v>-46631219</v>
      </c>
      <c r="P2839">
        <v>32</v>
      </c>
      <c r="Q2839" t="s">
        <v>5725</v>
      </c>
    </row>
    <row r="2840" spans="1:17" x14ac:dyDescent="0.3">
      <c r="A2840" t="s">
        <v>32</v>
      </c>
      <c r="B2840" t="str">
        <f>"300946"</f>
        <v>300946</v>
      </c>
      <c r="C2840" t="s">
        <v>5726</v>
      </c>
      <c r="D2840" t="s">
        <v>135</v>
      </c>
      <c r="E2840">
        <v>-71515282</v>
      </c>
      <c r="F2840">
        <v>-36888108</v>
      </c>
      <c r="G2840">
        <v>-55622991</v>
      </c>
      <c r="P2840">
        <v>75</v>
      </c>
      <c r="Q2840" t="s">
        <v>5727</v>
      </c>
    </row>
    <row r="2841" spans="1:17" x14ac:dyDescent="0.3">
      <c r="A2841" t="s">
        <v>32</v>
      </c>
      <c r="B2841" t="str">
        <f>"300213"</f>
        <v>300213</v>
      </c>
      <c r="C2841" t="s">
        <v>5728</v>
      </c>
      <c r="D2841" t="s">
        <v>57</v>
      </c>
      <c r="E2841">
        <v>-71707770</v>
      </c>
      <c r="F2841">
        <v>-19404275</v>
      </c>
      <c r="G2841">
        <v>-88970363</v>
      </c>
      <c r="H2841">
        <v>-68305817</v>
      </c>
      <c r="I2841">
        <v>-107217813</v>
      </c>
      <c r="J2841">
        <v>-91644994</v>
      </c>
      <c r="K2841">
        <v>-73383153</v>
      </c>
      <c r="L2841">
        <v>-59991988</v>
      </c>
      <c r="M2841">
        <v>-56369976</v>
      </c>
      <c r="N2841">
        <v>-88881171</v>
      </c>
      <c r="O2841">
        <v>-40370224</v>
      </c>
      <c r="P2841">
        <v>188</v>
      </c>
      <c r="Q2841" t="s">
        <v>5729</v>
      </c>
    </row>
    <row r="2842" spans="1:17" x14ac:dyDescent="0.3">
      <c r="A2842" t="s">
        <v>32</v>
      </c>
      <c r="B2842" t="str">
        <f>"300054"</f>
        <v>300054</v>
      </c>
      <c r="C2842" t="s">
        <v>5730</v>
      </c>
      <c r="D2842" t="s">
        <v>124</v>
      </c>
      <c r="E2842">
        <v>-71715999</v>
      </c>
      <c r="F2842">
        <v>-113850583</v>
      </c>
      <c r="G2842">
        <v>6067477</v>
      </c>
      <c r="H2842">
        <v>-7347767</v>
      </c>
      <c r="I2842">
        <v>-22628200</v>
      </c>
      <c r="J2842">
        <v>29935226</v>
      </c>
      <c r="K2842">
        <v>52161176</v>
      </c>
      <c r="L2842">
        <v>29323708</v>
      </c>
      <c r="M2842">
        <v>24879607</v>
      </c>
      <c r="N2842">
        <v>9370425</v>
      </c>
      <c r="O2842">
        <v>3690095</v>
      </c>
      <c r="P2842">
        <v>368</v>
      </c>
      <c r="Q2842" t="s">
        <v>5731</v>
      </c>
    </row>
    <row r="2843" spans="1:17" x14ac:dyDescent="0.3">
      <c r="A2843" t="s">
        <v>32</v>
      </c>
      <c r="B2843" t="str">
        <f>"002379"</f>
        <v>002379</v>
      </c>
      <c r="C2843" t="s">
        <v>5732</v>
      </c>
      <c r="D2843" t="s">
        <v>121</v>
      </c>
      <c r="E2843">
        <v>-71769926</v>
      </c>
      <c r="F2843">
        <v>30165992</v>
      </c>
      <c r="G2843">
        <v>32585171</v>
      </c>
      <c r="H2843">
        <v>28900059</v>
      </c>
      <c r="I2843">
        <v>-55133596</v>
      </c>
      <c r="J2843">
        <v>25036907</v>
      </c>
      <c r="K2843">
        <v>23419126</v>
      </c>
      <c r="L2843">
        <v>8762215</v>
      </c>
      <c r="M2843">
        <v>-13709721</v>
      </c>
      <c r="N2843">
        <v>10944744</v>
      </c>
      <c r="O2843">
        <v>-45918048</v>
      </c>
      <c r="P2843">
        <v>88</v>
      </c>
      <c r="Q2843" t="s">
        <v>5733</v>
      </c>
    </row>
    <row r="2844" spans="1:17" x14ac:dyDescent="0.3">
      <c r="A2844" t="s">
        <v>17</v>
      </c>
      <c r="B2844" t="str">
        <f>"605018"</f>
        <v>605018</v>
      </c>
      <c r="C2844" t="s">
        <v>5734</v>
      </c>
      <c r="D2844" t="s">
        <v>199</v>
      </c>
      <c r="E2844">
        <v>-71782745</v>
      </c>
      <c r="F2844">
        <v>-124883742</v>
      </c>
      <c r="G2844">
        <v>60363138</v>
      </c>
      <c r="P2844">
        <v>48</v>
      </c>
      <c r="Q2844" t="s">
        <v>5735</v>
      </c>
    </row>
    <row r="2845" spans="1:17" x14ac:dyDescent="0.3">
      <c r="A2845" t="s">
        <v>17</v>
      </c>
      <c r="B2845" t="str">
        <f>"600642"</f>
        <v>600642</v>
      </c>
      <c r="C2845" t="s">
        <v>5736</v>
      </c>
      <c r="D2845" t="s">
        <v>158</v>
      </c>
      <c r="E2845">
        <v>-71876172</v>
      </c>
      <c r="F2845">
        <v>-513384890</v>
      </c>
      <c r="G2845">
        <v>861041997</v>
      </c>
      <c r="H2845">
        <v>1158766460</v>
      </c>
      <c r="I2845">
        <v>-644698858</v>
      </c>
      <c r="J2845">
        <v>568828922</v>
      </c>
      <c r="K2845">
        <v>242616680</v>
      </c>
      <c r="L2845">
        <v>1071379388</v>
      </c>
      <c r="M2845">
        <v>1712084634</v>
      </c>
      <c r="N2845">
        <v>1025676811</v>
      </c>
      <c r="O2845">
        <v>1277295962</v>
      </c>
      <c r="P2845">
        <v>458</v>
      </c>
      <c r="Q2845" t="s">
        <v>5737</v>
      </c>
    </row>
    <row r="2846" spans="1:17" x14ac:dyDescent="0.3">
      <c r="A2846" t="s">
        <v>32</v>
      </c>
      <c r="B2846" t="str">
        <f>"300101"</f>
        <v>300101</v>
      </c>
      <c r="C2846" t="s">
        <v>5738</v>
      </c>
      <c r="D2846" t="s">
        <v>188</v>
      </c>
      <c r="E2846">
        <v>-71878070</v>
      </c>
      <c r="F2846">
        <v>-76562364</v>
      </c>
      <c r="G2846">
        <v>-37811798</v>
      </c>
      <c r="H2846">
        <v>-42207162</v>
      </c>
      <c r="I2846">
        <v>78786054</v>
      </c>
      <c r="J2846">
        <v>-65528838</v>
      </c>
      <c r="K2846">
        <v>-112418391</v>
      </c>
      <c r="L2846">
        <v>-95035740</v>
      </c>
      <c r="M2846">
        <v>-87964080</v>
      </c>
      <c r="N2846">
        <v>-39049941</v>
      </c>
      <c r="O2846">
        <v>-112704138</v>
      </c>
      <c r="P2846">
        <v>3121</v>
      </c>
      <c r="Q2846" t="s">
        <v>5739</v>
      </c>
    </row>
    <row r="2847" spans="1:17" x14ac:dyDescent="0.3">
      <c r="A2847" t="s">
        <v>17</v>
      </c>
      <c r="B2847" t="str">
        <f>"601003"</f>
        <v>601003</v>
      </c>
      <c r="C2847" t="s">
        <v>5740</v>
      </c>
      <c r="D2847" t="s">
        <v>163</v>
      </c>
      <c r="E2847">
        <v>-71927178</v>
      </c>
      <c r="F2847">
        <v>-2646940457</v>
      </c>
      <c r="G2847">
        <v>-391021109</v>
      </c>
      <c r="H2847">
        <v>1392127074</v>
      </c>
      <c r="I2847">
        <v>1284065179</v>
      </c>
      <c r="J2847">
        <v>-666730700</v>
      </c>
      <c r="K2847">
        <v>487768045</v>
      </c>
      <c r="L2847">
        <v>-1304319321</v>
      </c>
      <c r="M2847">
        <v>-11038457</v>
      </c>
      <c r="N2847">
        <v>1846251433</v>
      </c>
      <c r="O2847">
        <v>-3057369449</v>
      </c>
      <c r="P2847">
        <v>1021</v>
      </c>
      <c r="Q2847" t="s">
        <v>5741</v>
      </c>
    </row>
    <row r="2848" spans="1:17" x14ac:dyDescent="0.3">
      <c r="A2848" t="s">
        <v>17</v>
      </c>
      <c r="B2848" t="str">
        <f>"600217"</f>
        <v>600217</v>
      </c>
      <c r="C2848" t="s">
        <v>5742</v>
      </c>
      <c r="D2848" t="s">
        <v>1334</v>
      </c>
      <c r="E2848">
        <v>-71959410</v>
      </c>
      <c r="F2848">
        <v>114009843</v>
      </c>
      <c r="G2848">
        <v>63885384</v>
      </c>
      <c r="H2848">
        <v>-110628550</v>
      </c>
      <c r="I2848">
        <v>479072338</v>
      </c>
      <c r="J2848">
        <v>-265943670</v>
      </c>
      <c r="K2848">
        <v>-180001551</v>
      </c>
      <c r="L2848">
        <v>4137425</v>
      </c>
      <c r="M2848">
        <v>34383898</v>
      </c>
      <c r="N2848">
        <v>-117070</v>
      </c>
      <c r="O2848">
        <v>-93501021</v>
      </c>
      <c r="P2848">
        <v>439</v>
      </c>
      <c r="Q2848" t="s">
        <v>5743</v>
      </c>
    </row>
    <row r="2849" spans="1:17" x14ac:dyDescent="0.3">
      <c r="A2849" t="s">
        <v>32</v>
      </c>
      <c r="B2849" t="str">
        <f>"002108"</f>
        <v>002108</v>
      </c>
      <c r="C2849" t="s">
        <v>5744</v>
      </c>
      <c r="D2849" t="s">
        <v>144</v>
      </c>
      <c r="E2849">
        <v>-72033746</v>
      </c>
      <c r="F2849">
        <v>-25596408</v>
      </c>
      <c r="G2849">
        <v>22240844</v>
      </c>
      <c r="H2849">
        <v>9370236</v>
      </c>
      <c r="I2849">
        <v>-119715592</v>
      </c>
      <c r="J2849">
        <v>-142422785</v>
      </c>
      <c r="K2849">
        <v>-28946390</v>
      </c>
      <c r="L2849">
        <v>-67499290</v>
      </c>
      <c r="M2849">
        <v>-13018081</v>
      </c>
      <c r="N2849">
        <v>-73352490</v>
      </c>
      <c r="O2849">
        <v>-77259293</v>
      </c>
      <c r="P2849">
        <v>345</v>
      </c>
      <c r="Q2849" t="s">
        <v>5745</v>
      </c>
    </row>
    <row r="2850" spans="1:17" x14ac:dyDescent="0.3">
      <c r="A2850" t="s">
        <v>32</v>
      </c>
      <c r="B2850" t="str">
        <f>"300719"</f>
        <v>300719</v>
      </c>
      <c r="C2850" t="s">
        <v>5746</v>
      </c>
      <c r="D2850" t="s">
        <v>188</v>
      </c>
      <c r="E2850">
        <v>-72106443</v>
      </c>
      <c r="F2850">
        <v>-18314804</v>
      </c>
      <c r="G2850">
        <v>-47180326</v>
      </c>
      <c r="H2850">
        <v>104036132</v>
      </c>
      <c r="I2850">
        <v>-10636055</v>
      </c>
      <c r="J2850">
        <v>-89452281</v>
      </c>
      <c r="P2850">
        <v>93</v>
      </c>
      <c r="Q2850" t="s">
        <v>5747</v>
      </c>
    </row>
    <row r="2851" spans="1:17" x14ac:dyDescent="0.3">
      <c r="A2851" t="s">
        <v>32</v>
      </c>
      <c r="B2851" t="str">
        <f>"002298"</f>
        <v>002298</v>
      </c>
      <c r="C2851" t="s">
        <v>5748</v>
      </c>
      <c r="D2851" t="s">
        <v>342</v>
      </c>
      <c r="E2851">
        <v>-72293082</v>
      </c>
      <c r="F2851">
        <v>-86787953</v>
      </c>
      <c r="G2851">
        <v>-28766719</v>
      </c>
      <c r="H2851">
        <v>-181566484</v>
      </c>
      <c r="I2851">
        <v>-162348086</v>
      </c>
      <c r="J2851">
        <v>-41497937</v>
      </c>
      <c r="K2851">
        <v>-46757170</v>
      </c>
      <c r="L2851">
        <v>37096837</v>
      </c>
      <c r="M2851">
        <v>-73125768</v>
      </c>
      <c r="N2851">
        <v>-30497581</v>
      </c>
      <c r="O2851">
        <v>40004849</v>
      </c>
      <c r="P2851">
        <v>182</v>
      </c>
      <c r="Q2851" t="s">
        <v>5749</v>
      </c>
    </row>
    <row r="2852" spans="1:17" x14ac:dyDescent="0.3">
      <c r="A2852" t="s">
        <v>17</v>
      </c>
      <c r="B2852" t="str">
        <f>"603566"</f>
        <v>603566</v>
      </c>
      <c r="C2852" t="s">
        <v>5750</v>
      </c>
      <c r="D2852" t="s">
        <v>175</v>
      </c>
      <c r="E2852">
        <v>-72313808</v>
      </c>
      <c r="F2852">
        <v>-48746585</v>
      </c>
      <c r="G2852">
        <v>-25788465</v>
      </c>
      <c r="H2852">
        <v>-65942231</v>
      </c>
      <c r="I2852">
        <v>-28070766</v>
      </c>
      <c r="J2852">
        <v>-26900118</v>
      </c>
      <c r="K2852">
        <v>13760417</v>
      </c>
      <c r="L2852">
        <v>22124362</v>
      </c>
      <c r="M2852">
        <v>-6006739</v>
      </c>
      <c r="P2852">
        <v>233</v>
      </c>
      <c r="Q2852" t="s">
        <v>5751</v>
      </c>
    </row>
    <row r="2853" spans="1:17" x14ac:dyDescent="0.3">
      <c r="A2853" t="s">
        <v>32</v>
      </c>
      <c r="B2853" t="str">
        <f>"300940"</f>
        <v>300940</v>
      </c>
      <c r="C2853" t="s">
        <v>5752</v>
      </c>
      <c r="D2853" t="s">
        <v>124</v>
      </c>
      <c r="E2853">
        <v>-72348042</v>
      </c>
      <c r="F2853">
        <v>-63533325</v>
      </c>
      <c r="G2853">
        <v>-23039838</v>
      </c>
      <c r="P2853">
        <v>39</v>
      </c>
      <c r="Q2853" t="s">
        <v>5753</v>
      </c>
    </row>
    <row r="2854" spans="1:17" x14ac:dyDescent="0.3">
      <c r="A2854" t="s">
        <v>32</v>
      </c>
      <c r="B2854" t="str">
        <f>"300981"</f>
        <v>300981</v>
      </c>
      <c r="C2854" t="s">
        <v>5754</v>
      </c>
      <c r="D2854" t="s">
        <v>98</v>
      </c>
      <c r="E2854">
        <v>-72495421</v>
      </c>
      <c r="F2854">
        <v>556895270</v>
      </c>
      <c r="G2854">
        <v>83096701</v>
      </c>
      <c r="P2854">
        <v>127</v>
      </c>
      <c r="Q2854" t="s">
        <v>5755</v>
      </c>
    </row>
    <row r="2855" spans="1:17" x14ac:dyDescent="0.3">
      <c r="A2855" t="s">
        <v>17</v>
      </c>
      <c r="B2855" t="str">
        <f>"688176"</f>
        <v>688176</v>
      </c>
      <c r="C2855" t="s">
        <v>5756</v>
      </c>
      <c r="D2855" t="s">
        <v>98</v>
      </c>
      <c r="E2855">
        <v>-72622881</v>
      </c>
      <c r="P2855">
        <v>9</v>
      </c>
      <c r="Q2855" t="s">
        <v>5757</v>
      </c>
    </row>
    <row r="2856" spans="1:17" x14ac:dyDescent="0.3">
      <c r="A2856" t="s">
        <v>17</v>
      </c>
      <c r="B2856" t="str">
        <f>"603595"</f>
        <v>603595</v>
      </c>
      <c r="C2856" t="s">
        <v>5758</v>
      </c>
      <c r="D2856" t="s">
        <v>124</v>
      </c>
      <c r="E2856">
        <v>-72839103</v>
      </c>
      <c r="F2856">
        <v>-44622770</v>
      </c>
      <c r="G2856">
        <v>52255416</v>
      </c>
      <c r="H2856">
        <v>-29873647</v>
      </c>
      <c r="I2856">
        <v>-160529490</v>
      </c>
      <c r="J2856">
        <v>-3251819</v>
      </c>
      <c r="K2856">
        <v>24000742</v>
      </c>
      <c r="P2856">
        <v>184</v>
      </c>
      <c r="Q2856" t="s">
        <v>5759</v>
      </c>
    </row>
    <row r="2857" spans="1:17" x14ac:dyDescent="0.3">
      <c r="A2857" t="s">
        <v>32</v>
      </c>
      <c r="B2857" t="str">
        <f>"300620"</f>
        <v>300620</v>
      </c>
      <c r="C2857" t="s">
        <v>5760</v>
      </c>
      <c r="D2857" t="s">
        <v>57</v>
      </c>
      <c r="E2857">
        <v>-72923523</v>
      </c>
      <c r="F2857">
        <v>-19410642</v>
      </c>
      <c r="G2857">
        <v>-103968916</v>
      </c>
      <c r="H2857">
        <v>-9619422</v>
      </c>
      <c r="I2857">
        <v>-1648355</v>
      </c>
      <c r="J2857">
        <v>3849562</v>
      </c>
      <c r="K2857">
        <v>4920146</v>
      </c>
      <c r="P2857">
        <v>246</v>
      </c>
      <c r="Q2857" t="s">
        <v>5761</v>
      </c>
    </row>
    <row r="2858" spans="1:17" x14ac:dyDescent="0.3">
      <c r="A2858" t="s">
        <v>32</v>
      </c>
      <c r="B2858" t="str">
        <f>"300505"</f>
        <v>300505</v>
      </c>
      <c r="C2858" t="s">
        <v>5762</v>
      </c>
      <c r="D2858" t="s">
        <v>144</v>
      </c>
      <c r="E2858">
        <v>-72952693</v>
      </c>
      <c r="F2858">
        <v>-157225585</v>
      </c>
      <c r="G2858">
        <v>-98622737</v>
      </c>
      <c r="H2858">
        <v>-27899072</v>
      </c>
      <c r="I2858">
        <v>-95532730</v>
      </c>
      <c r="J2858">
        <v>-62994215</v>
      </c>
      <c r="K2858">
        <v>-28434694</v>
      </c>
      <c r="L2858">
        <v>-18807104</v>
      </c>
      <c r="P2858">
        <v>98</v>
      </c>
      <c r="Q2858" t="s">
        <v>5763</v>
      </c>
    </row>
    <row r="2859" spans="1:17" x14ac:dyDescent="0.3">
      <c r="A2859" t="s">
        <v>32</v>
      </c>
      <c r="B2859" t="str">
        <f>"002862"</f>
        <v>002862</v>
      </c>
      <c r="C2859" t="s">
        <v>5764</v>
      </c>
      <c r="D2859" t="s">
        <v>455</v>
      </c>
      <c r="E2859">
        <v>-73008306</v>
      </c>
      <c r="F2859">
        <v>-51322212</v>
      </c>
      <c r="G2859">
        <v>-39679703</v>
      </c>
      <c r="H2859">
        <v>-32195321</v>
      </c>
      <c r="I2859">
        <v>-30700164</v>
      </c>
      <c r="J2859">
        <v>-26306136</v>
      </c>
      <c r="K2859">
        <v>-57307397</v>
      </c>
      <c r="P2859">
        <v>66</v>
      </c>
      <c r="Q2859" t="s">
        <v>5765</v>
      </c>
    </row>
    <row r="2860" spans="1:17" x14ac:dyDescent="0.3">
      <c r="A2860" t="s">
        <v>17</v>
      </c>
      <c r="B2860" t="str">
        <f>"603042"</f>
        <v>603042</v>
      </c>
      <c r="C2860" t="s">
        <v>5766</v>
      </c>
      <c r="D2860" t="s">
        <v>57</v>
      </c>
      <c r="E2860">
        <v>-73038134</v>
      </c>
      <c r="F2860">
        <v>-80887418</v>
      </c>
      <c r="G2860">
        <v>-224531732</v>
      </c>
      <c r="H2860">
        <v>-213650040</v>
      </c>
      <c r="I2860">
        <v>-144679448</v>
      </c>
      <c r="J2860">
        <v>-94154804</v>
      </c>
      <c r="K2860">
        <v>-28241800</v>
      </c>
      <c r="P2860">
        <v>122</v>
      </c>
      <c r="Q2860" t="s">
        <v>5767</v>
      </c>
    </row>
    <row r="2861" spans="1:17" x14ac:dyDescent="0.3">
      <c r="A2861" t="s">
        <v>32</v>
      </c>
      <c r="B2861" t="str">
        <f>"002333"</f>
        <v>002333</v>
      </c>
      <c r="C2861" t="s">
        <v>5768</v>
      </c>
      <c r="D2861" t="s">
        <v>400</v>
      </c>
      <c r="E2861">
        <v>-73436825</v>
      </c>
      <c r="F2861">
        <v>-48300050</v>
      </c>
      <c r="G2861">
        <v>-9194535</v>
      </c>
      <c r="H2861">
        <v>-9489118</v>
      </c>
      <c r="I2861">
        <v>-50553431</v>
      </c>
      <c r="J2861">
        <v>-84643812</v>
      </c>
      <c r="K2861">
        <v>-59237378</v>
      </c>
      <c r="L2861">
        <v>-119345443</v>
      </c>
      <c r="M2861">
        <v>-19856346</v>
      </c>
      <c r="N2861">
        <v>-36308172</v>
      </c>
      <c r="O2861">
        <v>-91720554</v>
      </c>
      <c r="P2861">
        <v>59</v>
      </c>
      <c r="Q2861" t="s">
        <v>5769</v>
      </c>
    </row>
    <row r="2862" spans="1:17" x14ac:dyDescent="0.3">
      <c r="A2862" t="s">
        <v>32</v>
      </c>
      <c r="B2862" t="str">
        <f>"000529"</f>
        <v>000529</v>
      </c>
      <c r="C2862" t="s">
        <v>5770</v>
      </c>
      <c r="D2862" t="s">
        <v>245</v>
      </c>
      <c r="E2862">
        <v>-73630274</v>
      </c>
      <c r="F2862">
        <v>-131201272</v>
      </c>
      <c r="G2862">
        <v>-28491636</v>
      </c>
      <c r="H2862">
        <v>-74726070</v>
      </c>
      <c r="I2862">
        <v>-85743702</v>
      </c>
      <c r="J2862">
        <v>134286107</v>
      </c>
      <c r="K2862">
        <v>67168782</v>
      </c>
      <c r="L2862">
        <v>-45862655</v>
      </c>
      <c r="M2862">
        <v>-65983490</v>
      </c>
      <c r="N2862">
        <v>-102659554</v>
      </c>
      <c r="O2862">
        <v>-85249641</v>
      </c>
      <c r="P2862">
        <v>299</v>
      </c>
      <c r="Q2862" t="s">
        <v>5771</v>
      </c>
    </row>
    <row r="2863" spans="1:17" x14ac:dyDescent="0.3">
      <c r="A2863" t="s">
        <v>17</v>
      </c>
      <c r="B2863" t="str">
        <f>"688319"</f>
        <v>688319</v>
      </c>
      <c r="C2863" t="s">
        <v>5772</v>
      </c>
      <c r="D2863" t="s">
        <v>98</v>
      </c>
      <c r="E2863">
        <v>-73659452</v>
      </c>
      <c r="F2863">
        <v>-35263275</v>
      </c>
      <c r="G2863">
        <v>-26746796</v>
      </c>
      <c r="P2863">
        <v>46</v>
      </c>
      <c r="Q2863" t="s">
        <v>5773</v>
      </c>
    </row>
    <row r="2864" spans="1:17" x14ac:dyDescent="0.3">
      <c r="A2864" t="s">
        <v>32</v>
      </c>
      <c r="B2864" t="str">
        <f>"300890"</f>
        <v>300890</v>
      </c>
      <c r="C2864" t="s">
        <v>5774</v>
      </c>
      <c r="D2864" t="s">
        <v>464</v>
      </c>
      <c r="E2864">
        <v>-73706085</v>
      </c>
      <c r="F2864">
        <v>-4070868</v>
      </c>
      <c r="G2864">
        <v>-52499058</v>
      </c>
      <c r="J2864">
        <v>-5247370</v>
      </c>
      <c r="P2864">
        <v>63</v>
      </c>
      <c r="Q2864" t="s">
        <v>5775</v>
      </c>
    </row>
    <row r="2865" spans="1:17" x14ac:dyDescent="0.3">
      <c r="A2865" t="s">
        <v>32</v>
      </c>
      <c r="B2865" t="str">
        <f>"300379"</f>
        <v>300379</v>
      </c>
      <c r="C2865" t="s">
        <v>5776</v>
      </c>
      <c r="D2865" t="s">
        <v>342</v>
      </c>
      <c r="E2865">
        <v>-73751131</v>
      </c>
      <c r="F2865">
        <v>-36627294</v>
      </c>
      <c r="G2865">
        <v>-36888038</v>
      </c>
      <c r="H2865">
        <v>-63367825</v>
      </c>
      <c r="I2865">
        <v>-23517730</v>
      </c>
      <c r="J2865">
        <v>-21790616</v>
      </c>
      <c r="K2865">
        <v>8412601</v>
      </c>
      <c r="L2865">
        <v>4937650</v>
      </c>
      <c r="M2865">
        <v>-24580690</v>
      </c>
      <c r="N2865">
        <v>-12667200</v>
      </c>
      <c r="P2865">
        <v>396</v>
      </c>
      <c r="Q2865" t="s">
        <v>5777</v>
      </c>
    </row>
    <row r="2866" spans="1:17" x14ac:dyDescent="0.3">
      <c r="A2866" t="s">
        <v>32</v>
      </c>
      <c r="B2866" t="str">
        <f>"002919"</f>
        <v>002919</v>
      </c>
      <c r="C2866" t="s">
        <v>5778</v>
      </c>
      <c r="D2866" t="s">
        <v>544</v>
      </c>
      <c r="E2866">
        <v>-73964706</v>
      </c>
      <c r="F2866">
        <v>-36912506</v>
      </c>
      <c r="G2866">
        <v>-49452735</v>
      </c>
      <c r="H2866">
        <v>-74494588</v>
      </c>
      <c r="I2866">
        <v>-60104653</v>
      </c>
      <c r="J2866">
        <v>-90917306</v>
      </c>
      <c r="P2866">
        <v>146</v>
      </c>
      <c r="Q2866" t="s">
        <v>5779</v>
      </c>
    </row>
    <row r="2867" spans="1:17" x14ac:dyDescent="0.3">
      <c r="A2867" t="s">
        <v>17</v>
      </c>
      <c r="B2867" t="str">
        <f>"600468"</f>
        <v>600468</v>
      </c>
      <c r="C2867" t="s">
        <v>5780</v>
      </c>
      <c r="D2867" t="s">
        <v>464</v>
      </c>
      <c r="E2867">
        <v>-74033891</v>
      </c>
      <c r="F2867">
        <v>-59590924</v>
      </c>
      <c r="G2867">
        <v>-46388257</v>
      </c>
      <c r="H2867">
        <v>-41430698</v>
      </c>
      <c r="I2867">
        <v>-85036307</v>
      </c>
      <c r="J2867">
        <v>-100974492</v>
      </c>
      <c r="K2867">
        <v>6790840</v>
      </c>
      <c r="L2867">
        <v>-11694900</v>
      </c>
      <c r="M2867">
        <v>-11232657</v>
      </c>
      <c r="N2867">
        <v>-14920916</v>
      </c>
      <c r="O2867">
        <v>6825436</v>
      </c>
      <c r="P2867">
        <v>89</v>
      </c>
      <c r="Q2867" t="s">
        <v>5781</v>
      </c>
    </row>
    <row r="2868" spans="1:17" x14ac:dyDescent="0.3">
      <c r="A2868" t="s">
        <v>17</v>
      </c>
      <c r="B2868" t="str">
        <f>"600628"</f>
        <v>600628</v>
      </c>
      <c r="C2868" t="s">
        <v>5782</v>
      </c>
      <c r="D2868" t="s">
        <v>218</v>
      </c>
      <c r="E2868">
        <v>-74042003</v>
      </c>
      <c r="F2868">
        <v>-113832065</v>
      </c>
      <c r="G2868">
        <v>-182402018</v>
      </c>
      <c r="H2868">
        <v>-400519959</v>
      </c>
      <c r="I2868">
        <v>140211263</v>
      </c>
      <c r="J2868">
        <v>13233314</v>
      </c>
      <c r="K2868">
        <v>87885591</v>
      </c>
      <c r="L2868">
        <v>112660638</v>
      </c>
      <c r="M2868">
        <v>71425737</v>
      </c>
      <c r="N2868">
        <v>77182904</v>
      </c>
      <c r="O2868">
        <v>48135918</v>
      </c>
      <c r="P2868">
        <v>112</v>
      </c>
      <c r="Q2868" t="s">
        <v>5783</v>
      </c>
    </row>
    <row r="2869" spans="1:17" x14ac:dyDescent="0.3">
      <c r="A2869" t="s">
        <v>32</v>
      </c>
      <c r="B2869" t="str">
        <f>"300751"</f>
        <v>300751</v>
      </c>
      <c r="C2869" t="s">
        <v>5784</v>
      </c>
      <c r="D2869" t="s">
        <v>464</v>
      </c>
      <c r="E2869">
        <v>-74068723</v>
      </c>
      <c r="F2869">
        <v>63446100</v>
      </c>
      <c r="G2869">
        <v>-59843622</v>
      </c>
      <c r="H2869">
        <v>7909711</v>
      </c>
      <c r="I2869">
        <v>-68893954</v>
      </c>
      <c r="P2869">
        <v>629</v>
      </c>
      <c r="Q2869" t="s">
        <v>5785</v>
      </c>
    </row>
    <row r="2870" spans="1:17" x14ac:dyDescent="0.3">
      <c r="A2870" t="s">
        <v>32</v>
      </c>
      <c r="B2870" t="str">
        <f>"301129"</f>
        <v>301129</v>
      </c>
      <c r="C2870" t="s">
        <v>5786</v>
      </c>
      <c r="D2870" t="s">
        <v>135</v>
      </c>
      <c r="E2870">
        <v>-74146512</v>
      </c>
      <c r="P2870">
        <v>22</v>
      </c>
      <c r="Q2870" t="s">
        <v>5787</v>
      </c>
    </row>
    <row r="2871" spans="1:17" x14ac:dyDescent="0.3">
      <c r="A2871" t="s">
        <v>32</v>
      </c>
      <c r="B2871" t="str">
        <f>"301188"</f>
        <v>301188</v>
      </c>
      <c r="C2871" t="s">
        <v>5788</v>
      </c>
      <c r="D2871" t="s">
        <v>455</v>
      </c>
      <c r="E2871">
        <v>-74188213</v>
      </c>
      <c r="P2871">
        <v>18</v>
      </c>
      <c r="Q2871" t="s">
        <v>5789</v>
      </c>
    </row>
    <row r="2872" spans="1:17" x14ac:dyDescent="0.3">
      <c r="A2872" t="s">
        <v>32</v>
      </c>
      <c r="B2872" t="str">
        <f>"002011"</f>
        <v>002011</v>
      </c>
      <c r="C2872" t="s">
        <v>5790</v>
      </c>
      <c r="D2872" t="s">
        <v>127</v>
      </c>
      <c r="E2872">
        <v>-74325861</v>
      </c>
      <c r="F2872">
        <v>-109176313</v>
      </c>
      <c r="G2872">
        <v>-59261304</v>
      </c>
      <c r="H2872">
        <v>154511354</v>
      </c>
      <c r="I2872">
        <v>-166720190</v>
      </c>
      <c r="J2872">
        <v>-678113795</v>
      </c>
      <c r="K2872">
        <v>-178663819</v>
      </c>
      <c r="L2872">
        <v>-34665974</v>
      </c>
      <c r="M2872">
        <v>-178490467</v>
      </c>
      <c r="N2872">
        <v>-415236025</v>
      </c>
      <c r="O2872">
        <v>-633654086</v>
      </c>
      <c r="P2872">
        <v>201</v>
      </c>
      <c r="Q2872" t="s">
        <v>5791</v>
      </c>
    </row>
    <row r="2873" spans="1:17" x14ac:dyDescent="0.3">
      <c r="A2873" t="s">
        <v>17</v>
      </c>
      <c r="B2873" t="str">
        <f>"600558"</f>
        <v>600558</v>
      </c>
      <c r="C2873" t="s">
        <v>5792</v>
      </c>
      <c r="D2873" t="s">
        <v>135</v>
      </c>
      <c r="E2873">
        <v>-74404190</v>
      </c>
      <c r="F2873">
        <v>-88803934</v>
      </c>
      <c r="G2873">
        <v>-130458116</v>
      </c>
      <c r="H2873">
        <v>11009772</v>
      </c>
      <c r="I2873">
        <v>-75500910</v>
      </c>
      <c r="J2873">
        <v>-105212892</v>
      </c>
      <c r="K2873">
        <v>-23143802</v>
      </c>
      <c r="L2873">
        <v>-85518135</v>
      </c>
      <c r="M2873">
        <v>-74170328</v>
      </c>
      <c r="N2873">
        <v>-87539982</v>
      </c>
      <c r="O2873">
        <v>1209340</v>
      </c>
      <c r="P2873">
        <v>72</v>
      </c>
      <c r="Q2873" t="s">
        <v>5793</v>
      </c>
    </row>
    <row r="2874" spans="1:17" x14ac:dyDescent="0.3">
      <c r="A2874" t="s">
        <v>32</v>
      </c>
      <c r="B2874" t="str">
        <f>"300826"</f>
        <v>300826</v>
      </c>
      <c r="C2874" t="s">
        <v>5794</v>
      </c>
      <c r="D2874" t="s">
        <v>645</v>
      </c>
      <c r="E2874">
        <v>-74485046</v>
      </c>
      <c r="F2874">
        <v>-71954018</v>
      </c>
      <c r="G2874">
        <v>-63101406</v>
      </c>
      <c r="H2874">
        <v>-54175059</v>
      </c>
      <c r="P2874">
        <v>61</v>
      </c>
      <c r="Q2874" t="s">
        <v>5795</v>
      </c>
    </row>
    <row r="2875" spans="1:17" x14ac:dyDescent="0.3">
      <c r="A2875" t="s">
        <v>32</v>
      </c>
      <c r="B2875" t="str">
        <f>"300675"</f>
        <v>300675</v>
      </c>
      <c r="C2875" t="s">
        <v>5796</v>
      </c>
      <c r="D2875" t="s">
        <v>645</v>
      </c>
      <c r="E2875">
        <v>-74541029</v>
      </c>
      <c r="F2875">
        <v>-58105142</v>
      </c>
      <c r="G2875">
        <v>-23364088</v>
      </c>
      <c r="H2875">
        <v>-11654835</v>
      </c>
      <c r="I2875">
        <v>-55451922</v>
      </c>
      <c r="J2875">
        <v>-31102439</v>
      </c>
      <c r="K2875">
        <v>-30941581</v>
      </c>
      <c r="P2875">
        <v>85</v>
      </c>
      <c r="Q2875" t="s">
        <v>5797</v>
      </c>
    </row>
    <row r="2876" spans="1:17" x14ac:dyDescent="0.3">
      <c r="A2876" t="s">
        <v>32</v>
      </c>
      <c r="B2876" t="str">
        <f>"002121"</f>
        <v>002121</v>
      </c>
      <c r="C2876" t="s">
        <v>5798</v>
      </c>
      <c r="D2876" t="s">
        <v>464</v>
      </c>
      <c r="E2876">
        <v>-74568368</v>
      </c>
      <c r="F2876">
        <v>-64085443</v>
      </c>
      <c r="G2876">
        <v>-34333844</v>
      </c>
      <c r="H2876">
        <v>10239811</v>
      </c>
      <c r="I2876">
        <v>-189578787</v>
      </c>
      <c r="J2876">
        <v>-296115828</v>
      </c>
      <c r="K2876">
        <v>-520236094</v>
      </c>
      <c r="L2876">
        <v>-207118011</v>
      </c>
      <c r="M2876">
        <v>-163314262</v>
      </c>
      <c r="N2876">
        <v>-150012674</v>
      </c>
      <c r="O2876">
        <v>-200268850</v>
      </c>
      <c r="P2876">
        <v>234</v>
      </c>
      <c r="Q2876" t="s">
        <v>5799</v>
      </c>
    </row>
    <row r="2877" spans="1:17" x14ac:dyDescent="0.3">
      <c r="A2877" t="s">
        <v>17</v>
      </c>
      <c r="B2877" t="str">
        <f>"900908"</f>
        <v>900908</v>
      </c>
      <c r="C2877" t="s">
        <v>5800</v>
      </c>
      <c r="E2877">
        <v>-74702196.7729</v>
      </c>
      <c r="F2877">
        <v>-24821067.960000001</v>
      </c>
      <c r="G2877">
        <v>-17653226.651900001</v>
      </c>
      <c r="H2877">
        <v>-14538634.919</v>
      </c>
      <c r="I2877">
        <v>-4700199.9050000003</v>
      </c>
      <c r="J2877">
        <v>9076615.9308000002</v>
      </c>
      <c r="K2877">
        <v>14626349.783399999</v>
      </c>
      <c r="L2877">
        <v>-13135114.672499999</v>
      </c>
      <c r="M2877">
        <v>-12380353.317600001</v>
      </c>
      <c r="N2877">
        <v>7301283.9900000002</v>
      </c>
      <c r="O2877">
        <v>14090972.5392</v>
      </c>
      <c r="P2877">
        <v>50</v>
      </c>
      <c r="Q2877" t="s">
        <v>5801</v>
      </c>
    </row>
    <row r="2878" spans="1:17" x14ac:dyDescent="0.3">
      <c r="A2878" t="s">
        <v>17</v>
      </c>
      <c r="B2878" t="str">
        <f>"688308"</f>
        <v>688308</v>
      </c>
      <c r="C2878" t="s">
        <v>5802</v>
      </c>
      <c r="D2878" t="s">
        <v>135</v>
      </c>
      <c r="E2878">
        <v>-74729725</v>
      </c>
      <c r="F2878">
        <v>-77534591</v>
      </c>
      <c r="G2878">
        <v>-29969468</v>
      </c>
      <c r="P2878">
        <v>92</v>
      </c>
      <c r="Q2878" t="s">
        <v>5803</v>
      </c>
    </row>
    <row r="2879" spans="1:17" x14ac:dyDescent="0.3">
      <c r="A2879" t="s">
        <v>17</v>
      </c>
      <c r="B2879" t="str">
        <f>"601515"</f>
        <v>601515</v>
      </c>
      <c r="C2879" t="s">
        <v>5804</v>
      </c>
      <c r="D2879" t="s">
        <v>455</v>
      </c>
      <c r="E2879">
        <v>-74807939</v>
      </c>
      <c r="F2879">
        <v>74631721</v>
      </c>
      <c r="G2879">
        <v>117910851</v>
      </c>
      <c r="H2879">
        <v>55197153</v>
      </c>
      <c r="I2879">
        <v>-147896866</v>
      </c>
      <c r="J2879">
        <v>282186830</v>
      </c>
      <c r="K2879">
        <v>-68747574</v>
      </c>
      <c r="L2879">
        <v>-52316676</v>
      </c>
      <c r="M2879">
        <v>23308214</v>
      </c>
      <c r="N2879">
        <v>3271759</v>
      </c>
      <c r="O2879">
        <v>150292335</v>
      </c>
      <c r="P2879">
        <v>28151</v>
      </c>
      <c r="Q2879" t="s">
        <v>5805</v>
      </c>
    </row>
    <row r="2880" spans="1:17" x14ac:dyDescent="0.3">
      <c r="A2880" t="s">
        <v>32</v>
      </c>
      <c r="B2880" t="str">
        <f>"300146"</f>
        <v>300146</v>
      </c>
      <c r="C2880" t="s">
        <v>5806</v>
      </c>
      <c r="D2880" t="s">
        <v>172</v>
      </c>
      <c r="E2880">
        <v>-74809315</v>
      </c>
      <c r="F2880">
        <v>12604417</v>
      </c>
      <c r="G2880">
        <v>20975928</v>
      </c>
      <c r="H2880">
        <v>-93722501</v>
      </c>
      <c r="I2880">
        <v>99456021</v>
      </c>
      <c r="J2880">
        <v>86968364</v>
      </c>
      <c r="K2880">
        <v>82176928</v>
      </c>
      <c r="L2880">
        <v>91341797</v>
      </c>
      <c r="M2880">
        <v>99060462</v>
      </c>
      <c r="N2880">
        <v>15319221</v>
      </c>
      <c r="O2880">
        <v>-30422034</v>
      </c>
      <c r="P2880">
        <v>2832</v>
      </c>
      <c r="Q2880" t="s">
        <v>5807</v>
      </c>
    </row>
    <row r="2881" spans="1:17" x14ac:dyDescent="0.3">
      <c r="A2881" t="s">
        <v>32</v>
      </c>
      <c r="B2881" t="str">
        <f>"000815"</f>
        <v>000815</v>
      </c>
      <c r="C2881" t="s">
        <v>5808</v>
      </c>
      <c r="D2881" t="s">
        <v>455</v>
      </c>
      <c r="E2881">
        <v>-74889555</v>
      </c>
      <c r="F2881">
        <v>-27619047</v>
      </c>
      <c r="G2881">
        <v>-74455019</v>
      </c>
      <c r="H2881">
        <v>-75571393</v>
      </c>
      <c r="I2881">
        <v>-92815035</v>
      </c>
      <c r="J2881">
        <v>-162832277</v>
      </c>
      <c r="K2881">
        <v>-872881</v>
      </c>
      <c r="L2881">
        <v>-5419757</v>
      </c>
      <c r="M2881">
        <v>-58495782</v>
      </c>
      <c r="N2881">
        <v>-228490440</v>
      </c>
      <c r="O2881">
        <v>-19175384</v>
      </c>
      <c r="P2881">
        <v>125</v>
      </c>
      <c r="Q2881" t="s">
        <v>5809</v>
      </c>
    </row>
    <row r="2882" spans="1:17" x14ac:dyDescent="0.3">
      <c r="A2882" t="s">
        <v>32</v>
      </c>
      <c r="B2882" t="str">
        <f>"002692"</f>
        <v>002692</v>
      </c>
      <c r="C2882" t="s">
        <v>5810</v>
      </c>
      <c r="D2882" t="s">
        <v>464</v>
      </c>
      <c r="E2882">
        <v>-74948487</v>
      </c>
      <c r="F2882">
        <v>-65587303</v>
      </c>
      <c r="G2882">
        <v>64862786</v>
      </c>
      <c r="H2882">
        <v>-68104665</v>
      </c>
      <c r="I2882">
        <v>-158632386</v>
      </c>
      <c r="J2882">
        <v>-125515260</v>
      </c>
      <c r="K2882">
        <v>-164556969</v>
      </c>
      <c r="L2882">
        <v>17831320</v>
      </c>
      <c r="M2882">
        <v>-279722222</v>
      </c>
      <c r="N2882">
        <v>-399719802</v>
      </c>
      <c r="O2882">
        <v>-178012824</v>
      </c>
      <c r="P2882">
        <v>53</v>
      </c>
      <c r="Q2882" t="s">
        <v>5811</v>
      </c>
    </row>
    <row r="2883" spans="1:17" x14ac:dyDescent="0.3">
      <c r="A2883" t="s">
        <v>32</v>
      </c>
      <c r="B2883" t="str">
        <f>"002354"</f>
        <v>002354</v>
      </c>
      <c r="C2883" t="s">
        <v>5812</v>
      </c>
      <c r="D2883" t="s">
        <v>245</v>
      </c>
      <c r="E2883">
        <v>-75154693</v>
      </c>
      <c r="F2883">
        <v>-74413870</v>
      </c>
      <c r="G2883">
        <v>-17038823</v>
      </c>
      <c r="H2883">
        <v>90154271</v>
      </c>
      <c r="I2883">
        <v>-97426854</v>
      </c>
      <c r="J2883">
        <v>121033288</v>
      </c>
      <c r="K2883">
        <v>57226419</v>
      </c>
      <c r="L2883">
        <v>53415876</v>
      </c>
      <c r="M2883">
        <v>24283381</v>
      </c>
      <c r="N2883">
        <v>-46549758</v>
      </c>
      <c r="O2883">
        <v>-65287663</v>
      </c>
      <c r="P2883">
        <v>265</v>
      </c>
      <c r="Q2883" t="s">
        <v>5813</v>
      </c>
    </row>
    <row r="2884" spans="1:17" x14ac:dyDescent="0.3">
      <c r="A2884" t="s">
        <v>32</v>
      </c>
      <c r="B2884" t="str">
        <f>"300472"</f>
        <v>300472</v>
      </c>
      <c r="C2884" t="s">
        <v>5814</v>
      </c>
      <c r="D2884" t="s">
        <v>135</v>
      </c>
      <c r="E2884">
        <v>-75213427</v>
      </c>
      <c r="F2884">
        <v>-97972493</v>
      </c>
      <c r="G2884">
        <v>-19966971</v>
      </c>
      <c r="H2884">
        <v>16418076</v>
      </c>
      <c r="I2884">
        <v>2242473</v>
      </c>
      <c r="J2884">
        <v>-14621846</v>
      </c>
      <c r="K2884">
        <v>-31920203</v>
      </c>
      <c r="L2884">
        <v>-39810257</v>
      </c>
      <c r="M2884">
        <v>-8850507</v>
      </c>
      <c r="P2884">
        <v>78</v>
      </c>
      <c r="Q2884" t="s">
        <v>5815</v>
      </c>
    </row>
    <row r="2885" spans="1:17" x14ac:dyDescent="0.3">
      <c r="A2885" t="s">
        <v>17</v>
      </c>
      <c r="B2885" t="str">
        <f>"600262"</f>
        <v>600262</v>
      </c>
      <c r="C2885" t="s">
        <v>5816</v>
      </c>
      <c r="D2885" t="s">
        <v>135</v>
      </c>
      <c r="E2885">
        <v>-75254612</v>
      </c>
      <c r="F2885">
        <v>-145776818</v>
      </c>
      <c r="G2885">
        <v>-169620219</v>
      </c>
      <c r="H2885">
        <v>-150446039</v>
      </c>
      <c r="I2885">
        <v>-134041116</v>
      </c>
      <c r="J2885">
        <v>-54597544</v>
      </c>
      <c r="K2885">
        <v>94776283</v>
      </c>
      <c r="L2885">
        <v>166927103</v>
      </c>
      <c r="M2885">
        <v>-65708934</v>
      </c>
      <c r="N2885">
        <v>-154550040</v>
      </c>
      <c r="O2885">
        <v>-56938547</v>
      </c>
      <c r="P2885">
        <v>75</v>
      </c>
      <c r="Q2885" t="s">
        <v>5817</v>
      </c>
    </row>
    <row r="2886" spans="1:17" x14ac:dyDescent="0.3">
      <c r="A2886" t="s">
        <v>32</v>
      </c>
      <c r="B2886" t="str">
        <f>"300292"</f>
        <v>300292</v>
      </c>
      <c r="C2886" t="s">
        <v>5818</v>
      </c>
      <c r="D2886" t="s">
        <v>57</v>
      </c>
      <c r="E2886">
        <v>-75288088</v>
      </c>
      <c r="F2886">
        <v>-150904321</v>
      </c>
      <c r="G2886">
        <v>-42033398</v>
      </c>
      <c r="H2886">
        <v>-105476739</v>
      </c>
      <c r="I2886">
        <v>126251558</v>
      </c>
      <c r="J2886">
        <v>-132576325</v>
      </c>
      <c r="K2886">
        <v>-164921204</v>
      </c>
      <c r="L2886">
        <v>-109586969</v>
      </c>
      <c r="M2886">
        <v>-37357139</v>
      </c>
      <c r="N2886">
        <v>-25690773</v>
      </c>
      <c r="O2886">
        <v>-43810314</v>
      </c>
      <c r="P2886">
        <v>205</v>
      </c>
      <c r="Q2886" t="s">
        <v>5819</v>
      </c>
    </row>
    <row r="2887" spans="1:17" x14ac:dyDescent="0.3">
      <c r="A2887" t="s">
        <v>32</v>
      </c>
      <c r="B2887" t="str">
        <f>"002210"</f>
        <v>002210</v>
      </c>
      <c r="C2887" t="s">
        <v>5820</v>
      </c>
      <c r="D2887" t="s">
        <v>46</v>
      </c>
      <c r="E2887">
        <v>-75343610</v>
      </c>
      <c r="F2887">
        <v>-72035159</v>
      </c>
      <c r="G2887">
        <v>-3562334</v>
      </c>
      <c r="H2887">
        <v>-54204248</v>
      </c>
      <c r="I2887">
        <v>3823423</v>
      </c>
      <c r="J2887">
        <v>18657256</v>
      </c>
      <c r="K2887">
        <v>-1875084397</v>
      </c>
      <c r="L2887">
        <v>2466289803</v>
      </c>
      <c r="M2887">
        <v>645026372</v>
      </c>
      <c r="N2887">
        <v>320302379</v>
      </c>
      <c r="O2887">
        <v>-279507623</v>
      </c>
      <c r="P2887">
        <v>83</v>
      </c>
      <c r="Q2887" t="s">
        <v>5821</v>
      </c>
    </row>
    <row r="2888" spans="1:17" x14ac:dyDescent="0.3">
      <c r="A2888" t="s">
        <v>32</v>
      </c>
      <c r="B2888" t="str">
        <f>"300670"</f>
        <v>300670</v>
      </c>
      <c r="C2888" t="s">
        <v>5822</v>
      </c>
      <c r="D2888" t="s">
        <v>464</v>
      </c>
      <c r="E2888">
        <v>-75355963</v>
      </c>
      <c r="F2888">
        <v>-41497355</v>
      </c>
      <c r="G2888">
        <v>-36841196</v>
      </c>
      <c r="H2888">
        <v>-32363757</v>
      </c>
      <c r="I2888">
        <v>-45710790</v>
      </c>
      <c r="J2888">
        <v>-40869247</v>
      </c>
      <c r="K2888">
        <v>-30153606</v>
      </c>
      <c r="P2888">
        <v>67</v>
      </c>
      <c r="Q2888" t="s">
        <v>5823</v>
      </c>
    </row>
    <row r="2889" spans="1:17" x14ac:dyDescent="0.3">
      <c r="A2889" t="s">
        <v>32</v>
      </c>
      <c r="B2889" t="str">
        <f>"000826"</f>
        <v>000826</v>
      </c>
      <c r="C2889" t="s">
        <v>5824</v>
      </c>
      <c r="D2889" t="s">
        <v>1334</v>
      </c>
      <c r="E2889">
        <v>-75398636</v>
      </c>
      <c r="F2889">
        <v>-323236542</v>
      </c>
      <c r="G2889">
        <v>-190688642</v>
      </c>
      <c r="H2889">
        <v>-705499933</v>
      </c>
      <c r="I2889">
        <v>-971183713</v>
      </c>
      <c r="J2889">
        <v>-977994269</v>
      </c>
      <c r="K2889">
        <v>-681829020</v>
      </c>
      <c r="L2889">
        <v>-232298339</v>
      </c>
      <c r="M2889">
        <v>-321921708</v>
      </c>
      <c r="N2889">
        <v>-106565787</v>
      </c>
      <c r="O2889">
        <v>-142760008</v>
      </c>
      <c r="P2889">
        <v>559</v>
      </c>
      <c r="Q2889" t="s">
        <v>5825</v>
      </c>
    </row>
    <row r="2890" spans="1:17" x14ac:dyDescent="0.3">
      <c r="A2890" t="s">
        <v>32</v>
      </c>
      <c r="B2890" t="str">
        <f>"300884"</f>
        <v>300884</v>
      </c>
      <c r="C2890" t="s">
        <v>5826</v>
      </c>
      <c r="D2890" t="s">
        <v>342</v>
      </c>
      <c r="E2890">
        <v>-75642015</v>
      </c>
      <c r="F2890">
        <v>-56565978</v>
      </c>
      <c r="G2890">
        <v>-52159584</v>
      </c>
      <c r="H2890">
        <v>-24066871</v>
      </c>
      <c r="P2890">
        <v>68</v>
      </c>
      <c r="Q2890" t="s">
        <v>5827</v>
      </c>
    </row>
    <row r="2891" spans="1:17" x14ac:dyDescent="0.3">
      <c r="A2891" t="s">
        <v>17</v>
      </c>
      <c r="B2891" t="str">
        <f>"601199"</f>
        <v>601199</v>
      </c>
      <c r="C2891" t="s">
        <v>5828</v>
      </c>
      <c r="D2891" t="s">
        <v>1334</v>
      </c>
      <c r="E2891">
        <v>-75708304</v>
      </c>
      <c r="F2891">
        <v>-10671812</v>
      </c>
      <c r="G2891">
        <v>-44895667</v>
      </c>
      <c r="H2891">
        <v>-117838792</v>
      </c>
      <c r="I2891">
        <v>-127104832</v>
      </c>
      <c r="J2891">
        <v>-74782285</v>
      </c>
      <c r="K2891">
        <v>-2394963</v>
      </c>
      <c r="L2891">
        <v>-83247783</v>
      </c>
      <c r="M2891">
        <v>13434800</v>
      </c>
      <c r="N2891">
        <v>33689090</v>
      </c>
      <c r="O2891">
        <v>70047234</v>
      </c>
      <c r="P2891">
        <v>186</v>
      </c>
      <c r="Q2891" t="s">
        <v>5829</v>
      </c>
    </row>
    <row r="2892" spans="1:17" x14ac:dyDescent="0.3">
      <c r="A2892" t="s">
        <v>32</v>
      </c>
      <c r="B2892" t="str">
        <f>"300187"</f>
        <v>300187</v>
      </c>
      <c r="C2892" t="s">
        <v>5830</v>
      </c>
      <c r="D2892" t="s">
        <v>1334</v>
      </c>
      <c r="E2892">
        <v>-75807009</v>
      </c>
      <c r="F2892">
        <v>-15613999</v>
      </c>
      <c r="G2892">
        <v>-9823377</v>
      </c>
      <c r="H2892">
        <v>5072254</v>
      </c>
      <c r="I2892">
        <v>37432026</v>
      </c>
      <c r="J2892">
        <v>-188687841</v>
      </c>
      <c r="K2892">
        <v>-65958318</v>
      </c>
      <c r="L2892">
        <v>-55734243</v>
      </c>
      <c r="M2892">
        <v>-21599905</v>
      </c>
      <c r="N2892">
        <v>-31015459</v>
      </c>
      <c r="O2892">
        <v>-20160931</v>
      </c>
      <c r="P2892">
        <v>110</v>
      </c>
      <c r="Q2892" t="s">
        <v>5831</v>
      </c>
    </row>
    <row r="2893" spans="1:17" x14ac:dyDescent="0.3">
      <c r="A2893" t="s">
        <v>32</v>
      </c>
      <c r="B2893" t="str">
        <f>"000716"</f>
        <v>000716</v>
      </c>
      <c r="C2893" t="s">
        <v>5832</v>
      </c>
      <c r="D2893" t="s">
        <v>172</v>
      </c>
      <c r="E2893">
        <v>-75863982</v>
      </c>
      <c r="F2893">
        <v>77298539</v>
      </c>
      <c r="G2893">
        <v>69514246</v>
      </c>
      <c r="H2893">
        <v>-92988109</v>
      </c>
      <c r="I2893">
        <v>-3515065</v>
      </c>
      <c r="J2893">
        <v>-106476355</v>
      </c>
      <c r="K2893">
        <v>-211802084</v>
      </c>
      <c r="L2893">
        <v>-152151579</v>
      </c>
      <c r="M2893">
        <v>-118360383</v>
      </c>
      <c r="N2893">
        <v>-37410708</v>
      </c>
      <c r="O2893">
        <v>-31436225</v>
      </c>
      <c r="P2893">
        <v>163</v>
      </c>
      <c r="Q2893" t="s">
        <v>5833</v>
      </c>
    </row>
    <row r="2894" spans="1:17" x14ac:dyDescent="0.3">
      <c r="A2894" t="s">
        <v>32</v>
      </c>
      <c r="B2894" t="str">
        <f>"300844"</f>
        <v>300844</v>
      </c>
      <c r="C2894" t="s">
        <v>5834</v>
      </c>
      <c r="D2894" t="s">
        <v>645</v>
      </c>
      <c r="E2894">
        <v>-76110301</v>
      </c>
      <c r="P2894">
        <v>16</v>
      </c>
      <c r="Q2894" t="s">
        <v>5835</v>
      </c>
    </row>
    <row r="2895" spans="1:17" x14ac:dyDescent="0.3">
      <c r="A2895" t="s">
        <v>17</v>
      </c>
      <c r="B2895" t="str">
        <f>"688281"</f>
        <v>688281</v>
      </c>
      <c r="C2895" t="s">
        <v>5836</v>
      </c>
      <c r="E2895">
        <v>-76166745</v>
      </c>
      <c r="P2895">
        <v>13</v>
      </c>
      <c r="Q2895" t="s">
        <v>5837</v>
      </c>
    </row>
    <row r="2896" spans="1:17" x14ac:dyDescent="0.3">
      <c r="A2896" t="s">
        <v>17</v>
      </c>
      <c r="B2896" t="str">
        <f>"603353"</f>
        <v>603353</v>
      </c>
      <c r="C2896" t="s">
        <v>5838</v>
      </c>
      <c r="D2896" t="s">
        <v>64</v>
      </c>
      <c r="E2896">
        <v>-76515780</v>
      </c>
      <c r="F2896">
        <v>-149515268</v>
      </c>
      <c r="G2896">
        <v>57975506</v>
      </c>
      <c r="H2896">
        <v>-2433972</v>
      </c>
      <c r="P2896">
        <v>103</v>
      </c>
      <c r="Q2896" t="s">
        <v>5839</v>
      </c>
    </row>
    <row r="2897" spans="1:17" x14ac:dyDescent="0.3">
      <c r="A2897" t="s">
        <v>17</v>
      </c>
      <c r="B2897" t="str">
        <f>"688280"</f>
        <v>688280</v>
      </c>
      <c r="C2897" t="s">
        <v>5840</v>
      </c>
      <c r="D2897" t="s">
        <v>199</v>
      </c>
      <c r="E2897">
        <v>-76557533</v>
      </c>
      <c r="F2897">
        <v>-54827078</v>
      </c>
      <c r="P2897">
        <v>22</v>
      </c>
      <c r="Q2897" t="s">
        <v>5841</v>
      </c>
    </row>
    <row r="2898" spans="1:17" x14ac:dyDescent="0.3">
      <c r="A2898" t="s">
        <v>32</v>
      </c>
      <c r="B2898" t="str">
        <f>"300785"</f>
        <v>300785</v>
      </c>
      <c r="C2898" t="s">
        <v>5842</v>
      </c>
      <c r="D2898" t="s">
        <v>245</v>
      </c>
      <c r="E2898">
        <v>-76581553</v>
      </c>
      <c r="F2898">
        <v>-128232898</v>
      </c>
      <c r="G2898">
        <v>-20546964</v>
      </c>
      <c r="H2898">
        <v>-35953666</v>
      </c>
      <c r="I2898">
        <v>-16607601</v>
      </c>
      <c r="P2898">
        <v>332</v>
      </c>
      <c r="Q2898" t="s">
        <v>5843</v>
      </c>
    </row>
    <row r="2899" spans="1:17" x14ac:dyDescent="0.3">
      <c r="A2899" t="s">
        <v>32</v>
      </c>
      <c r="B2899" t="str">
        <f>"301133"</f>
        <v>301133</v>
      </c>
      <c r="C2899" t="s">
        <v>5844</v>
      </c>
      <c r="D2899" t="s">
        <v>199</v>
      </c>
      <c r="E2899">
        <v>-76602786</v>
      </c>
      <c r="P2899">
        <v>15</v>
      </c>
      <c r="Q2899" t="s">
        <v>5845</v>
      </c>
    </row>
    <row r="2900" spans="1:17" x14ac:dyDescent="0.3">
      <c r="A2900" t="s">
        <v>17</v>
      </c>
      <c r="B2900" t="str">
        <f>"688135"</f>
        <v>688135</v>
      </c>
      <c r="C2900" t="s">
        <v>5846</v>
      </c>
      <c r="D2900" t="s">
        <v>124</v>
      </c>
      <c r="E2900">
        <v>-76604272</v>
      </c>
      <c r="F2900">
        <v>-33567619</v>
      </c>
      <c r="G2900">
        <v>-16253469</v>
      </c>
      <c r="P2900">
        <v>88</v>
      </c>
      <c r="Q2900" t="s">
        <v>5847</v>
      </c>
    </row>
    <row r="2901" spans="1:17" x14ac:dyDescent="0.3">
      <c r="A2901" t="s">
        <v>32</v>
      </c>
      <c r="B2901" t="str">
        <f>"300197"</f>
        <v>300197</v>
      </c>
      <c r="C2901" t="s">
        <v>5848</v>
      </c>
      <c r="D2901" t="s">
        <v>645</v>
      </c>
      <c r="E2901">
        <v>-76686696</v>
      </c>
      <c r="F2901">
        <v>7123128</v>
      </c>
      <c r="G2901">
        <v>-850464025</v>
      </c>
      <c r="H2901">
        <v>152157617</v>
      </c>
      <c r="I2901">
        <v>-1043787388</v>
      </c>
      <c r="J2901">
        <v>135382366</v>
      </c>
      <c r="K2901">
        <v>-108366796</v>
      </c>
      <c r="L2901">
        <v>-91438869</v>
      </c>
      <c r="M2901">
        <v>-184394229</v>
      </c>
      <c r="N2901">
        <v>-265463601</v>
      </c>
      <c r="O2901">
        <v>-62356526</v>
      </c>
      <c r="P2901">
        <v>356</v>
      </c>
      <c r="Q2901" t="s">
        <v>5849</v>
      </c>
    </row>
    <row r="2902" spans="1:17" x14ac:dyDescent="0.3">
      <c r="A2902" t="s">
        <v>32</v>
      </c>
      <c r="B2902" t="str">
        <f>"002245"</f>
        <v>002245</v>
      </c>
      <c r="C2902" t="s">
        <v>5850</v>
      </c>
      <c r="D2902" t="s">
        <v>464</v>
      </c>
      <c r="E2902">
        <v>-76726271</v>
      </c>
      <c r="F2902">
        <v>279525480</v>
      </c>
      <c r="G2902">
        <v>122210593</v>
      </c>
      <c r="H2902">
        <v>262374969</v>
      </c>
      <c r="I2902">
        <v>-83442926</v>
      </c>
      <c r="J2902">
        <v>-364543919</v>
      </c>
      <c r="K2902">
        <v>139500964</v>
      </c>
      <c r="L2902">
        <v>120429319</v>
      </c>
      <c r="M2902">
        <v>-39705199</v>
      </c>
      <c r="N2902">
        <v>-20723028</v>
      </c>
      <c r="O2902">
        <v>67788230</v>
      </c>
      <c r="P2902">
        <v>378</v>
      </c>
      <c r="Q2902" t="s">
        <v>5851</v>
      </c>
    </row>
    <row r="2903" spans="1:17" x14ac:dyDescent="0.3">
      <c r="A2903" t="s">
        <v>32</v>
      </c>
      <c r="B2903" t="str">
        <f>"002297"</f>
        <v>002297</v>
      </c>
      <c r="C2903" t="s">
        <v>5852</v>
      </c>
      <c r="D2903" t="s">
        <v>188</v>
      </c>
      <c r="E2903">
        <v>-76765449</v>
      </c>
      <c r="F2903">
        <v>-40300900</v>
      </c>
      <c r="G2903">
        <v>-28440530</v>
      </c>
      <c r="H2903">
        <v>-63814571</v>
      </c>
      <c r="I2903">
        <v>-26284711</v>
      </c>
      <c r="J2903">
        <v>-23615583</v>
      </c>
      <c r="K2903">
        <v>-35967719</v>
      </c>
      <c r="L2903">
        <v>-27110200</v>
      </c>
      <c r="M2903">
        <v>-65148668</v>
      </c>
      <c r="N2903">
        <v>-16134231</v>
      </c>
      <c r="O2903">
        <v>-36778029</v>
      </c>
      <c r="P2903">
        <v>100</v>
      </c>
      <c r="Q2903" t="s">
        <v>5853</v>
      </c>
    </row>
    <row r="2904" spans="1:17" x14ac:dyDescent="0.3">
      <c r="A2904" t="s">
        <v>32</v>
      </c>
      <c r="B2904" t="str">
        <f>"002492"</f>
        <v>002492</v>
      </c>
      <c r="C2904" t="s">
        <v>5854</v>
      </c>
      <c r="D2904" t="s">
        <v>46</v>
      </c>
      <c r="E2904">
        <v>-76770357</v>
      </c>
      <c r="F2904">
        <v>78056352</v>
      </c>
      <c r="G2904">
        <v>24869442</v>
      </c>
      <c r="H2904">
        <v>2905124</v>
      </c>
      <c r="I2904">
        <v>25662851</v>
      </c>
      <c r="J2904">
        <v>842696</v>
      </c>
      <c r="K2904">
        <v>-19283392</v>
      </c>
      <c r="L2904">
        <v>-28018939</v>
      </c>
      <c r="M2904">
        <v>7438581</v>
      </c>
      <c r="N2904">
        <v>-6329927</v>
      </c>
      <c r="O2904">
        <v>-940930</v>
      </c>
      <c r="P2904">
        <v>94</v>
      </c>
      <c r="Q2904" t="s">
        <v>5855</v>
      </c>
    </row>
    <row r="2905" spans="1:17" x14ac:dyDescent="0.3">
      <c r="A2905" t="s">
        <v>17</v>
      </c>
      <c r="B2905" t="str">
        <f>"688793"</f>
        <v>688793</v>
      </c>
      <c r="C2905" t="s">
        <v>5856</v>
      </c>
      <c r="D2905" t="s">
        <v>127</v>
      </c>
      <c r="E2905">
        <v>-76839850</v>
      </c>
      <c r="F2905">
        <v>-21276259</v>
      </c>
      <c r="G2905">
        <v>7336421</v>
      </c>
      <c r="P2905">
        <v>48</v>
      </c>
      <c r="Q2905" t="s">
        <v>5857</v>
      </c>
    </row>
    <row r="2906" spans="1:17" x14ac:dyDescent="0.3">
      <c r="A2906" t="s">
        <v>32</v>
      </c>
      <c r="B2906" t="str">
        <f>"301086"</f>
        <v>301086</v>
      </c>
      <c r="C2906" t="s">
        <v>5858</v>
      </c>
      <c r="D2906" t="s">
        <v>124</v>
      </c>
      <c r="E2906">
        <v>-76863902</v>
      </c>
      <c r="F2906">
        <v>-40975769</v>
      </c>
      <c r="P2906">
        <v>28</v>
      </c>
      <c r="Q2906" t="s">
        <v>5859</v>
      </c>
    </row>
    <row r="2907" spans="1:17" x14ac:dyDescent="0.3">
      <c r="A2907" t="s">
        <v>32</v>
      </c>
      <c r="B2907" t="str">
        <f>"300634"</f>
        <v>300634</v>
      </c>
      <c r="C2907" t="s">
        <v>5860</v>
      </c>
      <c r="D2907" t="s">
        <v>342</v>
      </c>
      <c r="E2907">
        <v>-76910075</v>
      </c>
      <c r="F2907">
        <v>-66163292</v>
      </c>
      <c r="G2907">
        <v>-37628159</v>
      </c>
      <c r="H2907">
        <v>-89076107</v>
      </c>
      <c r="I2907">
        <v>-156592554</v>
      </c>
      <c r="J2907">
        <v>-130326327</v>
      </c>
      <c r="P2907">
        <v>159</v>
      </c>
      <c r="Q2907" t="s">
        <v>5861</v>
      </c>
    </row>
    <row r="2908" spans="1:17" x14ac:dyDescent="0.3">
      <c r="A2908" t="s">
        <v>32</v>
      </c>
      <c r="B2908" t="str">
        <f>"300328"</f>
        <v>300328</v>
      </c>
      <c r="C2908" t="s">
        <v>5862</v>
      </c>
      <c r="D2908" t="s">
        <v>121</v>
      </c>
      <c r="E2908">
        <v>-77230415</v>
      </c>
      <c r="F2908">
        <v>-31363177</v>
      </c>
      <c r="G2908">
        <v>88923954</v>
      </c>
      <c r="H2908">
        <v>-77214931</v>
      </c>
      <c r="I2908">
        <v>-67540299</v>
      </c>
      <c r="J2908">
        <v>9620402</v>
      </c>
      <c r="K2908">
        <v>-5872435</v>
      </c>
      <c r="L2908">
        <v>1424070</v>
      </c>
      <c r="M2908">
        <v>13096673</v>
      </c>
      <c r="N2908">
        <v>-47374705</v>
      </c>
      <c r="O2908">
        <v>-11783403</v>
      </c>
      <c r="P2908">
        <v>232</v>
      </c>
      <c r="Q2908" t="s">
        <v>5863</v>
      </c>
    </row>
    <row r="2909" spans="1:17" x14ac:dyDescent="0.3">
      <c r="A2909" t="s">
        <v>32</v>
      </c>
      <c r="B2909" t="str">
        <f>"300081"</f>
        <v>300081</v>
      </c>
      <c r="C2909" t="s">
        <v>5864</v>
      </c>
      <c r="D2909" t="s">
        <v>57</v>
      </c>
      <c r="E2909">
        <v>-77242886</v>
      </c>
      <c r="F2909">
        <v>-54301157</v>
      </c>
      <c r="G2909">
        <v>-69093048</v>
      </c>
      <c r="H2909">
        <v>-94509114</v>
      </c>
      <c r="I2909">
        <v>-48930639</v>
      </c>
      <c r="J2909">
        <v>-53492819</v>
      </c>
      <c r="K2909">
        <v>18950557</v>
      </c>
      <c r="L2909">
        <v>-2767123</v>
      </c>
      <c r="M2909">
        <v>529332</v>
      </c>
      <c r="N2909">
        <v>-29691073</v>
      </c>
      <c r="O2909">
        <v>-413706933</v>
      </c>
      <c r="P2909">
        <v>160</v>
      </c>
      <c r="Q2909" t="s">
        <v>5865</v>
      </c>
    </row>
    <row r="2910" spans="1:17" x14ac:dyDescent="0.3">
      <c r="A2910" t="s">
        <v>32</v>
      </c>
      <c r="B2910" t="str">
        <f>"003015"</f>
        <v>003015</v>
      </c>
      <c r="C2910" t="s">
        <v>5866</v>
      </c>
      <c r="D2910" t="s">
        <v>124</v>
      </c>
      <c r="E2910">
        <v>-77434051</v>
      </c>
      <c r="F2910">
        <v>-24002483</v>
      </c>
      <c r="G2910">
        <v>-27822580</v>
      </c>
      <c r="P2910">
        <v>46</v>
      </c>
      <c r="Q2910" t="s">
        <v>5867</v>
      </c>
    </row>
    <row r="2911" spans="1:17" x14ac:dyDescent="0.3">
      <c r="A2911" t="s">
        <v>32</v>
      </c>
      <c r="B2911" t="str">
        <f>"300857"</f>
        <v>300857</v>
      </c>
      <c r="C2911" t="s">
        <v>5868</v>
      </c>
      <c r="D2911" t="s">
        <v>124</v>
      </c>
      <c r="E2911">
        <v>-77447147</v>
      </c>
      <c r="F2911">
        <v>-43116159</v>
      </c>
      <c r="G2911">
        <v>-110522534</v>
      </c>
      <c r="H2911">
        <v>-58393573</v>
      </c>
      <c r="P2911">
        <v>59</v>
      </c>
      <c r="Q2911" t="s">
        <v>5869</v>
      </c>
    </row>
    <row r="2912" spans="1:17" x14ac:dyDescent="0.3">
      <c r="A2912" t="s">
        <v>17</v>
      </c>
      <c r="B2912" t="str">
        <f>"603629"</f>
        <v>603629</v>
      </c>
      <c r="C2912" t="s">
        <v>5870</v>
      </c>
      <c r="D2912" t="s">
        <v>124</v>
      </c>
      <c r="E2912">
        <v>-78000751</v>
      </c>
      <c r="F2912">
        <v>-84883779</v>
      </c>
      <c r="G2912">
        <v>-48159630</v>
      </c>
      <c r="H2912">
        <v>-84548317</v>
      </c>
      <c r="I2912">
        <v>-90006651</v>
      </c>
      <c r="P2912">
        <v>51</v>
      </c>
      <c r="Q2912" t="s">
        <v>5871</v>
      </c>
    </row>
    <row r="2913" spans="1:17" x14ac:dyDescent="0.3">
      <c r="A2913" t="s">
        <v>17</v>
      </c>
      <c r="B2913" t="str">
        <f>"600822"</f>
        <v>600822</v>
      </c>
      <c r="C2913" t="s">
        <v>5872</v>
      </c>
      <c r="D2913" t="s">
        <v>199</v>
      </c>
      <c r="E2913">
        <v>-78133013</v>
      </c>
      <c r="F2913">
        <v>-276932532</v>
      </c>
      <c r="G2913">
        <v>-228803497</v>
      </c>
      <c r="H2913">
        <v>28092498</v>
      </c>
      <c r="I2913">
        <v>58426494</v>
      </c>
      <c r="J2913">
        <v>-355295471</v>
      </c>
      <c r="K2913">
        <v>-223630340</v>
      </c>
      <c r="L2913">
        <v>-680909</v>
      </c>
      <c r="M2913">
        <v>-264722796</v>
      </c>
      <c r="N2913">
        <v>-561564317</v>
      </c>
      <c r="O2913">
        <v>-424009071</v>
      </c>
      <c r="P2913">
        <v>75</v>
      </c>
      <c r="Q2913" t="s">
        <v>5873</v>
      </c>
    </row>
    <row r="2914" spans="1:17" x14ac:dyDescent="0.3">
      <c r="A2914" t="s">
        <v>32</v>
      </c>
      <c r="B2914" t="str">
        <f>"300693"</f>
        <v>300693</v>
      </c>
      <c r="C2914" t="s">
        <v>5874</v>
      </c>
      <c r="D2914" t="s">
        <v>464</v>
      </c>
      <c r="E2914">
        <v>-78197897</v>
      </c>
      <c r="F2914">
        <v>-45644926</v>
      </c>
      <c r="G2914">
        <v>-37754659</v>
      </c>
      <c r="H2914">
        <v>-49614487</v>
      </c>
      <c r="I2914">
        <v>-19052205</v>
      </c>
      <c r="J2914">
        <v>-5344561</v>
      </c>
      <c r="K2914">
        <v>-47125074</v>
      </c>
      <c r="P2914">
        <v>214</v>
      </c>
      <c r="Q2914" t="s">
        <v>5875</v>
      </c>
    </row>
    <row r="2915" spans="1:17" x14ac:dyDescent="0.3">
      <c r="A2915" t="s">
        <v>32</v>
      </c>
      <c r="B2915" t="str">
        <f>"300335"</f>
        <v>300335</v>
      </c>
      <c r="C2915" t="s">
        <v>5876</v>
      </c>
      <c r="D2915" t="s">
        <v>158</v>
      </c>
      <c r="E2915">
        <v>-78223864</v>
      </c>
      <c r="F2915">
        <v>-70348017</v>
      </c>
      <c r="G2915">
        <v>-77325429</v>
      </c>
      <c r="H2915">
        <v>-58795952</v>
      </c>
      <c r="I2915">
        <v>-104015280</v>
      </c>
      <c r="J2915">
        <v>-144396994</v>
      </c>
      <c r="K2915">
        <v>-13456076</v>
      </c>
      <c r="L2915">
        <v>-2921042</v>
      </c>
      <c r="M2915">
        <v>17454253</v>
      </c>
      <c r="N2915">
        <v>-5361383</v>
      </c>
      <c r="O2915">
        <v>-31859182</v>
      </c>
      <c r="P2915">
        <v>231</v>
      </c>
      <c r="Q2915" t="s">
        <v>5877</v>
      </c>
    </row>
    <row r="2916" spans="1:17" x14ac:dyDescent="0.3">
      <c r="A2916" t="s">
        <v>32</v>
      </c>
      <c r="B2916" t="str">
        <f>"300649"</f>
        <v>300649</v>
      </c>
      <c r="C2916" t="s">
        <v>5878</v>
      </c>
      <c r="D2916" t="s">
        <v>645</v>
      </c>
      <c r="E2916">
        <v>-78302390</v>
      </c>
      <c r="F2916">
        <v>-31289988</v>
      </c>
      <c r="G2916">
        <v>-63477536</v>
      </c>
      <c r="H2916">
        <v>-23477934</v>
      </c>
      <c r="I2916">
        <v>-35774803</v>
      </c>
      <c r="J2916">
        <v>-22018093</v>
      </c>
      <c r="K2916">
        <v>-14109965</v>
      </c>
      <c r="P2916">
        <v>91</v>
      </c>
      <c r="Q2916" t="s">
        <v>5879</v>
      </c>
    </row>
    <row r="2917" spans="1:17" x14ac:dyDescent="0.3">
      <c r="A2917" t="s">
        <v>17</v>
      </c>
      <c r="B2917" t="str">
        <f>"688004"</f>
        <v>688004</v>
      </c>
      <c r="C2917" t="s">
        <v>5880</v>
      </c>
      <c r="D2917" t="s">
        <v>342</v>
      </c>
      <c r="E2917">
        <v>-78348437</v>
      </c>
      <c r="F2917">
        <v>-83099892</v>
      </c>
      <c r="G2917">
        <v>-56766103</v>
      </c>
      <c r="P2917">
        <v>37</v>
      </c>
      <c r="Q2917" t="s">
        <v>5881</v>
      </c>
    </row>
    <row r="2918" spans="1:17" x14ac:dyDescent="0.3">
      <c r="A2918" t="s">
        <v>17</v>
      </c>
      <c r="B2918" t="str">
        <f>"688118"</f>
        <v>688118</v>
      </c>
      <c r="C2918" t="s">
        <v>5882</v>
      </c>
      <c r="D2918" t="s">
        <v>342</v>
      </c>
      <c r="E2918">
        <v>-78416387</v>
      </c>
      <c r="F2918">
        <v>-50088161</v>
      </c>
      <c r="G2918">
        <v>-78659840</v>
      </c>
      <c r="H2918">
        <v>-59157716</v>
      </c>
      <c r="P2918">
        <v>71</v>
      </c>
      <c r="Q2918" t="s">
        <v>5883</v>
      </c>
    </row>
    <row r="2919" spans="1:17" x14ac:dyDescent="0.3">
      <c r="A2919" t="s">
        <v>32</v>
      </c>
      <c r="B2919" t="str">
        <f>"002733"</f>
        <v>002733</v>
      </c>
      <c r="C2919" t="s">
        <v>5884</v>
      </c>
      <c r="D2919" t="s">
        <v>464</v>
      </c>
      <c r="E2919">
        <v>-78523700</v>
      </c>
      <c r="F2919">
        <v>-13461641</v>
      </c>
      <c r="G2919">
        <v>-8344219</v>
      </c>
      <c r="H2919">
        <v>160550164</v>
      </c>
      <c r="I2919">
        <v>32966568</v>
      </c>
      <c r="J2919">
        <v>5278701</v>
      </c>
      <c r="K2919">
        <v>-38235355</v>
      </c>
      <c r="L2919">
        <v>-32558781</v>
      </c>
      <c r="M2919">
        <v>-54086807</v>
      </c>
      <c r="P2919">
        <v>236</v>
      </c>
      <c r="Q2919" t="s">
        <v>5885</v>
      </c>
    </row>
    <row r="2920" spans="1:17" x14ac:dyDescent="0.3">
      <c r="A2920" t="s">
        <v>32</v>
      </c>
      <c r="B2920" t="str">
        <f>"301123"</f>
        <v>301123</v>
      </c>
      <c r="C2920" t="s">
        <v>5886</v>
      </c>
      <c r="E2920">
        <v>-78580092</v>
      </c>
      <c r="P2920">
        <v>6</v>
      </c>
      <c r="Q2920" t="s">
        <v>5887</v>
      </c>
    </row>
    <row r="2921" spans="1:17" x14ac:dyDescent="0.3">
      <c r="A2921" t="s">
        <v>17</v>
      </c>
      <c r="B2921" t="str">
        <f>"600395"</f>
        <v>600395</v>
      </c>
      <c r="C2921" t="s">
        <v>5888</v>
      </c>
      <c r="D2921" t="s">
        <v>73</v>
      </c>
      <c r="E2921">
        <v>-78637512</v>
      </c>
      <c r="F2921">
        <v>-13329966</v>
      </c>
      <c r="G2921">
        <v>-77506053</v>
      </c>
      <c r="H2921">
        <v>125945858</v>
      </c>
      <c r="I2921">
        <v>114762000</v>
      </c>
      <c r="J2921">
        <v>-129120100</v>
      </c>
      <c r="K2921">
        <v>-99333600</v>
      </c>
      <c r="L2921">
        <v>190071919</v>
      </c>
      <c r="M2921">
        <v>39687414</v>
      </c>
      <c r="N2921">
        <v>102715109</v>
      </c>
      <c r="O2921">
        <v>43590291</v>
      </c>
      <c r="P2921">
        <v>517</v>
      </c>
      <c r="Q2921" t="s">
        <v>5889</v>
      </c>
    </row>
    <row r="2922" spans="1:17" x14ac:dyDescent="0.3">
      <c r="A2922" t="s">
        <v>32</v>
      </c>
      <c r="B2922" t="str">
        <f>"002559"</f>
        <v>002559</v>
      </c>
      <c r="C2922" t="s">
        <v>5890</v>
      </c>
      <c r="D2922" t="s">
        <v>135</v>
      </c>
      <c r="E2922">
        <v>-78665820</v>
      </c>
      <c r="F2922">
        <v>-34034839</v>
      </c>
      <c r="G2922">
        <v>81197013</v>
      </c>
      <c r="H2922">
        <v>34709430</v>
      </c>
      <c r="I2922">
        <v>-14417038</v>
      </c>
      <c r="J2922">
        <v>-1124926</v>
      </c>
      <c r="K2922">
        <v>-3087440</v>
      </c>
      <c r="L2922">
        <v>-16152469</v>
      </c>
      <c r="M2922">
        <v>-19088309</v>
      </c>
      <c r="N2922">
        <v>3311310</v>
      </c>
      <c r="O2922">
        <v>-105774784</v>
      </c>
      <c r="P2922">
        <v>149</v>
      </c>
      <c r="Q2922" t="s">
        <v>5891</v>
      </c>
    </row>
    <row r="2923" spans="1:17" x14ac:dyDescent="0.3">
      <c r="A2923" t="s">
        <v>32</v>
      </c>
      <c r="B2923" t="str">
        <f>"300875"</f>
        <v>300875</v>
      </c>
      <c r="C2923" t="s">
        <v>5892</v>
      </c>
      <c r="D2923" t="s">
        <v>188</v>
      </c>
      <c r="E2923">
        <v>-78681321</v>
      </c>
      <c r="F2923">
        <v>107518767</v>
      </c>
      <c r="G2923">
        <v>55235847</v>
      </c>
      <c r="I2923">
        <v>1451833</v>
      </c>
      <c r="P2923">
        <v>106</v>
      </c>
      <c r="Q2923" t="s">
        <v>5893</v>
      </c>
    </row>
    <row r="2924" spans="1:17" x14ac:dyDescent="0.3">
      <c r="A2924" t="s">
        <v>32</v>
      </c>
      <c r="B2924" t="str">
        <f>"002260"</f>
        <v>002260</v>
      </c>
      <c r="C2924" t="s">
        <v>5894</v>
      </c>
      <c r="D2924" t="s">
        <v>127</v>
      </c>
      <c r="E2924">
        <v>-78722023</v>
      </c>
      <c r="F2924">
        <v>-32758936</v>
      </c>
      <c r="G2924">
        <v>-9558842</v>
      </c>
      <c r="H2924">
        <v>5688774</v>
      </c>
      <c r="I2924">
        <v>26245796</v>
      </c>
      <c r="J2924">
        <v>-38853103</v>
      </c>
      <c r="K2924">
        <v>-15447463</v>
      </c>
      <c r="L2924">
        <v>-35722207</v>
      </c>
      <c r="M2924">
        <v>-3503680</v>
      </c>
      <c r="N2924">
        <v>6034255</v>
      </c>
      <c r="O2924">
        <v>-8768671</v>
      </c>
      <c r="P2924">
        <v>57</v>
      </c>
      <c r="Q2924" t="s">
        <v>5895</v>
      </c>
    </row>
    <row r="2925" spans="1:17" x14ac:dyDescent="0.3">
      <c r="A2925" t="s">
        <v>32</v>
      </c>
      <c r="B2925" t="str">
        <f>"300898"</f>
        <v>300898</v>
      </c>
      <c r="C2925" t="s">
        <v>5896</v>
      </c>
      <c r="D2925" t="s">
        <v>172</v>
      </c>
      <c r="E2925">
        <v>-78742034</v>
      </c>
      <c r="F2925">
        <v>-28737114</v>
      </c>
      <c r="G2925">
        <v>-117935169</v>
      </c>
      <c r="H2925">
        <v>-43720995</v>
      </c>
      <c r="I2925">
        <v>-34551313</v>
      </c>
      <c r="P2925">
        <v>73</v>
      </c>
      <c r="Q2925" t="s">
        <v>5897</v>
      </c>
    </row>
    <row r="2926" spans="1:17" x14ac:dyDescent="0.3">
      <c r="A2926" t="s">
        <v>17</v>
      </c>
      <c r="B2926" t="str">
        <f>"688501"</f>
        <v>688501</v>
      </c>
      <c r="C2926" t="s">
        <v>5898</v>
      </c>
      <c r="D2926" t="s">
        <v>1334</v>
      </c>
      <c r="E2926">
        <v>-78815930</v>
      </c>
      <c r="F2926">
        <v>-74702075</v>
      </c>
      <c r="G2926">
        <v>-70105975</v>
      </c>
      <c r="P2926">
        <v>24</v>
      </c>
      <c r="Q2926" t="s">
        <v>5899</v>
      </c>
    </row>
    <row r="2927" spans="1:17" x14ac:dyDescent="0.3">
      <c r="A2927" t="s">
        <v>32</v>
      </c>
      <c r="B2927" t="str">
        <f>"300086"</f>
        <v>300086</v>
      </c>
      <c r="C2927" t="s">
        <v>5900</v>
      </c>
      <c r="D2927" t="s">
        <v>98</v>
      </c>
      <c r="E2927">
        <v>-79002329</v>
      </c>
      <c r="F2927">
        <v>-13039967</v>
      </c>
      <c r="G2927">
        <v>-156346474</v>
      </c>
      <c r="H2927">
        <v>-5982738</v>
      </c>
      <c r="I2927">
        <v>-55293460</v>
      </c>
      <c r="J2927">
        <v>-917670</v>
      </c>
      <c r="K2927">
        <v>21114891</v>
      </c>
      <c r="L2927">
        <v>-2475636</v>
      </c>
      <c r="M2927">
        <v>15380544</v>
      </c>
      <c r="N2927">
        <v>-12601033</v>
      </c>
      <c r="O2927">
        <v>5316165</v>
      </c>
      <c r="P2927">
        <v>106</v>
      </c>
      <c r="Q2927" t="s">
        <v>5901</v>
      </c>
    </row>
    <row r="2928" spans="1:17" x14ac:dyDescent="0.3">
      <c r="A2928" t="s">
        <v>32</v>
      </c>
      <c r="B2928" t="str">
        <f>"002846"</f>
        <v>002846</v>
      </c>
      <c r="C2928" t="s">
        <v>5902</v>
      </c>
      <c r="D2928" t="s">
        <v>455</v>
      </c>
      <c r="E2928">
        <v>-79029794</v>
      </c>
      <c r="F2928">
        <v>-74059198</v>
      </c>
      <c r="G2928">
        <v>-72843154</v>
      </c>
      <c r="H2928">
        <v>17266488</v>
      </c>
      <c r="I2928">
        <v>-32737754</v>
      </c>
      <c r="J2928">
        <v>-17022563</v>
      </c>
      <c r="K2928">
        <v>-2578019</v>
      </c>
      <c r="P2928">
        <v>109</v>
      </c>
      <c r="Q2928" t="s">
        <v>5903</v>
      </c>
    </row>
    <row r="2929" spans="1:17" x14ac:dyDescent="0.3">
      <c r="A2929" t="s">
        <v>17</v>
      </c>
      <c r="B2929" t="str">
        <f>"688628"</f>
        <v>688628</v>
      </c>
      <c r="C2929" t="s">
        <v>5904</v>
      </c>
      <c r="D2929" t="s">
        <v>135</v>
      </c>
      <c r="E2929">
        <v>-79227188</v>
      </c>
      <c r="F2929">
        <v>-54059565</v>
      </c>
      <c r="G2929">
        <v>62108593</v>
      </c>
      <c r="P2929">
        <v>35</v>
      </c>
      <c r="Q2929" t="s">
        <v>5905</v>
      </c>
    </row>
    <row r="2930" spans="1:17" x14ac:dyDescent="0.3">
      <c r="A2930" t="s">
        <v>32</v>
      </c>
      <c r="B2930" t="str">
        <f>"000756"</f>
        <v>000756</v>
      </c>
      <c r="C2930" t="s">
        <v>5906</v>
      </c>
      <c r="D2930" t="s">
        <v>98</v>
      </c>
      <c r="E2930">
        <v>-79233011</v>
      </c>
      <c r="F2930">
        <v>37120926</v>
      </c>
      <c r="G2930">
        <v>54572665</v>
      </c>
      <c r="H2930">
        <v>-29190925</v>
      </c>
      <c r="I2930">
        <v>-70911232</v>
      </c>
      <c r="J2930">
        <v>-76561102</v>
      </c>
      <c r="K2930">
        <v>136565</v>
      </c>
      <c r="L2930">
        <v>-58306465</v>
      </c>
      <c r="M2930">
        <v>-15431083</v>
      </c>
      <c r="N2930">
        <v>-193677180</v>
      </c>
      <c r="O2930">
        <v>-137981849</v>
      </c>
      <c r="P2930">
        <v>218</v>
      </c>
      <c r="Q2930" t="s">
        <v>5907</v>
      </c>
    </row>
    <row r="2931" spans="1:17" x14ac:dyDescent="0.3">
      <c r="A2931" t="s">
        <v>17</v>
      </c>
      <c r="B2931" t="str">
        <f>"603689"</f>
        <v>603689</v>
      </c>
      <c r="C2931" t="s">
        <v>5908</v>
      </c>
      <c r="D2931" t="s">
        <v>158</v>
      </c>
      <c r="E2931">
        <v>-79271026</v>
      </c>
      <c r="F2931">
        <v>-14245901</v>
      </c>
      <c r="G2931">
        <v>182961769</v>
      </c>
      <c r="H2931">
        <v>123107927</v>
      </c>
      <c r="I2931">
        <v>29256882</v>
      </c>
      <c r="J2931">
        <v>-22381943</v>
      </c>
      <c r="K2931">
        <v>62443545</v>
      </c>
      <c r="P2931">
        <v>117</v>
      </c>
      <c r="Q2931" t="s">
        <v>5909</v>
      </c>
    </row>
    <row r="2932" spans="1:17" x14ac:dyDescent="0.3">
      <c r="A2932" t="s">
        <v>32</v>
      </c>
      <c r="B2932" t="str">
        <f>"300843"</f>
        <v>300843</v>
      </c>
      <c r="C2932" t="s">
        <v>5910</v>
      </c>
      <c r="D2932" t="s">
        <v>124</v>
      </c>
      <c r="E2932">
        <v>-79302042</v>
      </c>
      <c r="F2932">
        <v>-57280533</v>
      </c>
      <c r="G2932">
        <v>-43915895</v>
      </c>
      <c r="H2932">
        <v>-64393799</v>
      </c>
      <c r="P2932">
        <v>80</v>
      </c>
      <c r="Q2932" t="s">
        <v>5911</v>
      </c>
    </row>
    <row r="2933" spans="1:17" x14ac:dyDescent="0.3">
      <c r="A2933" t="s">
        <v>32</v>
      </c>
      <c r="B2933" t="str">
        <f>"002503"</f>
        <v>002503</v>
      </c>
      <c r="C2933" t="s">
        <v>5912</v>
      </c>
      <c r="D2933" t="s">
        <v>130</v>
      </c>
      <c r="E2933">
        <v>-79312629</v>
      </c>
      <c r="F2933">
        <v>-294412317</v>
      </c>
      <c r="G2933">
        <v>-333959003</v>
      </c>
      <c r="H2933">
        <v>-136133271</v>
      </c>
      <c r="I2933">
        <v>-430447087</v>
      </c>
      <c r="J2933">
        <v>-175242206</v>
      </c>
      <c r="K2933">
        <v>-108085655</v>
      </c>
      <c r="L2933">
        <v>16379392</v>
      </c>
      <c r="M2933">
        <v>-143856699</v>
      </c>
      <c r="N2933">
        <v>-184740038</v>
      </c>
      <c r="O2933">
        <v>-181772986</v>
      </c>
      <c r="P2933">
        <v>244</v>
      </c>
      <c r="Q2933" t="s">
        <v>5913</v>
      </c>
    </row>
    <row r="2934" spans="1:17" x14ac:dyDescent="0.3">
      <c r="A2934" t="s">
        <v>32</v>
      </c>
      <c r="B2934" t="str">
        <f>"300421"</f>
        <v>300421</v>
      </c>
      <c r="C2934" t="s">
        <v>5914</v>
      </c>
      <c r="D2934" t="s">
        <v>135</v>
      </c>
      <c r="E2934">
        <v>-79317571</v>
      </c>
      <c r="F2934">
        <v>-3028183</v>
      </c>
      <c r="G2934">
        <v>-4645577</v>
      </c>
      <c r="H2934">
        <v>-20577753</v>
      </c>
      <c r="I2934">
        <v>-14214559</v>
      </c>
      <c r="J2934">
        <v>-17333600</v>
      </c>
      <c r="K2934">
        <v>-22669738</v>
      </c>
      <c r="L2934">
        <v>-9439644</v>
      </c>
      <c r="M2934">
        <v>-43240689</v>
      </c>
      <c r="P2934">
        <v>108</v>
      </c>
      <c r="Q2934" t="s">
        <v>5915</v>
      </c>
    </row>
    <row r="2935" spans="1:17" x14ac:dyDescent="0.3">
      <c r="A2935" t="s">
        <v>32</v>
      </c>
      <c r="B2935" t="str">
        <f>"300263"</f>
        <v>300263</v>
      </c>
      <c r="C2935" t="s">
        <v>5916</v>
      </c>
      <c r="D2935" t="s">
        <v>135</v>
      </c>
      <c r="E2935">
        <v>-79332345</v>
      </c>
      <c r="F2935">
        <v>-130977519</v>
      </c>
      <c r="G2935">
        <v>-110754366</v>
      </c>
      <c r="H2935">
        <v>-129717356</v>
      </c>
      <c r="I2935">
        <v>-109720951</v>
      </c>
      <c r="J2935">
        <v>130275763</v>
      </c>
      <c r="K2935">
        <v>-326773466</v>
      </c>
      <c r="L2935">
        <v>-68508507</v>
      </c>
      <c r="M2935">
        <v>-63008394</v>
      </c>
      <c r="N2935">
        <v>-49472162</v>
      </c>
      <c r="O2935">
        <v>-33759115</v>
      </c>
      <c r="P2935">
        <v>233</v>
      </c>
      <c r="Q2935" t="s">
        <v>5917</v>
      </c>
    </row>
    <row r="2936" spans="1:17" x14ac:dyDescent="0.3">
      <c r="A2936" t="s">
        <v>17</v>
      </c>
      <c r="B2936" t="str">
        <f>"900901"</f>
        <v>900901</v>
      </c>
      <c r="C2936" t="s">
        <v>5918</v>
      </c>
      <c r="E2936">
        <v>-79427541.131799996</v>
      </c>
      <c r="F2936">
        <v>-65978199.920400001</v>
      </c>
      <c r="G2936">
        <v>-36078788.123999998</v>
      </c>
      <c r="H2936">
        <v>-36247043.75</v>
      </c>
      <c r="I2936">
        <v>-60729732.038400002</v>
      </c>
      <c r="J2936">
        <v>-40234777.123199999</v>
      </c>
      <c r="K2936">
        <v>-40139219.031599998</v>
      </c>
      <c r="L2936">
        <v>-23727200.643399999</v>
      </c>
      <c r="M2936">
        <v>-11587276.783199999</v>
      </c>
      <c r="N2936">
        <v>-7502708.6749999998</v>
      </c>
      <c r="O2936">
        <v>-9186120.5916000009</v>
      </c>
      <c r="P2936">
        <v>7</v>
      </c>
      <c r="Q2936" t="s">
        <v>5919</v>
      </c>
    </row>
    <row r="2937" spans="1:17" x14ac:dyDescent="0.3">
      <c r="A2937" t="s">
        <v>17</v>
      </c>
      <c r="B2937" t="str">
        <f>"600576"</f>
        <v>600576</v>
      </c>
      <c r="C2937" t="s">
        <v>5920</v>
      </c>
      <c r="D2937" t="s">
        <v>245</v>
      </c>
      <c r="E2937">
        <v>-79447770</v>
      </c>
      <c r="F2937">
        <v>-30043576</v>
      </c>
      <c r="G2937">
        <v>24088272</v>
      </c>
      <c r="H2937">
        <v>-187569604</v>
      </c>
      <c r="I2937">
        <v>-179041904</v>
      </c>
      <c r="J2937">
        <v>-16600813</v>
      </c>
      <c r="K2937">
        <v>-40103254</v>
      </c>
      <c r="L2937">
        <v>-26183884</v>
      </c>
      <c r="M2937">
        <v>-15804260</v>
      </c>
      <c r="N2937">
        <v>-61693958</v>
      </c>
      <c r="O2937">
        <v>-138158206</v>
      </c>
      <c r="P2937">
        <v>85</v>
      </c>
      <c r="Q2937" t="s">
        <v>5921</v>
      </c>
    </row>
    <row r="2938" spans="1:17" x14ac:dyDescent="0.3">
      <c r="A2938" t="s">
        <v>32</v>
      </c>
      <c r="B2938" t="str">
        <f>"300897"</f>
        <v>300897</v>
      </c>
      <c r="C2938" t="s">
        <v>5922</v>
      </c>
      <c r="D2938" t="s">
        <v>135</v>
      </c>
      <c r="E2938">
        <v>-79498479</v>
      </c>
      <c r="F2938">
        <v>-75370167</v>
      </c>
      <c r="G2938">
        <v>-54752924</v>
      </c>
      <c r="P2938">
        <v>50</v>
      </c>
      <c r="Q2938" t="s">
        <v>5923</v>
      </c>
    </row>
    <row r="2939" spans="1:17" x14ac:dyDescent="0.3">
      <c r="A2939" t="s">
        <v>32</v>
      </c>
      <c r="B2939" t="str">
        <f>"300978"</f>
        <v>300978</v>
      </c>
      <c r="C2939" t="s">
        <v>5924</v>
      </c>
      <c r="D2939" t="s">
        <v>199</v>
      </c>
      <c r="E2939">
        <v>-79865164</v>
      </c>
      <c r="F2939">
        <v>47683175</v>
      </c>
      <c r="G2939">
        <v>23684162</v>
      </c>
      <c r="P2939">
        <v>37</v>
      </c>
      <c r="Q2939" t="s">
        <v>5925</v>
      </c>
    </row>
    <row r="2940" spans="1:17" x14ac:dyDescent="0.3">
      <c r="A2940" t="s">
        <v>32</v>
      </c>
      <c r="B2940" t="str">
        <f>"300618"</f>
        <v>300618</v>
      </c>
      <c r="C2940" t="s">
        <v>5926</v>
      </c>
      <c r="D2940" t="s">
        <v>121</v>
      </c>
      <c r="E2940">
        <v>-79870787</v>
      </c>
      <c r="F2940">
        <v>-202551138</v>
      </c>
      <c r="G2940">
        <v>30324333</v>
      </c>
      <c r="H2940">
        <v>266657689</v>
      </c>
      <c r="I2940">
        <v>26206689</v>
      </c>
      <c r="J2940">
        <v>-16122093</v>
      </c>
      <c r="K2940">
        <v>-50767658</v>
      </c>
      <c r="P2940">
        <v>574</v>
      </c>
      <c r="Q2940" t="s">
        <v>5927</v>
      </c>
    </row>
    <row r="2941" spans="1:17" x14ac:dyDescent="0.3">
      <c r="A2941" t="s">
        <v>17</v>
      </c>
      <c r="B2941" t="str">
        <f>"688659"</f>
        <v>688659</v>
      </c>
      <c r="C2941" t="s">
        <v>5928</v>
      </c>
      <c r="D2941" t="s">
        <v>144</v>
      </c>
      <c r="E2941">
        <v>-79893597</v>
      </c>
      <c r="F2941">
        <v>6322105</v>
      </c>
      <c r="G2941">
        <v>-22195232</v>
      </c>
      <c r="P2941">
        <v>40</v>
      </c>
      <c r="Q2941" t="s">
        <v>5929</v>
      </c>
    </row>
    <row r="2942" spans="1:17" x14ac:dyDescent="0.3">
      <c r="A2942" t="s">
        <v>32</v>
      </c>
      <c r="B2942" t="str">
        <f>"002364"</f>
        <v>002364</v>
      </c>
      <c r="C2942" t="s">
        <v>5930</v>
      </c>
      <c r="D2942" t="s">
        <v>464</v>
      </c>
      <c r="E2942">
        <v>-79934413</v>
      </c>
      <c r="F2942">
        <v>-150713112</v>
      </c>
      <c r="G2942">
        <v>-73087991</v>
      </c>
      <c r="H2942">
        <v>-67415201</v>
      </c>
      <c r="I2942">
        <v>-75749228</v>
      </c>
      <c r="J2942">
        <v>-28511568</v>
      </c>
      <c r="K2942">
        <v>-91173258</v>
      </c>
      <c r="L2942">
        <v>-39964665</v>
      </c>
      <c r="M2942">
        <v>-44955867</v>
      </c>
      <c r="N2942">
        <v>-49246888</v>
      </c>
      <c r="O2942">
        <v>-20074244</v>
      </c>
      <c r="P2942">
        <v>219</v>
      </c>
      <c r="Q2942" t="s">
        <v>5931</v>
      </c>
    </row>
    <row r="2943" spans="1:17" x14ac:dyDescent="0.3">
      <c r="A2943" t="s">
        <v>17</v>
      </c>
      <c r="B2943" t="str">
        <f>"688109"</f>
        <v>688109</v>
      </c>
      <c r="C2943" t="s">
        <v>5932</v>
      </c>
      <c r="D2943" t="s">
        <v>342</v>
      </c>
      <c r="E2943">
        <v>-80023595</v>
      </c>
      <c r="F2943">
        <v>-37484090</v>
      </c>
      <c r="G2943">
        <v>-27065784</v>
      </c>
      <c r="P2943">
        <v>73</v>
      </c>
      <c r="Q2943" t="s">
        <v>5933</v>
      </c>
    </row>
    <row r="2944" spans="1:17" x14ac:dyDescent="0.3">
      <c r="A2944" t="s">
        <v>17</v>
      </c>
      <c r="B2944" t="str">
        <f>"603577"</f>
        <v>603577</v>
      </c>
      <c r="C2944" t="s">
        <v>5934</v>
      </c>
      <c r="D2944" t="s">
        <v>464</v>
      </c>
      <c r="E2944">
        <v>-80142664</v>
      </c>
      <c r="F2944">
        <v>-33969031</v>
      </c>
      <c r="G2944">
        <v>-100998878</v>
      </c>
      <c r="H2944">
        <v>-45171712</v>
      </c>
      <c r="I2944">
        <v>-57591977</v>
      </c>
      <c r="J2944">
        <v>-343248246</v>
      </c>
      <c r="K2944">
        <v>-12763835</v>
      </c>
      <c r="P2944">
        <v>90</v>
      </c>
      <c r="Q2944" t="s">
        <v>5935</v>
      </c>
    </row>
    <row r="2945" spans="1:17" x14ac:dyDescent="0.3">
      <c r="A2945" t="s">
        <v>32</v>
      </c>
      <c r="B2945" t="str">
        <f>"000570"</f>
        <v>000570</v>
      </c>
      <c r="C2945" t="s">
        <v>5936</v>
      </c>
      <c r="D2945" t="s">
        <v>199</v>
      </c>
      <c r="E2945">
        <v>-80247225</v>
      </c>
      <c r="F2945">
        <v>-248630227</v>
      </c>
      <c r="G2945">
        <v>-5836298</v>
      </c>
      <c r="H2945">
        <v>-70479570</v>
      </c>
      <c r="I2945">
        <v>-82956561</v>
      </c>
      <c r="J2945">
        <v>-84348825</v>
      </c>
      <c r="K2945">
        <v>-31248386</v>
      </c>
      <c r="L2945">
        <v>-16902777</v>
      </c>
      <c r="M2945">
        <v>-77333798</v>
      </c>
      <c r="N2945">
        <v>43699343</v>
      </c>
      <c r="O2945">
        <v>46859096</v>
      </c>
      <c r="P2945">
        <v>81</v>
      </c>
      <c r="Q2945" t="s">
        <v>5937</v>
      </c>
    </row>
    <row r="2946" spans="1:17" x14ac:dyDescent="0.3">
      <c r="A2946" t="s">
        <v>32</v>
      </c>
      <c r="B2946" t="str">
        <f>"300027"</f>
        <v>300027</v>
      </c>
      <c r="C2946" t="s">
        <v>5938</v>
      </c>
      <c r="D2946" t="s">
        <v>245</v>
      </c>
      <c r="E2946">
        <v>-80282565</v>
      </c>
      <c r="F2946">
        <v>369039099</v>
      </c>
      <c r="G2946">
        <v>-395327623</v>
      </c>
      <c r="H2946">
        <v>-258931568</v>
      </c>
      <c r="I2946">
        <v>659810245</v>
      </c>
      <c r="J2946">
        <v>-317117295</v>
      </c>
      <c r="K2946">
        <v>1997516</v>
      </c>
      <c r="L2946">
        <v>-211362666</v>
      </c>
      <c r="M2946">
        <v>54553461</v>
      </c>
      <c r="N2946">
        <v>9344353</v>
      </c>
      <c r="O2946">
        <v>-195485172</v>
      </c>
      <c r="P2946">
        <v>475</v>
      </c>
      <c r="Q2946" t="s">
        <v>5939</v>
      </c>
    </row>
    <row r="2947" spans="1:17" x14ac:dyDescent="0.3">
      <c r="A2947" t="s">
        <v>17</v>
      </c>
      <c r="B2947" t="str">
        <f>"688385"</f>
        <v>688385</v>
      </c>
      <c r="C2947" t="s">
        <v>5940</v>
      </c>
      <c r="D2947" t="s">
        <v>124</v>
      </c>
      <c r="E2947">
        <v>-80425671</v>
      </c>
      <c r="F2947">
        <v>-16492071</v>
      </c>
      <c r="G2947">
        <v>-54888162</v>
      </c>
      <c r="P2947">
        <v>47</v>
      </c>
      <c r="Q2947" t="s">
        <v>5941</v>
      </c>
    </row>
    <row r="2948" spans="1:17" x14ac:dyDescent="0.3">
      <c r="A2948" t="s">
        <v>17</v>
      </c>
      <c r="B2948" t="str">
        <f>"688070"</f>
        <v>688070</v>
      </c>
      <c r="C2948" t="s">
        <v>5942</v>
      </c>
      <c r="D2948" t="s">
        <v>188</v>
      </c>
      <c r="E2948">
        <v>-80447822</v>
      </c>
      <c r="F2948">
        <v>-91990774</v>
      </c>
      <c r="G2948">
        <v>-42078700</v>
      </c>
      <c r="H2948">
        <v>-11018500</v>
      </c>
      <c r="P2948">
        <v>43</v>
      </c>
      <c r="Q2948" t="s">
        <v>5943</v>
      </c>
    </row>
    <row r="2949" spans="1:17" x14ac:dyDescent="0.3">
      <c r="A2949" t="s">
        <v>32</v>
      </c>
      <c r="B2949" t="str">
        <f>"002560"</f>
        <v>002560</v>
      </c>
      <c r="C2949" t="s">
        <v>5944</v>
      </c>
      <c r="D2949" t="s">
        <v>464</v>
      </c>
      <c r="E2949">
        <v>-80546865</v>
      </c>
      <c r="F2949">
        <v>-92183453</v>
      </c>
      <c r="G2949">
        <v>-94590634</v>
      </c>
      <c r="H2949">
        <v>-137662352</v>
      </c>
      <c r="I2949">
        <v>-41862004</v>
      </c>
      <c r="J2949">
        <v>-217943669</v>
      </c>
      <c r="K2949">
        <v>-84436673</v>
      </c>
      <c r="L2949">
        <v>-75786599</v>
      </c>
      <c r="M2949">
        <v>-48297111</v>
      </c>
      <c r="N2949">
        <v>-29371707</v>
      </c>
      <c r="O2949">
        <v>-145845235</v>
      </c>
      <c r="P2949">
        <v>138</v>
      </c>
      <c r="Q2949" t="s">
        <v>5945</v>
      </c>
    </row>
    <row r="2950" spans="1:17" x14ac:dyDescent="0.3">
      <c r="A2950" t="s">
        <v>17</v>
      </c>
      <c r="B2950" t="str">
        <f>"603209"</f>
        <v>603209</v>
      </c>
      <c r="C2950" t="s">
        <v>5946</v>
      </c>
      <c r="E2950">
        <v>-80624972</v>
      </c>
      <c r="P2950">
        <v>12</v>
      </c>
      <c r="Q2950" t="s">
        <v>5947</v>
      </c>
    </row>
    <row r="2951" spans="1:17" x14ac:dyDescent="0.3">
      <c r="A2951" t="s">
        <v>17</v>
      </c>
      <c r="B2951" t="str">
        <f>"688288"</f>
        <v>688288</v>
      </c>
      <c r="C2951" t="s">
        <v>5948</v>
      </c>
      <c r="D2951" t="s">
        <v>342</v>
      </c>
      <c r="E2951">
        <v>-80736851</v>
      </c>
      <c r="F2951">
        <v>-51086609</v>
      </c>
      <c r="G2951">
        <v>-33879059</v>
      </c>
      <c r="H2951">
        <v>-292838</v>
      </c>
      <c r="P2951">
        <v>110</v>
      </c>
      <c r="Q2951" t="s">
        <v>5949</v>
      </c>
    </row>
    <row r="2952" spans="1:17" x14ac:dyDescent="0.3">
      <c r="A2952" t="s">
        <v>17</v>
      </c>
      <c r="B2952" t="str">
        <f>"603068"</f>
        <v>603068</v>
      </c>
      <c r="C2952" t="s">
        <v>5950</v>
      </c>
      <c r="D2952" t="s">
        <v>124</v>
      </c>
      <c r="E2952">
        <v>-80774765</v>
      </c>
      <c r="F2952">
        <v>-21787759</v>
      </c>
      <c r="G2952">
        <v>6642180</v>
      </c>
      <c r="H2952">
        <v>-2613662</v>
      </c>
      <c r="I2952">
        <v>68233849</v>
      </c>
      <c r="P2952">
        <v>345</v>
      </c>
      <c r="Q2952" t="s">
        <v>5951</v>
      </c>
    </row>
    <row r="2953" spans="1:17" x14ac:dyDescent="0.3">
      <c r="A2953" t="s">
        <v>17</v>
      </c>
      <c r="B2953" t="str">
        <f>"600475"</f>
        <v>600475</v>
      </c>
      <c r="C2953" t="s">
        <v>5952</v>
      </c>
      <c r="D2953" t="s">
        <v>464</v>
      </c>
      <c r="E2953">
        <v>-80812166</v>
      </c>
      <c r="F2953">
        <v>-132525615</v>
      </c>
      <c r="G2953">
        <v>-252148067</v>
      </c>
      <c r="H2953">
        <v>-43459027</v>
      </c>
      <c r="I2953">
        <v>-369014336</v>
      </c>
      <c r="J2953">
        <v>-80925304</v>
      </c>
      <c r="K2953">
        <v>-78563937</v>
      </c>
      <c r="L2953">
        <v>82014119</v>
      </c>
      <c r="M2953">
        <v>-10038808</v>
      </c>
      <c r="N2953">
        <v>-178065043</v>
      </c>
      <c r="O2953">
        <v>-46584272</v>
      </c>
      <c r="P2953">
        <v>169</v>
      </c>
      <c r="Q2953" t="s">
        <v>5953</v>
      </c>
    </row>
    <row r="2954" spans="1:17" x14ac:dyDescent="0.3">
      <c r="A2954" t="s">
        <v>17</v>
      </c>
      <c r="B2954" t="str">
        <f>"688277"</f>
        <v>688277</v>
      </c>
      <c r="C2954" t="s">
        <v>5954</v>
      </c>
      <c r="D2954" t="s">
        <v>98</v>
      </c>
      <c r="E2954">
        <v>-80914056</v>
      </c>
      <c r="F2954">
        <v>-17940602</v>
      </c>
      <c r="G2954">
        <v>-144005778</v>
      </c>
      <c r="H2954">
        <v>-34304984</v>
      </c>
      <c r="P2954">
        <v>120</v>
      </c>
      <c r="Q2954" t="s">
        <v>5955</v>
      </c>
    </row>
    <row r="2955" spans="1:17" x14ac:dyDescent="0.3">
      <c r="A2955" t="s">
        <v>32</v>
      </c>
      <c r="B2955" t="str">
        <f>"003017"</f>
        <v>003017</v>
      </c>
      <c r="C2955" t="s">
        <v>5956</v>
      </c>
      <c r="D2955" t="s">
        <v>144</v>
      </c>
      <c r="E2955">
        <v>-80949049</v>
      </c>
      <c r="F2955">
        <v>-22298519</v>
      </c>
      <c r="G2955">
        <v>-21242402</v>
      </c>
      <c r="I2955">
        <v>2335932</v>
      </c>
      <c r="P2955">
        <v>39</v>
      </c>
      <c r="Q2955" t="s">
        <v>5957</v>
      </c>
    </row>
    <row r="2956" spans="1:17" x14ac:dyDescent="0.3">
      <c r="A2956" t="s">
        <v>32</v>
      </c>
      <c r="B2956" t="str">
        <f>"002055"</f>
        <v>002055</v>
      </c>
      <c r="C2956" t="s">
        <v>5958</v>
      </c>
      <c r="D2956" t="s">
        <v>124</v>
      </c>
      <c r="E2956">
        <v>-80996940</v>
      </c>
      <c r="F2956">
        <v>-368776844</v>
      </c>
      <c r="G2956">
        <v>20571057</v>
      </c>
      <c r="H2956">
        <v>-124697789</v>
      </c>
      <c r="I2956">
        <v>-383214407</v>
      </c>
      <c r="J2956">
        <v>-344850935</v>
      </c>
      <c r="K2956">
        <v>-217932290</v>
      </c>
      <c r="L2956">
        <v>-184838358</v>
      </c>
      <c r="M2956">
        <v>13063522</v>
      </c>
      <c r="N2956">
        <v>-40613917</v>
      </c>
      <c r="O2956">
        <v>33528574</v>
      </c>
      <c r="P2956">
        <v>245</v>
      </c>
      <c r="Q2956" t="s">
        <v>5959</v>
      </c>
    </row>
    <row r="2957" spans="1:17" x14ac:dyDescent="0.3">
      <c r="A2957" t="s">
        <v>17</v>
      </c>
      <c r="B2957" t="str">
        <f>"600343"</f>
        <v>600343</v>
      </c>
      <c r="C2957" t="s">
        <v>5960</v>
      </c>
      <c r="D2957" t="s">
        <v>188</v>
      </c>
      <c r="E2957">
        <v>-81008449</v>
      </c>
      <c r="F2957">
        <v>-173890399</v>
      </c>
      <c r="G2957">
        <v>-99166250</v>
      </c>
      <c r="H2957">
        <v>-120325199</v>
      </c>
      <c r="I2957">
        <v>-235767278</v>
      </c>
      <c r="J2957">
        <v>-109420916</v>
      </c>
      <c r="K2957">
        <v>-237985440</v>
      </c>
      <c r="L2957">
        <v>-189689680</v>
      </c>
      <c r="M2957">
        <v>-134951197</v>
      </c>
      <c r="N2957">
        <v>-158871550</v>
      </c>
      <c r="O2957">
        <v>-137935712</v>
      </c>
      <c r="P2957">
        <v>128</v>
      </c>
      <c r="Q2957" t="s">
        <v>5961</v>
      </c>
    </row>
    <row r="2958" spans="1:17" x14ac:dyDescent="0.3">
      <c r="A2958" t="s">
        <v>17</v>
      </c>
      <c r="B2958" t="str">
        <f>"600979"</f>
        <v>600979</v>
      </c>
      <c r="C2958" t="s">
        <v>5962</v>
      </c>
      <c r="D2958" t="s">
        <v>158</v>
      </c>
      <c r="E2958">
        <v>-81028090</v>
      </c>
      <c r="F2958">
        <v>-2167268</v>
      </c>
      <c r="G2958">
        <v>-7447087</v>
      </c>
      <c r="H2958">
        <v>-87084255</v>
      </c>
      <c r="I2958">
        <v>-87351377</v>
      </c>
      <c r="J2958">
        <v>-21852599</v>
      </c>
      <c r="K2958">
        <v>-102632746</v>
      </c>
      <c r="L2958">
        <v>5807666</v>
      </c>
      <c r="M2958">
        <v>-85362167</v>
      </c>
      <c r="N2958">
        <v>-4433036</v>
      </c>
      <c r="O2958">
        <v>-31854422</v>
      </c>
      <c r="P2958">
        <v>117</v>
      </c>
      <c r="Q2958" t="s">
        <v>5963</v>
      </c>
    </row>
    <row r="2959" spans="1:17" x14ac:dyDescent="0.3">
      <c r="A2959" t="s">
        <v>17</v>
      </c>
      <c r="B2959" t="str">
        <f>"603496"</f>
        <v>603496</v>
      </c>
      <c r="C2959" t="s">
        <v>5964</v>
      </c>
      <c r="D2959" t="s">
        <v>342</v>
      </c>
      <c r="E2959">
        <v>-81041218</v>
      </c>
      <c r="F2959">
        <v>-97277953</v>
      </c>
      <c r="G2959">
        <v>-20176728</v>
      </c>
      <c r="H2959">
        <v>-13459035</v>
      </c>
      <c r="I2959">
        <v>-60185403</v>
      </c>
      <c r="J2959">
        <v>-14195219</v>
      </c>
      <c r="P2959">
        <v>194</v>
      </c>
      <c r="Q2959" t="s">
        <v>5965</v>
      </c>
    </row>
    <row r="2960" spans="1:17" x14ac:dyDescent="0.3">
      <c r="A2960" t="s">
        <v>17</v>
      </c>
      <c r="B2960" t="str">
        <f>"603579"</f>
        <v>603579</v>
      </c>
      <c r="C2960" t="s">
        <v>5966</v>
      </c>
      <c r="D2960" t="s">
        <v>127</v>
      </c>
      <c r="E2960">
        <v>-81043856</v>
      </c>
      <c r="F2960">
        <v>16444116</v>
      </c>
      <c r="G2960">
        <v>-318500317</v>
      </c>
      <c r="H2960">
        <v>122935756</v>
      </c>
      <c r="I2960">
        <v>30149156</v>
      </c>
      <c r="J2960">
        <v>5427262</v>
      </c>
      <c r="K2960">
        <v>-54548318</v>
      </c>
      <c r="P2960">
        <v>597</v>
      </c>
      <c r="Q2960" t="s">
        <v>5967</v>
      </c>
    </row>
    <row r="2961" spans="1:17" x14ac:dyDescent="0.3">
      <c r="A2961" t="s">
        <v>32</v>
      </c>
      <c r="B2961" t="str">
        <f>"002856"</f>
        <v>002856</v>
      </c>
      <c r="C2961" t="s">
        <v>5968</v>
      </c>
      <c r="D2961" t="s">
        <v>645</v>
      </c>
      <c r="E2961">
        <v>-81110972</v>
      </c>
      <c r="F2961">
        <v>-55428857</v>
      </c>
      <c r="G2961">
        <v>-85010254</v>
      </c>
      <c r="H2961">
        <v>16214168</v>
      </c>
      <c r="I2961">
        <v>-114726028</v>
      </c>
      <c r="J2961">
        <v>-92995254</v>
      </c>
      <c r="K2961">
        <v>-108555595</v>
      </c>
      <c r="P2961">
        <v>51</v>
      </c>
      <c r="Q2961" t="s">
        <v>5969</v>
      </c>
    </row>
    <row r="2962" spans="1:17" x14ac:dyDescent="0.3">
      <c r="A2962" t="s">
        <v>32</v>
      </c>
      <c r="B2962" t="str">
        <f>"300605"</f>
        <v>300605</v>
      </c>
      <c r="C2962" t="s">
        <v>5970</v>
      </c>
      <c r="D2962" t="s">
        <v>342</v>
      </c>
      <c r="E2962">
        <v>-81322558</v>
      </c>
      <c r="F2962">
        <v>-57184010</v>
      </c>
      <c r="G2962">
        <v>-61699181</v>
      </c>
      <c r="H2962">
        <v>-103850057</v>
      </c>
      <c r="I2962">
        <v>-4990059</v>
      </c>
      <c r="J2962">
        <v>-53402096</v>
      </c>
      <c r="K2962">
        <v>-33820372</v>
      </c>
      <c r="P2962">
        <v>93</v>
      </c>
      <c r="Q2962" t="s">
        <v>5971</v>
      </c>
    </row>
    <row r="2963" spans="1:17" x14ac:dyDescent="0.3">
      <c r="A2963" t="s">
        <v>17</v>
      </c>
      <c r="B2963" t="str">
        <f>"600782"</f>
        <v>600782</v>
      </c>
      <c r="C2963" t="s">
        <v>5972</v>
      </c>
      <c r="D2963" t="s">
        <v>163</v>
      </c>
      <c r="E2963">
        <v>-81328091</v>
      </c>
      <c r="F2963">
        <v>1487700808</v>
      </c>
      <c r="G2963">
        <v>1601496190</v>
      </c>
      <c r="H2963">
        <v>286247900</v>
      </c>
      <c r="I2963">
        <v>1032621430</v>
      </c>
      <c r="J2963">
        <v>552611836</v>
      </c>
      <c r="K2963">
        <v>-370193777</v>
      </c>
      <c r="L2963">
        <v>-52477885</v>
      </c>
      <c r="M2963">
        <v>-267947240</v>
      </c>
      <c r="N2963">
        <v>-287160426</v>
      </c>
      <c r="O2963">
        <v>-285986469</v>
      </c>
      <c r="P2963">
        <v>1414</v>
      </c>
      <c r="Q2963" t="s">
        <v>5973</v>
      </c>
    </row>
    <row r="2964" spans="1:17" x14ac:dyDescent="0.3">
      <c r="A2964" t="s">
        <v>17</v>
      </c>
      <c r="B2964" t="str">
        <f>"605108"</f>
        <v>605108</v>
      </c>
      <c r="C2964" t="s">
        <v>5974</v>
      </c>
      <c r="D2964" t="s">
        <v>497</v>
      </c>
      <c r="E2964">
        <v>-81334613</v>
      </c>
      <c r="F2964">
        <v>-60516478</v>
      </c>
      <c r="G2964">
        <v>-45661398</v>
      </c>
      <c r="P2964">
        <v>104</v>
      </c>
      <c r="Q2964" t="s">
        <v>5975</v>
      </c>
    </row>
    <row r="2965" spans="1:17" x14ac:dyDescent="0.3">
      <c r="A2965" t="s">
        <v>32</v>
      </c>
      <c r="B2965" t="str">
        <f>"301030"</f>
        <v>301030</v>
      </c>
      <c r="C2965" t="s">
        <v>5976</v>
      </c>
      <c r="D2965" t="s">
        <v>1334</v>
      </c>
      <c r="E2965">
        <v>-81347353</v>
      </c>
      <c r="F2965">
        <v>30436198</v>
      </c>
      <c r="G2965">
        <v>-91553213</v>
      </c>
      <c r="P2965">
        <v>19</v>
      </c>
      <c r="Q2965" t="s">
        <v>5977</v>
      </c>
    </row>
    <row r="2966" spans="1:17" x14ac:dyDescent="0.3">
      <c r="A2966" t="s">
        <v>32</v>
      </c>
      <c r="B2966" t="str">
        <f>"301038"</f>
        <v>301038</v>
      </c>
      <c r="C2966" t="s">
        <v>5978</v>
      </c>
      <c r="D2966" t="s">
        <v>645</v>
      </c>
      <c r="E2966">
        <v>-81388284</v>
      </c>
      <c r="F2966">
        <v>-195307760</v>
      </c>
      <c r="G2966">
        <v>-205126668</v>
      </c>
      <c r="P2966">
        <v>21</v>
      </c>
      <c r="Q2966" t="s">
        <v>5979</v>
      </c>
    </row>
    <row r="2967" spans="1:17" x14ac:dyDescent="0.3">
      <c r="A2967" t="s">
        <v>17</v>
      </c>
      <c r="B2967" t="str">
        <f>"688177"</f>
        <v>688177</v>
      </c>
      <c r="C2967" t="s">
        <v>5980</v>
      </c>
      <c r="D2967" t="s">
        <v>98</v>
      </c>
      <c r="E2967">
        <v>-81573582</v>
      </c>
      <c r="F2967">
        <v>-137947279</v>
      </c>
      <c r="G2967">
        <v>-255573614</v>
      </c>
      <c r="H2967">
        <v>-230607071</v>
      </c>
      <c r="P2967">
        <v>98</v>
      </c>
      <c r="Q2967" t="s">
        <v>5981</v>
      </c>
    </row>
    <row r="2968" spans="1:17" x14ac:dyDescent="0.3">
      <c r="A2968" t="s">
        <v>32</v>
      </c>
      <c r="B2968" t="str">
        <f>"000615"</f>
        <v>000615</v>
      </c>
      <c r="C2968" t="s">
        <v>5982</v>
      </c>
      <c r="D2968" t="s">
        <v>544</v>
      </c>
      <c r="E2968">
        <v>-81648366</v>
      </c>
      <c r="F2968">
        <v>-125361108</v>
      </c>
      <c r="G2968">
        <v>-474507665</v>
      </c>
      <c r="H2968">
        <v>-122658667</v>
      </c>
      <c r="I2968">
        <v>-130893041</v>
      </c>
      <c r="J2968">
        <v>52746489</v>
      </c>
      <c r="K2968">
        <v>518530189</v>
      </c>
      <c r="L2968">
        <v>-80013522</v>
      </c>
      <c r="M2968">
        <v>61900188</v>
      </c>
      <c r="N2968">
        <v>-8081756</v>
      </c>
      <c r="O2968">
        <v>-70409520</v>
      </c>
      <c r="P2968">
        <v>188</v>
      </c>
      <c r="Q2968" t="s">
        <v>5983</v>
      </c>
    </row>
    <row r="2969" spans="1:17" x14ac:dyDescent="0.3">
      <c r="A2969" t="s">
        <v>32</v>
      </c>
      <c r="B2969" t="str">
        <f>"002194"</f>
        <v>002194</v>
      </c>
      <c r="C2969" t="s">
        <v>5984</v>
      </c>
      <c r="D2969" t="s">
        <v>57</v>
      </c>
      <c r="E2969">
        <v>-81753831</v>
      </c>
      <c r="F2969">
        <v>114008384</v>
      </c>
      <c r="G2969">
        <v>147509999</v>
      </c>
      <c r="H2969">
        <v>191693893</v>
      </c>
      <c r="I2969">
        <v>-53068317</v>
      </c>
      <c r="J2969">
        <v>-311982319</v>
      </c>
      <c r="K2969">
        <v>-79409266</v>
      </c>
      <c r="L2969">
        <v>-183374892</v>
      </c>
      <c r="M2969">
        <v>-162031785</v>
      </c>
      <c r="N2969">
        <v>17301867</v>
      </c>
      <c r="O2969">
        <v>-203364368</v>
      </c>
      <c r="P2969">
        <v>906</v>
      </c>
      <c r="Q2969" t="s">
        <v>5985</v>
      </c>
    </row>
    <row r="2970" spans="1:17" x14ac:dyDescent="0.3">
      <c r="A2970" t="s">
        <v>17</v>
      </c>
      <c r="B2970" t="str">
        <f>"605377"</f>
        <v>605377</v>
      </c>
      <c r="C2970" t="s">
        <v>5986</v>
      </c>
      <c r="D2970" t="s">
        <v>455</v>
      </c>
      <c r="E2970">
        <v>-81760710</v>
      </c>
      <c r="F2970">
        <v>-1352432</v>
      </c>
      <c r="G2970">
        <v>-44164167</v>
      </c>
      <c r="P2970">
        <v>59</v>
      </c>
      <c r="Q2970" t="s">
        <v>5987</v>
      </c>
    </row>
    <row r="2971" spans="1:17" x14ac:dyDescent="0.3">
      <c r="A2971" t="s">
        <v>32</v>
      </c>
      <c r="B2971" t="str">
        <f>"002679"</f>
        <v>002679</v>
      </c>
      <c r="C2971" t="s">
        <v>5988</v>
      </c>
      <c r="D2971" t="s">
        <v>175</v>
      </c>
      <c r="E2971">
        <v>-81918676</v>
      </c>
      <c r="F2971">
        <v>-41477251</v>
      </c>
      <c r="G2971">
        <v>-16446466</v>
      </c>
      <c r="H2971">
        <v>-31595248</v>
      </c>
      <c r="I2971">
        <v>-7184939</v>
      </c>
      <c r="J2971">
        <v>-63024821</v>
      </c>
      <c r="K2971">
        <v>2726286</v>
      </c>
      <c r="L2971">
        <v>-86506405</v>
      </c>
      <c r="M2971">
        <v>-19986308</v>
      </c>
      <c r="N2971">
        <v>-321393526</v>
      </c>
      <c r="O2971">
        <v>-75088331</v>
      </c>
      <c r="P2971">
        <v>95</v>
      </c>
      <c r="Q2971" t="s">
        <v>5989</v>
      </c>
    </row>
    <row r="2972" spans="1:17" x14ac:dyDescent="0.3">
      <c r="A2972" t="s">
        <v>32</v>
      </c>
      <c r="B2972" t="str">
        <f>"300522"</f>
        <v>300522</v>
      </c>
      <c r="C2972" t="s">
        <v>5990</v>
      </c>
      <c r="D2972" t="s">
        <v>144</v>
      </c>
      <c r="E2972">
        <v>-81985129</v>
      </c>
      <c r="F2972">
        <v>-58764879</v>
      </c>
      <c r="G2972">
        <v>-18060306</v>
      </c>
      <c r="H2972">
        <v>-15482690</v>
      </c>
      <c r="I2972">
        <v>-8120106</v>
      </c>
      <c r="J2972">
        <v>-14410207</v>
      </c>
      <c r="K2972">
        <v>-10910775</v>
      </c>
      <c r="L2972">
        <v>-11015171</v>
      </c>
      <c r="P2972">
        <v>99</v>
      </c>
      <c r="Q2972" t="s">
        <v>5991</v>
      </c>
    </row>
    <row r="2973" spans="1:17" x14ac:dyDescent="0.3">
      <c r="A2973" t="s">
        <v>17</v>
      </c>
      <c r="B2973" t="str">
        <f>"603817"</f>
        <v>603817</v>
      </c>
      <c r="C2973" t="s">
        <v>5992</v>
      </c>
      <c r="D2973" t="s">
        <v>1334</v>
      </c>
      <c r="E2973">
        <v>-82008570</v>
      </c>
      <c r="F2973">
        <v>14491293</v>
      </c>
      <c r="G2973">
        <v>169971098</v>
      </c>
      <c r="H2973">
        <v>-89912729</v>
      </c>
      <c r="I2973">
        <v>-133960338</v>
      </c>
      <c r="J2973">
        <v>-74589434</v>
      </c>
      <c r="K2973">
        <v>5729474</v>
      </c>
      <c r="P2973">
        <v>121</v>
      </c>
      <c r="Q2973" t="s">
        <v>5993</v>
      </c>
    </row>
    <row r="2974" spans="1:17" x14ac:dyDescent="0.3">
      <c r="A2974" t="s">
        <v>32</v>
      </c>
      <c r="B2974" t="str">
        <f>"300882"</f>
        <v>300882</v>
      </c>
      <c r="C2974" t="s">
        <v>5994</v>
      </c>
      <c r="D2974" t="s">
        <v>464</v>
      </c>
      <c r="E2974">
        <v>-82123299</v>
      </c>
      <c r="F2974">
        <v>-50863079</v>
      </c>
      <c r="G2974">
        <v>-54695148</v>
      </c>
      <c r="P2974">
        <v>41</v>
      </c>
      <c r="Q2974" t="s">
        <v>5995</v>
      </c>
    </row>
    <row r="2975" spans="1:17" x14ac:dyDescent="0.3">
      <c r="A2975" t="s">
        <v>32</v>
      </c>
      <c r="B2975" t="str">
        <f>"002512"</f>
        <v>002512</v>
      </c>
      <c r="C2975" t="s">
        <v>5996</v>
      </c>
      <c r="D2975" t="s">
        <v>342</v>
      </c>
      <c r="E2975">
        <v>-82420962</v>
      </c>
      <c r="F2975">
        <v>-119607403</v>
      </c>
      <c r="G2975">
        <v>-168887893</v>
      </c>
      <c r="H2975">
        <v>179932448</v>
      </c>
      <c r="I2975">
        <v>2474551</v>
      </c>
      <c r="J2975">
        <v>-117276610</v>
      </c>
      <c r="K2975">
        <v>-111339741</v>
      </c>
      <c r="L2975">
        <v>-240724904</v>
      </c>
      <c r="M2975">
        <v>-32362754</v>
      </c>
      <c r="N2975">
        <v>-54516840</v>
      </c>
      <c r="O2975">
        <v>-41005256</v>
      </c>
      <c r="P2975">
        <v>162</v>
      </c>
      <c r="Q2975" t="s">
        <v>5997</v>
      </c>
    </row>
    <row r="2976" spans="1:17" x14ac:dyDescent="0.3">
      <c r="A2976" t="s">
        <v>32</v>
      </c>
      <c r="B2976" t="str">
        <f>"000045"</f>
        <v>000045</v>
      </c>
      <c r="C2976" t="s">
        <v>5998</v>
      </c>
      <c r="D2976" t="s">
        <v>124</v>
      </c>
      <c r="E2976">
        <v>-82500908</v>
      </c>
      <c r="F2976">
        <v>-164757061</v>
      </c>
      <c r="G2976">
        <v>-133117061</v>
      </c>
      <c r="H2976">
        <v>-489332</v>
      </c>
      <c r="I2976">
        <v>-172478056</v>
      </c>
      <c r="J2976">
        <v>-293470306</v>
      </c>
      <c r="K2976">
        <v>-89831886</v>
      </c>
      <c r="L2976">
        <v>32847585</v>
      </c>
      <c r="M2976">
        <v>-23740239</v>
      </c>
      <c r="N2976">
        <v>-89830631</v>
      </c>
      <c r="O2976">
        <v>-36735491</v>
      </c>
      <c r="P2976">
        <v>86</v>
      </c>
      <c r="Q2976" t="s">
        <v>5999</v>
      </c>
    </row>
    <row r="2977" spans="1:17" x14ac:dyDescent="0.3">
      <c r="A2977" t="s">
        <v>32</v>
      </c>
      <c r="B2977" t="str">
        <f>"300863"</f>
        <v>300863</v>
      </c>
      <c r="C2977" t="s">
        <v>6000</v>
      </c>
      <c r="D2977" t="s">
        <v>199</v>
      </c>
      <c r="E2977">
        <v>-82556007</v>
      </c>
      <c r="F2977">
        <v>-34303819</v>
      </c>
      <c r="G2977">
        <v>38347302</v>
      </c>
      <c r="P2977">
        <v>75</v>
      </c>
      <c r="Q2977" t="s">
        <v>6001</v>
      </c>
    </row>
    <row r="2978" spans="1:17" x14ac:dyDescent="0.3">
      <c r="A2978" t="s">
        <v>17</v>
      </c>
      <c r="B2978" t="str">
        <f>"603859"</f>
        <v>603859</v>
      </c>
      <c r="C2978" t="s">
        <v>6002</v>
      </c>
      <c r="D2978" t="s">
        <v>135</v>
      </c>
      <c r="E2978">
        <v>-82726945</v>
      </c>
      <c r="F2978">
        <v>-105300549</v>
      </c>
      <c r="G2978">
        <v>-94754228</v>
      </c>
      <c r="H2978">
        <v>-78899393</v>
      </c>
      <c r="I2978">
        <v>-48475843</v>
      </c>
      <c r="J2978">
        <v>-56127318</v>
      </c>
      <c r="K2978">
        <v>-25278374</v>
      </c>
      <c r="P2978">
        <v>206</v>
      </c>
      <c r="Q2978" t="s">
        <v>6003</v>
      </c>
    </row>
    <row r="2979" spans="1:17" x14ac:dyDescent="0.3">
      <c r="A2979" t="s">
        <v>17</v>
      </c>
      <c r="B2979" t="str">
        <f>"603878"</f>
        <v>603878</v>
      </c>
      <c r="C2979" t="s">
        <v>6004</v>
      </c>
      <c r="D2979" t="s">
        <v>163</v>
      </c>
      <c r="E2979">
        <v>-82811741</v>
      </c>
      <c r="F2979">
        <v>173738483</v>
      </c>
      <c r="G2979">
        <v>76248204</v>
      </c>
      <c r="H2979">
        <v>22723684</v>
      </c>
      <c r="I2979">
        <v>-5005725</v>
      </c>
      <c r="J2979">
        <v>-25520254</v>
      </c>
      <c r="K2979">
        <v>154376586</v>
      </c>
      <c r="P2979">
        <v>142</v>
      </c>
      <c r="Q2979" t="s">
        <v>6005</v>
      </c>
    </row>
    <row r="2980" spans="1:17" x14ac:dyDescent="0.3">
      <c r="A2980" t="s">
        <v>32</v>
      </c>
      <c r="B2980" t="str">
        <f>"300973"</f>
        <v>300973</v>
      </c>
      <c r="C2980" t="s">
        <v>6006</v>
      </c>
      <c r="D2980" t="s">
        <v>172</v>
      </c>
      <c r="E2980">
        <v>-82838663</v>
      </c>
      <c r="F2980">
        <v>-139333232</v>
      </c>
      <c r="G2980">
        <v>-31711212</v>
      </c>
      <c r="P2980">
        <v>140</v>
      </c>
      <c r="Q2980" t="s">
        <v>6007</v>
      </c>
    </row>
    <row r="2981" spans="1:17" x14ac:dyDescent="0.3">
      <c r="A2981" t="s">
        <v>32</v>
      </c>
      <c r="B2981" t="str">
        <f>"300311"</f>
        <v>300311</v>
      </c>
      <c r="C2981" t="s">
        <v>6008</v>
      </c>
      <c r="D2981" t="s">
        <v>342</v>
      </c>
      <c r="E2981">
        <v>-82882823</v>
      </c>
      <c r="F2981">
        <v>-84818610</v>
      </c>
      <c r="G2981">
        <v>-94348138</v>
      </c>
      <c r="H2981">
        <v>-159050410</v>
      </c>
      <c r="I2981">
        <v>-128213441</v>
      </c>
      <c r="J2981">
        <v>-74583010</v>
      </c>
      <c r="K2981">
        <v>-46957097</v>
      </c>
      <c r="L2981">
        <v>-32108503</v>
      </c>
      <c r="M2981">
        <v>-65480230</v>
      </c>
      <c r="N2981">
        <v>-11898298</v>
      </c>
      <c r="O2981">
        <v>-15177233</v>
      </c>
      <c r="P2981">
        <v>161</v>
      </c>
      <c r="Q2981" t="s">
        <v>6009</v>
      </c>
    </row>
    <row r="2982" spans="1:17" x14ac:dyDescent="0.3">
      <c r="A2982" t="s">
        <v>32</v>
      </c>
      <c r="B2982" t="str">
        <f>"300436"</f>
        <v>300436</v>
      </c>
      <c r="C2982" t="s">
        <v>6010</v>
      </c>
      <c r="D2982" t="s">
        <v>98</v>
      </c>
      <c r="E2982">
        <v>-82903867</v>
      </c>
      <c r="F2982">
        <v>-27720611</v>
      </c>
      <c r="G2982">
        <v>-268559</v>
      </c>
      <c r="H2982">
        <v>-8542584</v>
      </c>
      <c r="I2982">
        <v>-95124137</v>
      </c>
      <c r="J2982">
        <v>14158476</v>
      </c>
      <c r="K2982">
        <v>492107</v>
      </c>
      <c r="L2982">
        <v>20818767</v>
      </c>
      <c r="M2982">
        <v>11972958</v>
      </c>
      <c r="P2982">
        <v>135</v>
      </c>
      <c r="Q2982" t="s">
        <v>6011</v>
      </c>
    </row>
    <row r="2983" spans="1:17" x14ac:dyDescent="0.3">
      <c r="A2983" t="s">
        <v>32</v>
      </c>
      <c r="B2983" t="str">
        <f>"301010"</f>
        <v>301010</v>
      </c>
      <c r="C2983" t="s">
        <v>6012</v>
      </c>
      <c r="D2983" t="s">
        <v>400</v>
      </c>
      <c r="E2983">
        <v>-82928886</v>
      </c>
      <c r="F2983">
        <v>-63433599</v>
      </c>
      <c r="G2983">
        <v>-27995780</v>
      </c>
      <c r="P2983">
        <v>33</v>
      </c>
      <c r="Q2983" t="s">
        <v>6013</v>
      </c>
    </row>
    <row r="2984" spans="1:17" x14ac:dyDescent="0.3">
      <c r="A2984" t="s">
        <v>32</v>
      </c>
      <c r="B2984" t="str">
        <f>"003021"</f>
        <v>003021</v>
      </c>
      <c r="C2984" t="s">
        <v>6014</v>
      </c>
      <c r="D2984" t="s">
        <v>464</v>
      </c>
      <c r="E2984">
        <v>-83049279</v>
      </c>
      <c r="F2984">
        <v>-14247479</v>
      </c>
      <c r="G2984">
        <v>22076404</v>
      </c>
      <c r="P2984">
        <v>80</v>
      </c>
      <c r="Q2984" t="s">
        <v>6015</v>
      </c>
    </row>
    <row r="2985" spans="1:17" x14ac:dyDescent="0.3">
      <c r="A2985" t="s">
        <v>32</v>
      </c>
      <c r="B2985" t="str">
        <f>"300648"</f>
        <v>300648</v>
      </c>
      <c r="C2985" t="s">
        <v>6016</v>
      </c>
      <c r="D2985" t="s">
        <v>464</v>
      </c>
      <c r="E2985">
        <v>-83164811</v>
      </c>
      <c r="F2985">
        <v>-45412805</v>
      </c>
      <c r="G2985">
        <v>-56245200</v>
      </c>
      <c r="H2985">
        <v>-41927936</v>
      </c>
      <c r="I2985">
        <v>-35595556</v>
      </c>
      <c r="J2985">
        <v>-20422252</v>
      </c>
      <c r="K2985">
        <v>-11447503</v>
      </c>
      <c r="P2985">
        <v>267</v>
      </c>
      <c r="Q2985" t="s">
        <v>6017</v>
      </c>
    </row>
    <row r="2986" spans="1:17" x14ac:dyDescent="0.3">
      <c r="A2986" t="s">
        <v>32</v>
      </c>
      <c r="B2986" t="str">
        <f>"300011"</f>
        <v>300011</v>
      </c>
      <c r="C2986" t="s">
        <v>6018</v>
      </c>
      <c r="D2986" t="s">
        <v>135</v>
      </c>
      <c r="E2986">
        <v>-83220745</v>
      </c>
      <c r="F2986">
        <v>-95831698</v>
      </c>
      <c r="G2986">
        <v>5167258</v>
      </c>
      <c r="H2986">
        <v>-15829332</v>
      </c>
      <c r="I2986">
        <v>22236714</v>
      </c>
      <c r="J2986">
        <v>-118077961</v>
      </c>
      <c r="K2986">
        <v>-31880510</v>
      </c>
      <c r="L2986">
        <v>-14143870</v>
      </c>
      <c r="M2986">
        <v>-59374998</v>
      </c>
      <c r="N2986">
        <v>-41690730</v>
      </c>
      <c r="O2986">
        <v>-25070031</v>
      </c>
      <c r="P2986">
        <v>109</v>
      </c>
      <c r="Q2986" t="s">
        <v>6019</v>
      </c>
    </row>
    <row r="2987" spans="1:17" x14ac:dyDescent="0.3">
      <c r="A2987" t="s">
        <v>17</v>
      </c>
      <c r="B2987" t="str">
        <f>"600004"</f>
        <v>600004</v>
      </c>
      <c r="C2987" t="s">
        <v>6020</v>
      </c>
      <c r="D2987" t="s">
        <v>46</v>
      </c>
      <c r="E2987">
        <v>-83258636</v>
      </c>
      <c r="F2987">
        <v>-230805404</v>
      </c>
      <c r="G2987">
        <v>425913169</v>
      </c>
      <c r="H2987">
        <v>-63055986</v>
      </c>
      <c r="I2987">
        <v>-28647611</v>
      </c>
      <c r="J2987">
        <v>-341599613</v>
      </c>
      <c r="K2987">
        <v>-2066181154</v>
      </c>
      <c r="L2987">
        <v>214283066</v>
      </c>
      <c r="M2987">
        <v>97237154</v>
      </c>
      <c r="N2987">
        <v>204070369</v>
      </c>
      <c r="O2987">
        <v>232796108</v>
      </c>
      <c r="P2987">
        <v>1892</v>
      </c>
      <c r="Q2987" t="s">
        <v>6021</v>
      </c>
    </row>
    <row r="2988" spans="1:17" x14ac:dyDescent="0.3">
      <c r="A2988" t="s">
        <v>32</v>
      </c>
      <c r="B2988" t="str">
        <f>"301081"</f>
        <v>301081</v>
      </c>
      <c r="C2988" t="s">
        <v>6022</v>
      </c>
      <c r="D2988" t="s">
        <v>1334</v>
      </c>
      <c r="E2988">
        <v>-83335693</v>
      </c>
      <c r="P2988">
        <v>21</v>
      </c>
      <c r="Q2988" t="s">
        <v>6023</v>
      </c>
    </row>
    <row r="2989" spans="1:17" x14ac:dyDescent="0.3">
      <c r="A2989" t="s">
        <v>17</v>
      </c>
      <c r="B2989" t="str">
        <f>"603926"</f>
        <v>603926</v>
      </c>
      <c r="C2989" t="s">
        <v>6024</v>
      </c>
      <c r="D2989" t="s">
        <v>199</v>
      </c>
      <c r="E2989">
        <v>-83356481</v>
      </c>
      <c r="F2989">
        <v>-51659190</v>
      </c>
      <c r="G2989">
        <v>-72164313</v>
      </c>
      <c r="H2989">
        <v>-30104614</v>
      </c>
      <c r="I2989">
        <v>-63108855</v>
      </c>
      <c r="J2989">
        <v>-24679763</v>
      </c>
      <c r="K2989">
        <v>-18706102</v>
      </c>
      <c r="P2989">
        <v>104</v>
      </c>
      <c r="Q2989" t="s">
        <v>6025</v>
      </c>
    </row>
    <row r="2990" spans="1:17" x14ac:dyDescent="0.3">
      <c r="A2990" t="s">
        <v>17</v>
      </c>
      <c r="B2990" t="str">
        <f>"605088"</f>
        <v>605088</v>
      </c>
      <c r="C2990" t="s">
        <v>6026</v>
      </c>
      <c r="D2990" t="s">
        <v>199</v>
      </c>
      <c r="E2990">
        <v>-83577240</v>
      </c>
      <c r="F2990">
        <v>-107602617</v>
      </c>
      <c r="G2990">
        <v>-38475572</v>
      </c>
      <c r="H2990">
        <v>-55674252</v>
      </c>
      <c r="P2990">
        <v>47</v>
      </c>
      <c r="Q2990" t="s">
        <v>6027</v>
      </c>
    </row>
    <row r="2991" spans="1:17" x14ac:dyDescent="0.3">
      <c r="A2991" t="s">
        <v>17</v>
      </c>
      <c r="B2991" t="str">
        <f>"688800"</f>
        <v>688800</v>
      </c>
      <c r="C2991" t="s">
        <v>6028</v>
      </c>
      <c r="D2991" t="s">
        <v>124</v>
      </c>
      <c r="E2991">
        <v>-83654593</v>
      </c>
      <c r="F2991">
        <v>9860722</v>
      </c>
      <c r="G2991">
        <v>15150357</v>
      </c>
      <c r="P2991">
        <v>51</v>
      </c>
      <c r="Q2991" t="s">
        <v>6029</v>
      </c>
    </row>
    <row r="2992" spans="1:17" x14ac:dyDescent="0.3">
      <c r="A2992" t="s">
        <v>32</v>
      </c>
      <c r="B2992" t="str">
        <f>"300718"</f>
        <v>300718</v>
      </c>
      <c r="C2992" t="s">
        <v>6030</v>
      </c>
      <c r="D2992" t="s">
        <v>135</v>
      </c>
      <c r="E2992">
        <v>-83837533</v>
      </c>
      <c r="F2992">
        <v>-22386564</v>
      </c>
      <c r="G2992">
        <v>-7189114</v>
      </c>
      <c r="H2992">
        <v>10189551</v>
      </c>
      <c r="I2992">
        <v>-14667159</v>
      </c>
      <c r="J2992">
        <v>-2460340</v>
      </c>
      <c r="P2992">
        <v>100</v>
      </c>
      <c r="Q2992" t="s">
        <v>6031</v>
      </c>
    </row>
    <row r="2993" spans="1:17" x14ac:dyDescent="0.3">
      <c r="A2993" t="s">
        <v>17</v>
      </c>
      <c r="B2993" t="str">
        <f>"688778"</f>
        <v>688778</v>
      </c>
      <c r="C2993" t="s">
        <v>6032</v>
      </c>
      <c r="D2993" t="s">
        <v>464</v>
      </c>
      <c r="E2993">
        <v>-84074336</v>
      </c>
      <c r="F2993">
        <v>-6847009</v>
      </c>
      <c r="G2993">
        <v>31486820</v>
      </c>
      <c r="P2993">
        <v>44</v>
      </c>
      <c r="Q2993" t="s">
        <v>6033</v>
      </c>
    </row>
    <row r="2994" spans="1:17" x14ac:dyDescent="0.3">
      <c r="A2994" t="s">
        <v>17</v>
      </c>
      <c r="B2994" t="str">
        <f>"688199"</f>
        <v>688199</v>
      </c>
      <c r="C2994" t="s">
        <v>6034</v>
      </c>
      <c r="D2994" t="s">
        <v>144</v>
      </c>
      <c r="E2994">
        <v>-84099720</v>
      </c>
      <c r="F2994">
        <v>-83064446</v>
      </c>
      <c r="G2994">
        <v>36101002</v>
      </c>
      <c r="H2994">
        <v>-20950228</v>
      </c>
      <c r="I2994">
        <v>19268063</v>
      </c>
      <c r="P2994">
        <v>94</v>
      </c>
      <c r="Q2994" t="s">
        <v>6035</v>
      </c>
    </row>
    <row r="2995" spans="1:17" x14ac:dyDescent="0.3">
      <c r="A2995" t="s">
        <v>17</v>
      </c>
      <c r="B2995" t="str">
        <f>"603530"</f>
        <v>603530</v>
      </c>
      <c r="C2995" t="s">
        <v>6036</v>
      </c>
      <c r="D2995" t="s">
        <v>464</v>
      </c>
      <c r="E2995">
        <v>-84117000</v>
      </c>
      <c r="F2995">
        <v>-23317027</v>
      </c>
      <c r="G2995">
        <v>-22796066</v>
      </c>
      <c r="H2995">
        <v>24920135</v>
      </c>
      <c r="P2995">
        <v>88</v>
      </c>
      <c r="Q2995" t="s">
        <v>6037</v>
      </c>
    </row>
    <row r="2996" spans="1:17" x14ac:dyDescent="0.3">
      <c r="A2996" t="s">
        <v>17</v>
      </c>
      <c r="B2996" t="str">
        <f>"603916"</f>
        <v>603916</v>
      </c>
      <c r="C2996" t="s">
        <v>6038</v>
      </c>
      <c r="D2996" t="s">
        <v>144</v>
      </c>
      <c r="E2996">
        <v>-84211852</v>
      </c>
      <c r="F2996">
        <v>2196397</v>
      </c>
      <c r="G2996">
        <v>23505123</v>
      </c>
      <c r="H2996">
        <v>-39861702</v>
      </c>
      <c r="I2996">
        <v>-80304853</v>
      </c>
      <c r="J2996">
        <v>-64164858</v>
      </c>
      <c r="P2996">
        <v>274</v>
      </c>
      <c r="Q2996" t="s">
        <v>6039</v>
      </c>
    </row>
    <row r="2997" spans="1:17" x14ac:dyDescent="0.3">
      <c r="A2997" t="s">
        <v>32</v>
      </c>
      <c r="B2997" t="str">
        <f>"300878"</f>
        <v>300878</v>
      </c>
      <c r="C2997" t="s">
        <v>6040</v>
      </c>
      <c r="D2997" t="s">
        <v>98</v>
      </c>
      <c r="E2997">
        <v>-84232153</v>
      </c>
      <c r="F2997">
        <v>-94232712</v>
      </c>
      <c r="G2997">
        <v>-14201245</v>
      </c>
      <c r="P2997">
        <v>132</v>
      </c>
      <c r="Q2997" t="s">
        <v>6041</v>
      </c>
    </row>
    <row r="2998" spans="1:17" x14ac:dyDescent="0.3">
      <c r="A2998" t="s">
        <v>32</v>
      </c>
      <c r="B2998" t="str">
        <f>"002490"</f>
        <v>002490</v>
      </c>
      <c r="C2998" t="s">
        <v>6042</v>
      </c>
      <c r="D2998" t="s">
        <v>135</v>
      </c>
      <c r="E2998">
        <v>-84282180</v>
      </c>
      <c r="F2998">
        <v>-157429499</v>
      </c>
      <c r="G2998">
        <v>-132790598</v>
      </c>
      <c r="H2998">
        <v>132239917</v>
      </c>
      <c r="I2998">
        <v>-181843474</v>
      </c>
      <c r="J2998">
        <v>82486996</v>
      </c>
      <c r="K2998">
        <v>-31810996</v>
      </c>
      <c r="L2998">
        <v>-82219513</v>
      </c>
      <c r="M2998">
        <v>-55542378</v>
      </c>
      <c r="N2998">
        <v>-219339882</v>
      </c>
      <c r="O2998">
        <v>-148400293</v>
      </c>
      <c r="P2998">
        <v>82</v>
      </c>
      <c r="Q2998" t="s">
        <v>6043</v>
      </c>
    </row>
    <row r="2999" spans="1:17" x14ac:dyDescent="0.3">
      <c r="A2999" t="s">
        <v>17</v>
      </c>
      <c r="B2999" t="str">
        <f>"605133"</f>
        <v>605133</v>
      </c>
      <c r="C2999" t="s">
        <v>6044</v>
      </c>
      <c r="D2999" t="s">
        <v>199</v>
      </c>
      <c r="E2999">
        <v>-84290567</v>
      </c>
      <c r="F2999">
        <v>-7301567</v>
      </c>
      <c r="G2999">
        <v>58701813</v>
      </c>
      <c r="P2999">
        <v>36</v>
      </c>
      <c r="Q2999" t="s">
        <v>6045</v>
      </c>
    </row>
    <row r="3000" spans="1:17" x14ac:dyDescent="0.3">
      <c r="A3000" t="s">
        <v>17</v>
      </c>
      <c r="B3000" t="str">
        <f>"600877"</f>
        <v>600877</v>
      </c>
      <c r="C3000" t="s">
        <v>6046</v>
      </c>
      <c r="D3000" t="s">
        <v>464</v>
      </c>
      <c r="E3000">
        <v>-84325386</v>
      </c>
      <c r="F3000">
        <v>-73673312</v>
      </c>
      <c r="G3000">
        <v>-48148209</v>
      </c>
      <c r="H3000">
        <v>-21414951</v>
      </c>
      <c r="I3000">
        <v>-47338451</v>
      </c>
      <c r="J3000">
        <v>-119378819</v>
      </c>
      <c r="K3000">
        <v>-82005333</v>
      </c>
      <c r="L3000">
        <v>-47490955</v>
      </c>
      <c r="M3000">
        <v>15311650</v>
      </c>
      <c r="N3000">
        <v>-24606548</v>
      </c>
      <c r="O3000">
        <v>-48245782</v>
      </c>
      <c r="P3000">
        <v>121</v>
      </c>
      <c r="Q3000" t="s">
        <v>6047</v>
      </c>
    </row>
    <row r="3001" spans="1:17" x14ac:dyDescent="0.3">
      <c r="A3001" t="s">
        <v>32</v>
      </c>
      <c r="B3001" t="str">
        <f>"002829"</f>
        <v>002829</v>
      </c>
      <c r="C3001" t="s">
        <v>6048</v>
      </c>
      <c r="D3001" t="s">
        <v>188</v>
      </c>
      <c r="E3001">
        <v>-84402485</v>
      </c>
      <c r="F3001">
        <v>-72734215</v>
      </c>
      <c r="G3001">
        <v>-49479245</v>
      </c>
      <c r="H3001">
        <v>-39308063</v>
      </c>
      <c r="I3001">
        <v>-53111734</v>
      </c>
      <c r="J3001">
        <v>-55287665</v>
      </c>
      <c r="K3001">
        <v>-20448761</v>
      </c>
      <c r="P3001">
        <v>132</v>
      </c>
      <c r="Q3001" t="s">
        <v>6049</v>
      </c>
    </row>
    <row r="3002" spans="1:17" x14ac:dyDescent="0.3">
      <c r="A3002" t="s">
        <v>32</v>
      </c>
      <c r="B3002" t="str">
        <f>"300160"</f>
        <v>300160</v>
      </c>
      <c r="C3002" t="s">
        <v>6050</v>
      </c>
      <c r="D3002" t="s">
        <v>127</v>
      </c>
      <c r="E3002">
        <v>-84420602</v>
      </c>
      <c r="F3002">
        <v>-18145464</v>
      </c>
      <c r="G3002">
        <v>-2262272</v>
      </c>
      <c r="H3002">
        <v>119933616</v>
      </c>
      <c r="I3002">
        <v>27390644</v>
      </c>
      <c r="J3002">
        <v>29569554</v>
      </c>
      <c r="K3002">
        <v>51954437</v>
      </c>
      <c r="L3002">
        <v>-4291254</v>
      </c>
      <c r="M3002">
        <v>26598116</v>
      </c>
      <c r="N3002">
        <v>-22281634</v>
      </c>
      <c r="O3002">
        <v>32501573</v>
      </c>
      <c r="P3002">
        <v>150</v>
      </c>
      <c r="Q3002" t="s">
        <v>6051</v>
      </c>
    </row>
    <row r="3003" spans="1:17" x14ac:dyDescent="0.3">
      <c r="A3003" t="s">
        <v>17</v>
      </c>
      <c r="B3003" t="str">
        <f>"605069"</f>
        <v>605069</v>
      </c>
      <c r="C3003" t="s">
        <v>6052</v>
      </c>
      <c r="D3003" t="s">
        <v>1334</v>
      </c>
      <c r="E3003">
        <v>-84436783</v>
      </c>
      <c r="P3003">
        <v>16</v>
      </c>
      <c r="Q3003" t="s">
        <v>6053</v>
      </c>
    </row>
    <row r="3004" spans="1:17" x14ac:dyDescent="0.3">
      <c r="A3004" t="s">
        <v>32</v>
      </c>
      <c r="B3004" t="str">
        <f>"002859"</f>
        <v>002859</v>
      </c>
      <c r="C3004" t="s">
        <v>6054</v>
      </c>
      <c r="D3004" t="s">
        <v>124</v>
      </c>
      <c r="E3004">
        <v>-84583926</v>
      </c>
      <c r="F3004">
        <v>-92782691</v>
      </c>
      <c r="G3004">
        <v>-7261646</v>
      </c>
      <c r="H3004">
        <v>115672399</v>
      </c>
      <c r="I3004">
        <v>-25086118</v>
      </c>
      <c r="J3004">
        <v>-25061726</v>
      </c>
      <c r="K3004">
        <v>-23744791</v>
      </c>
      <c r="P3004">
        <v>2971</v>
      </c>
      <c r="Q3004" t="s">
        <v>6055</v>
      </c>
    </row>
    <row r="3005" spans="1:17" x14ac:dyDescent="0.3">
      <c r="A3005" t="s">
        <v>32</v>
      </c>
      <c r="B3005" t="str">
        <f>"002591"</f>
        <v>002591</v>
      </c>
      <c r="C3005" t="s">
        <v>6056</v>
      </c>
      <c r="D3005" t="s">
        <v>245</v>
      </c>
      <c r="E3005">
        <v>-84698639</v>
      </c>
      <c r="F3005">
        <v>392283</v>
      </c>
      <c r="G3005">
        <v>19011173</v>
      </c>
      <c r="H3005">
        <v>5323173</v>
      </c>
      <c r="I3005">
        <v>982290</v>
      </c>
      <c r="J3005">
        <v>-8012368</v>
      </c>
      <c r="K3005">
        <v>-16372474</v>
      </c>
      <c r="L3005">
        <v>-16626081</v>
      </c>
      <c r="M3005">
        <v>-28021536</v>
      </c>
      <c r="N3005">
        <v>-30822251</v>
      </c>
      <c r="O3005">
        <v>-11689164</v>
      </c>
      <c r="P3005">
        <v>113</v>
      </c>
      <c r="Q3005" t="s">
        <v>6057</v>
      </c>
    </row>
    <row r="3006" spans="1:17" x14ac:dyDescent="0.3">
      <c r="A3006" t="s">
        <v>32</v>
      </c>
      <c r="B3006" t="str">
        <f>"002392"</f>
        <v>002392</v>
      </c>
      <c r="C3006" t="s">
        <v>6058</v>
      </c>
      <c r="D3006" t="s">
        <v>400</v>
      </c>
      <c r="E3006">
        <v>-84704822</v>
      </c>
      <c r="F3006">
        <v>-126255669</v>
      </c>
      <c r="G3006">
        <v>13396591</v>
      </c>
      <c r="H3006">
        <v>40008358</v>
      </c>
      <c r="I3006">
        <v>-163447585</v>
      </c>
      <c r="J3006">
        <v>65727448</v>
      </c>
      <c r="K3006">
        <v>-52578316</v>
      </c>
      <c r="L3006">
        <v>-66229618</v>
      </c>
      <c r="M3006">
        <v>-22780454</v>
      </c>
      <c r="N3006">
        <v>65797029</v>
      </c>
      <c r="O3006">
        <v>-25559205</v>
      </c>
      <c r="P3006">
        <v>142</v>
      </c>
      <c r="Q3006" t="s">
        <v>6059</v>
      </c>
    </row>
    <row r="3007" spans="1:17" x14ac:dyDescent="0.3">
      <c r="A3007" t="s">
        <v>32</v>
      </c>
      <c r="B3007" t="str">
        <f>"002007"</f>
        <v>002007</v>
      </c>
      <c r="C3007" t="s">
        <v>6060</v>
      </c>
      <c r="D3007" t="s">
        <v>98</v>
      </c>
      <c r="E3007">
        <v>-84796462</v>
      </c>
      <c r="F3007">
        <v>109752092</v>
      </c>
      <c r="G3007">
        <v>1433118</v>
      </c>
      <c r="H3007">
        <v>138476979</v>
      </c>
      <c r="I3007">
        <v>-7273007</v>
      </c>
      <c r="J3007">
        <v>-114936160</v>
      </c>
      <c r="K3007">
        <v>-32629186</v>
      </c>
      <c r="L3007">
        <v>797204</v>
      </c>
      <c r="M3007">
        <v>85952889</v>
      </c>
      <c r="N3007">
        <v>68837905</v>
      </c>
      <c r="O3007">
        <v>137796972</v>
      </c>
      <c r="P3007">
        <v>13191</v>
      </c>
      <c r="Q3007" t="s">
        <v>6061</v>
      </c>
    </row>
    <row r="3008" spans="1:17" x14ac:dyDescent="0.3">
      <c r="A3008" t="s">
        <v>17</v>
      </c>
      <c r="B3008" t="str">
        <f>"605566"</f>
        <v>605566</v>
      </c>
      <c r="C3008" t="s">
        <v>6062</v>
      </c>
      <c r="D3008" t="s">
        <v>144</v>
      </c>
      <c r="E3008">
        <v>-84805517</v>
      </c>
      <c r="P3008">
        <v>22</v>
      </c>
      <c r="Q3008" t="s">
        <v>6063</v>
      </c>
    </row>
    <row r="3009" spans="1:17" x14ac:dyDescent="0.3">
      <c r="A3009" t="s">
        <v>17</v>
      </c>
      <c r="B3009" t="str">
        <f>"688306"</f>
        <v>688306</v>
      </c>
      <c r="C3009" t="s">
        <v>6064</v>
      </c>
      <c r="E3009">
        <v>-84977551</v>
      </c>
      <c r="P3009">
        <v>3</v>
      </c>
      <c r="Q3009" t="s">
        <v>6065</v>
      </c>
    </row>
    <row r="3010" spans="1:17" x14ac:dyDescent="0.3">
      <c r="A3010" t="s">
        <v>32</v>
      </c>
      <c r="B3010" t="str">
        <f>"301009"</f>
        <v>301009</v>
      </c>
      <c r="C3010" t="s">
        <v>6066</v>
      </c>
      <c r="D3010" t="s">
        <v>544</v>
      </c>
      <c r="E3010">
        <v>-85007853</v>
      </c>
      <c r="F3010">
        <v>-121946136</v>
      </c>
      <c r="G3010">
        <v>-16293867</v>
      </c>
      <c r="P3010">
        <v>59</v>
      </c>
      <c r="Q3010" t="s">
        <v>6067</v>
      </c>
    </row>
    <row r="3011" spans="1:17" x14ac:dyDescent="0.3">
      <c r="A3011" t="s">
        <v>17</v>
      </c>
      <c r="B3011" t="str">
        <f>"603365"</f>
        <v>603365</v>
      </c>
      <c r="C3011" t="s">
        <v>6068</v>
      </c>
      <c r="D3011" t="s">
        <v>130</v>
      </c>
      <c r="E3011">
        <v>-85119779</v>
      </c>
      <c r="F3011">
        <v>-98439611</v>
      </c>
      <c r="G3011">
        <v>-137127857</v>
      </c>
      <c r="H3011">
        <v>-127841952</v>
      </c>
      <c r="I3011">
        <v>-115008350</v>
      </c>
      <c r="J3011">
        <v>-32741433</v>
      </c>
      <c r="P3011">
        <v>243</v>
      </c>
      <c r="Q3011" t="s">
        <v>6069</v>
      </c>
    </row>
    <row r="3012" spans="1:17" x14ac:dyDescent="0.3">
      <c r="A3012" t="s">
        <v>17</v>
      </c>
      <c r="B3012" t="str">
        <f>"600463"</f>
        <v>600463</v>
      </c>
      <c r="C3012" t="s">
        <v>6070</v>
      </c>
      <c r="D3012" t="s">
        <v>151</v>
      </c>
      <c r="E3012">
        <v>-85184056</v>
      </c>
      <c r="F3012">
        <v>-172418091</v>
      </c>
      <c r="G3012">
        <v>-146851763</v>
      </c>
      <c r="H3012">
        <v>-63575909</v>
      </c>
      <c r="I3012">
        <v>-137698806</v>
      </c>
      <c r="J3012">
        <v>7211523</v>
      </c>
      <c r="K3012">
        <v>-29257680</v>
      </c>
      <c r="L3012">
        <v>-83744473</v>
      </c>
      <c r="M3012">
        <v>-11682566</v>
      </c>
      <c r="N3012">
        <v>-115225248</v>
      </c>
      <c r="O3012">
        <v>-101497637</v>
      </c>
      <c r="P3012">
        <v>66</v>
      </c>
      <c r="Q3012" t="s">
        <v>6071</v>
      </c>
    </row>
    <row r="3013" spans="1:17" x14ac:dyDescent="0.3">
      <c r="A3013" t="s">
        <v>17</v>
      </c>
      <c r="B3013" t="str">
        <f>"688296"</f>
        <v>688296</v>
      </c>
      <c r="C3013" t="s">
        <v>6072</v>
      </c>
      <c r="D3013" t="s">
        <v>342</v>
      </c>
      <c r="E3013">
        <v>-85276365</v>
      </c>
      <c r="F3013">
        <v>-86786224</v>
      </c>
      <c r="G3013">
        <v>-65779303</v>
      </c>
      <c r="P3013">
        <v>24</v>
      </c>
      <c r="Q3013" t="s">
        <v>6073</v>
      </c>
    </row>
    <row r="3014" spans="1:17" x14ac:dyDescent="0.3">
      <c r="A3014" t="s">
        <v>32</v>
      </c>
      <c r="B3014" t="str">
        <f>"000410"</f>
        <v>000410</v>
      </c>
      <c r="C3014" t="s">
        <v>6074</v>
      </c>
      <c r="D3014" t="s">
        <v>135</v>
      </c>
      <c r="E3014">
        <v>-85284537</v>
      </c>
      <c r="F3014">
        <v>-114491963</v>
      </c>
      <c r="G3014">
        <v>-272666421</v>
      </c>
      <c r="H3014">
        <v>33580381</v>
      </c>
      <c r="I3014">
        <v>-362842084</v>
      </c>
      <c r="J3014">
        <v>38483477</v>
      </c>
      <c r="K3014">
        <v>-936291905</v>
      </c>
      <c r="L3014">
        <v>-558066749</v>
      </c>
      <c r="M3014">
        <v>-477954226</v>
      </c>
      <c r="N3014">
        <v>-420353145</v>
      </c>
      <c r="O3014">
        <v>-89484501</v>
      </c>
      <c r="P3014">
        <v>101</v>
      </c>
      <c r="Q3014" t="s">
        <v>6075</v>
      </c>
    </row>
    <row r="3015" spans="1:17" x14ac:dyDescent="0.3">
      <c r="A3015" t="s">
        <v>32</v>
      </c>
      <c r="B3015" t="str">
        <f>"002543"</f>
        <v>002543</v>
      </c>
      <c r="C3015" t="s">
        <v>6076</v>
      </c>
      <c r="D3015" t="s">
        <v>127</v>
      </c>
      <c r="E3015">
        <v>-85305380</v>
      </c>
      <c r="F3015">
        <v>111833807</v>
      </c>
      <c r="G3015">
        <v>492629554</v>
      </c>
      <c r="H3015">
        <v>376846999</v>
      </c>
      <c r="I3015">
        <v>47283026</v>
      </c>
      <c r="J3015">
        <v>201303148</v>
      </c>
      <c r="K3015">
        <v>288648833</v>
      </c>
      <c r="L3015">
        <v>145888825</v>
      </c>
      <c r="M3015">
        <v>109718155</v>
      </c>
      <c r="N3015">
        <v>122239578</v>
      </c>
      <c r="O3015">
        <v>-85781194</v>
      </c>
      <c r="P3015">
        <v>434</v>
      </c>
      <c r="Q3015" t="s">
        <v>6077</v>
      </c>
    </row>
    <row r="3016" spans="1:17" x14ac:dyDescent="0.3">
      <c r="A3016" t="s">
        <v>32</v>
      </c>
      <c r="B3016" t="str">
        <f>"301068"</f>
        <v>301068</v>
      </c>
      <c r="C3016" t="s">
        <v>6078</v>
      </c>
      <c r="D3016" t="s">
        <v>1334</v>
      </c>
      <c r="E3016">
        <v>-85389344</v>
      </c>
      <c r="P3016">
        <v>14</v>
      </c>
      <c r="Q3016" t="s">
        <v>6079</v>
      </c>
    </row>
    <row r="3017" spans="1:17" x14ac:dyDescent="0.3">
      <c r="A3017" t="s">
        <v>17</v>
      </c>
      <c r="B3017" t="str">
        <f>"688529"</f>
        <v>688529</v>
      </c>
      <c r="C3017" t="s">
        <v>6080</v>
      </c>
      <c r="D3017" t="s">
        <v>135</v>
      </c>
      <c r="E3017">
        <v>-85471255</v>
      </c>
      <c r="F3017">
        <v>-184241720</v>
      </c>
      <c r="P3017">
        <v>34</v>
      </c>
      <c r="Q3017" t="s">
        <v>6081</v>
      </c>
    </row>
    <row r="3018" spans="1:17" x14ac:dyDescent="0.3">
      <c r="A3018" t="s">
        <v>17</v>
      </c>
      <c r="B3018" t="str">
        <f>"603001"</f>
        <v>603001</v>
      </c>
      <c r="C3018" t="s">
        <v>6082</v>
      </c>
      <c r="D3018" t="s">
        <v>130</v>
      </c>
      <c r="E3018">
        <v>-85661467</v>
      </c>
      <c r="F3018">
        <v>-261696559</v>
      </c>
      <c r="G3018">
        <v>-217107418</v>
      </c>
      <c r="H3018">
        <v>-5991781</v>
      </c>
      <c r="I3018">
        <v>-31463454</v>
      </c>
      <c r="J3018">
        <v>-46636371</v>
      </c>
      <c r="K3018">
        <v>-95452545</v>
      </c>
      <c r="L3018">
        <v>261967666</v>
      </c>
      <c r="M3018">
        <v>-8389672</v>
      </c>
      <c r="N3018">
        <v>-241748776</v>
      </c>
      <c r="O3018">
        <v>-159695576</v>
      </c>
      <c r="P3018">
        <v>148</v>
      </c>
      <c r="Q3018" t="s">
        <v>6083</v>
      </c>
    </row>
    <row r="3019" spans="1:17" x14ac:dyDescent="0.3">
      <c r="A3019" t="s">
        <v>32</v>
      </c>
      <c r="B3019" t="str">
        <f>"300560"</f>
        <v>300560</v>
      </c>
      <c r="C3019" t="s">
        <v>6084</v>
      </c>
      <c r="D3019" t="s">
        <v>57</v>
      </c>
      <c r="E3019">
        <v>-85765155</v>
      </c>
      <c r="F3019">
        <v>-454317871</v>
      </c>
      <c r="G3019">
        <v>-78422238</v>
      </c>
      <c r="H3019">
        <v>-54835013</v>
      </c>
      <c r="I3019">
        <v>-36041298</v>
      </c>
      <c r="J3019">
        <v>-61347496</v>
      </c>
      <c r="K3019">
        <v>-35232793</v>
      </c>
      <c r="P3019">
        <v>192</v>
      </c>
      <c r="Q3019" t="s">
        <v>6085</v>
      </c>
    </row>
    <row r="3020" spans="1:17" x14ac:dyDescent="0.3">
      <c r="A3020" t="s">
        <v>32</v>
      </c>
      <c r="B3020" t="str">
        <f>"002913"</f>
        <v>002913</v>
      </c>
      <c r="C3020" t="s">
        <v>6086</v>
      </c>
      <c r="D3020" t="s">
        <v>124</v>
      </c>
      <c r="E3020">
        <v>-85805421</v>
      </c>
      <c r="F3020">
        <v>-305613818</v>
      </c>
      <c r="G3020">
        <v>-100061349</v>
      </c>
      <c r="H3020">
        <v>86023768</v>
      </c>
      <c r="I3020">
        <v>-14904746</v>
      </c>
      <c r="J3020">
        <v>-39152246</v>
      </c>
      <c r="P3020">
        <v>205</v>
      </c>
      <c r="Q3020" t="s">
        <v>6087</v>
      </c>
    </row>
    <row r="3021" spans="1:17" x14ac:dyDescent="0.3">
      <c r="A3021" t="s">
        <v>17</v>
      </c>
      <c r="B3021" t="str">
        <f>"603918"</f>
        <v>603918</v>
      </c>
      <c r="C3021" t="s">
        <v>6088</v>
      </c>
      <c r="D3021" t="s">
        <v>342</v>
      </c>
      <c r="E3021">
        <v>-85922524</v>
      </c>
      <c r="F3021">
        <v>-60503735</v>
      </c>
      <c r="G3021">
        <v>-48179784</v>
      </c>
      <c r="H3021">
        <v>-150850738</v>
      </c>
      <c r="I3021">
        <v>-145861348</v>
      </c>
      <c r="J3021">
        <v>-94798615</v>
      </c>
      <c r="K3021">
        <v>-95922651</v>
      </c>
      <c r="L3021">
        <v>-81723500</v>
      </c>
      <c r="M3021">
        <v>-75989500</v>
      </c>
      <c r="P3021">
        <v>143</v>
      </c>
      <c r="Q3021" t="s">
        <v>6089</v>
      </c>
    </row>
    <row r="3022" spans="1:17" x14ac:dyDescent="0.3">
      <c r="A3022" t="s">
        <v>32</v>
      </c>
      <c r="B3022" t="str">
        <f>"002583"</f>
        <v>002583</v>
      </c>
      <c r="C3022" t="s">
        <v>6090</v>
      </c>
      <c r="D3022" t="s">
        <v>57</v>
      </c>
      <c r="E3022">
        <v>-86009232</v>
      </c>
      <c r="F3022">
        <v>367972082</v>
      </c>
      <c r="G3022">
        <v>-74642644</v>
      </c>
      <c r="H3022">
        <v>166626741</v>
      </c>
      <c r="I3022">
        <v>-1566010926</v>
      </c>
      <c r="J3022">
        <v>-1128510986</v>
      </c>
      <c r="K3022">
        <v>-495131873</v>
      </c>
      <c r="L3022">
        <v>-251578971</v>
      </c>
      <c r="M3022">
        <v>-166756628</v>
      </c>
      <c r="N3022">
        <v>-205688578</v>
      </c>
      <c r="O3022">
        <v>-117412274</v>
      </c>
      <c r="P3022">
        <v>397</v>
      </c>
      <c r="Q3022" t="s">
        <v>6091</v>
      </c>
    </row>
    <row r="3023" spans="1:17" x14ac:dyDescent="0.3">
      <c r="A3023" t="s">
        <v>32</v>
      </c>
      <c r="B3023" t="str">
        <f>"002562"</f>
        <v>002562</v>
      </c>
      <c r="C3023" t="s">
        <v>6092</v>
      </c>
      <c r="D3023" t="s">
        <v>144</v>
      </c>
      <c r="E3023">
        <v>-86058757</v>
      </c>
      <c r="F3023">
        <v>-116314846</v>
      </c>
      <c r="G3023">
        <v>-183266654</v>
      </c>
      <c r="H3023">
        <v>-179866354</v>
      </c>
      <c r="I3023">
        <v>71686303</v>
      </c>
      <c r="J3023">
        <v>-207801918</v>
      </c>
      <c r="K3023">
        <v>-6807525</v>
      </c>
      <c r="L3023">
        <v>-54542785</v>
      </c>
      <c r="M3023">
        <v>-6388503</v>
      </c>
      <c r="N3023">
        <v>-53702270</v>
      </c>
      <c r="O3023">
        <v>-43804406</v>
      </c>
      <c r="P3023">
        <v>260</v>
      </c>
      <c r="Q3023" t="s">
        <v>6093</v>
      </c>
    </row>
    <row r="3024" spans="1:17" x14ac:dyDescent="0.3">
      <c r="A3024" t="s">
        <v>32</v>
      </c>
      <c r="B3024" t="str">
        <f>"300883"</f>
        <v>300883</v>
      </c>
      <c r="C3024" t="s">
        <v>6094</v>
      </c>
      <c r="D3024" t="s">
        <v>455</v>
      </c>
      <c r="E3024">
        <v>-86114522</v>
      </c>
      <c r="F3024">
        <v>-63128226</v>
      </c>
      <c r="G3024">
        <v>3071287</v>
      </c>
      <c r="P3024">
        <v>37</v>
      </c>
      <c r="Q3024" t="s">
        <v>6095</v>
      </c>
    </row>
    <row r="3025" spans="1:17" x14ac:dyDescent="0.3">
      <c r="A3025" t="s">
        <v>17</v>
      </c>
      <c r="B3025" t="str">
        <f>"603136"</f>
        <v>603136</v>
      </c>
      <c r="C3025" t="s">
        <v>6096</v>
      </c>
      <c r="D3025" t="s">
        <v>497</v>
      </c>
      <c r="E3025">
        <v>-86255974</v>
      </c>
      <c r="F3025">
        <v>-79148622</v>
      </c>
      <c r="G3025">
        <v>-69406863</v>
      </c>
      <c r="H3025">
        <v>2405367</v>
      </c>
      <c r="I3025">
        <v>4147054</v>
      </c>
      <c r="J3025">
        <v>19060469</v>
      </c>
      <c r="P3025">
        <v>194</v>
      </c>
      <c r="Q3025" t="s">
        <v>6097</v>
      </c>
    </row>
    <row r="3026" spans="1:17" x14ac:dyDescent="0.3">
      <c r="A3026" t="s">
        <v>32</v>
      </c>
      <c r="B3026" t="str">
        <f>"200058"</f>
        <v>200058</v>
      </c>
      <c r="C3026" t="s">
        <v>6098</v>
      </c>
      <c r="E3026">
        <v>-86602416.159999996</v>
      </c>
      <c r="F3026">
        <v>-83288452.713499993</v>
      </c>
      <c r="G3026">
        <v>-40534604.165700004</v>
      </c>
      <c r="H3026">
        <v>-16686363.2148</v>
      </c>
      <c r="I3026">
        <v>-42678464.560000002</v>
      </c>
      <c r="J3026">
        <v>35482115.640000001</v>
      </c>
      <c r="K3026">
        <v>-39915071.3332</v>
      </c>
      <c r="L3026">
        <v>-50076367.5</v>
      </c>
      <c r="M3026">
        <v>-4527096.6396000003</v>
      </c>
      <c r="N3026">
        <v>-103167594.2934</v>
      </c>
      <c r="O3026">
        <v>12234081.231000001</v>
      </c>
      <c r="P3026">
        <v>7</v>
      </c>
      <c r="Q3026" t="s">
        <v>6099</v>
      </c>
    </row>
    <row r="3027" spans="1:17" x14ac:dyDescent="0.3">
      <c r="A3027" t="s">
        <v>17</v>
      </c>
      <c r="B3027" t="str">
        <f>"603223"</f>
        <v>603223</v>
      </c>
      <c r="C3027" t="s">
        <v>6100</v>
      </c>
      <c r="D3027" t="s">
        <v>46</v>
      </c>
      <c r="E3027">
        <v>-86639904</v>
      </c>
      <c r="F3027">
        <v>212043957</v>
      </c>
      <c r="G3027">
        <v>16701391</v>
      </c>
      <c r="H3027">
        <v>-6770847</v>
      </c>
      <c r="I3027">
        <v>-26969745</v>
      </c>
      <c r="J3027">
        <v>51726839</v>
      </c>
      <c r="K3027">
        <v>-23675547</v>
      </c>
      <c r="L3027">
        <v>8048800</v>
      </c>
      <c r="M3027">
        <v>8521100</v>
      </c>
      <c r="P3027">
        <v>98</v>
      </c>
      <c r="Q3027" t="s">
        <v>6101</v>
      </c>
    </row>
    <row r="3028" spans="1:17" x14ac:dyDescent="0.3">
      <c r="A3028" t="s">
        <v>32</v>
      </c>
      <c r="B3028" t="str">
        <f>"300424"</f>
        <v>300424</v>
      </c>
      <c r="C3028" t="s">
        <v>6102</v>
      </c>
      <c r="D3028" t="s">
        <v>188</v>
      </c>
      <c r="E3028">
        <v>-86649013</v>
      </c>
      <c r="F3028">
        <v>-30884298</v>
      </c>
      <c r="G3028">
        <v>-92216428</v>
      </c>
      <c r="H3028">
        <v>-34245284</v>
      </c>
      <c r="I3028">
        <v>-10493874</v>
      </c>
      <c r="J3028">
        <v>-63443286</v>
      </c>
      <c r="K3028">
        <v>-55146888</v>
      </c>
      <c r="L3028">
        <v>-41453798</v>
      </c>
      <c r="M3028">
        <v>-110689103</v>
      </c>
      <c r="P3028">
        <v>133</v>
      </c>
      <c r="Q3028" t="s">
        <v>6103</v>
      </c>
    </row>
    <row r="3029" spans="1:17" x14ac:dyDescent="0.3">
      <c r="A3029" t="s">
        <v>32</v>
      </c>
      <c r="B3029" t="str">
        <f>"002283"</f>
        <v>002283</v>
      </c>
      <c r="C3029" t="s">
        <v>6104</v>
      </c>
      <c r="D3029" t="s">
        <v>199</v>
      </c>
      <c r="E3029">
        <v>-86718499</v>
      </c>
      <c r="F3029">
        <v>46884727</v>
      </c>
      <c r="G3029">
        <v>-124384649</v>
      </c>
      <c r="H3029">
        <v>154309842</v>
      </c>
      <c r="I3029">
        <v>21354810</v>
      </c>
      <c r="J3029">
        <v>-147965156</v>
      </c>
      <c r="K3029">
        <v>16612829</v>
      </c>
      <c r="L3029">
        <v>31658367</v>
      </c>
      <c r="M3029">
        <v>-47145432</v>
      </c>
      <c r="N3029">
        <v>-41359999</v>
      </c>
      <c r="O3029">
        <v>-170730671</v>
      </c>
      <c r="P3029">
        <v>202</v>
      </c>
      <c r="Q3029" t="s">
        <v>6105</v>
      </c>
    </row>
    <row r="3030" spans="1:17" x14ac:dyDescent="0.3">
      <c r="A3030" t="s">
        <v>32</v>
      </c>
      <c r="B3030" t="str">
        <f>"002997"</f>
        <v>002997</v>
      </c>
      <c r="C3030" t="s">
        <v>6106</v>
      </c>
      <c r="D3030" t="s">
        <v>199</v>
      </c>
      <c r="E3030">
        <v>-87023068</v>
      </c>
      <c r="F3030">
        <v>-135263768</v>
      </c>
      <c r="G3030">
        <v>3231829</v>
      </c>
      <c r="P3030">
        <v>86</v>
      </c>
      <c r="Q3030" t="s">
        <v>6107</v>
      </c>
    </row>
    <row r="3031" spans="1:17" x14ac:dyDescent="0.3">
      <c r="A3031" t="s">
        <v>17</v>
      </c>
      <c r="B3031" t="str">
        <f>"603076"</f>
        <v>603076</v>
      </c>
      <c r="C3031" t="s">
        <v>6108</v>
      </c>
      <c r="D3031" t="s">
        <v>135</v>
      </c>
      <c r="E3031">
        <v>-87127921</v>
      </c>
      <c r="F3031">
        <v>-116120062</v>
      </c>
      <c r="G3031">
        <v>61432509</v>
      </c>
      <c r="H3031">
        <v>37708548</v>
      </c>
      <c r="I3031">
        <v>35065930</v>
      </c>
      <c r="J3031">
        <v>-712615</v>
      </c>
      <c r="P3031">
        <v>87</v>
      </c>
      <c r="Q3031" t="s">
        <v>6109</v>
      </c>
    </row>
    <row r="3032" spans="1:17" x14ac:dyDescent="0.3">
      <c r="A3032" t="s">
        <v>17</v>
      </c>
      <c r="B3032" t="str">
        <f>"688266"</f>
        <v>688266</v>
      </c>
      <c r="C3032" t="s">
        <v>6110</v>
      </c>
      <c r="D3032" t="s">
        <v>98</v>
      </c>
      <c r="E3032">
        <v>-87142897</v>
      </c>
      <c r="F3032">
        <v>-118726855</v>
      </c>
      <c r="G3032">
        <v>-85419679</v>
      </c>
      <c r="H3032">
        <v>-47207988</v>
      </c>
      <c r="P3032">
        <v>102</v>
      </c>
      <c r="Q3032" t="s">
        <v>6111</v>
      </c>
    </row>
    <row r="3033" spans="1:17" x14ac:dyDescent="0.3">
      <c r="A3033" t="s">
        <v>32</v>
      </c>
      <c r="B3033" t="str">
        <f>"002449"</f>
        <v>002449</v>
      </c>
      <c r="C3033" t="s">
        <v>6112</v>
      </c>
      <c r="D3033" t="s">
        <v>124</v>
      </c>
      <c r="E3033">
        <v>-87143245</v>
      </c>
      <c r="F3033">
        <v>76151879</v>
      </c>
      <c r="G3033">
        <v>49697035</v>
      </c>
      <c r="H3033">
        <v>223548787</v>
      </c>
      <c r="I3033">
        <v>-43876908</v>
      </c>
      <c r="J3033">
        <v>-74669205</v>
      </c>
      <c r="K3033">
        <v>-9723851</v>
      </c>
      <c r="L3033">
        <v>-54328157</v>
      </c>
      <c r="M3033">
        <v>-109008902</v>
      </c>
      <c r="N3033">
        <v>40295180</v>
      </c>
      <c r="O3033">
        <v>-88895719</v>
      </c>
      <c r="P3033">
        <v>392</v>
      </c>
      <c r="Q3033" t="s">
        <v>6113</v>
      </c>
    </row>
    <row r="3034" spans="1:17" x14ac:dyDescent="0.3">
      <c r="A3034" t="s">
        <v>17</v>
      </c>
      <c r="B3034" t="str">
        <f>"603977"</f>
        <v>603977</v>
      </c>
      <c r="C3034" t="s">
        <v>6114</v>
      </c>
      <c r="D3034" t="s">
        <v>144</v>
      </c>
      <c r="E3034">
        <v>-87282483</v>
      </c>
      <c r="F3034">
        <v>-86947210</v>
      </c>
      <c r="G3034">
        <v>-184413469</v>
      </c>
      <c r="H3034">
        <v>-171528911</v>
      </c>
      <c r="I3034">
        <v>-77564156</v>
      </c>
      <c r="J3034">
        <v>-61737167</v>
      </c>
      <c r="K3034">
        <v>12650772</v>
      </c>
      <c r="P3034">
        <v>88</v>
      </c>
      <c r="Q3034" t="s">
        <v>6115</v>
      </c>
    </row>
    <row r="3035" spans="1:17" x14ac:dyDescent="0.3">
      <c r="A3035" t="s">
        <v>17</v>
      </c>
      <c r="B3035" t="str">
        <f>"600763"</f>
        <v>600763</v>
      </c>
      <c r="C3035" t="s">
        <v>6116</v>
      </c>
      <c r="D3035" t="s">
        <v>98</v>
      </c>
      <c r="E3035">
        <v>-87338354</v>
      </c>
      <c r="F3035">
        <v>85718711</v>
      </c>
      <c r="G3035">
        <v>-97534491</v>
      </c>
      <c r="H3035">
        <v>99636519</v>
      </c>
      <c r="I3035">
        <v>-185510639</v>
      </c>
      <c r="J3035">
        <v>-8635707</v>
      </c>
      <c r="K3035">
        <v>-64772724</v>
      </c>
      <c r="L3035">
        <v>-650882</v>
      </c>
      <c r="M3035">
        <v>-13247781</v>
      </c>
      <c r="N3035">
        <v>8370947</v>
      </c>
      <c r="O3035">
        <v>8946476</v>
      </c>
      <c r="P3035">
        <v>38190</v>
      </c>
      <c r="Q3035" t="s">
        <v>6117</v>
      </c>
    </row>
    <row r="3036" spans="1:17" x14ac:dyDescent="0.3">
      <c r="A3036" t="s">
        <v>17</v>
      </c>
      <c r="B3036" t="str">
        <f>"688679"</f>
        <v>688679</v>
      </c>
      <c r="C3036" t="s">
        <v>6118</v>
      </c>
      <c r="D3036" t="s">
        <v>1334</v>
      </c>
      <c r="E3036">
        <v>-87374742</v>
      </c>
      <c r="F3036">
        <v>-96853013</v>
      </c>
      <c r="G3036">
        <v>-53729500</v>
      </c>
      <c r="H3036">
        <v>-24627100</v>
      </c>
      <c r="P3036">
        <v>31</v>
      </c>
      <c r="Q3036" t="s">
        <v>6119</v>
      </c>
    </row>
    <row r="3037" spans="1:17" x14ac:dyDescent="0.3">
      <c r="A3037" t="s">
        <v>32</v>
      </c>
      <c r="B3037" t="str">
        <f>"301207"</f>
        <v>301207</v>
      </c>
      <c r="C3037" t="s">
        <v>6120</v>
      </c>
      <c r="E3037">
        <v>-87470707</v>
      </c>
      <c r="P3037">
        <v>19</v>
      </c>
      <c r="Q3037" t="s">
        <v>6121</v>
      </c>
    </row>
    <row r="3038" spans="1:17" x14ac:dyDescent="0.3">
      <c r="A3038" t="s">
        <v>17</v>
      </c>
      <c r="B3038" t="str">
        <f>"605033"</f>
        <v>605033</v>
      </c>
      <c r="C3038" t="s">
        <v>6122</v>
      </c>
      <c r="D3038" t="s">
        <v>144</v>
      </c>
      <c r="E3038">
        <v>-87602279</v>
      </c>
      <c r="F3038">
        <v>-176324051</v>
      </c>
      <c r="G3038">
        <v>-78357641</v>
      </c>
      <c r="P3038">
        <v>14</v>
      </c>
      <c r="Q3038" t="s">
        <v>6123</v>
      </c>
    </row>
    <row r="3039" spans="1:17" x14ac:dyDescent="0.3">
      <c r="A3039" t="s">
        <v>32</v>
      </c>
      <c r="B3039" t="str">
        <f>"300966"</f>
        <v>300966</v>
      </c>
      <c r="C3039" t="s">
        <v>6124</v>
      </c>
      <c r="D3039" t="s">
        <v>98</v>
      </c>
      <c r="E3039">
        <v>-87774440</v>
      </c>
      <c r="F3039">
        <v>11662091</v>
      </c>
      <c r="G3039">
        <v>-21349784</v>
      </c>
      <c r="P3039">
        <v>32</v>
      </c>
      <c r="Q3039" t="s">
        <v>6125</v>
      </c>
    </row>
    <row r="3040" spans="1:17" x14ac:dyDescent="0.3">
      <c r="A3040" t="s">
        <v>32</v>
      </c>
      <c r="B3040" t="str">
        <f>"002313"</f>
        <v>002313</v>
      </c>
      <c r="C3040" t="s">
        <v>6126</v>
      </c>
      <c r="D3040" t="s">
        <v>57</v>
      </c>
      <c r="E3040">
        <v>-87878816</v>
      </c>
      <c r="F3040">
        <v>-197442858</v>
      </c>
      <c r="G3040">
        <v>-329672995</v>
      </c>
      <c r="H3040">
        <v>-427240799</v>
      </c>
      <c r="I3040">
        <v>-396218506</v>
      </c>
      <c r="J3040">
        <v>-127359833</v>
      </c>
      <c r="K3040">
        <v>-164327482</v>
      </c>
      <c r="L3040">
        <v>-166284042</v>
      </c>
      <c r="M3040">
        <v>-73068512</v>
      </c>
      <c r="N3040">
        <v>-229534258</v>
      </c>
      <c r="O3040">
        <v>-114748448</v>
      </c>
      <c r="P3040">
        <v>243</v>
      </c>
      <c r="Q3040" t="s">
        <v>6127</v>
      </c>
    </row>
    <row r="3041" spans="1:17" x14ac:dyDescent="0.3">
      <c r="A3041" t="s">
        <v>17</v>
      </c>
      <c r="B3041" t="str">
        <f>"688579"</f>
        <v>688579</v>
      </c>
      <c r="C3041" t="s">
        <v>6128</v>
      </c>
      <c r="D3041" t="s">
        <v>342</v>
      </c>
      <c r="E3041">
        <v>-88046268</v>
      </c>
      <c r="F3041">
        <v>-87269685</v>
      </c>
      <c r="G3041">
        <v>-85157581</v>
      </c>
      <c r="P3041">
        <v>34</v>
      </c>
      <c r="Q3041" t="s">
        <v>6129</v>
      </c>
    </row>
    <row r="3042" spans="1:17" x14ac:dyDescent="0.3">
      <c r="A3042" t="s">
        <v>17</v>
      </c>
      <c r="B3042" t="str">
        <f>"688302"</f>
        <v>688302</v>
      </c>
      <c r="C3042" t="s">
        <v>6130</v>
      </c>
      <c r="E3042">
        <v>-88269609</v>
      </c>
      <c r="F3042">
        <v>-36347225</v>
      </c>
      <c r="P3042">
        <v>2</v>
      </c>
      <c r="Q3042" t="s">
        <v>6131</v>
      </c>
    </row>
    <row r="3043" spans="1:17" x14ac:dyDescent="0.3">
      <c r="A3043" t="s">
        <v>17</v>
      </c>
      <c r="B3043" t="str">
        <f>"603863"</f>
        <v>603863</v>
      </c>
      <c r="C3043" t="s">
        <v>6132</v>
      </c>
      <c r="D3043" t="s">
        <v>455</v>
      </c>
      <c r="E3043">
        <v>-88659529</v>
      </c>
      <c r="F3043">
        <v>-129974148</v>
      </c>
      <c r="G3043">
        <v>-162268246</v>
      </c>
      <c r="H3043">
        <v>-8501100</v>
      </c>
      <c r="I3043">
        <v>7387400</v>
      </c>
      <c r="P3043">
        <v>51</v>
      </c>
      <c r="Q3043" t="s">
        <v>6133</v>
      </c>
    </row>
    <row r="3044" spans="1:17" x14ac:dyDescent="0.3">
      <c r="A3044" t="s">
        <v>32</v>
      </c>
      <c r="B3044" t="str">
        <f>"300256"</f>
        <v>300256</v>
      </c>
      <c r="C3044" t="s">
        <v>6134</v>
      </c>
      <c r="D3044" t="s">
        <v>124</v>
      </c>
      <c r="E3044">
        <v>-88699958</v>
      </c>
      <c r="F3044">
        <v>-29087380</v>
      </c>
      <c r="G3044">
        <v>11810878</v>
      </c>
      <c r="H3044">
        <v>-339309820</v>
      </c>
      <c r="I3044">
        <v>-202709940</v>
      </c>
      <c r="J3044">
        <v>-358156936</v>
      </c>
      <c r="K3044">
        <v>-215826350</v>
      </c>
      <c r="L3044">
        <v>-85692634</v>
      </c>
      <c r="M3044">
        <v>-141621440</v>
      </c>
      <c r="N3044">
        <v>30754350</v>
      </c>
      <c r="O3044">
        <v>-27411110</v>
      </c>
      <c r="P3044">
        <v>206</v>
      </c>
      <c r="Q3044" t="s">
        <v>6135</v>
      </c>
    </row>
    <row r="3045" spans="1:17" x14ac:dyDescent="0.3">
      <c r="A3045" t="s">
        <v>17</v>
      </c>
      <c r="B3045" t="str">
        <f>"603029"</f>
        <v>603029</v>
      </c>
      <c r="C3045" t="s">
        <v>6136</v>
      </c>
      <c r="D3045" t="s">
        <v>135</v>
      </c>
      <c r="E3045">
        <v>-88819665</v>
      </c>
      <c r="F3045">
        <v>-48928073</v>
      </c>
      <c r="G3045">
        <v>-34474051</v>
      </c>
      <c r="H3045">
        <v>-30187425</v>
      </c>
      <c r="I3045">
        <v>-6161692</v>
      </c>
      <c r="J3045">
        <v>-18188219</v>
      </c>
      <c r="K3045">
        <v>13284853</v>
      </c>
      <c r="L3045">
        <v>24609147</v>
      </c>
      <c r="P3045">
        <v>62</v>
      </c>
      <c r="Q3045" t="s">
        <v>6137</v>
      </c>
    </row>
    <row r="3046" spans="1:17" x14ac:dyDescent="0.3">
      <c r="A3046" t="s">
        <v>17</v>
      </c>
      <c r="B3046" t="str">
        <f>"600051"</f>
        <v>600051</v>
      </c>
      <c r="C3046" t="s">
        <v>6138</v>
      </c>
      <c r="D3046" t="s">
        <v>345</v>
      </c>
      <c r="E3046">
        <v>-88910637</v>
      </c>
      <c r="F3046">
        <v>-253747499</v>
      </c>
      <c r="G3046">
        <v>90892362</v>
      </c>
      <c r="H3046">
        <v>-142795374</v>
      </c>
      <c r="I3046">
        <v>-104793158</v>
      </c>
      <c r="J3046">
        <v>187090493</v>
      </c>
      <c r="K3046">
        <v>85662935</v>
      </c>
      <c r="L3046">
        <v>-143824843</v>
      </c>
      <c r="M3046">
        <v>-169340494</v>
      </c>
      <c r="N3046">
        <v>-243220906</v>
      </c>
      <c r="O3046">
        <v>-66425663</v>
      </c>
      <c r="P3046">
        <v>305</v>
      </c>
      <c r="Q3046" t="s">
        <v>6139</v>
      </c>
    </row>
    <row r="3047" spans="1:17" x14ac:dyDescent="0.3">
      <c r="A3047" t="s">
        <v>17</v>
      </c>
      <c r="B3047" t="str">
        <f>"688323"</f>
        <v>688323</v>
      </c>
      <c r="C3047" t="s">
        <v>6140</v>
      </c>
      <c r="D3047" t="s">
        <v>144</v>
      </c>
      <c r="E3047">
        <v>-88969750</v>
      </c>
      <c r="F3047">
        <v>-49110800</v>
      </c>
      <c r="G3047">
        <v>1670196</v>
      </c>
      <c r="P3047">
        <v>26</v>
      </c>
      <c r="Q3047" t="s">
        <v>6141</v>
      </c>
    </row>
    <row r="3048" spans="1:17" x14ac:dyDescent="0.3">
      <c r="A3048" t="s">
        <v>32</v>
      </c>
      <c r="B3048" t="str">
        <f>"300977"</f>
        <v>300977</v>
      </c>
      <c r="C3048" t="s">
        <v>6142</v>
      </c>
      <c r="D3048" t="s">
        <v>645</v>
      </c>
      <c r="E3048">
        <v>-88977877</v>
      </c>
      <c r="F3048">
        <v>-29731005</v>
      </c>
      <c r="G3048">
        <v>-39461247</v>
      </c>
      <c r="P3048">
        <v>46</v>
      </c>
      <c r="Q3048" t="s">
        <v>6143</v>
      </c>
    </row>
    <row r="3049" spans="1:17" x14ac:dyDescent="0.3">
      <c r="A3049" t="s">
        <v>32</v>
      </c>
      <c r="B3049" t="str">
        <f>"000791"</f>
        <v>000791</v>
      </c>
      <c r="C3049" t="s">
        <v>6144</v>
      </c>
      <c r="D3049" t="s">
        <v>158</v>
      </c>
      <c r="E3049">
        <v>-89036790</v>
      </c>
      <c r="F3049">
        <v>269888221</v>
      </c>
      <c r="G3049">
        <v>213788184</v>
      </c>
      <c r="H3049">
        <v>307714063</v>
      </c>
      <c r="I3049">
        <v>390070927</v>
      </c>
      <c r="J3049">
        <v>170040713</v>
      </c>
      <c r="K3049">
        <v>82671571</v>
      </c>
      <c r="L3049">
        <v>45192955</v>
      </c>
      <c r="M3049">
        <v>-18118058</v>
      </c>
      <c r="N3049">
        <v>91756636</v>
      </c>
      <c r="O3049">
        <v>-3324670</v>
      </c>
      <c r="P3049">
        <v>219</v>
      </c>
      <c r="Q3049" t="s">
        <v>6145</v>
      </c>
    </row>
    <row r="3050" spans="1:17" x14ac:dyDescent="0.3">
      <c r="A3050" t="s">
        <v>17</v>
      </c>
      <c r="B3050" t="str">
        <f>"688766"</f>
        <v>688766</v>
      </c>
      <c r="C3050" t="s">
        <v>6146</v>
      </c>
      <c r="D3050" t="s">
        <v>124</v>
      </c>
      <c r="E3050">
        <v>-89459253</v>
      </c>
      <c r="G3050">
        <v>-58293391</v>
      </c>
      <c r="P3050">
        <v>42</v>
      </c>
      <c r="Q3050" t="s">
        <v>6147</v>
      </c>
    </row>
    <row r="3051" spans="1:17" x14ac:dyDescent="0.3">
      <c r="A3051" t="s">
        <v>17</v>
      </c>
      <c r="B3051" t="str">
        <f>"688596"</f>
        <v>688596</v>
      </c>
      <c r="C3051" t="s">
        <v>6148</v>
      </c>
      <c r="D3051" t="s">
        <v>135</v>
      </c>
      <c r="E3051">
        <v>-89662913</v>
      </c>
      <c r="F3051">
        <v>-50300668</v>
      </c>
      <c r="G3051">
        <v>-137461646</v>
      </c>
      <c r="H3051">
        <v>-125854857</v>
      </c>
      <c r="P3051">
        <v>60</v>
      </c>
      <c r="Q3051" t="s">
        <v>6149</v>
      </c>
    </row>
    <row r="3052" spans="1:17" x14ac:dyDescent="0.3">
      <c r="A3052" t="s">
        <v>17</v>
      </c>
      <c r="B3052" t="str">
        <f>"603070"</f>
        <v>603070</v>
      </c>
      <c r="C3052" t="s">
        <v>6150</v>
      </c>
      <c r="E3052">
        <v>-89679450</v>
      </c>
      <c r="P3052">
        <v>10</v>
      </c>
      <c r="Q3052" t="s">
        <v>6151</v>
      </c>
    </row>
    <row r="3053" spans="1:17" x14ac:dyDescent="0.3">
      <c r="A3053" t="s">
        <v>32</v>
      </c>
      <c r="B3053" t="str">
        <f>"002982"</f>
        <v>002982</v>
      </c>
      <c r="C3053" t="s">
        <v>6152</v>
      </c>
      <c r="D3053" t="s">
        <v>175</v>
      </c>
      <c r="E3053">
        <v>-89782967</v>
      </c>
      <c r="F3053">
        <v>-114084858</v>
      </c>
      <c r="G3053">
        <v>-20268066</v>
      </c>
      <c r="H3053">
        <v>-23901</v>
      </c>
      <c r="P3053">
        <v>131</v>
      </c>
      <c r="Q3053" t="s">
        <v>6153</v>
      </c>
    </row>
    <row r="3054" spans="1:17" x14ac:dyDescent="0.3">
      <c r="A3054" t="s">
        <v>32</v>
      </c>
      <c r="B3054" t="str">
        <f>"001267"</f>
        <v>001267</v>
      </c>
      <c r="C3054" t="s">
        <v>6154</v>
      </c>
      <c r="D3054" t="s">
        <v>645</v>
      </c>
      <c r="E3054">
        <v>-89818939</v>
      </c>
      <c r="F3054">
        <v>-96207210</v>
      </c>
      <c r="P3054">
        <v>10</v>
      </c>
      <c r="Q3054" t="s">
        <v>6155</v>
      </c>
    </row>
    <row r="3055" spans="1:17" x14ac:dyDescent="0.3">
      <c r="A3055" t="s">
        <v>17</v>
      </c>
      <c r="B3055" t="str">
        <f>"603015"</f>
        <v>603015</v>
      </c>
      <c r="C3055" t="s">
        <v>6156</v>
      </c>
      <c r="D3055" t="s">
        <v>135</v>
      </c>
      <c r="E3055">
        <v>-89893756</v>
      </c>
      <c r="F3055">
        <v>-57780271</v>
      </c>
      <c r="G3055">
        <v>-1215080</v>
      </c>
      <c r="H3055">
        <v>-35805877</v>
      </c>
      <c r="I3055">
        <v>4195135</v>
      </c>
      <c r="J3055">
        <v>-54261344</v>
      </c>
      <c r="K3055">
        <v>-66255154</v>
      </c>
      <c r="L3055">
        <v>-4025550</v>
      </c>
      <c r="M3055">
        <v>27598891</v>
      </c>
      <c r="P3055">
        <v>91</v>
      </c>
      <c r="Q3055" t="s">
        <v>6157</v>
      </c>
    </row>
    <row r="3056" spans="1:17" x14ac:dyDescent="0.3">
      <c r="A3056" t="s">
        <v>32</v>
      </c>
      <c r="B3056" t="str">
        <f>"300226"</f>
        <v>300226</v>
      </c>
      <c r="C3056" t="s">
        <v>6158</v>
      </c>
      <c r="D3056" t="s">
        <v>342</v>
      </c>
      <c r="E3056">
        <v>-89900182</v>
      </c>
      <c r="F3056">
        <v>53466455</v>
      </c>
      <c r="G3056">
        <v>-298394134</v>
      </c>
      <c r="H3056">
        <v>303852106</v>
      </c>
      <c r="I3056">
        <v>70810650</v>
      </c>
      <c r="J3056">
        <v>-232296297</v>
      </c>
      <c r="K3056">
        <v>-50744773</v>
      </c>
      <c r="L3056">
        <v>-226683760</v>
      </c>
      <c r="M3056">
        <v>-68085083</v>
      </c>
      <c r="N3056">
        <v>-43119922</v>
      </c>
      <c r="O3056">
        <v>-6431987</v>
      </c>
      <c r="P3056">
        <v>254</v>
      </c>
      <c r="Q3056" t="s">
        <v>6159</v>
      </c>
    </row>
    <row r="3057" spans="1:17" x14ac:dyDescent="0.3">
      <c r="A3057" t="s">
        <v>17</v>
      </c>
      <c r="B3057" t="str">
        <f>"600429"</f>
        <v>600429</v>
      </c>
      <c r="C3057" t="s">
        <v>6160</v>
      </c>
      <c r="D3057" t="s">
        <v>172</v>
      </c>
      <c r="E3057">
        <v>-89953925</v>
      </c>
      <c r="F3057">
        <v>164543531</v>
      </c>
      <c r="G3057">
        <v>-187566022</v>
      </c>
      <c r="H3057">
        <v>-152627431</v>
      </c>
      <c r="I3057">
        <v>-250877347</v>
      </c>
      <c r="J3057">
        <v>-302657431</v>
      </c>
      <c r="K3057">
        <v>-165780965</v>
      </c>
      <c r="L3057">
        <v>4554990</v>
      </c>
      <c r="M3057">
        <v>9648866</v>
      </c>
      <c r="N3057">
        <v>-107086264</v>
      </c>
      <c r="O3057">
        <v>-129499294</v>
      </c>
      <c r="P3057">
        <v>494</v>
      </c>
      <c r="Q3057" t="s">
        <v>6161</v>
      </c>
    </row>
    <row r="3058" spans="1:17" x14ac:dyDescent="0.3">
      <c r="A3058" t="s">
        <v>17</v>
      </c>
      <c r="B3058" t="str">
        <f>"688020"</f>
        <v>688020</v>
      </c>
      <c r="C3058" t="s">
        <v>6162</v>
      </c>
      <c r="D3058" t="s">
        <v>124</v>
      </c>
      <c r="E3058">
        <v>-90319028</v>
      </c>
      <c r="F3058">
        <v>-70814645</v>
      </c>
      <c r="G3058">
        <v>-17533487</v>
      </c>
      <c r="H3058">
        <v>23309538</v>
      </c>
      <c r="I3058">
        <v>25007300</v>
      </c>
      <c r="P3058">
        <v>253</v>
      </c>
      <c r="Q3058" t="s">
        <v>6163</v>
      </c>
    </row>
    <row r="3059" spans="1:17" x14ac:dyDescent="0.3">
      <c r="A3059" t="s">
        <v>17</v>
      </c>
      <c r="B3059" t="str">
        <f>"688029"</f>
        <v>688029</v>
      </c>
      <c r="C3059" t="s">
        <v>6164</v>
      </c>
      <c r="D3059" t="s">
        <v>98</v>
      </c>
      <c r="E3059">
        <v>-90365913</v>
      </c>
      <c r="F3059">
        <v>35595860</v>
      </c>
      <c r="G3059">
        <v>-39166024</v>
      </c>
      <c r="H3059">
        <v>34834035</v>
      </c>
      <c r="I3059">
        <v>25671700</v>
      </c>
      <c r="P3059">
        <v>392</v>
      </c>
      <c r="Q3059" t="s">
        <v>6165</v>
      </c>
    </row>
    <row r="3060" spans="1:17" x14ac:dyDescent="0.3">
      <c r="A3060" t="s">
        <v>17</v>
      </c>
      <c r="B3060" t="str">
        <f>"601519"</f>
        <v>601519</v>
      </c>
      <c r="C3060" t="s">
        <v>6166</v>
      </c>
      <c r="D3060" t="s">
        <v>342</v>
      </c>
      <c r="E3060">
        <v>-90375944</v>
      </c>
      <c r="F3060">
        <v>-66518409</v>
      </c>
      <c r="G3060">
        <v>-172645504</v>
      </c>
      <c r="H3060">
        <v>-119061596</v>
      </c>
      <c r="I3060">
        <v>-24497886</v>
      </c>
      <c r="J3060">
        <v>-144829823</v>
      </c>
      <c r="K3060">
        <v>-50163481</v>
      </c>
      <c r="L3060">
        <v>-309039457</v>
      </c>
      <c r="M3060">
        <v>-117449692</v>
      </c>
      <c r="N3060">
        <v>-88046138</v>
      </c>
      <c r="O3060">
        <v>-101907227</v>
      </c>
      <c r="P3060">
        <v>209</v>
      </c>
      <c r="Q3060" t="s">
        <v>6167</v>
      </c>
    </row>
    <row r="3061" spans="1:17" x14ac:dyDescent="0.3">
      <c r="A3061" t="s">
        <v>32</v>
      </c>
      <c r="B3061" t="str">
        <f>"300793"</f>
        <v>300793</v>
      </c>
      <c r="C3061" t="s">
        <v>6168</v>
      </c>
      <c r="D3061" t="s">
        <v>124</v>
      </c>
      <c r="E3061">
        <v>-90410205</v>
      </c>
      <c r="F3061">
        <v>-152955102</v>
      </c>
      <c r="G3061">
        <v>-89486922</v>
      </c>
      <c r="H3061">
        <v>-64399601</v>
      </c>
      <c r="P3061">
        <v>144</v>
      </c>
      <c r="Q3061" t="s">
        <v>6169</v>
      </c>
    </row>
    <row r="3062" spans="1:17" x14ac:dyDescent="0.3">
      <c r="A3062" t="s">
        <v>32</v>
      </c>
      <c r="B3062" t="str">
        <f>"002721"</f>
        <v>002721</v>
      </c>
      <c r="C3062" t="s">
        <v>6170</v>
      </c>
      <c r="D3062" t="s">
        <v>130</v>
      </c>
      <c r="E3062">
        <v>-90416387</v>
      </c>
      <c r="F3062">
        <v>93213036</v>
      </c>
      <c r="G3062">
        <v>196598479</v>
      </c>
      <c r="H3062">
        <v>-1934544055</v>
      </c>
      <c r="I3062">
        <v>416196987</v>
      </c>
      <c r="J3062">
        <v>-463792760</v>
      </c>
      <c r="K3062">
        <v>-49691019</v>
      </c>
      <c r="L3062">
        <v>-115609854</v>
      </c>
      <c r="M3062">
        <v>22726108</v>
      </c>
      <c r="N3062">
        <v>-117685989</v>
      </c>
      <c r="P3062">
        <v>89</v>
      </c>
      <c r="Q3062" t="s">
        <v>6171</v>
      </c>
    </row>
    <row r="3063" spans="1:17" x14ac:dyDescent="0.3">
      <c r="A3063" t="s">
        <v>17</v>
      </c>
      <c r="B3063" t="str">
        <f>"603332"</f>
        <v>603332</v>
      </c>
      <c r="C3063" t="s">
        <v>6172</v>
      </c>
      <c r="D3063" t="s">
        <v>144</v>
      </c>
      <c r="E3063">
        <v>-90467887</v>
      </c>
      <c r="F3063">
        <v>-163828124</v>
      </c>
      <c r="G3063">
        <v>-78741742</v>
      </c>
      <c r="H3063">
        <v>56675832</v>
      </c>
      <c r="I3063">
        <v>-60656046</v>
      </c>
      <c r="J3063">
        <v>-38797192</v>
      </c>
      <c r="P3063">
        <v>59</v>
      </c>
      <c r="Q3063" t="s">
        <v>6173</v>
      </c>
    </row>
    <row r="3064" spans="1:17" x14ac:dyDescent="0.3">
      <c r="A3064" t="s">
        <v>32</v>
      </c>
      <c r="B3064" t="str">
        <f>"300302"</f>
        <v>300302</v>
      </c>
      <c r="C3064" t="s">
        <v>6174</v>
      </c>
      <c r="D3064" t="s">
        <v>342</v>
      </c>
      <c r="E3064">
        <v>-90580394</v>
      </c>
      <c r="F3064">
        <v>-11574344</v>
      </c>
      <c r="G3064">
        <v>-26183126</v>
      </c>
      <c r="H3064">
        <v>-13839353</v>
      </c>
      <c r="I3064">
        <v>-38687990</v>
      </c>
      <c r="J3064">
        <v>-49539838</v>
      </c>
      <c r="K3064">
        <v>-105715784</v>
      </c>
      <c r="L3064">
        <v>-20795077</v>
      </c>
      <c r="M3064">
        <v>-27676720</v>
      </c>
      <c r="N3064">
        <v>-41710364</v>
      </c>
      <c r="O3064">
        <v>-27723499</v>
      </c>
      <c r="P3064">
        <v>146</v>
      </c>
      <c r="Q3064" t="s">
        <v>6175</v>
      </c>
    </row>
    <row r="3065" spans="1:17" x14ac:dyDescent="0.3">
      <c r="A3065" t="s">
        <v>32</v>
      </c>
      <c r="B3065" t="str">
        <f>"002247"</f>
        <v>002247</v>
      </c>
      <c r="C3065" t="s">
        <v>6176</v>
      </c>
      <c r="D3065" t="s">
        <v>245</v>
      </c>
      <c r="E3065">
        <v>-90715808</v>
      </c>
      <c r="F3065">
        <v>-75951790</v>
      </c>
      <c r="G3065">
        <v>-94405310</v>
      </c>
      <c r="H3065">
        <v>-47393236</v>
      </c>
      <c r="I3065">
        <v>-208009753</v>
      </c>
      <c r="J3065">
        <v>-130955955</v>
      </c>
      <c r="K3065">
        <v>-51258562</v>
      </c>
      <c r="L3065">
        <v>-43621304</v>
      </c>
      <c r="M3065">
        <v>-59869870</v>
      </c>
      <c r="N3065">
        <v>-41054608</v>
      </c>
      <c r="O3065">
        <v>-36645473</v>
      </c>
      <c r="P3065">
        <v>90</v>
      </c>
      <c r="Q3065" t="s">
        <v>6177</v>
      </c>
    </row>
    <row r="3066" spans="1:17" x14ac:dyDescent="0.3">
      <c r="A3066" t="s">
        <v>32</v>
      </c>
      <c r="B3066" t="str">
        <f>"002887"</f>
        <v>002887</v>
      </c>
      <c r="C3066" t="s">
        <v>6178</v>
      </c>
      <c r="D3066" t="s">
        <v>1334</v>
      </c>
      <c r="E3066">
        <v>-90716584</v>
      </c>
      <c r="F3066">
        <v>-169200089</v>
      </c>
      <c r="G3066">
        <v>-78660637</v>
      </c>
      <c r="H3066">
        <v>-37026307</v>
      </c>
      <c r="I3066">
        <v>-46791628</v>
      </c>
      <c r="J3066">
        <v>9390258</v>
      </c>
      <c r="K3066">
        <v>-41417326</v>
      </c>
      <c r="P3066">
        <v>167</v>
      </c>
      <c r="Q3066" t="s">
        <v>6179</v>
      </c>
    </row>
    <row r="3067" spans="1:17" x14ac:dyDescent="0.3">
      <c r="A3067" t="s">
        <v>17</v>
      </c>
      <c r="B3067" t="str">
        <f>"603386"</f>
        <v>603386</v>
      </c>
      <c r="C3067" t="s">
        <v>6180</v>
      </c>
      <c r="D3067" t="s">
        <v>124</v>
      </c>
      <c r="E3067">
        <v>-90761415</v>
      </c>
      <c r="F3067">
        <v>-54770396</v>
      </c>
      <c r="G3067">
        <v>-31192939</v>
      </c>
      <c r="H3067">
        <v>-9542801</v>
      </c>
      <c r="I3067">
        <v>-74397315</v>
      </c>
      <c r="J3067">
        <v>-32146625</v>
      </c>
      <c r="P3067">
        <v>181</v>
      </c>
      <c r="Q3067" t="s">
        <v>6181</v>
      </c>
    </row>
    <row r="3068" spans="1:17" x14ac:dyDescent="0.3">
      <c r="A3068" t="s">
        <v>17</v>
      </c>
      <c r="B3068" t="str">
        <f>"688320"</f>
        <v>688320</v>
      </c>
      <c r="C3068" t="s">
        <v>6182</v>
      </c>
      <c r="E3068">
        <v>-91030941</v>
      </c>
      <c r="P3068">
        <v>1</v>
      </c>
      <c r="Q3068" t="s">
        <v>6183</v>
      </c>
    </row>
    <row r="3069" spans="1:17" x14ac:dyDescent="0.3">
      <c r="A3069" t="s">
        <v>17</v>
      </c>
      <c r="B3069" t="str">
        <f>"603823"</f>
        <v>603823</v>
      </c>
      <c r="C3069" t="s">
        <v>6184</v>
      </c>
      <c r="D3069" t="s">
        <v>144</v>
      </c>
      <c r="E3069">
        <v>-91160819</v>
      </c>
      <c r="F3069">
        <v>-10492549</v>
      </c>
      <c r="G3069">
        <v>-2398739</v>
      </c>
      <c r="H3069">
        <v>1443639</v>
      </c>
      <c r="I3069">
        <v>-15512282</v>
      </c>
      <c r="J3069">
        <v>-61720459</v>
      </c>
      <c r="K3069">
        <v>-349873</v>
      </c>
      <c r="P3069">
        <v>142</v>
      </c>
      <c r="Q3069" t="s">
        <v>6185</v>
      </c>
    </row>
    <row r="3070" spans="1:17" x14ac:dyDescent="0.3">
      <c r="A3070" t="s">
        <v>32</v>
      </c>
      <c r="B3070" t="str">
        <f>"301099"</f>
        <v>301099</v>
      </c>
      <c r="C3070" t="s">
        <v>6186</v>
      </c>
      <c r="D3070" t="s">
        <v>124</v>
      </c>
      <c r="E3070">
        <v>-91176777</v>
      </c>
      <c r="F3070">
        <v>-137906618</v>
      </c>
      <c r="P3070">
        <v>16</v>
      </c>
      <c r="Q3070" t="s">
        <v>6187</v>
      </c>
    </row>
    <row r="3071" spans="1:17" x14ac:dyDescent="0.3">
      <c r="A3071" t="s">
        <v>32</v>
      </c>
      <c r="B3071" t="str">
        <f>"001313"</f>
        <v>001313</v>
      </c>
      <c r="C3071" t="s">
        <v>6188</v>
      </c>
      <c r="E3071">
        <v>-91456705</v>
      </c>
      <c r="F3071">
        <v>169725340</v>
      </c>
      <c r="P3071">
        <v>10</v>
      </c>
      <c r="Q3071" t="s">
        <v>6189</v>
      </c>
    </row>
    <row r="3072" spans="1:17" x14ac:dyDescent="0.3">
      <c r="A3072" t="s">
        <v>17</v>
      </c>
      <c r="B3072" t="str">
        <f>"603380"</f>
        <v>603380</v>
      </c>
      <c r="C3072" t="s">
        <v>6190</v>
      </c>
      <c r="D3072" t="s">
        <v>124</v>
      </c>
      <c r="E3072">
        <v>-91557874</v>
      </c>
      <c r="F3072">
        <v>-27280513</v>
      </c>
      <c r="G3072">
        <v>-27612658</v>
      </c>
      <c r="H3072">
        <v>10248256</v>
      </c>
      <c r="I3072">
        <v>7344666</v>
      </c>
      <c r="J3072">
        <v>-11973443</v>
      </c>
      <c r="P3072">
        <v>212</v>
      </c>
      <c r="Q3072" t="s">
        <v>6191</v>
      </c>
    </row>
    <row r="3073" spans="1:17" x14ac:dyDescent="0.3">
      <c r="A3073" t="s">
        <v>32</v>
      </c>
      <c r="B3073" t="str">
        <f>"300918"</f>
        <v>300918</v>
      </c>
      <c r="C3073" t="s">
        <v>6192</v>
      </c>
      <c r="D3073" t="s">
        <v>130</v>
      </c>
      <c r="E3073">
        <v>-91574872</v>
      </c>
      <c r="F3073">
        <v>-75062136</v>
      </c>
      <c r="G3073">
        <v>-59388000</v>
      </c>
      <c r="P3073">
        <v>38</v>
      </c>
      <c r="Q3073" t="s">
        <v>6193</v>
      </c>
    </row>
    <row r="3074" spans="1:17" x14ac:dyDescent="0.3">
      <c r="A3074" t="s">
        <v>32</v>
      </c>
      <c r="B3074" t="str">
        <f>"300589"</f>
        <v>300589</v>
      </c>
      <c r="C3074" t="s">
        <v>6194</v>
      </c>
      <c r="D3074" t="s">
        <v>188</v>
      </c>
      <c r="E3074">
        <v>-91785162</v>
      </c>
      <c r="F3074">
        <v>-54302736</v>
      </c>
      <c r="G3074">
        <v>-64090594</v>
      </c>
      <c r="H3074">
        <v>-76899307</v>
      </c>
      <c r="I3074">
        <v>14516939</v>
      </c>
      <c r="J3074">
        <v>-90715350</v>
      </c>
      <c r="K3074">
        <v>-21277667</v>
      </c>
      <c r="P3074">
        <v>87</v>
      </c>
      <c r="Q3074" t="s">
        <v>6195</v>
      </c>
    </row>
    <row r="3075" spans="1:17" x14ac:dyDescent="0.3">
      <c r="A3075" t="s">
        <v>32</v>
      </c>
      <c r="B3075" t="str">
        <f>"000419"</f>
        <v>000419</v>
      </c>
      <c r="C3075" t="s">
        <v>6196</v>
      </c>
      <c r="D3075" t="s">
        <v>218</v>
      </c>
      <c r="E3075">
        <v>-92079359</v>
      </c>
      <c r="F3075">
        <v>-180223336</v>
      </c>
      <c r="G3075">
        <v>-292777227</v>
      </c>
      <c r="H3075">
        <v>53197992</v>
      </c>
      <c r="I3075">
        <v>-305070259</v>
      </c>
      <c r="J3075">
        <v>-155770139</v>
      </c>
      <c r="K3075">
        <v>-347088207</v>
      </c>
      <c r="L3075">
        <v>-179967626</v>
      </c>
      <c r="M3075">
        <v>-167154443</v>
      </c>
      <c r="N3075">
        <v>-124921518</v>
      </c>
      <c r="O3075">
        <v>-171409543</v>
      </c>
      <c r="P3075">
        <v>115</v>
      </c>
      <c r="Q3075" t="s">
        <v>6197</v>
      </c>
    </row>
    <row r="3076" spans="1:17" x14ac:dyDescent="0.3">
      <c r="A3076" t="s">
        <v>17</v>
      </c>
      <c r="B3076" t="str">
        <f>"603556"</f>
        <v>603556</v>
      </c>
      <c r="C3076" t="s">
        <v>6198</v>
      </c>
      <c r="D3076" t="s">
        <v>464</v>
      </c>
      <c r="E3076">
        <v>-92169056</v>
      </c>
      <c r="F3076">
        <v>-7724803</v>
      </c>
      <c r="G3076">
        <v>-74620842</v>
      </c>
      <c r="H3076">
        <v>-23448057</v>
      </c>
      <c r="I3076">
        <v>-76977904</v>
      </c>
      <c r="J3076">
        <v>58424308</v>
      </c>
      <c r="K3076">
        <v>35954999</v>
      </c>
      <c r="P3076">
        <v>218</v>
      </c>
      <c r="Q3076" t="s">
        <v>6199</v>
      </c>
    </row>
    <row r="3077" spans="1:17" x14ac:dyDescent="0.3">
      <c r="A3077" t="s">
        <v>32</v>
      </c>
      <c r="B3077" t="str">
        <f>"002990"</f>
        <v>002990</v>
      </c>
      <c r="C3077" t="s">
        <v>6200</v>
      </c>
      <c r="D3077" t="s">
        <v>342</v>
      </c>
      <c r="E3077">
        <v>-92265002</v>
      </c>
      <c r="F3077">
        <v>-64277736</v>
      </c>
      <c r="G3077">
        <v>-128068770</v>
      </c>
      <c r="H3077">
        <v>-70369813</v>
      </c>
      <c r="P3077">
        <v>110</v>
      </c>
      <c r="Q3077" t="s">
        <v>6201</v>
      </c>
    </row>
    <row r="3078" spans="1:17" x14ac:dyDescent="0.3">
      <c r="A3078" t="s">
        <v>32</v>
      </c>
      <c r="B3078" t="str">
        <f>"300245"</f>
        <v>300245</v>
      </c>
      <c r="C3078" t="s">
        <v>6202</v>
      </c>
      <c r="D3078" t="s">
        <v>342</v>
      </c>
      <c r="E3078">
        <v>-92338575</v>
      </c>
      <c r="F3078">
        <v>-37908134</v>
      </c>
      <c r="G3078">
        <v>-76301673</v>
      </c>
      <c r="H3078">
        <v>-43787808</v>
      </c>
      <c r="I3078">
        <v>-28383790</v>
      </c>
      <c r="J3078">
        <v>-32707017</v>
      </c>
      <c r="K3078">
        <v>-71176453</v>
      </c>
      <c r="L3078">
        <v>-43054755</v>
      </c>
      <c r="M3078">
        <v>-48441631</v>
      </c>
      <c r="N3078">
        <v>-32280703</v>
      </c>
      <c r="O3078">
        <v>-35447866</v>
      </c>
      <c r="P3078">
        <v>128</v>
      </c>
      <c r="Q3078" t="s">
        <v>6203</v>
      </c>
    </row>
    <row r="3079" spans="1:17" x14ac:dyDescent="0.3">
      <c r="A3079" t="s">
        <v>17</v>
      </c>
      <c r="B3079" t="str">
        <f>"688007"</f>
        <v>688007</v>
      </c>
      <c r="C3079" t="s">
        <v>6204</v>
      </c>
      <c r="D3079" t="s">
        <v>124</v>
      </c>
      <c r="E3079">
        <v>-92446633</v>
      </c>
      <c r="F3079">
        <v>91960856</v>
      </c>
      <c r="G3079">
        <v>-43281251</v>
      </c>
      <c r="H3079">
        <v>-65364700</v>
      </c>
      <c r="I3079">
        <v>-6353700</v>
      </c>
      <c r="P3079">
        <v>124</v>
      </c>
      <c r="Q3079" t="s">
        <v>6205</v>
      </c>
    </row>
    <row r="3080" spans="1:17" x14ac:dyDescent="0.3">
      <c r="A3080" t="s">
        <v>17</v>
      </c>
      <c r="B3080" t="str">
        <f>"688173"</f>
        <v>688173</v>
      </c>
      <c r="C3080" t="s">
        <v>6206</v>
      </c>
      <c r="E3080">
        <v>-92472093</v>
      </c>
      <c r="P3080">
        <v>11</v>
      </c>
      <c r="Q3080" t="s">
        <v>6207</v>
      </c>
    </row>
    <row r="3081" spans="1:17" x14ac:dyDescent="0.3">
      <c r="A3081" t="s">
        <v>32</v>
      </c>
      <c r="B3081" t="str">
        <f>"003042"</f>
        <v>003042</v>
      </c>
      <c r="C3081" t="s">
        <v>6208</v>
      </c>
      <c r="D3081" t="s">
        <v>144</v>
      </c>
      <c r="E3081">
        <v>-92587244</v>
      </c>
      <c r="F3081">
        <v>-55481214</v>
      </c>
      <c r="G3081">
        <v>-112667115</v>
      </c>
      <c r="P3081">
        <v>29</v>
      </c>
      <c r="Q3081" t="s">
        <v>6209</v>
      </c>
    </row>
    <row r="3082" spans="1:17" x14ac:dyDescent="0.3">
      <c r="A3082" t="s">
        <v>17</v>
      </c>
      <c r="B3082" t="str">
        <f>"600287"</f>
        <v>600287</v>
      </c>
      <c r="C3082" t="s">
        <v>6210</v>
      </c>
      <c r="D3082" t="s">
        <v>218</v>
      </c>
      <c r="E3082">
        <v>-92704985</v>
      </c>
      <c r="F3082">
        <v>-241541779</v>
      </c>
      <c r="G3082">
        <v>-393520674</v>
      </c>
      <c r="H3082">
        <v>-45319401</v>
      </c>
      <c r="I3082">
        <v>50324051</v>
      </c>
      <c r="J3082">
        <v>3138710</v>
      </c>
      <c r="K3082">
        <v>22081520</v>
      </c>
      <c r="L3082">
        <v>32336793</v>
      </c>
      <c r="M3082">
        <v>41833666</v>
      </c>
      <c r="N3082">
        <v>126575382</v>
      </c>
      <c r="O3082">
        <v>-70598179</v>
      </c>
      <c r="P3082">
        <v>72</v>
      </c>
      <c r="Q3082" t="s">
        <v>6211</v>
      </c>
    </row>
    <row r="3083" spans="1:17" x14ac:dyDescent="0.3">
      <c r="A3083" t="s">
        <v>17</v>
      </c>
      <c r="B3083" t="str">
        <f>"603733"</f>
        <v>603733</v>
      </c>
      <c r="C3083" t="s">
        <v>6212</v>
      </c>
      <c r="D3083" t="s">
        <v>455</v>
      </c>
      <c r="E3083">
        <v>-92858473</v>
      </c>
      <c r="F3083">
        <v>-44791493</v>
      </c>
      <c r="G3083">
        <v>-166081153</v>
      </c>
      <c r="H3083">
        <v>-80042277</v>
      </c>
      <c r="I3083">
        <v>-126472074</v>
      </c>
      <c r="J3083">
        <v>-181143743</v>
      </c>
      <c r="P3083">
        <v>233</v>
      </c>
      <c r="Q3083" t="s">
        <v>6213</v>
      </c>
    </row>
    <row r="3084" spans="1:17" x14ac:dyDescent="0.3">
      <c r="A3084" t="s">
        <v>32</v>
      </c>
      <c r="B3084" t="str">
        <f>"300830"</f>
        <v>300830</v>
      </c>
      <c r="C3084" t="s">
        <v>6214</v>
      </c>
      <c r="D3084" t="s">
        <v>342</v>
      </c>
      <c r="E3084">
        <v>-92971626</v>
      </c>
      <c r="F3084">
        <v>-60048281</v>
      </c>
      <c r="G3084">
        <v>-71353070</v>
      </c>
      <c r="H3084">
        <v>-52140977</v>
      </c>
      <c r="P3084">
        <v>74</v>
      </c>
      <c r="Q3084" t="s">
        <v>6215</v>
      </c>
    </row>
    <row r="3085" spans="1:17" x14ac:dyDescent="0.3">
      <c r="A3085" t="s">
        <v>17</v>
      </c>
      <c r="B3085" t="str">
        <f>"603069"</f>
        <v>603069</v>
      </c>
      <c r="C3085" t="s">
        <v>6216</v>
      </c>
      <c r="D3085" t="s">
        <v>46</v>
      </c>
      <c r="E3085">
        <v>-93003206</v>
      </c>
      <c r="F3085">
        <v>-75551241</v>
      </c>
      <c r="G3085">
        <v>-100137483</v>
      </c>
      <c r="H3085">
        <v>-21394186</v>
      </c>
      <c r="I3085">
        <v>27402586</v>
      </c>
      <c r="J3085">
        <v>-5960536</v>
      </c>
      <c r="K3085">
        <v>-4494674</v>
      </c>
      <c r="L3085">
        <v>115504300</v>
      </c>
      <c r="P3085">
        <v>98</v>
      </c>
      <c r="Q3085" t="s">
        <v>6217</v>
      </c>
    </row>
    <row r="3086" spans="1:17" x14ac:dyDescent="0.3">
      <c r="A3086" t="s">
        <v>17</v>
      </c>
      <c r="B3086" t="str">
        <f>"601811"</f>
        <v>601811</v>
      </c>
      <c r="C3086" t="s">
        <v>6218</v>
      </c>
      <c r="D3086" t="s">
        <v>245</v>
      </c>
      <c r="E3086">
        <v>-93061370</v>
      </c>
      <c r="F3086">
        <v>-68352189</v>
      </c>
      <c r="G3086">
        <v>8365536</v>
      </c>
      <c r="H3086">
        <v>-113676351</v>
      </c>
      <c r="I3086">
        <v>-172076756</v>
      </c>
      <c r="J3086">
        <v>-218921146</v>
      </c>
      <c r="K3086">
        <v>-264416917</v>
      </c>
      <c r="P3086">
        <v>276</v>
      </c>
      <c r="Q3086" t="s">
        <v>6219</v>
      </c>
    </row>
    <row r="3087" spans="1:17" x14ac:dyDescent="0.3">
      <c r="A3087" t="s">
        <v>32</v>
      </c>
      <c r="B3087" t="str">
        <f>"300138"</f>
        <v>300138</v>
      </c>
      <c r="C3087" t="s">
        <v>6220</v>
      </c>
      <c r="D3087" t="s">
        <v>175</v>
      </c>
      <c r="E3087">
        <v>-93167993</v>
      </c>
      <c r="F3087">
        <v>276708372</v>
      </c>
      <c r="G3087">
        <v>144584889</v>
      </c>
      <c r="H3087">
        <v>24171081</v>
      </c>
      <c r="I3087">
        <v>24277762</v>
      </c>
      <c r="J3087">
        <v>56515447</v>
      </c>
      <c r="K3087">
        <v>97066829</v>
      </c>
      <c r="L3087">
        <v>-4518622</v>
      </c>
      <c r="M3087">
        <v>54374561</v>
      </c>
      <c r="N3087">
        <v>-26813792</v>
      </c>
      <c r="O3087">
        <v>-78844216</v>
      </c>
      <c r="P3087">
        <v>265</v>
      </c>
      <c r="Q3087" t="s">
        <v>6221</v>
      </c>
    </row>
    <row r="3088" spans="1:17" x14ac:dyDescent="0.3">
      <c r="A3088" t="s">
        <v>32</v>
      </c>
      <c r="B3088" t="str">
        <f>"300144"</f>
        <v>300144</v>
      </c>
      <c r="C3088" t="s">
        <v>6222</v>
      </c>
      <c r="D3088" t="s">
        <v>497</v>
      </c>
      <c r="E3088">
        <v>-93189666</v>
      </c>
      <c r="F3088">
        <v>-171434623</v>
      </c>
      <c r="G3088">
        <v>-182597257</v>
      </c>
      <c r="H3088">
        <v>452685177</v>
      </c>
      <c r="I3088">
        <v>452026282</v>
      </c>
      <c r="J3088">
        <v>298198520</v>
      </c>
      <c r="K3088">
        <v>169706878</v>
      </c>
      <c r="L3088">
        <v>64723524</v>
      </c>
      <c r="M3088">
        <v>-126911406</v>
      </c>
      <c r="N3088">
        <v>-73425734</v>
      </c>
      <c r="O3088">
        <v>-18010878</v>
      </c>
      <c r="P3088">
        <v>3022</v>
      </c>
      <c r="Q3088" t="s">
        <v>6223</v>
      </c>
    </row>
    <row r="3089" spans="1:17" x14ac:dyDescent="0.3">
      <c r="A3089" t="s">
        <v>32</v>
      </c>
      <c r="B3089" t="str">
        <f>"002102"</f>
        <v>002102</v>
      </c>
      <c r="C3089" t="s">
        <v>6224</v>
      </c>
      <c r="D3089" t="s">
        <v>98</v>
      </c>
      <c r="E3089">
        <v>-93317437</v>
      </c>
      <c r="F3089">
        <v>-162256749</v>
      </c>
      <c r="G3089">
        <v>135855736</v>
      </c>
      <c r="H3089">
        <v>-235272375</v>
      </c>
      <c r="I3089">
        <v>-81250408</v>
      </c>
      <c r="J3089">
        <v>-76006567</v>
      </c>
      <c r="K3089">
        <v>-119578097</v>
      </c>
      <c r="L3089">
        <v>91006770</v>
      </c>
      <c r="M3089">
        <v>-229013932</v>
      </c>
      <c r="N3089">
        <v>-3602323</v>
      </c>
      <c r="O3089">
        <v>14147294</v>
      </c>
      <c r="P3089">
        <v>119</v>
      </c>
      <c r="Q3089" t="s">
        <v>6225</v>
      </c>
    </row>
    <row r="3090" spans="1:17" x14ac:dyDescent="0.3">
      <c r="A3090" t="s">
        <v>17</v>
      </c>
      <c r="B3090" t="str">
        <f>"605066"</f>
        <v>605066</v>
      </c>
      <c r="C3090" t="s">
        <v>6226</v>
      </c>
      <c r="D3090" t="s">
        <v>464</v>
      </c>
      <c r="E3090">
        <v>-93375692</v>
      </c>
      <c r="F3090">
        <v>-102243552</v>
      </c>
      <c r="G3090">
        <v>-94563000</v>
      </c>
      <c r="H3090">
        <v>-71439520</v>
      </c>
      <c r="P3090">
        <v>54</v>
      </c>
      <c r="Q3090" t="s">
        <v>6227</v>
      </c>
    </row>
    <row r="3091" spans="1:17" x14ac:dyDescent="0.3">
      <c r="A3091" t="s">
        <v>17</v>
      </c>
      <c r="B3091" t="str">
        <f>"600824"</f>
        <v>600824</v>
      </c>
      <c r="C3091" t="s">
        <v>6228</v>
      </c>
      <c r="D3091" t="s">
        <v>218</v>
      </c>
      <c r="E3091">
        <v>-93493085</v>
      </c>
      <c r="F3091">
        <v>-122269149</v>
      </c>
      <c r="G3091">
        <v>-40722355</v>
      </c>
      <c r="H3091">
        <v>38617701</v>
      </c>
      <c r="I3091">
        <v>30329564</v>
      </c>
      <c r="J3091">
        <v>85754572</v>
      </c>
      <c r="K3091">
        <v>94789153</v>
      </c>
      <c r="L3091">
        <v>97439945</v>
      </c>
      <c r="M3091">
        <v>150654887</v>
      </c>
      <c r="N3091">
        <v>88517421</v>
      </c>
      <c r="O3091">
        <v>94397110</v>
      </c>
      <c r="P3091">
        <v>81</v>
      </c>
      <c r="Q3091" t="s">
        <v>6229</v>
      </c>
    </row>
    <row r="3092" spans="1:17" x14ac:dyDescent="0.3">
      <c r="A3092" t="s">
        <v>32</v>
      </c>
      <c r="B3092" t="str">
        <f>"300148"</f>
        <v>300148</v>
      </c>
      <c r="C3092" t="s">
        <v>6230</v>
      </c>
      <c r="D3092" t="s">
        <v>245</v>
      </c>
      <c r="E3092">
        <v>-93497127</v>
      </c>
      <c r="F3092">
        <v>-53247890</v>
      </c>
      <c r="G3092">
        <v>-38079597</v>
      </c>
      <c r="H3092">
        <v>-44571176</v>
      </c>
      <c r="I3092">
        <v>-96697416</v>
      </c>
      <c r="J3092">
        <v>-72911157</v>
      </c>
      <c r="K3092">
        <v>-35317180</v>
      </c>
      <c r="L3092">
        <v>-41516567</v>
      </c>
      <c r="M3092">
        <v>-29564510</v>
      </c>
      <c r="N3092">
        <v>-49406579</v>
      </c>
      <c r="O3092">
        <v>-37248719</v>
      </c>
      <c r="P3092">
        <v>99</v>
      </c>
      <c r="Q3092" t="s">
        <v>6231</v>
      </c>
    </row>
    <row r="3093" spans="1:17" x14ac:dyDescent="0.3">
      <c r="A3093" t="s">
        <v>17</v>
      </c>
      <c r="B3093" t="str">
        <f>"900937"</f>
        <v>900937</v>
      </c>
      <c r="C3093" t="s">
        <v>6232</v>
      </c>
      <c r="E3093">
        <v>-93623933.353400007</v>
      </c>
      <c r="F3093">
        <v>-14039374.512</v>
      </c>
      <c r="G3093">
        <v>42158969.6985</v>
      </c>
      <c r="H3093">
        <v>35014616.325000003</v>
      </c>
      <c r="I3093">
        <v>-47137670.766000003</v>
      </c>
      <c r="J3093">
        <v>-11078313.219599999</v>
      </c>
      <c r="K3093">
        <v>14780730.093900001</v>
      </c>
      <c r="L3093">
        <v>73772590.767299995</v>
      </c>
      <c r="M3093">
        <v>105665659.47840001</v>
      </c>
      <c r="N3093">
        <v>64793235.737999998</v>
      </c>
      <c r="O3093">
        <v>-3560363.0136000002</v>
      </c>
      <c r="P3093">
        <v>10</v>
      </c>
      <c r="Q3093" t="s">
        <v>6233</v>
      </c>
    </row>
    <row r="3094" spans="1:17" x14ac:dyDescent="0.3">
      <c r="A3094" t="s">
        <v>32</v>
      </c>
      <c r="B3094" t="str">
        <f>"300680"</f>
        <v>300680</v>
      </c>
      <c r="C3094" t="s">
        <v>6234</v>
      </c>
      <c r="D3094" t="s">
        <v>199</v>
      </c>
      <c r="E3094">
        <v>-93828038</v>
      </c>
      <c r="F3094">
        <v>-33019803</v>
      </c>
      <c r="G3094">
        <v>-29062345</v>
      </c>
      <c r="H3094">
        <v>-36905540</v>
      </c>
      <c r="I3094">
        <v>-26264869</v>
      </c>
      <c r="J3094">
        <v>-13608005</v>
      </c>
      <c r="K3094">
        <v>-12007265</v>
      </c>
      <c r="P3094">
        <v>115</v>
      </c>
      <c r="Q3094" t="s">
        <v>6235</v>
      </c>
    </row>
    <row r="3095" spans="1:17" x14ac:dyDescent="0.3">
      <c r="A3095" t="s">
        <v>32</v>
      </c>
      <c r="B3095" t="str">
        <f>"000982"</f>
        <v>000982</v>
      </c>
      <c r="C3095" t="s">
        <v>6236</v>
      </c>
      <c r="D3095" t="s">
        <v>130</v>
      </c>
      <c r="E3095">
        <v>-94045340</v>
      </c>
      <c r="F3095">
        <v>60846140</v>
      </c>
      <c r="G3095">
        <v>-14084481</v>
      </c>
      <c r="H3095">
        <v>-45769839</v>
      </c>
      <c r="I3095">
        <v>32718992</v>
      </c>
      <c r="J3095">
        <v>43360111</v>
      </c>
      <c r="K3095">
        <v>-242091113</v>
      </c>
      <c r="L3095">
        <v>14903697</v>
      </c>
      <c r="M3095">
        <v>-71540366</v>
      </c>
      <c r="N3095">
        <v>-460083649</v>
      </c>
      <c r="O3095">
        <v>-92789296</v>
      </c>
      <c r="P3095">
        <v>83</v>
      </c>
      <c r="Q3095" t="s">
        <v>6237</v>
      </c>
    </row>
    <row r="3096" spans="1:17" x14ac:dyDescent="0.3">
      <c r="A3096" t="s">
        <v>17</v>
      </c>
      <c r="B3096" t="str">
        <f>"688226"</f>
        <v>688226</v>
      </c>
      <c r="C3096" t="s">
        <v>6238</v>
      </c>
      <c r="D3096" t="s">
        <v>464</v>
      </c>
      <c r="E3096">
        <v>-94048782</v>
      </c>
      <c r="F3096">
        <v>-38281304</v>
      </c>
      <c r="G3096">
        <v>-14194377</v>
      </c>
      <c r="P3096">
        <v>19</v>
      </c>
      <c r="Q3096" t="s">
        <v>6239</v>
      </c>
    </row>
    <row r="3097" spans="1:17" x14ac:dyDescent="0.3">
      <c r="A3097" t="s">
        <v>17</v>
      </c>
      <c r="B3097" t="str">
        <f>"600872"</f>
        <v>600872</v>
      </c>
      <c r="C3097" t="s">
        <v>6240</v>
      </c>
      <c r="D3097" t="s">
        <v>172</v>
      </c>
      <c r="E3097">
        <v>-94452327</v>
      </c>
      <c r="F3097">
        <v>156952542</v>
      </c>
      <c r="G3097">
        <v>312810550</v>
      </c>
      <c r="H3097">
        <v>313645054</v>
      </c>
      <c r="I3097">
        <v>232549912</v>
      </c>
      <c r="J3097">
        <v>154723543</v>
      </c>
      <c r="K3097">
        <v>73057589</v>
      </c>
      <c r="L3097">
        <v>-41131383</v>
      </c>
      <c r="M3097">
        <v>-60523227</v>
      </c>
      <c r="N3097">
        <v>-90324893</v>
      </c>
      <c r="O3097">
        <v>-37440982</v>
      </c>
      <c r="P3097">
        <v>2531</v>
      </c>
      <c r="Q3097" t="s">
        <v>6241</v>
      </c>
    </row>
    <row r="3098" spans="1:17" x14ac:dyDescent="0.3">
      <c r="A3098" t="s">
        <v>32</v>
      </c>
      <c r="B3098" t="str">
        <f>"002886"</f>
        <v>002886</v>
      </c>
      <c r="C3098" t="s">
        <v>6242</v>
      </c>
      <c r="D3098" t="s">
        <v>144</v>
      </c>
      <c r="E3098">
        <v>-94793192</v>
      </c>
      <c r="F3098">
        <v>-134935882</v>
      </c>
      <c r="G3098">
        <v>3707157</v>
      </c>
      <c r="H3098">
        <v>-56292383</v>
      </c>
      <c r="I3098">
        <v>-98718331</v>
      </c>
      <c r="J3098">
        <v>-57272500</v>
      </c>
      <c r="K3098">
        <v>-3606500</v>
      </c>
      <c r="P3098">
        <v>191</v>
      </c>
      <c r="Q3098" t="s">
        <v>6243</v>
      </c>
    </row>
    <row r="3099" spans="1:17" x14ac:dyDescent="0.3">
      <c r="A3099" t="s">
        <v>17</v>
      </c>
      <c r="B3099" t="str">
        <f>"603987"</f>
        <v>603987</v>
      </c>
      <c r="C3099" t="s">
        <v>6244</v>
      </c>
      <c r="D3099" t="s">
        <v>98</v>
      </c>
      <c r="E3099">
        <v>-95111400</v>
      </c>
      <c r="F3099">
        <v>-145764066</v>
      </c>
      <c r="G3099">
        <v>-37977056</v>
      </c>
      <c r="H3099">
        <v>-8805229</v>
      </c>
      <c r="I3099">
        <v>-9657118</v>
      </c>
      <c r="J3099">
        <v>11192710</v>
      </c>
      <c r="K3099">
        <v>14373159</v>
      </c>
      <c r="P3099">
        <v>267</v>
      </c>
      <c r="Q3099" t="s">
        <v>6245</v>
      </c>
    </row>
    <row r="3100" spans="1:17" x14ac:dyDescent="0.3">
      <c r="A3100" t="s">
        <v>32</v>
      </c>
      <c r="B3100" t="str">
        <f>"002506"</f>
        <v>002506</v>
      </c>
      <c r="C3100" t="s">
        <v>6246</v>
      </c>
      <c r="D3100" t="s">
        <v>464</v>
      </c>
      <c r="E3100">
        <v>-95222763</v>
      </c>
      <c r="F3100">
        <v>-258961398</v>
      </c>
      <c r="G3100">
        <v>33169243</v>
      </c>
      <c r="H3100">
        <v>-513632108</v>
      </c>
      <c r="I3100">
        <v>972488009</v>
      </c>
      <c r="J3100">
        <v>-1435631151</v>
      </c>
      <c r="K3100">
        <v>-1805911296</v>
      </c>
      <c r="L3100">
        <v>-5159948</v>
      </c>
      <c r="M3100">
        <v>9422281</v>
      </c>
      <c r="N3100">
        <v>-83561289</v>
      </c>
      <c r="O3100">
        <v>-775801035</v>
      </c>
      <c r="P3100">
        <v>315</v>
      </c>
      <c r="Q3100" t="s">
        <v>6247</v>
      </c>
    </row>
    <row r="3101" spans="1:17" x14ac:dyDescent="0.3">
      <c r="A3101" t="s">
        <v>32</v>
      </c>
      <c r="B3101" t="str">
        <f>"002568"</f>
        <v>002568</v>
      </c>
      <c r="C3101" t="s">
        <v>6248</v>
      </c>
      <c r="D3101" t="s">
        <v>172</v>
      </c>
      <c r="E3101">
        <v>-95237568</v>
      </c>
      <c r="F3101">
        <v>177526010</v>
      </c>
      <c r="G3101">
        <v>62426995</v>
      </c>
      <c r="H3101">
        <v>-61781997</v>
      </c>
      <c r="I3101">
        <v>-38974325</v>
      </c>
      <c r="J3101">
        <v>-2660258</v>
      </c>
      <c r="K3101">
        <v>-250441856</v>
      </c>
      <c r="L3101">
        <v>16324093</v>
      </c>
      <c r="M3101">
        <v>12659071</v>
      </c>
      <c r="N3101">
        <v>-5233767</v>
      </c>
      <c r="O3101">
        <v>1070381</v>
      </c>
      <c r="P3101">
        <v>1074</v>
      </c>
      <c r="Q3101" t="s">
        <v>6249</v>
      </c>
    </row>
    <row r="3102" spans="1:17" x14ac:dyDescent="0.3">
      <c r="A3102" t="s">
        <v>32</v>
      </c>
      <c r="B3102" t="str">
        <f>"002741"</f>
        <v>002741</v>
      </c>
      <c r="C3102" t="s">
        <v>6250</v>
      </c>
      <c r="D3102" t="s">
        <v>124</v>
      </c>
      <c r="E3102">
        <v>-95294269</v>
      </c>
      <c r="F3102">
        <v>-70752596</v>
      </c>
      <c r="G3102">
        <v>1322769</v>
      </c>
      <c r="H3102">
        <v>-52418834</v>
      </c>
      <c r="I3102">
        <v>-213038430</v>
      </c>
      <c r="J3102">
        <v>-52420200</v>
      </c>
      <c r="K3102">
        <v>2127299</v>
      </c>
      <c r="L3102">
        <v>-56746536</v>
      </c>
      <c r="M3102">
        <v>-37618788</v>
      </c>
      <c r="P3102">
        <v>187</v>
      </c>
      <c r="Q3102" t="s">
        <v>6251</v>
      </c>
    </row>
    <row r="3103" spans="1:17" x14ac:dyDescent="0.3">
      <c r="A3103" t="s">
        <v>32</v>
      </c>
      <c r="B3103" t="str">
        <f>"000685"</f>
        <v>000685</v>
      </c>
      <c r="C3103" t="s">
        <v>6252</v>
      </c>
      <c r="D3103" t="s">
        <v>1334</v>
      </c>
      <c r="E3103">
        <v>-95639670</v>
      </c>
      <c r="F3103">
        <v>-46622861</v>
      </c>
      <c r="G3103">
        <v>-215548252</v>
      </c>
      <c r="H3103">
        <v>-284794225</v>
      </c>
      <c r="I3103">
        <v>40634704</v>
      </c>
      <c r="J3103">
        <v>16865612</v>
      </c>
      <c r="K3103">
        <v>49073437</v>
      </c>
      <c r="L3103">
        <v>15479179</v>
      </c>
      <c r="M3103">
        <v>-32095010</v>
      </c>
      <c r="N3103">
        <v>-19793583</v>
      </c>
      <c r="O3103">
        <v>-15696009</v>
      </c>
      <c r="P3103">
        <v>511</v>
      </c>
      <c r="Q3103" t="s">
        <v>6253</v>
      </c>
    </row>
    <row r="3104" spans="1:17" x14ac:dyDescent="0.3">
      <c r="A3104" t="s">
        <v>32</v>
      </c>
      <c r="B3104" t="str">
        <f>"002912"</f>
        <v>002912</v>
      </c>
      <c r="C3104" t="s">
        <v>6254</v>
      </c>
      <c r="D3104" t="s">
        <v>342</v>
      </c>
      <c r="E3104">
        <v>-95835245</v>
      </c>
      <c r="F3104">
        <v>-165170162</v>
      </c>
      <c r="G3104">
        <v>-69854440</v>
      </c>
      <c r="H3104">
        <v>-49550493</v>
      </c>
      <c r="I3104">
        <v>-103336331</v>
      </c>
      <c r="J3104">
        <v>-40383619</v>
      </c>
      <c r="P3104">
        <v>586</v>
      </c>
      <c r="Q3104" t="s">
        <v>6255</v>
      </c>
    </row>
    <row r="3105" spans="1:17" x14ac:dyDescent="0.3">
      <c r="A3105" t="s">
        <v>17</v>
      </c>
      <c r="B3105" t="str">
        <f>"603197"</f>
        <v>603197</v>
      </c>
      <c r="C3105" t="s">
        <v>6256</v>
      </c>
      <c r="D3105" t="s">
        <v>199</v>
      </c>
      <c r="E3105">
        <v>-95883813</v>
      </c>
      <c r="F3105">
        <v>5864689</v>
      </c>
      <c r="G3105">
        <v>-48769642</v>
      </c>
      <c r="H3105">
        <v>-70038204</v>
      </c>
      <c r="I3105">
        <v>40780077</v>
      </c>
      <c r="J3105">
        <v>6205753</v>
      </c>
      <c r="K3105">
        <v>34025225</v>
      </c>
      <c r="P3105">
        <v>357</v>
      </c>
      <c r="Q3105" t="s">
        <v>6257</v>
      </c>
    </row>
    <row r="3106" spans="1:17" x14ac:dyDescent="0.3">
      <c r="A3106" t="s">
        <v>32</v>
      </c>
      <c r="B3106" t="str">
        <f>"000881"</f>
        <v>000881</v>
      </c>
      <c r="C3106" t="s">
        <v>6258</v>
      </c>
      <c r="D3106" t="s">
        <v>144</v>
      </c>
      <c r="E3106">
        <v>-95918470</v>
      </c>
      <c r="F3106">
        <v>-354906631</v>
      </c>
      <c r="G3106">
        <v>111309868</v>
      </c>
      <c r="H3106">
        <v>-282773787</v>
      </c>
      <c r="I3106">
        <v>-11306243</v>
      </c>
      <c r="J3106">
        <v>-62861772</v>
      </c>
      <c r="K3106">
        <v>37249259</v>
      </c>
      <c r="L3106">
        <v>59762960</v>
      </c>
      <c r="M3106">
        <v>-523408256</v>
      </c>
      <c r="N3106">
        <v>-105785340</v>
      </c>
      <c r="O3106">
        <v>-104956535</v>
      </c>
      <c r="P3106">
        <v>169</v>
      </c>
      <c r="Q3106" t="s">
        <v>6259</v>
      </c>
    </row>
    <row r="3107" spans="1:17" x14ac:dyDescent="0.3">
      <c r="A3107" t="s">
        <v>17</v>
      </c>
      <c r="B3107" t="str">
        <f>"600165"</f>
        <v>600165</v>
      </c>
      <c r="C3107" t="s">
        <v>6260</v>
      </c>
      <c r="D3107" t="s">
        <v>144</v>
      </c>
      <c r="E3107">
        <v>-95990195</v>
      </c>
      <c r="F3107">
        <v>-114060734</v>
      </c>
      <c r="G3107">
        <v>-102625585</v>
      </c>
      <c r="H3107">
        <v>-100201757</v>
      </c>
      <c r="I3107">
        <v>-27225840</v>
      </c>
      <c r="J3107">
        <v>3676051</v>
      </c>
      <c r="K3107">
        <v>-36850956</v>
      </c>
      <c r="L3107">
        <v>148441189</v>
      </c>
      <c r="M3107">
        <v>11534060</v>
      </c>
      <c r="N3107">
        <v>-46545213</v>
      </c>
      <c r="O3107">
        <v>-37495477</v>
      </c>
      <c r="P3107">
        <v>70</v>
      </c>
      <c r="Q3107" t="s">
        <v>6261</v>
      </c>
    </row>
    <row r="3108" spans="1:17" x14ac:dyDescent="0.3">
      <c r="A3108" t="s">
        <v>17</v>
      </c>
      <c r="B3108" t="str">
        <f>"600396"</f>
        <v>600396</v>
      </c>
      <c r="C3108" t="s">
        <v>6262</v>
      </c>
      <c r="D3108" t="s">
        <v>158</v>
      </c>
      <c r="E3108">
        <v>-95999213</v>
      </c>
      <c r="F3108">
        <v>212408982</v>
      </c>
      <c r="G3108">
        <v>-164259984</v>
      </c>
      <c r="H3108">
        <v>202409341</v>
      </c>
      <c r="I3108">
        <v>77597767</v>
      </c>
      <c r="J3108">
        <v>-234774976</v>
      </c>
      <c r="K3108">
        <v>-65524157</v>
      </c>
      <c r="L3108">
        <v>177314791</v>
      </c>
      <c r="M3108">
        <v>322593436</v>
      </c>
      <c r="N3108">
        <v>124402135</v>
      </c>
      <c r="O3108">
        <v>88755265</v>
      </c>
      <c r="P3108">
        <v>107</v>
      </c>
      <c r="Q3108" t="s">
        <v>6263</v>
      </c>
    </row>
    <row r="3109" spans="1:17" x14ac:dyDescent="0.3">
      <c r="A3109" t="s">
        <v>32</v>
      </c>
      <c r="B3109" t="str">
        <f>"300205"</f>
        <v>300205</v>
      </c>
      <c r="C3109" t="s">
        <v>6264</v>
      </c>
      <c r="D3109" t="s">
        <v>57</v>
      </c>
      <c r="E3109">
        <v>-96140732</v>
      </c>
      <c r="F3109">
        <v>-288199397</v>
      </c>
      <c r="G3109">
        <v>-252510324</v>
      </c>
      <c r="H3109">
        <v>-116719212</v>
      </c>
      <c r="I3109">
        <v>-129819452</v>
      </c>
      <c r="J3109">
        <v>-260545915</v>
      </c>
      <c r="K3109">
        <v>-215941630</v>
      </c>
      <c r="L3109">
        <v>-149454768</v>
      </c>
      <c r="M3109">
        <v>-129400875</v>
      </c>
      <c r="N3109">
        <v>-141856091</v>
      </c>
      <c r="O3109">
        <v>-112178418</v>
      </c>
      <c r="P3109">
        <v>222</v>
      </c>
      <c r="Q3109" t="s">
        <v>6265</v>
      </c>
    </row>
    <row r="3110" spans="1:17" x14ac:dyDescent="0.3">
      <c r="A3110" t="s">
        <v>32</v>
      </c>
      <c r="B3110" t="str">
        <f>"300258"</f>
        <v>300258</v>
      </c>
      <c r="C3110" t="s">
        <v>6266</v>
      </c>
      <c r="D3110" t="s">
        <v>199</v>
      </c>
      <c r="E3110">
        <v>-96181155</v>
      </c>
      <c r="F3110">
        <v>-116756982</v>
      </c>
      <c r="G3110">
        <v>-70886818</v>
      </c>
      <c r="H3110">
        <v>-17484033</v>
      </c>
      <c r="I3110">
        <v>831341</v>
      </c>
      <c r="J3110">
        <v>-17429062</v>
      </c>
      <c r="K3110">
        <v>40026404</v>
      </c>
      <c r="L3110">
        <v>-72094463</v>
      </c>
      <c r="M3110">
        <v>-102466221</v>
      </c>
      <c r="N3110">
        <v>-60445608</v>
      </c>
      <c r="O3110">
        <v>-7297625</v>
      </c>
      <c r="P3110">
        <v>331</v>
      </c>
      <c r="Q3110" t="s">
        <v>6267</v>
      </c>
    </row>
    <row r="3111" spans="1:17" x14ac:dyDescent="0.3">
      <c r="A3111" t="s">
        <v>32</v>
      </c>
      <c r="B3111" t="str">
        <f>"000712"</f>
        <v>000712</v>
      </c>
      <c r="C3111" t="s">
        <v>6268</v>
      </c>
      <c r="D3111" t="s">
        <v>26</v>
      </c>
      <c r="E3111">
        <v>-96390582</v>
      </c>
      <c r="F3111">
        <v>-1563927304</v>
      </c>
      <c r="G3111">
        <v>574397721</v>
      </c>
      <c r="H3111">
        <v>1503347014</v>
      </c>
      <c r="I3111">
        <v>1316708155</v>
      </c>
      <c r="J3111">
        <v>-862649829</v>
      </c>
      <c r="K3111">
        <v>-57359774.509999998</v>
      </c>
      <c r="L3111">
        <v>2029306102.5599999</v>
      </c>
      <c r="M3111">
        <v>-83823399.200000003</v>
      </c>
      <c r="N3111">
        <v>7376408.1299999999</v>
      </c>
      <c r="O3111">
        <v>4842449.9000000004</v>
      </c>
      <c r="P3111">
        <v>557</v>
      </c>
      <c r="Q3111" t="s">
        <v>6269</v>
      </c>
    </row>
    <row r="3112" spans="1:17" x14ac:dyDescent="0.3">
      <c r="A3112" t="s">
        <v>32</v>
      </c>
      <c r="B3112" t="str">
        <f>"002331"</f>
        <v>002331</v>
      </c>
      <c r="C3112" t="s">
        <v>6270</v>
      </c>
      <c r="D3112" t="s">
        <v>342</v>
      </c>
      <c r="E3112">
        <v>-96535633</v>
      </c>
      <c r="F3112">
        <v>-119170836</v>
      </c>
      <c r="G3112">
        <v>-164108755</v>
      </c>
      <c r="H3112">
        <v>-136876342</v>
      </c>
      <c r="I3112">
        <v>-141077092</v>
      </c>
      <c r="J3112">
        <v>-86667563</v>
      </c>
      <c r="K3112">
        <v>-22526229</v>
      </c>
      <c r="L3112">
        <v>3871589</v>
      </c>
      <c r="M3112">
        <v>-60913647</v>
      </c>
      <c r="N3112">
        <v>-35820221</v>
      </c>
      <c r="O3112">
        <v>-82379246</v>
      </c>
      <c r="P3112">
        <v>121</v>
      </c>
      <c r="Q3112" t="s">
        <v>6271</v>
      </c>
    </row>
    <row r="3113" spans="1:17" x14ac:dyDescent="0.3">
      <c r="A3113" t="s">
        <v>32</v>
      </c>
      <c r="B3113" t="str">
        <f>"002921"</f>
        <v>002921</v>
      </c>
      <c r="C3113" t="s">
        <v>6272</v>
      </c>
      <c r="D3113" t="s">
        <v>199</v>
      </c>
      <c r="E3113">
        <v>-96535954</v>
      </c>
      <c r="F3113">
        <v>-19660180</v>
      </c>
      <c r="G3113">
        <v>4380098</v>
      </c>
      <c r="H3113">
        <v>-15413309</v>
      </c>
      <c r="I3113">
        <v>-22515546</v>
      </c>
      <c r="J3113">
        <v>-15305873</v>
      </c>
      <c r="P3113">
        <v>95</v>
      </c>
      <c r="Q3113" t="s">
        <v>6273</v>
      </c>
    </row>
    <row r="3114" spans="1:17" x14ac:dyDescent="0.3">
      <c r="A3114" t="s">
        <v>17</v>
      </c>
      <c r="B3114" t="str">
        <f>"603305"</f>
        <v>603305</v>
      </c>
      <c r="C3114" t="s">
        <v>6274</v>
      </c>
      <c r="D3114" t="s">
        <v>199</v>
      </c>
      <c r="E3114">
        <v>-96553542</v>
      </c>
      <c r="F3114">
        <v>-310942453</v>
      </c>
      <c r="G3114">
        <v>-100837746</v>
      </c>
      <c r="H3114">
        <v>-161705840</v>
      </c>
      <c r="I3114">
        <v>-65550784</v>
      </c>
      <c r="J3114">
        <v>-57129563</v>
      </c>
      <c r="K3114">
        <v>71040800</v>
      </c>
      <c r="P3114">
        <v>507</v>
      </c>
      <c r="Q3114" t="s">
        <v>6275</v>
      </c>
    </row>
    <row r="3115" spans="1:17" x14ac:dyDescent="0.3">
      <c r="A3115" t="s">
        <v>32</v>
      </c>
      <c r="B3115" t="str">
        <f>"002035"</f>
        <v>002035</v>
      </c>
      <c r="C3115" t="s">
        <v>6276</v>
      </c>
      <c r="D3115" t="s">
        <v>127</v>
      </c>
      <c r="E3115">
        <v>-96593385</v>
      </c>
      <c r="F3115">
        <v>-116644563</v>
      </c>
      <c r="G3115">
        <v>-315871061</v>
      </c>
      <c r="H3115">
        <v>152058298</v>
      </c>
      <c r="I3115">
        <v>4553392</v>
      </c>
      <c r="J3115">
        <v>-86423384</v>
      </c>
      <c r="K3115">
        <v>-19668595</v>
      </c>
      <c r="L3115">
        <v>-53505748</v>
      </c>
      <c r="M3115">
        <v>-136651219</v>
      </c>
      <c r="N3115">
        <v>-81589963</v>
      </c>
      <c r="O3115">
        <v>-55616902</v>
      </c>
      <c r="P3115">
        <v>1343</v>
      </c>
      <c r="Q3115" t="s">
        <v>6277</v>
      </c>
    </row>
    <row r="3116" spans="1:17" x14ac:dyDescent="0.3">
      <c r="A3116" t="s">
        <v>32</v>
      </c>
      <c r="B3116" t="str">
        <f>"000670"</f>
        <v>000670</v>
      </c>
      <c r="C3116" t="s">
        <v>6278</v>
      </c>
      <c r="D3116" t="s">
        <v>124</v>
      </c>
      <c r="E3116">
        <v>-96702480</v>
      </c>
      <c r="F3116">
        <v>-46455700</v>
      </c>
      <c r="G3116">
        <v>-4851582</v>
      </c>
      <c r="H3116">
        <v>-19415852</v>
      </c>
      <c r="I3116">
        <v>-18801452</v>
      </c>
      <c r="J3116">
        <v>24384165</v>
      </c>
      <c r="K3116">
        <v>-40291387</v>
      </c>
      <c r="L3116">
        <v>-116287245</v>
      </c>
      <c r="M3116">
        <v>-32897882</v>
      </c>
      <c r="N3116">
        <v>-27041630</v>
      </c>
      <c r="O3116">
        <v>-73144528</v>
      </c>
      <c r="P3116">
        <v>116</v>
      </c>
      <c r="Q3116" t="s">
        <v>6279</v>
      </c>
    </row>
    <row r="3117" spans="1:17" x14ac:dyDescent="0.3">
      <c r="A3117" t="s">
        <v>32</v>
      </c>
      <c r="B3117" t="str">
        <f>"002164"</f>
        <v>002164</v>
      </c>
      <c r="C3117" t="s">
        <v>6280</v>
      </c>
      <c r="D3117" t="s">
        <v>135</v>
      </c>
      <c r="E3117">
        <v>-96787099</v>
      </c>
      <c r="F3117">
        <v>-31469624</v>
      </c>
      <c r="G3117">
        <v>-8422142</v>
      </c>
      <c r="H3117">
        <v>15061311</v>
      </c>
      <c r="I3117">
        <v>-229403349</v>
      </c>
      <c r="J3117">
        <v>-2116358</v>
      </c>
      <c r="K3117">
        <v>4585208</v>
      </c>
      <c r="L3117">
        <v>-10714219</v>
      </c>
      <c r="M3117">
        <v>-70149035</v>
      </c>
      <c r="N3117">
        <v>940442</v>
      </c>
      <c r="O3117">
        <v>1512242</v>
      </c>
      <c r="P3117">
        <v>187</v>
      </c>
      <c r="Q3117" t="s">
        <v>6281</v>
      </c>
    </row>
    <row r="3118" spans="1:17" x14ac:dyDescent="0.3">
      <c r="A3118" t="s">
        <v>32</v>
      </c>
      <c r="B3118" t="str">
        <f>"300905"</f>
        <v>300905</v>
      </c>
      <c r="C3118" t="s">
        <v>6282</v>
      </c>
      <c r="D3118" t="s">
        <v>144</v>
      </c>
      <c r="E3118">
        <v>-96792464</v>
      </c>
      <c r="F3118">
        <v>-89990662</v>
      </c>
      <c r="G3118">
        <v>-3241089</v>
      </c>
      <c r="P3118">
        <v>54</v>
      </c>
      <c r="Q3118" t="s">
        <v>6283</v>
      </c>
    </row>
    <row r="3119" spans="1:17" x14ac:dyDescent="0.3">
      <c r="A3119" t="s">
        <v>17</v>
      </c>
      <c r="B3119" t="str">
        <f>"600300"</f>
        <v>600300</v>
      </c>
      <c r="C3119" t="s">
        <v>6284</v>
      </c>
      <c r="D3119" t="s">
        <v>172</v>
      </c>
      <c r="E3119">
        <v>-96807673</v>
      </c>
      <c r="F3119">
        <v>-296834780</v>
      </c>
      <c r="G3119">
        <v>-185365522</v>
      </c>
      <c r="H3119">
        <v>-27213676</v>
      </c>
      <c r="I3119">
        <v>-158120297</v>
      </c>
      <c r="J3119">
        <v>-204927640</v>
      </c>
      <c r="K3119">
        <v>-167084504</v>
      </c>
      <c r="L3119">
        <v>-20013882</v>
      </c>
      <c r="M3119">
        <v>96097511</v>
      </c>
      <c r="N3119">
        <v>-188035405</v>
      </c>
      <c r="O3119">
        <v>-97669302</v>
      </c>
      <c r="P3119">
        <v>209</v>
      </c>
      <c r="Q3119" t="s">
        <v>6285</v>
      </c>
    </row>
    <row r="3120" spans="1:17" x14ac:dyDescent="0.3">
      <c r="A3120" t="s">
        <v>32</v>
      </c>
      <c r="B3120" t="str">
        <f>"300683"</f>
        <v>300683</v>
      </c>
      <c r="C3120" t="s">
        <v>6286</v>
      </c>
      <c r="D3120" t="s">
        <v>98</v>
      </c>
      <c r="E3120">
        <v>-96830009</v>
      </c>
      <c r="F3120">
        <v>-82015741</v>
      </c>
      <c r="G3120">
        <v>-7399697</v>
      </c>
      <c r="H3120">
        <v>-7315439</v>
      </c>
      <c r="I3120">
        <v>17548156</v>
      </c>
      <c r="J3120">
        <v>-17870481</v>
      </c>
      <c r="K3120">
        <v>-9556300</v>
      </c>
      <c r="P3120">
        <v>123</v>
      </c>
      <c r="Q3120" t="s">
        <v>6287</v>
      </c>
    </row>
    <row r="3121" spans="1:17" x14ac:dyDescent="0.3">
      <c r="A3121" t="s">
        <v>17</v>
      </c>
      <c r="B3121" t="str">
        <f>"600956"</f>
        <v>600956</v>
      </c>
      <c r="C3121" t="s">
        <v>6288</v>
      </c>
      <c r="D3121" t="s">
        <v>158</v>
      </c>
      <c r="E3121">
        <v>-97047642</v>
      </c>
      <c r="F3121">
        <v>-445462570</v>
      </c>
      <c r="G3121">
        <v>-710696367</v>
      </c>
      <c r="H3121">
        <v>72226439</v>
      </c>
      <c r="P3121">
        <v>204</v>
      </c>
      <c r="Q3121" t="s">
        <v>6289</v>
      </c>
    </row>
    <row r="3122" spans="1:17" x14ac:dyDescent="0.3">
      <c r="A3122" t="s">
        <v>32</v>
      </c>
      <c r="B3122" t="str">
        <f>"000726"</f>
        <v>000726</v>
      </c>
      <c r="C3122" t="s">
        <v>6290</v>
      </c>
      <c r="D3122" t="s">
        <v>130</v>
      </c>
      <c r="E3122">
        <v>-97102721</v>
      </c>
      <c r="F3122">
        <v>-185527954</v>
      </c>
      <c r="G3122">
        <v>-55481464</v>
      </c>
      <c r="H3122">
        <v>-354556159</v>
      </c>
      <c r="I3122">
        <v>-27912608</v>
      </c>
      <c r="J3122">
        <v>-252640892</v>
      </c>
      <c r="K3122">
        <v>31426254</v>
      </c>
      <c r="L3122">
        <v>-173808779</v>
      </c>
      <c r="M3122">
        <v>-65021175</v>
      </c>
      <c r="N3122">
        <v>24066784</v>
      </c>
      <c r="O3122">
        <v>-202990719</v>
      </c>
      <c r="P3122">
        <v>980</v>
      </c>
      <c r="Q3122" t="s">
        <v>6291</v>
      </c>
    </row>
    <row r="3123" spans="1:17" x14ac:dyDescent="0.3">
      <c r="A3123" t="s">
        <v>17</v>
      </c>
      <c r="B3123" t="str">
        <f>"603908"</f>
        <v>603908</v>
      </c>
      <c r="C3123" t="s">
        <v>6292</v>
      </c>
      <c r="D3123" t="s">
        <v>130</v>
      </c>
      <c r="E3123">
        <v>-97116255</v>
      </c>
      <c r="F3123">
        <v>-39984288</v>
      </c>
      <c r="G3123">
        <v>-43509036</v>
      </c>
      <c r="H3123">
        <v>-15987820</v>
      </c>
      <c r="I3123">
        <v>-30422271</v>
      </c>
      <c r="J3123">
        <v>2248950</v>
      </c>
      <c r="K3123">
        <v>24369889</v>
      </c>
      <c r="P3123">
        <v>114</v>
      </c>
      <c r="Q3123" t="s">
        <v>6293</v>
      </c>
    </row>
    <row r="3124" spans="1:17" x14ac:dyDescent="0.3">
      <c r="A3124" t="s">
        <v>32</v>
      </c>
      <c r="B3124" t="str">
        <f>"002401"</f>
        <v>002401</v>
      </c>
      <c r="C3124" t="s">
        <v>6294</v>
      </c>
      <c r="D3124" t="s">
        <v>342</v>
      </c>
      <c r="E3124">
        <v>-97149091</v>
      </c>
      <c r="F3124">
        <v>-91770655</v>
      </c>
      <c r="G3124">
        <v>-233198085</v>
      </c>
      <c r="H3124">
        <v>-169917589</v>
      </c>
      <c r="I3124">
        <v>-77769535</v>
      </c>
      <c r="J3124">
        <v>-46617996</v>
      </c>
      <c r="K3124">
        <v>182192388</v>
      </c>
      <c r="L3124">
        <v>-42151029</v>
      </c>
      <c r="M3124">
        <v>-55888664</v>
      </c>
      <c r="N3124">
        <v>-150471209</v>
      </c>
      <c r="O3124">
        <v>-20970871</v>
      </c>
      <c r="P3124">
        <v>152</v>
      </c>
      <c r="Q3124" t="s">
        <v>6295</v>
      </c>
    </row>
    <row r="3125" spans="1:17" x14ac:dyDescent="0.3">
      <c r="A3125" t="s">
        <v>17</v>
      </c>
      <c r="B3125" t="str">
        <f>"600676"</f>
        <v>600676</v>
      </c>
      <c r="C3125" t="s">
        <v>6296</v>
      </c>
      <c r="D3125" t="s">
        <v>345</v>
      </c>
      <c r="E3125">
        <v>-97385688</v>
      </c>
      <c r="F3125">
        <v>158819797</v>
      </c>
      <c r="G3125">
        <v>50267114</v>
      </c>
      <c r="H3125">
        <v>123906573</v>
      </c>
      <c r="I3125">
        <v>134678777</v>
      </c>
      <c r="J3125">
        <v>33929619</v>
      </c>
      <c r="K3125">
        <v>78462760</v>
      </c>
      <c r="L3125">
        <v>86243882</v>
      </c>
      <c r="M3125">
        <v>-29202686</v>
      </c>
      <c r="N3125">
        <v>-162310695</v>
      </c>
      <c r="O3125">
        <v>28260354</v>
      </c>
      <c r="P3125">
        <v>88</v>
      </c>
      <c r="Q3125" t="s">
        <v>6297</v>
      </c>
    </row>
    <row r="3126" spans="1:17" x14ac:dyDescent="0.3">
      <c r="A3126" t="s">
        <v>17</v>
      </c>
      <c r="B3126" t="str">
        <f>"688262"</f>
        <v>688262</v>
      </c>
      <c r="C3126" t="s">
        <v>6298</v>
      </c>
      <c r="D3126" t="s">
        <v>124</v>
      </c>
      <c r="E3126">
        <v>-97435955</v>
      </c>
      <c r="P3126">
        <v>19</v>
      </c>
      <c r="Q3126" t="s">
        <v>6299</v>
      </c>
    </row>
    <row r="3127" spans="1:17" x14ac:dyDescent="0.3">
      <c r="A3127" t="s">
        <v>17</v>
      </c>
      <c r="B3127" t="str">
        <f>"688048"</f>
        <v>688048</v>
      </c>
      <c r="C3127" t="s">
        <v>6300</v>
      </c>
      <c r="E3127">
        <v>-97468533</v>
      </c>
      <c r="P3127">
        <v>12</v>
      </c>
      <c r="Q3127" t="s">
        <v>6301</v>
      </c>
    </row>
    <row r="3128" spans="1:17" x14ac:dyDescent="0.3">
      <c r="A3128" t="s">
        <v>32</v>
      </c>
      <c r="B3128" t="str">
        <f>"300273"</f>
        <v>300273</v>
      </c>
      <c r="C3128" t="s">
        <v>6302</v>
      </c>
      <c r="D3128" t="s">
        <v>98</v>
      </c>
      <c r="E3128">
        <v>-97525660</v>
      </c>
      <c r="F3128">
        <v>-6172443</v>
      </c>
      <c r="G3128">
        <v>-96300107</v>
      </c>
      <c r="H3128">
        <v>19281704</v>
      </c>
      <c r="I3128">
        <v>-389041752</v>
      </c>
      <c r="J3128">
        <v>-207560384</v>
      </c>
      <c r="K3128">
        <v>-105064372</v>
      </c>
      <c r="L3128">
        <v>-150731895</v>
      </c>
      <c r="M3128">
        <v>-278391476</v>
      </c>
      <c r="N3128">
        <v>-109557910</v>
      </c>
      <c r="O3128">
        <v>-40548845</v>
      </c>
      <c r="P3128">
        <v>143</v>
      </c>
      <c r="Q3128" t="s">
        <v>6303</v>
      </c>
    </row>
    <row r="3129" spans="1:17" x14ac:dyDescent="0.3">
      <c r="A3129" t="s">
        <v>32</v>
      </c>
      <c r="B3129" t="str">
        <f>"001209"</f>
        <v>001209</v>
      </c>
      <c r="C3129" t="s">
        <v>6304</v>
      </c>
      <c r="D3129" t="s">
        <v>130</v>
      </c>
      <c r="E3129">
        <v>-97530755</v>
      </c>
      <c r="F3129">
        <v>-69722168</v>
      </c>
      <c r="G3129">
        <v>6794820</v>
      </c>
      <c r="P3129">
        <v>22</v>
      </c>
      <c r="Q3129" t="s">
        <v>6305</v>
      </c>
    </row>
    <row r="3130" spans="1:17" x14ac:dyDescent="0.3">
      <c r="A3130" t="s">
        <v>17</v>
      </c>
      <c r="B3130" t="str">
        <f>"605500"</f>
        <v>605500</v>
      </c>
      <c r="C3130" t="s">
        <v>6306</v>
      </c>
      <c r="D3130" t="s">
        <v>455</v>
      </c>
      <c r="E3130">
        <v>-97869843</v>
      </c>
      <c r="F3130">
        <v>-78185226</v>
      </c>
      <c r="G3130">
        <v>46134388</v>
      </c>
      <c r="P3130">
        <v>37</v>
      </c>
      <c r="Q3130" t="s">
        <v>6307</v>
      </c>
    </row>
    <row r="3131" spans="1:17" x14ac:dyDescent="0.3">
      <c r="A3131" t="s">
        <v>32</v>
      </c>
      <c r="B3131" t="str">
        <f>"000733"</f>
        <v>000733</v>
      </c>
      <c r="C3131" t="s">
        <v>6308</v>
      </c>
      <c r="D3131" t="s">
        <v>188</v>
      </c>
      <c r="E3131">
        <v>-97872125</v>
      </c>
      <c r="F3131">
        <v>-66453141</v>
      </c>
      <c r="G3131">
        <v>-289069389</v>
      </c>
      <c r="H3131">
        <v>-275879131</v>
      </c>
      <c r="I3131">
        <v>-286538471</v>
      </c>
      <c r="J3131">
        <v>-484675029</v>
      </c>
      <c r="K3131">
        <v>-162394522</v>
      </c>
      <c r="L3131">
        <v>-146587069</v>
      </c>
      <c r="M3131">
        <v>-102915529</v>
      </c>
      <c r="N3131">
        <v>-107079482</v>
      </c>
      <c r="O3131">
        <v>-92972448</v>
      </c>
      <c r="P3131">
        <v>490</v>
      </c>
      <c r="Q3131" t="s">
        <v>6309</v>
      </c>
    </row>
    <row r="3132" spans="1:17" x14ac:dyDescent="0.3">
      <c r="A3132" t="s">
        <v>17</v>
      </c>
      <c r="B3132" t="str">
        <f>"605186"</f>
        <v>605186</v>
      </c>
      <c r="C3132" t="s">
        <v>6310</v>
      </c>
      <c r="D3132" t="s">
        <v>135</v>
      </c>
      <c r="E3132">
        <v>-97883766</v>
      </c>
      <c r="F3132">
        <v>-66638790</v>
      </c>
      <c r="G3132">
        <v>-62170040</v>
      </c>
      <c r="P3132">
        <v>47</v>
      </c>
      <c r="Q3132" t="s">
        <v>6311</v>
      </c>
    </row>
    <row r="3133" spans="1:17" x14ac:dyDescent="0.3">
      <c r="A3133" t="s">
        <v>17</v>
      </c>
      <c r="B3133" t="str">
        <f>"600479"</f>
        <v>600479</v>
      </c>
      <c r="C3133" t="s">
        <v>6312</v>
      </c>
      <c r="D3133" t="s">
        <v>98</v>
      </c>
      <c r="E3133">
        <v>-98008317</v>
      </c>
      <c r="F3133">
        <v>52624713</v>
      </c>
      <c r="G3133">
        <v>94189677</v>
      </c>
      <c r="H3133">
        <v>40303344</v>
      </c>
      <c r="I3133">
        <v>13817178</v>
      </c>
      <c r="J3133">
        <v>27459952</v>
      </c>
      <c r="K3133">
        <v>-31792092</v>
      </c>
      <c r="L3133">
        <v>19387434</v>
      </c>
      <c r="M3133">
        <v>-52183206</v>
      </c>
      <c r="N3133">
        <v>256662</v>
      </c>
      <c r="O3133">
        <v>-33709030</v>
      </c>
      <c r="P3133">
        <v>605</v>
      </c>
      <c r="Q3133" t="s">
        <v>6313</v>
      </c>
    </row>
    <row r="3134" spans="1:17" x14ac:dyDescent="0.3">
      <c r="A3134" t="s">
        <v>32</v>
      </c>
      <c r="B3134" t="str">
        <f>"002335"</f>
        <v>002335</v>
      </c>
      <c r="C3134" t="s">
        <v>6314</v>
      </c>
      <c r="D3134" t="s">
        <v>464</v>
      </c>
      <c r="E3134">
        <v>-98034335</v>
      </c>
      <c r="F3134">
        <v>-181510331</v>
      </c>
      <c r="G3134">
        <v>-109918813</v>
      </c>
      <c r="H3134">
        <v>-211841858</v>
      </c>
      <c r="I3134">
        <v>-206297385</v>
      </c>
      <c r="J3134">
        <v>-223274128</v>
      </c>
      <c r="K3134">
        <v>-326049506</v>
      </c>
      <c r="L3134">
        <v>-131386571</v>
      </c>
      <c r="M3134">
        <v>-133297672</v>
      </c>
      <c r="N3134">
        <v>-99365677</v>
      </c>
      <c r="O3134">
        <v>-97687744</v>
      </c>
      <c r="P3134">
        <v>431</v>
      </c>
      <c r="Q3134" t="s">
        <v>6315</v>
      </c>
    </row>
    <row r="3135" spans="1:17" x14ac:dyDescent="0.3">
      <c r="A3135" t="s">
        <v>17</v>
      </c>
      <c r="B3135" t="str">
        <f>"600305"</f>
        <v>600305</v>
      </c>
      <c r="C3135" t="s">
        <v>6316</v>
      </c>
      <c r="D3135" t="s">
        <v>172</v>
      </c>
      <c r="E3135">
        <v>-98051655</v>
      </c>
      <c r="F3135">
        <v>-3761320</v>
      </c>
      <c r="G3135">
        <v>39459517</v>
      </c>
      <c r="H3135">
        <v>41428350</v>
      </c>
      <c r="I3135">
        <v>82605487</v>
      </c>
      <c r="J3135">
        <v>-4949936</v>
      </c>
      <c r="K3135">
        <v>20629990</v>
      </c>
      <c r="L3135">
        <v>44527741</v>
      </c>
      <c r="M3135">
        <v>42826297</v>
      </c>
      <c r="N3135">
        <v>60560336</v>
      </c>
      <c r="O3135">
        <v>-46184269</v>
      </c>
      <c r="P3135">
        <v>2155</v>
      </c>
      <c r="Q3135" t="s">
        <v>6317</v>
      </c>
    </row>
    <row r="3136" spans="1:17" x14ac:dyDescent="0.3">
      <c r="A3136" t="s">
        <v>17</v>
      </c>
      <c r="B3136" t="str">
        <f>"600171"</f>
        <v>600171</v>
      </c>
      <c r="C3136" t="s">
        <v>6318</v>
      </c>
      <c r="D3136" t="s">
        <v>124</v>
      </c>
      <c r="E3136">
        <v>-98257935</v>
      </c>
      <c r="F3136">
        <v>2964797</v>
      </c>
      <c r="G3136">
        <v>19638078</v>
      </c>
      <c r="H3136">
        <v>1286642</v>
      </c>
      <c r="I3136">
        <v>-10072653</v>
      </c>
      <c r="J3136">
        <v>12933541</v>
      </c>
      <c r="K3136">
        <v>9326107</v>
      </c>
      <c r="L3136">
        <v>-738235</v>
      </c>
      <c r="M3136">
        <v>2465970</v>
      </c>
      <c r="N3136">
        <v>-32486595</v>
      </c>
      <c r="O3136">
        <v>706751</v>
      </c>
      <c r="P3136">
        <v>574</v>
      </c>
      <c r="Q3136" t="s">
        <v>6319</v>
      </c>
    </row>
    <row r="3137" spans="1:17" x14ac:dyDescent="0.3">
      <c r="A3137" t="s">
        <v>32</v>
      </c>
      <c r="B3137" t="str">
        <f>"301037"</f>
        <v>301037</v>
      </c>
      <c r="C3137" t="s">
        <v>6320</v>
      </c>
      <c r="D3137" t="s">
        <v>144</v>
      </c>
      <c r="E3137">
        <v>-98351236</v>
      </c>
      <c r="F3137">
        <v>-42034737</v>
      </c>
      <c r="G3137">
        <v>14304347</v>
      </c>
      <c r="P3137">
        <v>13</v>
      </c>
      <c r="Q3137" t="s">
        <v>6321</v>
      </c>
    </row>
    <row r="3138" spans="1:17" x14ac:dyDescent="0.3">
      <c r="A3138" t="s">
        <v>17</v>
      </c>
      <c r="B3138" t="str">
        <f>"601001"</f>
        <v>601001</v>
      </c>
      <c r="C3138" t="s">
        <v>6322</v>
      </c>
      <c r="D3138" t="s">
        <v>73</v>
      </c>
      <c r="E3138">
        <v>-98482049</v>
      </c>
      <c r="F3138">
        <v>2350503467</v>
      </c>
      <c r="G3138">
        <v>302959678</v>
      </c>
      <c r="H3138">
        <v>230045339</v>
      </c>
      <c r="I3138">
        <v>287048120</v>
      </c>
      <c r="J3138">
        <v>593589713</v>
      </c>
      <c r="K3138">
        <v>-920095363</v>
      </c>
      <c r="L3138">
        <v>-1435620205</v>
      </c>
      <c r="M3138">
        <v>-1162880586</v>
      </c>
      <c r="N3138">
        <v>-340733706</v>
      </c>
      <c r="O3138">
        <v>-326770476</v>
      </c>
      <c r="P3138">
        <v>289</v>
      </c>
      <c r="Q3138" t="s">
        <v>6323</v>
      </c>
    </row>
    <row r="3139" spans="1:17" x14ac:dyDescent="0.3">
      <c r="A3139" t="s">
        <v>32</v>
      </c>
      <c r="B3139" t="str">
        <f>"002059"</f>
        <v>002059</v>
      </c>
      <c r="C3139" t="s">
        <v>6324</v>
      </c>
      <c r="D3139" t="s">
        <v>497</v>
      </c>
      <c r="E3139">
        <v>-98619568</v>
      </c>
      <c r="F3139">
        <v>424671197</v>
      </c>
      <c r="G3139">
        <v>-270882700</v>
      </c>
      <c r="H3139">
        <v>388289910</v>
      </c>
      <c r="I3139">
        <v>-328083329</v>
      </c>
      <c r="J3139">
        <v>2824998</v>
      </c>
      <c r="K3139">
        <v>-99727521</v>
      </c>
      <c r="L3139">
        <v>-127936782</v>
      </c>
      <c r="M3139">
        <v>-128999344</v>
      </c>
      <c r="N3139">
        <v>-34802470</v>
      </c>
      <c r="O3139">
        <v>62684419</v>
      </c>
      <c r="P3139">
        <v>160</v>
      </c>
      <c r="Q3139" t="s">
        <v>6325</v>
      </c>
    </row>
    <row r="3140" spans="1:17" x14ac:dyDescent="0.3">
      <c r="A3140" t="s">
        <v>17</v>
      </c>
      <c r="B3140" t="str">
        <f>"603822"</f>
        <v>603822</v>
      </c>
      <c r="C3140" t="s">
        <v>6326</v>
      </c>
      <c r="D3140" t="s">
        <v>144</v>
      </c>
      <c r="E3140">
        <v>-98679729</v>
      </c>
      <c r="F3140">
        <v>-38665567</v>
      </c>
      <c r="G3140">
        <v>-114652907</v>
      </c>
      <c r="H3140">
        <v>3081965</v>
      </c>
      <c r="I3140">
        <v>-19653396</v>
      </c>
      <c r="J3140">
        <v>-16268908</v>
      </c>
      <c r="K3140">
        <v>-49050533</v>
      </c>
      <c r="L3140">
        <v>-52822333</v>
      </c>
      <c r="P3140">
        <v>125</v>
      </c>
      <c r="Q3140" t="s">
        <v>6327</v>
      </c>
    </row>
    <row r="3141" spans="1:17" x14ac:dyDescent="0.3">
      <c r="A3141" t="s">
        <v>32</v>
      </c>
      <c r="B3141" t="str">
        <f>"200570"</f>
        <v>200570</v>
      </c>
      <c r="C3141" t="s">
        <v>6328</v>
      </c>
      <c r="E3141">
        <v>-99025075.650000006</v>
      </c>
      <c r="F3141">
        <v>-294502503.88150001</v>
      </c>
      <c r="G3141">
        <v>-6378490.0842000004</v>
      </c>
      <c r="H3141">
        <v>-82397665.287</v>
      </c>
      <c r="I3141">
        <v>-103737179.53049999</v>
      </c>
      <c r="J3141">
        <v>-95162344.364999995</v>
      </c>
      <c r="K3141">
        <v>-37538686.101800002</v>
      </c>
      <c r="L3141">
        <v>-21128471.25</v>
      </c>
      <c r="M3141">
        <v>-96543513.423199996</v>
      </c>
      <c r="N3141">
        <v>54615438.881399997</v>
      </c>
      <c r="O3141">
        <v>57777265.368000001</v>
      </c>
      <c r="P3141">
        <v>10</v>
      </c>
      <c r="Q3141" t="s">
        <v>6329</v>
      </c>
    </row>
    <row r="3142" spans="1:17" x14ac:dyDescent="0.3">
      <c r="A3142" t="s">
        <v>17</v>
      </c>
      <c r="B3142" t="str">
        <f>"600419"</f>
        <v>600419</v>
      </c>
      <c r="C3142" t="s">
        <v>6330</v>
      </c>
      <c r="D3142" t="s">
        <v>172</v>
      </c>
      <c r="E3142">
        <v>-99133350</v>
      </c>
      <c r="F3142">
        <v>-50653009</v>
      </c>
      <c r="G3142">
        <v>-98421159</v>
      </c>
      <c r="H3142">
        <v>-80153714</v>
      </c>
      <c r="I3142">
        <v>27747333</v>
      </c>
      <c r="J3142">
        <v>21146693</v>
      </c>
      <c r="K3142">
        <v>6073094</v>
      </c>
      <c r="L3142">
        <v>-4793033</v>
      </c>
      <c r="M3142">
        <v>-4663579</v>
      </c>
      <c r="N3142">
        <v>-3313020</v>
      </c>
      <c r="O3142">
        <v>1131994</v>
      </c>
      <c r="P3142">
        <v>626</v>
      </c>
      <c r="Q3142" t="s">
        <v>6331</v>
      </c>
    </row>
    <row r="3143" spans="1:17" x14ac:dyDescent="0.3">
      <c r="A3143" t="s">
        <v>32</v>
      </c>
      <c r="B3143" t="str">
        <f>"300389"</f>
        <v>300389</v>
      </c>
      <c r="C3143" t="s">
        <v>6332</v>
      </c>
      <c r="D3143" t="s">
        <v>124</v>
      </c>
      <c r="E3143">
        <v>-99386662</v>
      </c>
      <c r="F3143">
        <v>-19744527</v>
      </c>
      <c r="G3143">
        <v>-88516606</v>
      </c>
      <c r="H3143">
        <v>-28011104</v>
      </c>
      <c r="I3143">
        <v>-68003619</v>
      </c>
      <c r="J3143">
        <v>-10093529</v>
      </c>
      <c r="K3143">
        <v>-53148393</v>
      </c>
      <c r="L3143">
        <v>-111181842</v>
      </c>
      <c r="M3143">
        <v>-31392884</v>
      </c>
      <c r="N3143">
        <v>-9644911</v>
      </c>
      <c r="P3143">
        <v>198</v>
      </c>
      <c r="Q3143" t="s">
        <v>6333</v>
      </c>
    </row>
    <row r="3144" spans="1:17" x14ac:dyDescent="0.3">
      <c r="A3144" t="s">
        <v>32</v>
      </c>
      <c r="B3144" t="str">
        <f>"002768"</f>
        <v>002768</v>
      </c>
      <c r="C3144" t="s">
        <v>6334</v>
      </c>
      <c r="D3144" t="s">
        <v>144</v>
      </c>
      <c r="E3144">
        <v>-99416003</v>
      </c>
      <c r="F3144">
        <v>34538554</v>
      </c>
      <c r="G3144">
        <v>-136477406</v>
      </c>
      <c r="H3144">
        <v>-294980889</v>
      </c>
      <c r="I3144">
        <v>-232714191</v>
      </c>
      <c r="J3144">
        <v>-132501402</v>
      </c>
      <c r="K3144">
        <v>-72096915</v>
      </c>
      <c r="L3144">
        <v>-52009900</v>
      </c>
      <c r="M3144">
        <v>-32349200</v>
      </c>
      <c r="P3144">
        <v>596</v>
      </c>
      <c r="Q3144" t="s">
        <v>6335</v>
      </c>
    </row>
    <row r="3145" spans="1:17" x14ac:dyDescent="0.3">
      <c r="A3145" t="s">
        <v>32</v>
      </c>
      <c r="B3145" t="str">
        <f>"300767"</f>
        <v>300767</v>
      </c>
      <c r="C3145" t="s">
        <v>6336</v>
      </c>
      <c r="D3145" t="s">
        <v>144</v>
      </c>
      <c r="E3145">
        <v>-99514055</v>
      </c>
      <c r="F3145">
        <v>-77207807</v>
      </c>
      <c r="G3145">
        <v>-4157835</v>
      </c>
      <c r="H3145">
        <v>-44499391</v>
      </c>
      <c r="I3145">
        <v>-43233289</v>
      </c>
      <c r="P3145">
        <v>198</v>
      </c>
      <c r="Q3145" t="s">
        <v>6337</v>
      </c>
    </row>
    <row r="3146" spans="1:17" x14ac:dyDescent="0.3">
      <c r="A3146" t="s">
        <v>32</v>
      </c>
      <c r="B3146" t="str">
        <f>"300237"</f>
        <v>300237</v>
      </c>
      <c r="C3146" t="s">
        <v>6338</v>
      </c>
      <c r="D3146" t="s">
        <v>645</v>
      </c>
      <c r="E3146">
        <v>-99659822</v>
      </c>
      <c r="F3146">
        <v>-87563609</v>
      </c>
      <c r="G3146">
        <v>-148122009</v>
      </c>
      <c r="H3146">
        <v>-53571433</v>
      </c>
      <c r="I3146">
        <v>-208754202</v>
      </c>
      <c r="J3146">
        <v>-171128897</v>
      </c>
      <c r="K3146">
        <v>-320185734</v>
      </c>
      <c r="L3146">
        <v>-82628770</v>
      </c>
      <c r="M3146">
        <v>-8844094</v>
      </c>
      <c r="N3146">
        <v>8042251</v>
      </c>
      <c r="O3146">
        <v>-41802740</v>
      </c>
      <c r="P3146">
        <v>315</v>
      </c>
      <c r="Q3146" t="s">
        <v>6339</v>
      </c>
    </row>
    <row r="3147" spans="1:17" x14ac:dyDescent="0.3">
      <c r="A3147" t="s">
        <v>32</v>
      </c>
      <c r="B3147" t="str">
        <f>"301066"</f>
        <v>301066</v>
      </c>
      <c r="C3147" t="s">
        <v>6340</v>
      </c>
      <c r="D3147" t="s">
        <v>130</v>
      </c>
      <c r="E3147">
        <v>-99674656</v>
      </c>
      <c r="F3147">
        <v>-80794558</v>
      </c>
      <c r="P3147">
        <v>21</v>
      </c>
      <c r="Q3147" t="s">
        <v>6341</v>
      </c>
    </row>
    <row r="3148" spans="1:17" x14ac:dyDescent="0.3">
      <c r="A3148" t="s">
        <v>32</v>
      </c>
      <c r="B3148" t="str">
        <f>"003005"</f>
        <v>003005</v>
      </c>
      <c r="C3148" t="s">
        <v>6342</v>
      </c>
      <c r="D3148" t="s">
        <v>342</v>
      </c>
      <c r="E3148">
        <v>-99764088</v>
      </c>
      <c r="F3148">
        <v>-98770235</v>
      </c>
      <c r="G3148">
        <v>-61065707</v>
      </c>
      <c r="P3148">
        <v>68</v>
      </c>
      <c r="Q3148" t="s">
        <v>6343</v>
      </c>
    </row>
    <row r="3149" spans="1:17" x14ac:dyDescent="0.3">
      <c r="A3149" t="s">
        <v>17</v>
      </c>
      <c r="B3149" t="str">
        <f>"603535"</f>
        <v>603535</v>
      </c>
      <c r="C3149" t="s">
        <v>6344</v>
      </c>
      <c r="D3149" t="s">
        <v>46</v>
      </c>
      <c r="E3149">
        <v>-99910525</v>
      </c>
      <c r="F3149">
        <v>-142382958</v>
      </c>
      <c r="G3149">
        <v>-53939396</v>
      </c>
      <c r="H3149">
        <v>-42413389</v>
      </c>
      <c r="I3149">
        <v>-32150900</v>
      </c>
      <c r="J3149">
        <v>-58856473</v>
      </c>
      <c r="K3149">
        <v>-43472200</v>
      </c>
      <c r="P3149">
        <v>86</v>
      </c>
      <c r="Q3149" t="s">
        <v>6345</v>
      </c>
    </row>
    <row r="3150" spans="1:17" x14ac:dyDescent="0.3">
      <c r="A3150" t="s">
        <v>17</v>
      </c>
      <c r="B3150" t="str">
        <f>"603226"</f>
        <v>603226</v>
      </c>
      <c r="C3150" t="s">
        <v>6346</v>
      </c>
      <c r="D3150" t="s">
        <v>455</v>
      </c>
      <c r="E3150">
        <v>-99938319</v>
      </c>
      <c r="F3150">
        <v>-141652999</v>
      </c>
      <c r="G3150">
        <v>-102432887</v>
      </c>
      <c r="H3150">
        <v>-84319629</v>
      </c>
      <c r="I3150">
        <v>-11259659</v>
      </c>
      <c r="J3150">
        <v>-29107484</v>
      </c>
      <c r="K3150">
        <v>-42848098</v>
      </c>
      <c r="P3150">
        <v>113</v>
      </c>
      <c r="Q3150" t="s">
        <v>6347</v>
      </c>
    </row>
    <row r="3151" spans="1:17" x14ac:dyDescent="0.3">
      <c r="A3151" t="s">
        <v>32</v>
      </c>
      <c r="B3151" t="str">
        <f>"300391"</f>
        <v>300391</v>
      </c>
      <c r="C3151" t="s">
        <v>6348</v>
      </c>
      <c r="D3151" t="s">
        <v>199</v>
      </c>
      <c r="E3151">
        <v>-99997897</v>
      </c>
      <c r="F3151">
        <v>-30911907</v>
      </c>
      <c r="G3151">
        <v>-6541444</v>
      </c>
      <c r="H3151">
        <v>-4457028</v>
      </c>
      <c r="I3151">
        <v>-52701477</v>
      </c>
      <c r="J3151">
        <v>3940204</v>
      </c>
      <c r="K3151">
        <v>-5638877</v>
      </c>
      <c r="L3151">
        <v>-27332585</v>
      </c>
      <c r="M3151">
        <v>-36023994</v>
      </c>
      <c r="N3151">
        <v>5395956</v>
      </c>
      <c r="P3151">
        <v>80</v>
      </c>
      <c r="Q3151" t="s">
        <v>6349</v>
      </c>
    </row>
    <row r="3152" spans="1:17" x14ac:dyDescent="0.3">
      <c r="A3152" t="s">
        <v>32</v>
      </c>
      <c r="B3152" t="str">
        <f>"000710"</f>
        <v>000710</v>
      </c>
      <c r="C3152" t="s">
        <v>6350</v>
      </c>
      <c r="D3152" t="s">
        <v>98</v>
      </c>
      <c r="E3152">
        <v>-100227118</v>
      </c>
      <c r="F3152">
        <v>-155250827</v>
      </c>
      <c r="G3152">
        <v>-195785864</v>
      </c>
      <c r="H3152">
        <v>-181098854</v>
      </c>
      <c r="I3152">
        <v>10946817</v>
      </c>
      <c r="J3152">
        <v>-10891310</v>
      </c>
      <c r="K3152">
        <v>-13872332</v>
      </c>
      <c r="L3152">
        <v>-53272651</v>
      </c>
      <c r="M3152">
        <v>-25027961</v>
      </c>
      <c r="N3152">
        <v>1550507</v>
      </c>
      <c r="O3152">
        <v>18132432</v>
      </c>
      <c r="P3152">
        <v>460</v>
      </c>
      <c r="Q3152" t="s">
        <v>6351</v>
      </c>
    </row>
    <row r="3153" spans="1:17" x14ac:dyDescent="0.3">
      <c r="A3153" t="s">
        <v>17</v>
      </c>
      <c r="B3153" t="str">
        <f>"600724"</f>
        <v>600724</v>
      </c>
      <c r="C3153" t="s">
        <v>6352</v>
      </c>
      <c r="D3153" t="s">
        <v>400</v>
      </c>
      <c r="E3153">
        <v>-100285310</v>
      </c>
      <c r="F3153">
        <v>63081574</v>
      </c>
      <c r="G3153">
        <v>51238670</v>
      </c>
      <c r="H3153">
        <v>81139936</v>
      </c>
      <c r="I3153">
        <v>144305397</v>
      </c>
      <c r="J3153">
        <v>-363908480</v>
      </c>
      <c r="K3153">
        <v>-141958896</v>
      </c>
      <c r="L3153">
        <v>-313573913</v>
      </c>
      <c r="M3153">
        <v>-306939087</v>
      </c>
      <c r="N3153">
        <v>8828312</v>
      </c>
      <c r="O3153">
        <v>-165844892</v>
      </c>
      <c r="P3153">
        <v>169</v>
      </c>
      <c r="Q3153" t="s">
        <v>6353</v>
      </c>
    </row>
    <row r="3154" spans="1:17" x14ac:dyDescent="0.3">
      <c r="A3154" t="s">
        <v>17</v>
      </c>
      <c r="B3154" t="str">
        <f>"600630"</f>
        <v>600630</v>
      </c>
      <c r="C3154" t="s">
        <v>6354</v>
      </c>
      <c r="D3154" t="s">
        <v>130</v>
      </c>
      <c r="E3154">
        <v>-100349715</v>
      </c>
      <c r="F3154">
        <v>-21203889</v>
      </c>
      <c r="G3154">
        <v>-105481540</v>
      </c>
      <c r="H3154">
        <v>-105394765</v>
      </c>
      <c r="I3154">
        <v>-92654171</v>
      </c>
      <c r="J3154">
        <v>-117560525</v>
      </c>
      <c r="K3154">
        <v>84106576</v>
      </c>
      <c r="L3154">
        <v>48561711</v>
      </c>
      <c r="M3154">
        <v>-1717005</v>
      </c>
      <c r="N3154">
        <v>56817050</v>
      </c>
      <c r="O3154">
        <v>180354705</v>
      </c>
      <c r="P3154">
        <v>110</v>
      </c>
      <c r="Q3154" t="s">
        <v>6355</v>
      </c>
    </row>
    <row r="3155" spans="1:17" x14ac:dyDescent="0.3">
      <c r="A3155" t="s">
        <v>32</v>
      </c>
      <c r="B3155" t="str">
        <f>"300797"</f>
        <v>300797</v>
      </c>
      <c r="C3155" t="s">
        <v>6356</v>
      </c>
      <c r="D3155" t="s">
        <v>345</v>
      </c>
      <c r="E3155">
        <v>-100789030</v>
      </c>
      <c r="F3155">
        <v>-91738487</v>
      </c>
      <c r="G3155">
        <v>-26443206</v>
      </c>
      <c r="H3155">
        <v>-32976100</v>
      </c>
      <c r="P3155">
        <v>67</v>
      </c>
      <c r="Q3155" t="s">
        <v>6357</v>
      </c>
    </row>
    <row r="3156" spans="1:17" x14ac:dyDescent="0.3">
      <c r="A3156" t="s">
        <v>32</v>
      </c>
      <c r="B3156" t="str">
        <f>"300283"</f>
        <v>300283</v>
      </c>
      <c r="C3156" t="s">
        <v>6358</v>
      </c>
      <c r="D3156" t="s">
        <v>464</v>
      </c>
      <c r="E3156">
        <v>-100851910</v>
      </c>
      <c r="F3156">
        <v>-10277605</v>
      </c>
      <c r="G3156">
        <v>44035704</v>
      </c>
      <c r="H3156">
        <v>38371199</v>
      </c>
      <c r="I3156">
        <v>51925887</v>
      </c>
      <c r="J3156">
        <v>-82318743</v>
      </c>
      <c r="K3156">
        <v>-25067978</v>
      </c>
      <c r="L3156">
        <v>29786561</v>
      </c>
      <c r="M3156">
        <v>-22468211</v>
      </c>
      <c r="N3156">
        <v>31794797</v>
      </c>
      <c r="O3156">
        <v>-40607516</v>
      </c>
      <c r="P3156">
        <v>58</v>
      </c>
      <c r="Q3156" t="s">
        <v>6359</v>
      </c>
    </row>
    <row r="3157" spans="1:17" x14ac:dyDescent="0.3">
      <c r="A3157" t="s">
        <v>32</v>
      </c>
      <c r="B3157" t="str">
        <f>"300008"</f>
        <v>300008</v>
      </c>
      <c r="C3157" t="s">
        <v>6360</v>
      </c>
      <c r="D3157" t="s">
        <v>188</v>
      </c>
      <c r="E3157">
        <v>-100905108</v>
      </c>
      <c r="F3157">
        <v>-39633461</v>
      </c>
      <c r="G3157">
        <v>-2487926</v>
      </c>
      <c r="H3157">
        <v>5167146</v>
      </c>
      <c r="I3157">
        <v>-95927093</v>
      </c>
      <c r="J3157">
        <v>-46793968</v>
      </c>
      <c r="K3157">
        <v>-99333110</v>
      </c>
      <c r="L3157">
        <v>-73096995</v>
      </c>
      <c r="M3157">
        <v>-70785697</v>
      </c>
      <c r="N3157">
        <v>-24665070</v>
      </c>
      <c r="O3157">
        <v>-56237333</v>
      </c>
      <c r="P3157">
        <v>107</v>
      </c>
      <c r="Q3157" t="s">
        <v>6361</v>
      </c>
    </row>
    <row r="3158" spans="1:17" x14ac:dyDescent="0.3">
      <c r="A3158" t="s">
        <v>17</v>
      </c>
      <c r="B3158" t="str">
        <f>"605389"</f>
        <v>605389</v>
      </c>
      <c r="C3158" t="s">
        <v>6362</v>
      </c>
      <c r="D3158" t="s">
        <v>135</v>
      </c>
      <c r="E3158">
        <v>-101018731</v>
      </c>
      <c r="F3158">
        <v>-67366376</v>
      </c>
      <c r="G3158">
        <v>4811393</v>
      </c>
      <c r="P3158">
        <v>64</v>
      </c>
      <c r="Q3158" t="s">
        <v>6363</v>
      </c>
    </row>
    <row r="3159" spans="1:17" x14ac:dyDescent="0.3">
      <c r="A3159" t="s">
        <v>17</v>
      </c>
      <c r="B3159" t="str">
        <f>"603585"</f>
        <v>603585</v>
      </c>
      <c r="C3159" t="s">
        <v>6364</v>
      </c>
      <c r="D3159" t="s">
        <v>144</v>
      </c>
      <c r="E3159">
        <v>-101415543</v>
      </c>
      <c r="F3159">
        <v>-129660923</v>
      </c>
      <c r="G3159">
        <v>-92889828</v>
      </c>
      <c r="H3159">
        <v>68063872</v>
      </c>
      <c r="I3159">
        <v>82979856</v>
      </c>
      <c r="J3159">
        <v>-15095602</v>
      </c>
      <c r="K3159">
        <v>56827758</v>
      </c>
      <c r="P3159">
        <v>545</v>
      </c>
      <c r="Q3159" t="s">
        <v>6365</v>
      </c>
    </row>
    <row r="3160" spans="1:17" x14ac:dyDescent="0.3">
      <c r="A3160" t="s">
        <v>32</v>
      </c>
      <c r="B3160" t="str">
        <f>"300997"</f>
        <v>300997</v>
      </c>
      <c r="C3160" t="s">
        <v>6366</v>
      </c>
      <c r="D3160" t="s">
        <v>172</v>
      </c>
      <c r="E3160">
        <v>-101575216</v>
      </c>
      <c r="F3160">
        <v>11642540</v>
      </c>
      <c r="G3160">
        <v>-50731569</v>
      </c>
      <c r="P3160">
        <v>39</v>
      </c>
      <c r="Q3160" t="s">
        <v>6367</v>
      </c>
    </row>
    <row r="3161" spans="1:17" x14ac:dyDescent="0.3">
      <c r="A3161" t="s">
        <v>17</v>
      </c>
      <c r="B3161" t="str">
        <f>"600231"</f>
        <v>600231</v>
      </c>
      <c r="C3161" t="s">
        <v>6368</v>
      </c>
      <c r="D3161" t="s">
        <v>163</v>
      </c>
      <c r="E3161">
        <v>-101585861</v>
      </c>
      <c r="F3161">
        <v>-401063300</v>
      </c>
      <c r="G3161">
        <v>380645993</v>
      </c>
      <c r="H3161">
        <v>44229796</v>
      </c>
      <c r="I3161">
        <v>-464086661</v>
      </c>
      <c r="J3161">
        <v>720013185</v>
      </c>
      <c r="K3161">
        <v>-447344552</v>
      </c>
      <c r="L3161">
        <v>-611792050</v>
      </c>
      <c r="M3161">
        <v>253047088</v>
      </c>
      <c r="N3161">
        <v>-616767635</v>
      </c>
      <c r="O3161">
        <v>136953777</v>
      </c>
      <c r="P3161">
        <v>187</v>
      </c>
      <c r="Q3161" t="s">
        <v>6369</v>
      </c>
    </row>
    <row r="3162" spans="1:17" x14ac:dyDescent="0.3">
      <c r="A3162" t="s">
        <v>32</v>
      </c>
      <c r="B3162" t="str">
        <f>"003033"</f>
        <v>003033</v>
      </c>
      <c r="C3162" t="s">
        <v>6370</v>
      </c>
      <c r="D3162" t="s">
        <v>199</v>
      </c>
      <c r="E3162">
        <v>-101648295</v>
      </c>
      <c r="F3162">
        <v>-45422951</v>
      </c>
      <c r="G3162">
        <v>-23025244</v>
      </c>
      <c r="H3162">
        <v>-8088500</v>
      </c>
      <c r="P3162">
        <v>67</v>
      </c>
      <c r="Q3162" t="s">
        <v>6371</v>
      </c>
    </row>
    <row r="3163" spans="1:17" x14ac:dyDescent="0.3">
      <c r="A3163" t="s">
        <v>17</v>
      </c>
      <c r="B3163" t="str">
        <f>"688059"</f>
        <v>688059</v>
      </c>
      <c r="C3163" t="s">
        <v>6372</v>
      </c>
      <c r="D3163" t="s">
        <v>135</v>
      </c>
      <c r="E3163">
        <v>-101747588</v>
      </c>
      <c r="F3163">
        <v>-12781537</v>
      </c>
      <c r="P3163">
        <v>105</v>
      </c>
      <c r="Q3163" t="s">
        <v>6373</v>
      </c>
    </row>
    <row r="3164" spans="1:17" x14ac:dyDescent="0.3">
      <c r="A3164" t="s">
        <v>32</v>
      </c>
      <c r="B3164" t="str">
        <f>"200045"</f>
        <v>200045</v>
      </c>
      <c r="C3164" t="s">
        <v>6374</v>
      </c>
      <c r="E3164">
        <v>-101806120.472</v>
      </c>
      <c r="F3164">
        <v>-195154738.7545</v>
      </c>
      <c r="G3164">
        <v>-145483635.96689999</v>
      </c>
      <c r="H3164">
        <v>-572078.04119999998</v>
      </c>
      <c r="I3164">
        <v>-215683809.028</v>
      </c>
      <c r="J3164">
        <v>-331093199.22920001</v>
      </c>
      <c r="K3164">
        <v>-107915044.65180001</v>
      </c>
      <c r="L3164">
        <v>41059481.25</v>
      </c>
      <c r="M3164">
        <v>-29637314.367600001</v>
      </c>
      <c r="N3164">
        <v>-112270322.62379999</v>
      </c>
      <c r="O3164">
        <v>-45294860.402999997</v>
      </c>
      <c r="P3164">
        <v>6</v>
      </c>
      <c r="Q3164" t="s">
        <v>6375</v>
      </c>
    </row>
    <row r="3165" spans="1:17" x14ac:dyDescent="0.3">
      <c r="A3165" t="s">
        <v>32</v>
      </c>
      <c r="B3165" t="str">
        <f>"300967"</f>
        <v>300967</v>
      </c>
      <c r="C3165" t="s">
        <v>6376</v>
      </c>
      <c r="D3165" t="s">
        <v>175</v>
      </c>
      <c r="E3165">
        <v>-101835845</v>
      </c>
      <c r="F3165">
        <v>9974425</v>
      </c>
      <c r="G3165">
        <v>-28516836</v>
      </c>
      <c r="P3165">
        <v>34</v>
      </c>
      <c r="Q3165" t="s">
        <v>6377</v>
      </c>
    </row>
    <row r="3166" spans="1:17" x14ac:dyDescent="0.3">
      <c r="A3166" t="s">
        <v>32</v>
      </c>
      <c r="B3166" t="str">
        <f>"300564"</f>
        <v>300564</v>
      </c>
      <c r="C3166" t="s">
        <v>6378</v>
      </c>
      <c r="D3166" t="s">
        <v>645</v>
      </c>
      <c r="E3166">
        <v>-102092895</v>
      </c>
      <c r="F3166">
        <v>-234946061</v>
      </c>
      <c r="G3166">
        <v>-212547420</v>
      </c>
      <c r="H3166">
        <v>-127780861</v>
      </c>
      <c r="P3166">
        <v>211</v>
      </c>
      <c r="Q3166" t="s">
        <v>6379</v>
      </c>
    </row>
    <row r="3167" spans="1:17" x14ac:dyDescent="0.3">
      <c r="A3167" t="s">
        <v>17</v>
      </c>
      <c r="B3167" t="str">
        <f>"603396"</f>
        <v>603396</v>
      </c>
      <c r="C3167" t="s">
        <v>6380</v>
      </c>
      <c r="D3167" t="s">
        <v>464</v>
      </c>
      <c r="E3167">
        <v>-102097021</v>
      </c>
      <c r="F3167">
        <v>-9751822</v>
      </c>
      <c r="G3167">
        <v>35775134</v>
      </c>
      <c r="H3167">
        <v>2550404</v>
      </c>
      <c r="I3167">
        <v>-78166247</v>
      </c>
      <c r="J3167">
        <v>-1695629</v>
      </c>
      <c r="P3167">
        <v>217</v>
      </c>
      <c r="Q3167" t="s">
        <v>6381</v>
      </c>
    </row>
    <row r="3168" spans="1:17" x14ac:dyDescent="0.3">
      <c r="A3168" t="s">
        <v>32</v>
      </c>
      <c r="B3168" t="str">
        <f>"000503"</f>
        <v>000503</v>
      </c>
      <c r="C3168" t="s">
        <v>6382</v>
      </c>
      <c r="D3168" t="s">
        <v>342</v>
      </c>
      <c r="E3168">
        <v>-102200868</v>
      </c>
      <c r="F3168">
        <v>-85240801</v>
      </c>
      <c r="G3168">
        <v>-55759292</v>
      </c>
      <c r="H3168">
        <v>-71300292</v>
      </c>
      <c r="I3168">
        <v>-67804710</v>
      </c>
      <c r="J3168">
        <v>-91013013</v>
      </c>
      <c r="K3168">
        <v>-347065447</v>
      </c>
      <c r="L3168">
        <v>-121718988</v>
      </c>
      <c r="M3168">
        <v>-34591774</v>
      </c>
      <c r="N3168">
        <v>-38173141</v>
      </c>
      <c r="O3168">
        <v>-35570195</v>
      </c>
      <c r="P3168">
        <v>174</v>
      </c>
      <c r="Q3168" t="s">
        <v>6383</v>
      </c>
    </row>
    <row r="3169" spans="1:17" x14ac:dyDescent="0.3">
      <c r="A3169" t="s">
        <v>32</v>
      </c>
      <c r="B3169" t="str">
        <f>"000790"</f>
        <v>000790</v>
      </c>
      <c r="C3169" t="s">
        <v>6384</v>
      </c>
      <c r="D3169" t="s">
        <v>98</v>
      </c>
      <c r="E3169">
        <v>-102250873</v>
      </c>
      <c r="F3169">
        <v>-149702127</v>
      </c>
      <c r="G3169">
        <v>-18998743</v>
      </c>
      <c r="H3169">
        <v>5241906</v>
      </c>
      <c r="I3169">
        <v>45844808</v>
      </c>
      <c r="J3169">
        <v>-68730129</v>
      </c>
      <c r="K3169">
        <v>-39048486</v>
      </c>
      <c r="L3169">
        <v>-45352743</v>
      </c>
      <c r="M3169">
        <v>-24395710</v>
      </c>
      <c r="N3169">
        <v>-14389033</v>
      </c>
      <c r="O3169">
        <v>-60846586</v>
      </c>
      <c r="P3169">
        <v>175</v>
      </c>
      <c r="Q3169" t="s">
        <v>6385</v>
      </c>
    </row>
    <row r="3170" spans="1:17" x14ac:dyDescent="0.3">
      <c r="A3170" t="s">
        <v>17</v>
      </c>
      <c r="B3170" t="str">
        <f>"603895"</f>
        <v>603895</v>
      </c>
      <c r="C3170" t="s">
        <v>6386</v>
      </c>
      <c r="D3170" t="s">
        <v>135</v>
      </c>
      <c r="E3170">
        <v>-102320397</v>
      </c>
      <c r="F3170">
        <v>-59149400</v>
      </c>
      <c r="G3170">
        <v>40000577</v>
      </c>
      <c r="H3170">
        <v>19294517</v>
      </c>
      <c r="I3170">
        <v>-2257251</v>
      </c>
      <c r="J3170">
        <v>-16824534</v>
      </c>
      <c r="P3170">
        <v>65</v>
      </c>
      <c r="Q3170" t="s">
        <v>6387</v>
      </c>
    </row>
    <row r="3171" spans="1:17" x14ac:dyDescent="0.3">
      <c r="A3171" t="s">
        <v>17</v>
      </c>
      <c r="B3171" t="str">
        <f>"688268"</f>
        <v>688268</v>
      </c>
      <c r="C3171" t="s">
        <v>6388</v>
      </c>
      <c r="D3171" t="s">
        <v>124</v>
      </c>
      <c r="E3171">
        <v>-102339577</v>
      </c>
      <c r="F3171">
        <v>-63052132</v>
      </c>
      <c r="G3171">
        <v>-20416004</v>
      </c>
      <c r="H3171">
        <v>2434210</v>
      </c>
      <c r="P3171">
        <v>184</v>
      </c>
      <c r="Q3171" t="s">
        <v>6389</v>
      </c>
    </row>
    <row r="3172" spans="1:17" x14ac:dyDescent="0.3">
      <c r="A3172" t="s">
        <v>32</v>
      </c>
      <c r="B3172" t="str">
        <f>"000818"</f>
        <v>000818</v>
      </c>
      <c r="C3172" t="s">
        <v>6390</v>
      </c>
      <c r="D3172" t="s">
        <v>144</v>
      </c>
      <c r="E3172">
        <v>-102463634</v>
      </c>
      <c r="F3172">
        <v>77329725</v>
      </c>
      <c r="G3172">
        <v>-24411531</v>
      </c>
      <c r="H3172">
        <v>37641277</v>
      </c>
      <c r="I3172">
        <v>-33897866</v>
      </c>
      <c r="J3172">
        <v>19573383</v>
      </c>
      <c r="K3172">
        <v>-60220207</v>
      </c>
      <c r="L3172">
        <v>21939622</v>
      </c>
      <c r="M3172">
        <v>1938984</v>
      </c>
      <c r="N3172">
        <v>20843871</v>
      </c>
      <c r="O3172">
        <v>-8317853</v>
      </c>
      <c r="P3172">
        <v>258</v>
      </c>
      <c r="Q3172" t="s">
        <v>6391</v>
      </c>
    </row>
    <row r="3173" spans="1:17" x14ac:dyDescent="0.3">
      <c r="A3173" t="s">
        <v>32</v>
      </c>
      <c r="B3173" t="str">
        <f>"300856"</f>
        <v>300856</v>
      </c>
      <c r="C3173" t="s">
        <v>6392</v>
      </c>
      <c r="D3173" t="s">
        <v>544</v>
      </c>
      <c r="E3173">
        <v>-102513935</v>
      </c>
      <c r="F3173">
        <v>24024803</v>
      </c>
      <c r="G3173">
        <v>61373500</v>
      </c>
      <c r="H3173">
        <v>48534100</v>
      </c>
      <c r="P3173">
        <v>131</v>
      </c>
      <c r="Q3173" t="s">
        <v>6393</v>
      </c>
    </row>
    <row r="3174" spans="1:17" x14ac:dyDescent="0.3">
      <c r="A3174" t="s">
        <v>17</v>
      </c>
      <c r="B3174" t="str">
        <f>"600495"</f>
        <v>600495</v>
      </c>
      <c r="C3174" t="s">
        <v>6394</v>
      </c>
      <c r="D3174" t="s">
        <v>135</v>
      </c>
      <c r="E3174">
        <v>-102652169</v>
      </c>
      <c r="F3174">
        <v>-77714123</v>
      </c>
      <c r="G3174">
        <v>-71499918</v>
      </c>
      <c r="H3174">
        <v>-89620889</v>
      </c>
      <c r="I3174">
        <v>-8015745</v>
      </c>
      <c r="J3174">
        <v>-26769568</v>
      </c>
      <c r="K3174">
        <v>-175904724</v>
      </c>
      <c r="L3174">
        <v>-195507187</v>
      </c>
      <c r="M3174">
        <v>-112931668</v>
      </c>
      <c r="N3174">
        <v>-29110329</v>
      </c>
      <c r="O3174">
        <v>-316951067</v>
      </c>
      <c r="P3174">
        <v>122</v>
      </c>
      <c r="Q3174" t="s">
        <v>6395</v>
      </c>
    </row>
    <row r="3175" spans="1:17" x14ac:dyDescent="0.3">
      <c r="A3175" t="s">
        <v>32</v>
      </c>
      <c r="B3175" t="str">
        <f>"002992"</f>
        <v>002992</v>
      </c>
      <c r="C3175" t="s">
        <v>6396</v>
      </c>
      <c r="D3175" t="s">
        <v>124</v>
      </c>
      <c r="E3175">
        <v>-102694801</v>
      </c>
      <c r="F3175">
        <v>97845317</v>
      </c>
      <c r="G3175">
        <v>-20202719</v>
      </c>
      <c r="H3175">
        <v>-65757969</v>
      </c>
      <c r="P3175">
        <v>51</v>
      </c>
      <c r="Q3175" t="s">
        <v>6397</v>
      </c>
    </row>
    <row r="3176" spans="1:17" x14ac:dyDescent="0.3">
      <c r="A3176" t="s">
        <v>32</v>
      </c>
      <c r="B3176" t="str">
        <f>"300691"</f>
        <v>300691</v>
      </c>
      <c r="C3176" t="s">
        <v>6398</v>
      </c>
      <c r="D3176" t="s">
        <v>342</v>
      </c>
      <c r="E3176">
        <v>-102745159</v>
      </c>
      <c r="F3176">
        <v>-62628986</v>
      </c>
      <c r="G3176">
        <v>40672964</v>
      </c>
      <c r="H3176">
        <v>-62273310</v>
      </c>
      <c r="I3176">
        <v>17657368</v>
      </c>
      <c r="J3176">
        <v>-45930344</v>
      </c>
      <c r="P3176">
        <v>186</v>
      </c>
      <c r="Q3176" t="s">
        <v>6399</v>
      </c>
    </row>
    <row r="3177" spans="1:17" x14ac:dyDescent="0.3">
      <c r="A3177" t="s">
        <v>17</v>
      </c>
      <c r="B3177" t="str">
        <f>"688158"</f>
        <v>688158</v>
      </c>
      <c r="C3177" t="s">
        <v>6400</v>
      </c>
      <c r="D3177" t="s">
        <v>342</v>
      </c>
      <c r="E3177">
        <v>-102879039</v>
      </c>
      <c r="F3177">
        <v>-122667509</v>
      </c>
      <c r="G3177">
        <v>-94419645</v>
      </c>
      <c r="H3177">
        <v>-148596925</v>
      </c>
      <c r="P3177">
        <v>104</v>
      </c>
      <c r="Q3177" t="s">
        <v>6401</v>
      </c>
    </row>
    <row r="3178" spans="1:17" x14ac:dyDescent="0.3">
      <c r="A3178" t="s">
        <v>32</v>
      </c>
      <c r="B3178" t="str">
        <f>"002502"</f>
        <v>002502</v>
      </c>
      <c r="C3178" t="s">
        <v>6402</v>
      </c>
      <c r="D3178" t="s">
        <v>245</v>
      </c>
      <c r="E3178">
        <v>-102974314</v>
      </c>
      <c r="F3178">
        <v>-146125303</v>
      </c>
      <c r="G3178">
        <v>117857305</v>
      </c>
      <c r="H3178">
        <v>-81688569</v>
      </c>
      <c r="I3178">
        <v>-81758155</v>
      </c>
      <c r="J3178">
        <v>-6008160</v>
      </c>
      <c r="K3178">
        <v>-75072234</v>
      </c>
      <c r="L3178">
        <v>-29255707</v>
      </c>
      <c r="M3178">
        <v>-3625623</v>
      </c>
      <c r="N3178">
        <v>-65590066</v>
      </c>
      <c r="O3178">
        <v>-21232953</v>
      </c>
      <c r="P3178">
        <v>117</v>
      </c>
      <c r="Q3178" t="s">
        <v>6403</v>
      </c>
    </row>
    <row r="3179" spans="1:17" x14ac:dyDescent="0.3">
      <c r="A3179" t="s">
        <v>17</v>
      </c>
      <c r="B3179" t="str">
        <f>"605318"</f>
        <v>605318</v>
      </c>
      <c r="C3179" t="s">
        <v>6404</v>
      </c>
      <c r="D3179" t="s">
        <v>400</v>
      </c>
      <c r="E3179">
        <v>-103199697</v>
      </c>
      <c r="F3179">
        <v>-130051874</v>
      </c>
      <c r="G3179">
        <v>-61907550</v>
      </c>
      <c r="H3179">
        <v>-78433186</v>
      </c>
      <c r="P3179">
        <v>58</v>
      </c>
      <c r="Q3179" t="s">
        <v>6405</v>
      </c>
    </row>
    <row r="3180" spans="1:17" x14ac:dyDescent="0.3">
      <c r="A3180" t="s">
        <v>32</v>
      </c>
      <c r="B3180" t="str">
        <f>"300584"</f>
        <v>300584</v>
      </c>
      <c r="C3180" t="s">
        <v>6406</v>
      </c>
      <c r="D3180" t="s">
        <v>98</v>
      </c>
      <c r="E3180">
        <v>-103301193</v>
      </c>
      <c r="F3180">
        <v>1932140</v>
      </c>
      <c r="G3180">
        <v>-56568986</v>
      </c>
      <c r="H3180">
        <v>-10496957</v>
      </c>
      <c r="I3180">
        <v>-12439202</v>
      </c>
      <c r="J3180">
        <v>-11810491</v>
      </c>
      <c r="K3180">
        <v>-16089500</v>
      </c>
      <c r="P3180">
        <v>195</v>
      </c>
      <c r="Q3180" t="s">
        <v>6407</v>
      </c>
    </row>
    <row r="3181" spans="1:17" x14ac:dyDescent="0.3">
      <c r="A3181" t="s">
        <v>32</v>
      </c>
      <c r="B3181" t="str">
        <f>"300730"</f>
        <v>300730</v>
      </c>
      <c r="C3181" t="s">
        <v>6408</v>
      </c>
      <c r="D3181" t="s">
        <v>342</v>
      </c>
      <c r="E3181">
        <v>-103342171</v>
      </c>
      <c r="F3181">
        <v>-92012429</v>
      </c>
      <c r="G3181">
        <v>-62031515</v>
      </c>
      <c r="H3181">
        <v>-69163960</v>
      </c>
      <c r="I3181">
        <v>-78939862</v>
      </c>
      <c r="J3181">
        <v>-58867719</v>
      </c>
      <c r="P3181">
        <v>98</v>
      </c>
      <c r="Q3181" t="s">
        <v>6409</v>
      </c>
    </row>
    <row r="3182" spans="1:17" x14ac:dyDescent="0.3">
      <c r="A3182" t="s">
        <v>17</v>
      </c>
      <c r="B3182" t="str">
        <f>"603183"</f>
        <v>603183</v>
      </c>
      <c r="C3182" t="s">
        <v>6410</v>
      </c>
      <c r="D3182" t="s">
        <v>497</v>
      </c>
      <c r="E3182">
        <v>-103604608</v>
      </c>
      <c r="F3182">
        <v>-58171004</v>
      </c>
      <c r="G3182">
        <v>-58370675</v>
      </c>
      <c r="H3182">
        <v>-67113297</v>
      </c>
      <c r="I3182">
        <v>-70699564</v>
      </c>
      <c r="J3182">
        <v>-48912972</v>
      </c>
      <c r="P3182">
        <v>92</v>
      </c>
      <c r="Q3182" t="s">
        <v>6411</v>
      </c>
    </row>
    <row r="3183" spans="1:17" x14ac:dyDescent="0.3">
      <c r="A3183" t="s">
        <v>17</v>
      </c>
      <c r="B3183" t="str">
        <f>"603055"</f>
        <v>603055</v>
      </c>
      <c r="C3183" t="s">
        <v>6412</v>
      </c>
      <c r="D3183" t="s">
        <v>130</v>
      </c>
      <c r="E3183">
        <v>-103629998</v>
      </c>
      <c r="F3183">
        <v>-214639925</v>
      </c>
      <c r="G3183">
        <v>-258118687</v>
      </c>
      <c r="H3183">
        <v>-199496105</v>
      </c>
      <c r="I3183">
        <v>-92747796</v>
      </c>
      <c r="J3183">
        <v>35393231</v>
      </c>
      <c r="P3183">
        <v>146</v>
      </c>
      <c r="Q3183" t="s">
        <v>6413</v>
      </c>
    </row>
    <row r="3184" spans="1:17" x14ac:dyDescent="0.3">
      <c r="A3184" t="s">
        <v>32</v>
      </c>
      <c r="B3184" t="str">
        <f>"300758"</f>
        <v>300758</v>
      </c>
      <c r="C3184" t="s">
        <v>6414</v>
      </c>
      <c r="D3184" t="s">
        <v>144</v>
      </c>
      <c r="E3184">
        <v>-103669021</v>
      </c>
      <c r="F3184">
        <v>-40546386</v>
      </c>
      <c r="G3184">
        <v>-155663205</v>
      </c>
      <c r="H3184">
        <v>-16804902</v>
      </c>
      <c r="I3184">
        <v>-36249308</v>
      </c>
      <c r="P3184">
        <v>104</v>
      </c>
      <c r="Q3184" t="s">
        <v>6415</v>
      </c>
    </row>
    <row r="3185" spans="1:17" x14ac:dyDescent="0.3">
      <c r="A3185" t="s">
        <v>17</v>
      </c>
      <c r="B3185" t="str">
        <f>"600673"</f>
        <v>600673</v>
      </c>
      <c r="C3185" t="s">
        <v>6416</v>
      </c>
      <c r="D3185" t="s">
        <v>98</v>
      </c>
      <c r="E3185">
        <v>-104024992</v>
      </c>
      <c r="F3185">
        <v>110714684</v>
      </c>
      <c r="G3185">
        <v>1392015254</v>
      </c>
      <c r="H3185">
        <v>608900398</v>
      </c>
      <c r="I3185">
        <v>-11239284</v>
      </c>
      <c r="J3185">
        <v>129384295</v>
      </c>
      <c r="K3185">
        <v>-16384457</v>
      </c>
      <c r="L3185">
        <v>-59581682</v>
      </c>
      <c r="M3185">
        <v>-26760132</v>
      </c>
      <c r="N3185">
        <v>189353797</v>
      </c>
      <c r="O3185">
        <v>328020730</v>
      </c>
      <c r="P3185">
        <v>275</v>
      </c>
      <c r="Q3185" t="s">
        <v>6417</v>
      </c>
    </row>
    <row r="3186" spans="1:17" x14ac:dyDescent="0.3">
      <c r="A3186" t="s">
        <v>17</v>
      </c>
      <c r="B3186" t="str">
        <f>"688257"</f>
        <v>688257</v>
      </c>
      <c r="C3186" t="s">
        <v>6418</v>
      </c>
      <c r="D3186" t="s">
        <v>135</v>
      </c>
      <c r="E3186">
        <v>-104058506</v>
      </c>
      <c r="P3186">
        <v>17</v>
      </c>
      <c r="Q3186" t="s">
        <v>6419</v>
      </c>
    </row>
    <row r="3187" spans="1:17" x14ac:dyDescent="0.3">
      <c r="A3187" t="s">
        <v>32</v>
      </c>
      <c r="B3187" t="str">
        <f>"300550"</f>
        <v>300550</v>
      </c>
      <c r="C3187" t="s">
        <v>6420</v>
      </c>
      <c r="D3187" t="s">
        <v>342</v>
      </c>
      <c r="E3187">
        <v>-104244074</v>
      </c>
      <c r="F3187">
        <v>-58237362</v>
      </c>
      <c r="G3187">
        <v>-92472824</v>
      </c>
      <c r="H3187">
        <v>-56843069</v>
      </c>
      <c r="I3187">
        <v>-50601923</v>
      </c>
      <c r="J3187">
        <v>-39480775</v>
      </c>
      <c r="K3187">
        <v>-32926126</v>
      </c>
      <c r="P3187">
        <v>123</v>
      </c>
      <c r="Q3187" t="s">
        <v>6421</v>
      </c>
    </row>
    <row r="3188" spans="1:17" x14ac:dyDescent="0.3">
      <c r="A3188" t="s">
        <v>32</v>
      </c>
      <c r="B3188" t="str">
        <f>"002178"</f>
        <v>002178</v>
      </c>
      <c r="C3188" t="s">
        <v>6422</v>
      </c>
      <c r="D3188" t="s">
        <v>342</v>
      </c>
      <c r="E3188">
        <v>-104245738</v>
      </c>
      <c r="F3188">
        <v>-72599397</v>
      </c>
      <c r="G3188">
        <v>-76434767</v>
      </c>
      <c r="H3188">
        <v>-122337941</v>
      </c>
      <c r="I3188">
        <v>-140739322</v>
      </c>
      <c r="J3188">
        <v>-81313628</v>
      </c>
      <c r="K3188">
        <v>-172516605</v>
      </c>
      <c r="L3188">
        <v>-88935542</v>
      </c>
      <c r="M3188">
        <v>-57801857</v>
      </c>
      <c r="N3188">
        <v>-77200159</v>
      </c>
      <c r="O3188">
        <v>-74661522</v>
      </c>
      <c r="P3188">
        <v>89</v>
      </c>
      <c r="Q3188" t="s">
        <v>6423</v>
      </c>
    </row>
    <row r="3189" spans="1:17" x14ac:dyDescent="0.3">
      <c r="A3189" t="s">
        <v>32</v>
      </c>
      <c r="B3189" t="str">
        <f>"300757"</f>
        <v>300757</v>
      </c>
      <c r="C3189" t="s">
        <v>6424</v>
      </c>
      <c r="D3189" t="s">
        <v>135</v>
      </c>
      <c r="E3189">
        <v>-104253998</v>
      </c>
      <c r="F3189">
        <v>-13481676</v>
      </c>
      <c r="G3189">
        <v>-96627748</v>
      </c>
      <c r="H3189">
        <v>-9569386</v>
      </c>
      <c r="I3189">
        <v>-38807123</v>
      </c>
      <c r="P3189">
        <v>76</v>
      </c>
      <c r="Q3189" t="s">
        <v>6425</v>
      </c>
    </row>
    <row r="3190" spans="1:17" x14ac:dyDescent="0.3">
      <c r="A3190" t="s">
        <v>17</v>
      </c>
      <c r="B3190" t="str">
        <f>"600969"</f>
        <v>600969</v>
      </c>
      <c r="C3190" t="s">
        <v>6426</v>
      </c>
      <c r="D3190" t="s">
        <v>158</v>
      </c>
      <c r="E3190">
        <v>-104263741</v>
      </c>
      <c r="F3190">
        <v>-464863367</v>
      </c>
      <c r="G3190">
        <v>-290726155</v>
      </c>
      <c r="H3190">
        <v>-227697133</v>
      </c>
      <c r="I3190">
        <v>-270387830</v>
      </c>
      <c r="J3190">
        <v>-118616539</v>
      </c>
      <c r="K3190">
        <v>-146908334</v>
      </c>
      <c r="L3190">
        <v>-245818908</v>
      </c>
      <c r="M3190">
        <v>-95034896</v>
      </c>
      <c r="N3190">
        <v>-62854574</v>
      </c>
      <c r="O3190">
        <v>-67281691</v>
      </c>
      <c r="P3190">
        <v>77</v>
      </c>
      <c r="Q3190" t="s">
        <v>6427</v>
      </c>
    </row>
    <row r="3191" spans="1:17" x14ac:dyDescent="0.3">
      <c r="A3191" t="s">
        <v>17</v>
      </c>
      <c r="B3191" t="str">
        <f>"603256"</f>
        <v>603256</v>
      </c>
      <c r="C3191" t="s">
        <v>6428</v>
      </c>
      <c r="D3191" t="s">
        <v>400</v>
      </c>
      <c r="E3191">
        <v>-104564870</v>
      </c>
      <c r="F3191">
        <v>-232005474</v>
      </c>
      <c r="G3191">
        <v>-87328089</v>
      </c>
      <c r="H3191">
        <v>55666040</v>
      </c>
      <c r="I3191">
        <v>-10740091</v>
      </c>
      <c r="P3191">
        <v>340</v>
      </c>
      <c r="Q3191" t="s">
        <v>6429</v>
      </c>
    </row>
    <row r="3192" spans="1:17" x14ac:dyDescent="0.3">
      <c r="A3192" t="s">
        <v>17</v>
      </c>
      <c r="B3192" t="str">
        <f>"600599"</f>
        <v>600599</v>
      </c>
      <c r="C3192" t="s">
        <v>6430</v>
      </c>
      <c r="D3192" t="s">
        <v>26</v>
      </c>
      <c r="E3192">
        <v>-104592684</v>
      </c>
      <c r="F3192">
        <v>-13249702</v>
      </c>
      <c r="G3192">
        <v>-36727174</v>
      </c>
      <c r="H3192">
        <v>-69836631</v>
      </c>
      <c r="I3192">
        <v>-174299328</v>
      </c>
      <c r="J3192">
        <v>38989224</v>
      </c>
      <c r="K3192">
        <v>-126775388</v>
      </c>
      <c r="L3192">
        <v>28524009</v>
      </c>
      <c r="M3192">
        <v>16886815</v>
      </c>
      <c r="N3192">
        <v>2322507</v>
      </c>
      <c r="O3192">
        <v>-6983595</v>
      </c>
      <c r="P3192">
        <v>54</v>
      </c>
      <c r="Q3192" t="s">
        <v>6431</v>
      </c>
    </row>
    <row r="3193" spans="1:17" x14ac:dyDescent="0.3">
      <c r="A3193" t="s">
        <v>17</v>
      </c>
      <c r="B3193" t="str">
        <f>"688189"</f>
        <v>688189</v>
      </c>
      <c r="C3193" t="s">
        <v>6432</v>
      </c>
      <c r="D3193" t="s">
        <v>98</v>
      </c>
      <c r="E3193">
        <v>-104628450</v>
      </c>
      <c r="F3193">
        <v>-78702293</v>
      </c>
      <c r="G3193">
        <v>-8427276</v>
      </c>
      <c r="H3193">
        <v>67160174</v>
      </c>
      <c r="P3193">
        <v>97</v>
      </c>
      <c r="Q3193" t="s">
        <v>6433</v>
      </c>
    </row>
    <row r="3194" spans="1:17" x14ac:dyDescent="0.3">
      <c r="A3194" t="s">
        <v>32</v>
      </c>
      <c r="B3194" t="str">
        <f>"300298"</f>
        <v>300298</v>
      </c>
      <c r="C3194" t="s">
        <v>6434</v>
      </c>
      <c r="D3194" t="s">
        <v>98</v>
      </c>
      <c r="E3194">
        <v>-104644883</v>
      </c>
      <c r="F3194">
        <v>-199426762</v>
      </c>
      <c r="G3194">
        <v>1540257</v>
      </c>
      <c r="H3194">
        <v>-170972830</v>
      </c>
      <c r="I3194">
        <v>-22093484</v>
      </c>
      <c r="J3194">
        <v>65713292</v>
      </c>
      <c r="K3194">
        <v>59902228</v>
      </c>
      <c r="L3194">
        <v>-16371690</v>
      </c>
      <c r="M3194">
        <v>-7048215</v>
      </c>
      <c r="N3194">
        <v>-42068053</v>
      </c>
      <c r="O3194">
        <v>14958678</v>
      </c>
      <c r="P3194">
        <v>619</v>
      </c>
      <c r="Q3194" t="s">
        <v>6435</v>
      </c>
    </row>
    <row r="3195" spans="1:17" x14ac:dyDescent="0.3">
      <c r="A3195" t="s">
        <v>32</v>
      </c>
      <c r="B3195" t="str">
        <f>"002484"</f>
        <v>002484</v>
      </c>
      <c r="C3195" t="s">
        <v>6436</v>
      </c>
      <c r="D3195" t="s">
        <v>124</v>
      </c>
      <c r="E3195">
        <v>-104645367</v>
      </c>
      <c r="F3195">
        <v>7436</v>
      </c>
      <c r="G3195">
        <v>33770994</v>
      </c>
      <c r="H3195">
        <v>-97563313</v>
      </c>
      <c r="I3195">
        <v>-110996150</v>
      </c>
      <c r="J3195">
        <v>1324347</v>
      </c>
      <c r="K3195">
        <v>-9017275</v>
      </c>
      <c r="L3195">
        <v>-52809679</v>
      </c>
      <c r="M3195">
        <v>30409066</v>
      </c>
      <c r="N3195">
        <v>-9164796</v>
      </c>
      <c r="O3195">
        <v>-7451531</v>
      </c>
      <c r="P3195">
        <v>312</v>
      </c>
      <c r="Q3195" t="s">
        <v>6437</v>
      </c>
    </row>
    <row r="3196" spans="1:17" x14ac:dyDescent="0.3">
      <c r="A3196" t="s">
        <v>17</v>
      </c>
      <c r="B3196" t="str">
        <f>"605398"</f>
        <v>605398</v>
      </c>
      <c r="C3196" t="s">
        <v>6438</v>
      </c>
      <c r="D3196" t="s">
        <v>342</v>
      </c>
      <c r="E3196">
        <v>-104680384</v>
      </c>
      <c r="F3196">
        <v>-87765812</v>
      </c>
      <c r="G3196">
        <v>-71118634</v>
      </c>
      <c r="P3196">
        <v>39</v>
      </c>
      <c r="Q3196" t="s">
        <v>6439</v>
      </c>
    </row>
    <row r="3197" spans="1:17" x14ac:dyDescent="0.3">
      <c r="A3197" t="s">
        <v>17</v>
      </c>
      <c r="B3197" t="str">
        <f>"603986"</f>
        <v>603986</v>
      </c>
      <c r="C3197" t="s">
        <v>6440</v>
      </c>
      <c r="D3197" t="s">
        <v>124</v>
      </c>
      <c r="E3197">
        <v>-104805376</v>
      </c>
      <c r="F3197">
        <v>341643268</v>
      </c>
      <c r="G3197">
        <v>-125884849</v>
      </c>
      <c r="H3197">
        <v>-18783982</v>
      </c>
      <c r="I3197">
        <v>-23777470</v>
      </c>
      <c r="J3197">
        <v>-35368027</v>
      </c>
      <c r="K3197">
        <v>-47019891</v>
      </c>
      <c r="L3197">
        <v>4628800</v>
      </c>
      <c r="P3197">
        <v>2706</v>
      </c>
      <c r="Q3197" t="s">
        <v>6441</v>
      </c>
    </row>
    <row r="3198" spans="1:17" x14ac:dyDescent="0.3">
      <c r="A3198" t="s">
        <v>32</v>
      </c>
      <c r="B3198" t="str">
        <f>"002789"</f>
        <v>002789</v>
      </c>
      <c r="C3198" t="s">
        <v>6442</v>
      </c>
      <c r="D3198" t="s">
        <v>645</v>
      </c>
      <c r="E3198">
        <v>-104832262</v>
      </c>
      <c r="F3198">
        <v>-128355125</v>
      </c>
      <c r="G3198">
        <v>-180453724</v>
      </c>
      <c r="H3198">
        <v>112163017</v>
      </c>
      <c r="I3198">
        <v>-97117264</v>
      </c>
      <c r="J3198">
        <v>-127576758</v>
      </c>
      <c r="K3198">
        <v>-56578662</v>
      </c>
      <c r="L3198">
        <v>-127939179</v>
      </c>
      <c r="P3198">
        <v>57</v>
      </c>
      <c r="Q3198" t="s">
        <v>6443</v>
      </c>
    </row>
    <row r="3199" spans="1:17" x14ac:dyDescent="0.3">
      <c r="A3199" t="s">
        <v>32</v>
      </c>
      <c r="B3199" t="str">
        <f>"300067"</f>
        <v>300067</v>
      </c>
      <c r="C3199" t="s">
        <v>6444</v>
      </c>
      <c r="D3199" t="s">
        <v>144</v>
      </c>
      <c r="E3199">
        <v>-104868601</v>
      </c>
      <c r="F3199">
        <v>-46717940</v>
      </c>
      <c r="G3199">
        <v>-36874617</v>
      </c>
      <c r="H3199">
        <v>-33918401</v>
      </c>
      <c r="I3199">
        <v>-91365122</v>
      </c>
      <c r="J3199">
        <v>-11639817</v>
      </c>
      <c r="K3199">
        <v>31271574</v>
      </c>
      <c r="L3199">
        <v>-31440131</v>
      </c>
      <c r="M3199">
        <v>-36549770</v>
      </c>
      <c r="N3199">
        <v>-5615578</v>
      </c>
      <c r="O3199">
        <v>-17383442</v>
      </c>
      <c r="P3199">
        <v>100</v>
      </c>
      <c r="Q3199" t="s">
        <v>6445</v>
      </c>
    </row>
    <row r="3200" spans="1:17" x14ac:dyDescent="0.3">
      <c r="A3200" t="s">
        <v>17</v>
      </c>
      <c r="B3200" t="str">
        <f>"603776"</f>
        <v>603776</v>
      </c>
      <c r="C3200" t="s">
        <v>6446</v>
      </c>
      <c r="D3200" t="s">
        <v>199</v>
      </c>
      <c r="E3200">
        <v>-105133027</v>
      </c>
      <c r="F3200">
        <v>-36851656</v>
      </c>
      <c r="G3200">
        <v>-53642963</v>
      </c>
      <c r="H3200">
        <v>-105405595</v>
      </c>
      <c r="I3200">
        <v>11054356</v>
      </c>
      <c r="J3200">
        <v>-54567915</v>
      </c>
      <c r="K3200">
        <v>-28236100</v>
      </c>
      <c r="P3200">
        <v>189</v>
      </c>
      <c r="Q3200" t="s">
        <v>6447</v>
      </c>
    </row>
    <row r="3201" spans="1:17" x14ac:dyDescent="0.3">
      <c r="A3201" t="s">
        <v>17</v>
      </c>
      <c r="B3201" t="str">
        <f>"603126"</f>
        <v>603126</v>
      </c>
      <c r="C3201" t="s">
        <v>6448</v>
      </c>
      <c r="D3201" t="s">
        <v>1334</v>
      </c>
      <c r="E3201">
        <v>-105360211</v>
      </c>
      <c r="F3201">
        <v>-181000423</v>
      </c>
      <c r="G3201">
        <v>-117680307</v>
      </c>
      <c r="H3201">
        <v>-186705029</v>
      </c>
      <c r="I3201">
        <v>-29791870</v>
      </c>
      <c r="J3201">
        <v>-30076507</v>
      </c>
      <c r="K3201">
        <v>64294457</v>
      </c>
      <c r="L3201">
        <v>-102312633</v>
      </c>
      <c r="M3201">
        <v>42269360</v>
      </c>
      <c r="N3201">
        <v>143873762</v>
      </c>
      <c r="P3201">
        <v>196</v>
      </c>
      <c r="Q3201" t="s">
        <v>6449</v>
      </c>
    </row>
    <row r="3202" spans="1:17" x14ac:dyDescent="0.3">
      <c r="A3202" t="s">
        <v>32</v>
      </c>
      <c r="B3202" t="str">
        <f>"002973"</f>
        <v>002973</v>
      </c>
      <c r="C3202" t="s">
        <v>6450</v>
      </c>
      <c r="D3202" t="s">
        <v>1334</v>
      </c>
      <c r="E3202">
        <v>-105392250</v>
      </c>
      <c r="F3202">
        <v>-205444494</v>
      </c>
      <c r="G3202">
        <v>-81100597</v>
      </c>
      <c r="H3202">
        <v>-391983151</v>
      </c>
      <c r="P3202">
        <v>213</v>
      </c>
      <c r="Q3202" t="s">
        <v>6451</v>
      </c>
    </row>
    <row r="3203" spans="1:17" x14ac:dyDescent="0.3">
      <c r="A3203" t="s">
        <v>17</v>
      </c>
      <c r="B3203" t="str">
        <f>"688151"</f>
        <v>688151</v>
      </c>
      <c r="C3203" t="s">
        <v>6452</v>
      </c>
      <c r="D3203" t="s">
        <v>188</v>
      </c>
      <c r="E3203">
        <v>-105393729</v>
      </c>
      <c r="P3203">
        <v>13</v>
      </c>
      <c r="Q3203" t="s">
        <v>6453</v>
      </c>
    </row>
    <row r="3204" spans="1:17" x14ac:dyDescent="0.3">
      <c r="A3204" t="s">
        <v>32</v>
      </c>
      <c r="B3204" t="str">
        <f>"002917"</f>
        <v>002917</v>
      </c>
      <c r="C3204" t="s">
        <v>6454</v>
      </c>
      <c r="D3204" t="s">
        <v>144</v>
      </c>
      <c r="E3204">
        <v>-105459295</v>
      </c>
      <c r="F3204">
        <v>-21770549</v>
      </c>
      <c r="G3204">
        <v>-19028336</v>
      </c>
      <c r="H3204">
        <v>-36045237</v>
      </c>
      <c r="I3204">
        <v>-45157153</v>
      </c>
      <c r="J3204">
        <v>12077796</v>
      </c>
      <c r="P3204">
        <v>67</v>
      </c>
      <c r="Q3204" t="s">
        <v>6455</v>
      </c>
    </row>
    <row r="3205" spans="1:17" x14ac:dyDescent="0.3">
      <c r="A3205" t="s">
        <v>32</v>
      </c>
      <c r="B3205" t="str">
        <f>"002526"</f>
        <v>002526</v>
      </c>
      <c r="C3205" t="s">
        <v>6456</v>
      </c>
      <c r="D3205" t="s">
        <v>135</v>
      </c>
      <c r="E3205">
        <v>-105535890</v>
      </c>
      <c r="F3205">
        <v>-39465106</v>
      </c>
      <c r="G3205">
        <v>68024272</v>
      </c>
      <c r="H3205">
        <v>56303959</v>
      </c>
      <c r="I3205">
        <v>69775137</v>
      </c>
      <c r="J3205">
        <v>-44201269</v>
      </c>
      <c r="K3205">
        <v>13917873</v>
      </c>
      <c r="L3205">
        <v>74886367</v>
      </c>
      <c r="M3205">
        <v>-62485291</v>
      </c>
      <c r="N3205">
        <v>-80262755</v>
      </c>
      <c r="O3205">
        <v>-38372644</v>
      </c>
      <c r="P3205">
        <v>103</v>
      </c>
      <c r="Q3205" t="s">
        <v>6457</v>
      </c>
    </row>
    <row r="3206" spans="1:17" x14ac:dyDescent="0.3">
      <c r="A3206" t="s">
        <v>32</v>
      </c>
      <c r="B3206" t="str">
        <f>"301100"</f>
        <v>301100</v>
      </c>
      <c r="C3206" t="s">
        <v>6458</v>
      </c>
      <c r="D3206" t="s">
        <v>144</v>
      </c>
      <c r="E3206">
        <v>-105639425</v>
      </c>
      <c r="P3206">
        <v>11</v>
      </c>
      <c r="Q3206" t="s">
        <v>6459</v>
      </c>
    </row>
    <row r="3207" spans="1:17" x14ac:dyDescent="0.3">
      <c r="A3207" t="s">
        <v>17</v>
      </c>
      <c r="B3207" t="str">
        <f>"688102"</f>
        <v>688102</v>
      </c>
      <c r="C3207" t="s">
        <v>6460</v>
      </c>
      <c r="E3207">
        <v>-105725298</v>
      </c>
      <c r="P3207">
        <v>3</v>
      </c>
      <c r="Q3207" t="s">
        <v>6461</v>
      </c>
    </row>
    <row r="3208" spans="1:17" x14ac:dyDescent="0.3">
      <c r="A3208" t="s">
        <v>32</v>
      </c>
      <c r="B3208" t="str">
        <f>"300556"</f>
        <v>300556</v>
      </c>
      <c r="C3208" t="s">
        <v>6462</v>
      </c>
      <c r="D3208" t="s">
        <v>342</v>
      </c>
      <c r="E3208">
        <v>-105757889</v>
      </c>
      <c r="F3208">
        <v>-44826119</v>
      </c>
      <c r="G3208">
        <v>-92364613</v>
      </c>
      <c r="H3208">
        <v>-70143163</v>
      </c>
      <c r="I3208">
        <v>-68283892</v>
      </c>
      <c r="J3208">
        <v>-25543121</v>
      </c>
      <c r="K3208">
        <v>-26583614</v>
      </c>
      <c r="P3208">
        <v>112</v>
      </c>
      <c r="Q3208" t="s">
        <v>6463</v>
      </c>
    </row>
    <row r="3209" spans="1:17" x14ac:dyDescent="0.3">
      <c r="A3209" t="s">
        <v>32</v>
      </c>
      <c r="B3209" t="str">
        <f>"300687"</f>
        <v>300687</v>
      </c>
      <c r="C3209" t="s">
        <v>6464</v>
      </c>
      <c r="D3209" t="s">
        <v>342</v>
      </c>
      <c r="E3209">
        <v>-105807786</v>
      </c>
      <c r="F3209">
        <v>-76970759</v>
      </c>
      <c r="G3209">
        <v>-107546105</v>
      </c>
      <c r="H3209">
        <v>-64447588</v>
      </c>
      <c r="I3209">
        <v>-69306281</v>
      </c>
      <c r="J3209">
        <v>26873684</v>
      </c>
      <c r="K3209">
        <v>-7895118</v>
      </c>
      <c r="P3209">
        <v>267</v>
      </c>
      <c r="Q3209" t="s">
        <v>6465</v>
      </c>
    </row>
    <row r="3210" spans="1:17" x14ac:dyDescent="0.3">
      <c r="A3210" t="s">
        <v>17</v>
      </c>
      <c r="B3210" t="str">
        <f>"688328"</f>
        <v>688328</v>
      </c>
      <c r="C3210" t="s">
        <v>6466</v>
      </c>
      <c r="D3210" t="s">
        <v>135</v>
      </c>
      <c r="E3210">
        <v>-105846325</v>
      </c>
      <c r="F3210">
        <v>-80537986</v>
      </c>
      <c r="G3210">
        <v>-69709630</v>
      </c>
      <c r="P3210">
        <v>39</v>
      </c>
      <c r="Q3210" t="s">
        <v>6467</v>
      </c>
    </row>
    <row r="3211" spans="1:17" x14ac:dyDescent="0.3">
      <c r="A3211" t="s">
        <v>17</v>
      </c>
      <c r="B3211" t="str">
        <f>"600333"</f>
        <v>600333</v>
      </c>
      <c r="C3211" t="s">
        <v>6468</v>
      </c>
      <c r="D3211" t="s">
        <v>158</v>
      </c>
      <c r="E3211">
        <v>-105865079</v>
      </c>
      <c r="F3211">
        <v>-56455979</v>
      </c>
      <c r="G3211">
        <v>-123306726</v>
      </c>
      <c r="H3211">
        <v>-87090477</v>
      </c>
      <c r="I3211">
        <v>-102283066</v>
      </c>
      <c r="J3211">
        <v>-76107998</v>
      </c>
      <c r="K3211">
        <v>-122073951</v>
      </c>
      <c r="L3211">
        <v>-146604949</v>
      </c>
      <c r="M3211">
        <v>-112093173</v>
      </c>
      <c r="N3211">
        <v>-60356407</v>
      </c>
      <c r="O3211">
        <v>-46894756</v>
      </c>
      <c r="P3211">
        <v>103</v>
      </c>
      <c r="Q3211" t="s">
        <v>6469</v>
      </c>
    </row>
    <row r="3212" spans="1:17" x14ac:dyDescent="0.3">
      <c r="A3212" t="s">
        <v>32</v>
      </c>
      <c r="B3212" t="str">
        <f>"300658"</f>
        <v>300658</v>
      </c>
      <c r="C3212" t="s">
        <v>6470</v>
      </c>
      <c r="D3212" t="s">
        <v>544</v>
      </c>
      <c r="E3212">
        <v>-105986865</v>
      </c>
      <c r="F3212">
        <v>-5854139</v>
      </c>
      <c r="G3212">
        <v>109096122</v>
      </c>
      <c r="H3212">
        <v>-53488252</v>
      </c>
      <c r="I3212">
        <v>-75107647</v>
      </c>
      <c r="J3212">
        <v>16839230</v>
      </c>
      <c r="K3212">
        <v>26791781</v>
      </c>
      <c r="P3212">
        <v>232</v>
      </c>
      <c r="Q3212" t="s">
        <v>6471</v>
      </c>
    </row>
    <row r="3213" spans="1:17" x14ac:dyDescent="0.3">
      <c r="A3213" t="s">
        <v>17</v>
      </c>
      <c r="B3213" t="str">
        <f>"600273"</f>
        <v>600273</v>
      </c>
      <c r="C3213" t="s">
        <v>6472</v>
      </c>
      <c r="D3213" t="s">
        <v>144</v>
      </c>
      <c r="E3213">
        <v>-106062469</v>
      </c>
      <c r="F3213">
        <v>-283633555</v>
      </c>
      <c r="G3213">
        <v>59884330</v>
      </c>
      <c r="H3213">
        <v>366921146</v>
      </c>
      <c r="I3213">
        <v>14018883</v>
      </c>
      <c r="J3213">
        <v>-250495960</v>
      </c>
      <c r="K3213">
        <v>-94960122</v>
      </c>
      <c r="L3213">
        <v>-20237903</v>
      </c>
      <c r="M3213">
        <v>-22134641</v>
      </c>
      <c r="N3213">
        <v>-52104563</v>
      </c>
      <c r="O3213">
        <v>-568894</v>
      </c>
      <c r="P3213">
        <v>3524</v>
      </c>
      <c r="Q3213" t="s">
        <v>6473</v>
      </c>
    </row>
    <row r="3214" spans="1:17" x14ac:dyDescent="0.3">
      <c r="A3214" t="s">
        <v>32</v>
      </c>
      <c r="B3214" t="str">
        <f>"002322"</f>
        <v>002322</v>
      </c>
      <c r="C3214" t="s">
        <v>6474</v>
      </c>
      <c r="D3214" t="s">
        <v>342</v>
      </c>
      <c r="E3214">
        <v>-106124449</v>
      </c>
      <c r="F3214">
        <v>-61822479</v>
      </c>
      <c r="G3214">
        <v>-114754238</v>
      </c>
      <c r="H3214">
        <v>-85227214</v>
      </c>
      <c r="I3214">
        <v>-119972368</v>
      </c>
      <c r="J3214">
        <v>-53264626</v>
      </c>
      <c r="K3214">
        <v>-56775196</v>
      </c>
      <c r="L3214">
        <v>-8205923</v>
      </c>
      <c r="M3214">
        <v>43471545</v>
      </c>
      <c r="N3214">
        <v>34193741</v>
      </c>
      <c r="O3214">
        <v>-20890908</v>
      </c>
      <c r="P3214">
        <v>180</v>
      </c>
      <c r="Q3214" t="s">
        <v>6475</v>
      </c>
    </row>
    <row r="3215" spans="1:17" x14ac:dyDescent="0.3">
      <c r="A3215" t="s">
        <v>17</v>
      </c>
      <c r="B3215" t="str">
        <f>"603928"</f>
        <v>603928</v>
      </c>
      <c r="C3215" t="s">
        <v>6476</v>
      </c>
      <c r="D3215" t="s">
        <v>144</v>
      </c>
      <c r="E3215">
        <v>-106389130</v>
      </c>
      <c r="F3215">
        <v>5586893</v>
      </c>
      <c r="G3215">
        <v>49920385</v>
      </c>
      <c r="H3215">
        <v>-11407057</v>
      </c>
      <c r="I3215">
        <v>-56546192</v>
      </c>
      <c r="J3215">
        <v>-27013498</v>
      </c>
      <c r="K3215">
        <v>-21344213</v>
      </c>
      <c r="P3215">
        <v>102</v>
      </c>
      <c r="Q3215" t="s">
        <v>6477</v>
      </c>
    </row>
    <row r="3216" spans="1:17" x14ac:dyDescent="0.3">
      <c r="A3216" t="s">
        <v>32</v>
      </c>
      <c r="B3216" t="str">
        <f>"300412"</f>
        <v>300412</v>
      </c>
      <c r="C3216" t="s">
        <v>6478</v>
      </c>
      <c r="D3216" t="s">
        <v>135</v>
      </c>
      <c r="E3216">
        <v>-106445041</v>
      </c>
      <c r="F3216">
        <v>-53326681</v>
      </c>
      <c r="G3216">
        <v>-28075930</v>
      </c>
      <c r="H3216">
        <v>12517604</v>
      </c>
      <c r="I3216">
        <v>-34680593</v>
      </c>
      <c r="J3216">
        <v>-30475081</v>
      </c>
      <c r="K3216">
        <v>-4159424</v>
      </c>
      <c r="L3216">
        <v>-13265470</v>
      </c>
      <c r="M3216">
        <v>-4987520</v>
      </c>
      <c r="P3216">
        <v>96</v>
      </c>
      <c r="Q3216" t="s">
        <v>6479</v>
      </c>
    </row>
    <row r="3217" spans="1:17" x14ac:dyDescent="0.3">
      <c r="A3217" t="s">
        <v>17</v>
      </c>
      <c r="B3217" t="str">
        <f>"688238"</f>
        <v>688238</v>
      </c>
      <c r="C3217" t="s">
        <v>6480</v>
      </c>
      <c r="E3217">
        <v>-106494677</v>
      </c>
      <c r="P3217">
        <v>7</v>
      </c>
      <c r="Q3217" t="s">
        <v>6481</v>
      </c>
    </row>
    <row r="3218" spans="1:17" x14ac:dyDescent="0.3">
      <c r="A3218" t="s">
        <v>17</v>
      </c>
      <c r="B3218" t="str">
        <f>"603505"</f>
        <v>603505</v>
      </c>
      <c r="C3218" t="s">
        <v>6482</v>
      </c>
      <c r="D3218" t="s">
        <v>144</v>
      </c>
      <c r="E3218">
        <v>-106512442</v>
      </c>
      <c r="F3218">
        <v>31138279</v>
      </c>
      <c r="G3218">
        <v>-64178593</v>
      </c>
      <c r="H3218">
        <v>-23685120</v>
      </c>
      <c r="I3218">
        <v>-18248888</v>
      </c>
      <c r="J3218">
        <v>-4605616</v>
      </c>
      <c r="K3218">
        <v>-41721317</v>
      </c>
      <c r="P3218">
        <v>328</v>
      </c>
      <c r="Q3218" t="s">
        <v>6483</v>
      </c>
    </row>
    <row r="3219" spans="1:17" x14ac:dyDescent="0.3">
      <c r="A3219" t="s">
        <v>17</v>
      </c>
      <c r="B3219" t="str">
        <f>"688299"</f>
        <v>688299</v>
      </c>
      <c r="C3219" t="s">
        <v>6484</v>
      </c>
      <c r="D3219" t="s">
        <v>124</v>
      </c>
      <c r="E3219">
        <v>-106532733</v>
      </c>
      <c r="F3219">
        <v>-39690947</v>
      </c>
      <c r="G3219">
        <v>-1423068</v>
      </c>
      <c r="H3219">
        <v>24738873</v>
      </c>
      <c r="P3219">
        <v>239</v>
      </c>
      <c r="Q3219" t="s">
        <v>6485</v>
      </c>
    </row>
    <row r="3220" spans="1:17" x14ac:dyDescent="0.3">
      <c r="A3220" t="s">
        <v>32</v>
      </c>
      <c r="B3220" t="str">
        <f>"300602"</f>
        <v>300602</v>
      </c>
      <c r="C3220" t="s">
        <v>6486</v>
      </c>
      <c r="D3220" t="s">
        <v>124</v>
      </c>
      <c r="E3220">
        <v>-106611867</v>
      </c>
      <c r="F3220">
        <v>-235106589</v>
      </c>
      <c r="G3220">
        <v>112055375</v>
      </c>
      <c r="H3220">
        <v>11358602</v>
      </c>
      <c r="I3220">
        <v>16589743</v>
      </c>
      <c r="J3220">
        <v>-3327223</v>
      </c>
      <c r="K3220">
        <v>16608645</v>
      </c>
      <c r="P3220">
        <v>597</v>
      </c>
      <c r="Q3220" t="s">
        <v>6487</v>
      </c>
    </row>
    <row r="3221" spans="1:17" x14ac:dyDescent="0.3">
      <c r="A3221" t="s">
        <v>32</v>
      </c>
      <c r="B3221" t="str">
        <f>"300287"</f>
        <v>300287</v>
      </c>
      <c r="C3221" t="s">
        <v>6488</v>
      </c>
      <c r="D3221" t="s">
        <v>342</v>
      </c>
      <c r="E3221">
        <v>-106647111</v>
      </c>
      <c r="F3221">
        <v>-133433241</v>
      </c>
      <c r="G3221">
        <v>-132445219</v>
      </c>
      <c r="H3221">
        <v>200619523</v>
      </c>
      <c r="I3221">
        <v>-211378765</v>
      </c>
      <c r="J3221">
        <v>-23806923</v>
      </c>
      <c r="K3221">
        <v>-161626256</v>
      </c>
      <c r="L3221">
        <v>-88936553</v>
      </c>
      <c r="M3221">
        <v>-138618135</v>
      </c>
      <c r="N3221">
        <v>-77150512</v>
      </c>
      <c r="O3221">
        <v>-95547272</v>
      </c>
      <c r="P3221">
        <v>288</v>
      </c>
      <c r="Q3221" t="s">
        <v>6489</v>
      </c>
    </row>
    <row r="3222" spans="1:17" x14ac:dyDescent="0.3">
      <c r="A3222" t="s">
        <v>32</v>
      </c>
      <c r="B3222" t="str">
        <f>"002689"</f>
        <v>002689</v>
      </c>
      <c r="C3222" t="s">
        <v>6490</v>
      </c>
      <c r="D3222" t="s">
        <v>135</v>
      </c>
      <c r="E3222">
        <v>-106703408</v>
      </c>
      <c r="F3222">
        <v>22970690</v>
      </c>
      <c r="G3222">
        <v>-35295368</v>
      </c>
      <c r="H3222">
        <v>11993475</v>
      </c>
      <c r="I3222">
        <v>-68122654</v>
      </c>
      <c r="J3222">
        <v>-97025228</v>
      </c>
      <c r="K3222">
        <v>-87294532</v>
      </c>
      <c r="L3222">
        <v>-151330976</v>
      </c>
      <c r="M3222">
        <v>-108185613</v>
      </c>
      <c r="N3222">
        <v>-136361916</v>
      </c>
      <c r="O3222">
        <v>-57018367</v>
      </c>
      <c r="P3222">
        <v>87</v>
      </c>
      <c r="Q3222" t="s">
        <v>6491</v>
      </c>
    </row>
    <row r="3223" spans="1:17" x14ac:dyDescent="0.3">
      <c r="A3223" t="s">
        <v>17</v>
      </c>
      <c r="B3223" t="str">
        <f>"688221"</f>
        <v>688221</v>
      </c>
      <c r="C3223" t="s">
        <v>6492</v>
      </c>
      <c r="D3223" t="s">
        <v>98</v>
      </c>
      <c r="E3223">
        <v>-106861744</v>
      </c>
      <c r="F3223">
        <v>-107381591</v>
      </c>
      <c r="G3223">
        <v>-40712600</v>
      </c>
      <c r="H3223">
        <v>-17453297</v>
      </c>
      <c r="P3223">
        <v>51</v>
      </c>
      <c r="Q3223" t="s">
        <v>6493</v>
      </c>
    </row>
    <row r="3224" spans="1:17" x14ac:dyDescent="0.3">
      <c r="A3224" t="s">
        <v>32</v>
      </c>
      <c r="B3224" t="str">
        <f>"000671"</f>
        <v>000671</v>
      </c>
      <c r="C3224" t="s">
        <v>6494</v>
      </c>
      <c r="D3224" t="s">
        <v>151</v>
      </c>
      <c r="E3224">
        <v>-106949652</v>
      </c>
      <c r="F3224">
        <v>130435959</v>
      </c>
      <c r="G3224">
        <v>1263046245</v>
      </c>
      <c r="H3224">
        <v>-7927745317</v>
      </c>
      <c r="I3224">
        <v>2699449407</v>
      </c>
      <c r="J3224">
        <v>1449214447</v>
      </c>
      <c r="K3224">
        <v>-1161911189</v>
      </c>
      <c r="L3224">
        <v>765164293</v>
      </c>
      <c r="M3224">
        <v>-1683327455</v>
      </c>
      <c r="N3224">
        <v>-717422453</v>
      </c>
      <c r="O3224">
        <v>155085365</v>
      </c>
      <c r="P3224">
        <v>1191</v>
      </c>
      <c r="Q3224" t="s">
        <v>6495</v>
      </c>
    </row>
    <row r="3225" spans="1:17" x14ac:dyDescent="0.3">
      <c r="A3225" t="s">
        <v>17</v>
      </c>
      <c r="B3225" t="str">
        <f>"603855"</f>
        <v>603855</v>
      </c>
      <c r="C3225" t="s">
        <v>6496</v>
      </c>
      <c r="D3225" t="s">
        <v>135</v>
      </c>
      <c r="E3225">
        <v>-107222146</v>
      </c>
      <c r="F3225">
        <v>-23537623</v>
      </c>
      <c r="G3225">
        <v>-32397668</v>
      </c>
      <c r="H3225">
        <v>-54383772</v>
      </c>
      <c r="I3225">
        <v>-51935804</v>
      </c>
      <c r="J3225">
        <v>-57390950</v>
      </c>
      <c r="K3225">
        <v>-85922999</v>
      </c>
      <c r="P3225">
        <v>220</v>
      </c>
      <c r="Q3225" t="s">
        <v>6497</v>
      </c>
    </row>
    <row r="3226" spans="1:17" x14ac:dyDescent="0.3">
      <c r="A3226" t="s">
        <v>32</v>
      </c>
      <c r="B3226" t="str">
        <f>"002240"</f>
        <v>002240</v>
      </c>
      <c r="C3226" t="s">
        <v>6498</v>
      </c>
      <c r="D3226" t="s">
        <v>121</v>
      </c>
      <c r="E3226">
        <v>-107232885</v>
      </c>
      <c r="F3226">
        <v>-198570204</v>
      </c>
      <c r="G3226">
        <v>-184396934</v>
      </c>
      <c r="H3226">
        <v>-122079554</v>
      </c>
      <c r="I3226">
        <v>-249215579</v>
      </c>
      <c r="J3226">
        <v>-41203874</v>
      </c>
      <c r="K3226">
        <v>-4490815</v>
      </c>
      <c r="L3226">
        <v>32472385</v>
      </c>
      <c r="M3226">
        <v>41205267</v>
      </c>
      <c r="N3226">
        <v>2102456</v>
      </c>
      <c r="O3226">
        <v>117945163</v>
      </c>
      <c r="P3226">
        <v>390</v>
      </c>
      <c r="Q3226" t="s">
        <v>6499</v>
      </c>
    </row>
    <row r="3227" spans="1:17" x14ac:dyDescent="0.3">
      <c r="A3227" t="s">
        <v>32</v>
      </c>
      <c r="B3227" t="str">
        <f>"301206"</f>
        <v>301206</v>
      </c>
      <c r="C3227" t="s">
        <v>6500</v>
      </c>
      <c r="E3227">
        <v>-107248188</v>
      </c>
      <c r="P3227">
        <v>24</v>
      </c>
      <c r="Q3227" t="s">
        <v>6501</v>
      </c>
    </row>
    <row r="3228" spans="1:17" x14ac:dyDescent="0.3">
      <c r="A3228" t="s">
        <v>17</v>
      </c>
      <c r="B3228" t="str">
        <f>"688798"</f>
        <v>688798</v>
      </c>
      <c r="C3228" t="s">
        <v>6502</v>
      </c>
      <c r="D3228" t="s">
        <v>124</v>
      </c>
      <c r="E3228">
        <v>-107269352</v>
      </c>
      <c r="F3228">
        <v>-21436638</v>
      </c>
      <c r="G3228">
        <v>-68952696</v>
      </c>
      <c r="P3228">
        <v>67</v>
      </c>
      <c r="Q3228" t="s">
        <v>6503</v>
      </c>
    </row>
    <row r="3229" spans="1:17" x14ac:dyDescent="0.3">
      <c r="A3229" t="s">
        <v>32</v>
      </c>
      <c r="B3229" t="str">
        <f>"300926"</f>
        <v>300926</v>
      </c>
      <c r="C3229" t="s">
        <v>6504</v>
      </c>
      <c r="D3229" t="s">
        <v>199</v>
      </c>
      <c r="E3229">
        <v>-107390165</v>
      </c>
      <c r="F3229">
        <v>16661296</v>
      </c>
      <c r="G3229">
        <v>487649</v>
      </c>
      <c r="P3229">
        <v>45</v>
      </c>
      <c r="Q3229" t="s">
        <v>6505</v>
      </c>
    </row>
    <row r="3230" spans="1:17" x14ac:dyDescent="0.3">
      <c r="A3230" t="s">
        <v>17</v>
      </c>
      <c r="B3230" t="str">
        <f>"600059"</f>
        <v>600059</v>
      </c>
      <c r="C3230" t="s">
        <v>6506</v>
      </c>
      <c r="D3230" t="s">
        <v>172</v>
      </c>
      <c r="E3230">
        <v>-107715054</v>
      </c>
      <c r="F3230">
        <v>-150911810</v>
      </c>
      <c r="G3230">
        <v>-203416069</v>
      </c>
      <c r="H3230">
        <v>-76580838</v>
      </c>
      <c r="I3230">
        <v>-45268181</v>
      </c>
      <c r="J3230">
        <v>-35329682</v>
      </c>
      <c r="K3230">
        <v>-51618933</v>
      </c>
      <c r="L3230">
        <v>-109229967</v>
      </c>
      <c r="M3230">
        <v>-107853402</v>
      </c>
      <c r="N3230">
        <v>-91869574</v>
      </c>
      <c r="O3230">
        <v>-100957288</v>
      </c>
      <c r="P3230">
        <v>323</v>
      </c>
      <c r="Q3230" t="s">
        <v>6507</v>
      </c>
    </row>
    <row r="3231" spans="1:17" x14ac:dyDescent="0.3">
      <c r="A3231" t="s">
        <v>32</v>
      </c>
      <c r="B3231" t="str">
        <f>"301032"</f>
        <v>301032</v>
      </c>
      <c r="C3231" t="s">
        <v>6508</v>
      </c>
      <c r="D3231" t="s">
        <v>135</v>
      </c>
      <c r="E3231">
        <v>-107938603</v>
      </c>
      <c r="F3231">
        <v>-237557722</v>
      </c>
      <c r="G3231">
        <v>-92047148</v>
      </c>
      <c r="P3231">
        <v>19</v>
      </c>
      <c r="Q3231" t="s">
        <v>6509</v>
      </c>
    </row>
    <row r="3232" spans="1:17" x14ac:dyDescent="0.3">
      <c r="A3232" t="s">
        <v>17</v>
      </c>
      <c r="B3232" t="str">
        <f>"688622"</f>
        <v>688622</v>
      </c>
      <c r="C3232" t="s">
        <v>6510</v>
      </c>
      <c r="D3232" t="s">
        <v>135</v>
      </c>
      <c r="E3232">
        <v>-108249011</v>
      </c>
      <c r="P3232">
        <v>29</v>
      </c>
      <c r="Q3232" t="s">
        <v>6511</v>
      </c>
    </row>
    <row r="3233" spans="1:17" x14ac:dyDescent="0.3">
      <c r="A3233" t="s">
        <v>17</v>
      </c>
      <c r="B3233" t="str">
        <f>"688379"</f>
        <v>688379</v>
      </c>
      <c r="C3233" t="s">
        <v>6512</v>
      </c>
      <c r="D3233" t="s">
        <v>135</v>
      </c>
      <c r="E3233">
        <v>-108250420</v>
      </c>
      <c r="F3233">
        <v>-165964416</v>
      </c>
      <c r="G3233">
        <v>-74960989</v>
      </c>
      <c r="H3233">
        <v>-135246080</v>
      </c>
      <c r="P3233">
        <v>36</v>
      </c>
      <c r="Q3233" t="s">
        <v>6513</v>
      </c>
    </row>
    <row r="3234" spans="1:17" x14ac:dyDescent="0.3">
      <c r="A3234" t="s">
        <v>32</v>
      </c>
      <c r="B3234" t="str">
        <f>"002187"</f>
        <v>002187</v>
      </c>
      <c r="C3234" t="s">
        <v>6514</v>
      </c>
      <c r="D3234" t="s">
        <v>218</v>
      </c>
      <c r="E3234">
        <v>-108252830</v>
      </c>
      <c r="F3234">
        <v>-7124388</v>
      </c>
      <c r="G3234">
        <v>-333161180</v>
      </c>
      <c r="H3234">
        <v>-134808411</v>
      </c>
      <c r="I3234">
        <v>-56891024</v>
      </c>
      <c r="J3234">
        <v>-135877717</v>
      </c>
      <c r="K3234">
        <v>-176493998</v>
      </c>
      <c r="L3234">
        <v>-158362946</v>
      </c>
      <c r="M3234">
        <v>-141284860</v>
      </c>
      <c r="N3234">
        <v>80425393</v>
      </c>
      <c r="O3234">
        <v>-81703432</v>
      </c>
      <c r="P3234">
        <v>147</v>
      </c>
      <c r="Q3234" t="s">
        <v>6515</v>
      </c>
    </row>
    <row r="3235" spans="1:17" x14ac:dyDescent="0.3">
      <c r="A3235" t="s">
        <v>32</v>
      </c>
      <c r="B3235" t="str">
        <f>"002090"</f>
        <v>002090</v>
      </c>
      <c r="C3235" t="s">
        <v>6516</v>
      </c>
      <c r="D3235" t="s">
        <v>464</v>
      </c>
      <c r="E3235">
        <v>-108398277</v>
      </c>
      <c r="F3235">
        <v>-41866470</v>
      </c>
      <c r="G3235">
        <v>-31115594</v>
      </c>
      <c r="H3235">
        <v>35721505</v>
      </c>
      <c r="I3235">
        <v>-178086112</v>
      </c>
      <c r="J3235">
        <v>-139752912</v>
      </c>
      <c r="K3235">
        <v>-75293325</v>
      </c>
      <c r="L3235">
        <v>-96280480</v>
      </c>
      <c r="M3235">
        <v>-40191647</v>
      </c>
      <c r="N3235">
        <v>-9318067</v>
      </c>
      <c r="O3235">
        <v>-31165836</v>
      </c>
      <c r="P3235">
        <v>229</v>
      </c>
      <c r="Q3235" t="s">
        <v>6517</v>
      </c>
    </row>
    <row r="3236" spans="1:17" x14ac:dyDescent="0.3">
      <c r="A3236" t="s">
        <v>32</v>
      </c>
      <c r="B3236" t="str">
        <f>"002173"</f>
        <v>002173</v>
      </c>
      <c r="C3236" t="s">
        <v>6518</v>
      </c>
      <c r="D3236" t="s">
        <v>98</v>
      </c>
      <c r="E3236">
        <v>-108495165</v>
      </c>
      <c r="F3236">
        <v>-52686538</v>
      </c>
      <c r="G3236">
        <v>-44158317</v>
      </c>
      <c r="H3236">
        <v>-72520566</v>
      </c>
      <c r="I3236">
        <v>-104557381</v>
      </c>
      <c r="J3236">
        <v>8347381</v>
      </c>
      <c r="K3236">
        <v>-42129214</v>
      </c>
      <c r="L3236">
        <v>3956809</v>
      </c>
      <c r="M3236">
        <v>-18828123</v>
      </c>
      <c r="N3236">
        <v>-30353330</v>
      </c>
      <c r="O3236">
        <v>-5873177</v>
      </c>
      <c r="P3236">
        <v>125</v>
      </c>
      <c r="Q3236" t="s">
        <v>6519</v>
      </c>
    </row>
    <row r="3237" spans="1:17" x14ac:dyDescent="0.3">
      <c r="A3237" t="s">
        <v>17</v>
      </c>
      <c r="B3237" t="str">
        <f>"688219"</f>
        <v>688219</v>
      </c>
      <c r="C3237" t="s">
        <v>6520</v>
      </c>
      <c r="D3237" t="s">
        <v>144</v>
      </c>
      <c r="E3237">
        <v>-108789920</v>
      </c>
      <c r="F3237">
        <v>-135178880</v>
      </c>
      <c r="G3237">
        <v>-187970290</v>
      </c>
      <c r="P3237">
        <v>50</v>
      </c>
      <c r="Q3237" t="s">
        <v>6521</v>
      </c>
    </row>
    <row r="3238" spans="1:17" x14ac:dyDescent="0.3">
      <c r="A3238" t="s">
        <v>17</v>
      </c>
      <c r="B3238" t="str">
        <f>"600353"</f>
        <v>600353</v>
      </c>
      <c r="C3238" t="s">
        <v>6522</v>
      </c>
      <c r="D3238" t="s">
        <v>124</v>
      </c>
      <c r="E3238">
        <v>-108945466</v>
      </c>
      <c r="F3238">
        <v>-42088523</v>
      </c>
      <c r="G3238">
        <v>12117305</v>
      </c>
      <c r="H3238">
        <v>-52226438</v>
      </c>
      <c r="I3238">
        <v>8472514</v>
      </c>
      <c r="J3238">
        <v>-35860992</v>
      </c>
      <c r="K3238">
        <v>-45563857</v>
      </c>
      <c r="L3238">
        <v>-9958123</v>
      </c>
      <c r="M3238">
        <v>-14977489</v>
      </c>
      <c r="N3238">
        <v>-30349268</v>
      </c>
      <c r="O3238">
        <v>-17154207</v>
      </c>
      <c r="P3238">
        <v>141</v>
      </c>
      <c r="Q3238" t="s">
        <v>6523</v>
      </c>
    </row>
    <row r="3239" spans="1:17" x14ac:dyDescent="0.3">
      <c r="A3239" t="s">
        <v>32</v>
      </c>
      <c r="B3239" t="str">
        <f>"002650"</f>
        <v>002650</v>
      </c>
      <c r="C3239" t="s">
        <v>6524</v>
      </c>
      <c r="D3239" t="s">
        <v>172</v>
      </c>
      <c r="E3239">
        <v>-108966171</v>
      </c>
      <c r="F3239">
        <v>81648279</v>
      </c>
      <c r="G3239">
        <v>85490327</v>
      </c>
      <c r="H3239">
        <v>65449379</v>
      </c>
      <c r="I3239">
        <v>-14416658</v>
      </c>
      <c r="J3239">
        <v>-37261546</v>
      </c>
      <c r="K3239">
        <v>-11868948</v>
      </c>
      <c r="L3239">
        <v>-133433523</v>
      </c>
      <c r="M3239">
        <v>-36124477</v>
      </c>
      <c r="N3239">
        <v>-177621892</v>
      </c>
      <c r="O3239">
        <v>-122105645</v>
      </c>
      <c r="P3239">
        <v>207</v>
      </c>
      <c r="Q3239" t="s">
        <v>6525</v>
      </c>
    </row>
    <row r="3240" spans="1:17" x14ac:dyDescent="0.3">
      <c r="A3240" t="s">
        <v>32</v>
      </c>
      <c r="B3240" t="str">
        <f>"300236"</f>
        <v>300236</v>
      </c>
      <c r="C3240" t="s">
        <v>6526</v>
      </c>
      <c r="D3240" t="s">
        <v>124</v>
      </c>
      <c r="E3240">
        <v>-109109900</v>
      </c>
      <c r="F3240">
        <v>-64076239</v>
      </c>
      <c r="G3240">
        <v>-7039203</v>
      </c>
      <c r="H3240">
        <v>-20288002</v>
      </c>
      <c r="I3240">
        <v>12765298</v>
      </c>
      <c r="J3240">
        <v>4677579</v>
      </c>
      <c r="K3240">
        <v>32499998</v>
      </c>
      <c r="L3240">
        <v>-8379612</v>
      </c>
      <c r="M3240">
        <v>-16818329</v>
      </c>
      <c r="N3240">
        <v>-7101027</v>
      </c>
      <c r="O3240">
        <v>1614975</v>
      </c>
      <c r="P3240">
        <v>414</v>
      </c>
      <c r="Q3240" t="s">
        <v>6527</v>
      </c>
    </row>
    <row r="3241" spans="1:17" x14ac:dyDescent="0.3">
      <c r="A3241" t="s">
        <v>32</v>
      </c>
      <c r="B3241" t="str">
        <f>"300551"</f>
        <v>300551</v>
      </c>
      <c r="C3241" t="s">
        <v>6528</v>
      </c>
      <c r="D3241" t="s">
        <v>342</v>
      </c>
      <c r="E3241">
        <v>-109154865</v>
      </c>
      <c r="F3241">
        <v>-60756865</v>
      </c>
      <c r="G3241">
        <v>-137081111</v>
      </c>
      <c r="H3241">
        <v>-82146933</v>
      </c>
      <c r="I3241">
        <v>-45214886</v>
      </c>
      <c r="J3241">
        <v>-72514468</v>
      </c>
      <c r="K3241">
        <v>-77316244</v>
      </c>
      <c r="P3241">
        <v>89</v>
      </c>
      <c r="Q3241" t="s">
        <v>6529</v>
      </c>
    </row>
    <row r="3242" spans="1:17" x14ac:dyDescent="0.3">
      <c r="A3242" t="s">
        <v>17</v>
      </c>
      <c r="B3242" t="str">
        <f>"688021"</f>
        <v>688021</v>
      </c>
      <c r="C3242" t="s">
        <v>6530</v>
      </c>
      <c r="D3242" t="s">
        <v>199</v>
      </c>
      <c r="E3242">
        <v>-109228738</v>
      </c>
      <c r="F3242">
        <v>-64448795</v>
      </c>
      <c r="G3242">
        <v>-30399893</v>
      </c>
      <c r="H3242">
        <v>-4816692</v>
      </c>
      <c r="P3242">
        <v>80</v>
      </c>
      <c r="Q3242" t="s">
        <v>6531</v>
      </c>
    </row>
    <row r="3243" spans="1:17" x14ac:dyDescent="0.3">
      <c r="A3243" t="s">
        <v>32</v>
      </c>
      <c r="B3243" t="str">
        <f>"002073"</f>
        <v>002073</v>
      </c>
      <c r="C3243" t="s">
        <v>6532</v>
      </c>
      <c r="D3243" t="s">
        <v>135</v>
      </c>
      <c r="E3243">
        <v>-109403624</v>
      </c>
      <c r="F3243">
        <v>-70508310</v>
      </c>
      <c r="G3243">
        <v>-85046729</v>
      </c>
      <c r="H3243">
        <v>31132368</v>
      </c>
      <c r="I3243">
        <v>-25344694</v>
      </c>
      <c r="J3243">
        <v>-32904810</v>
      </c>
      <c r="K3243">
        <v>-200154716</v>
      </c>
      <c r="L3243">
        <v>-71182520</v>
      </c>
      <c r="M3243">
        <v>-338591627</v>
      </c>
      <c r="N3243">
        <v>45568489</v>
      </c>
      <c r="O3243">
        <v>-45693393</v>
      </c>
      <c r="P3243">
        <v>150</v>
      </c>
      <c r="Q3243" t="s">
        <v>6533</v>
      </c>
    </row>
    <row r="3244" spans="1:17" x14ac:dyDescent="0.3">
      <c r="A3244" t="s">
        <v>32</v>
      </c>
      <c r="B3244" t="str">
        <f>"300959"</f>
        <v>300959</v>
      </c>
      <c r="C3244" t="s">
        <v>6534</v>
      </c>
      <c r="D3244" t="s">
        <v>57</v>
      </c>
      <c r="E3244">
        <v>-109479791</v>
      </c>
      <c r="F3244">
        <v>64292096</v>
      </c>
      <c r="G3244">
        <v>-51493300</v>
      </c>
      <c r="P3244">
        <v>31</v>
      </c>
      <c r="Q3244" t="s">
        <v>6535</v>
      </c>
    </row>
    <row r="3245" spans="1:17" x14ac:dyDescent="0.3">
      <c r="A3245" t="s">
        <v>17</v>
      </c>
      <c r="B3245" t="str">
        <f>"688509"</f>
        <v>688509</v>
      </c>
      <c r="C3245" t="s">
        <v>6536</v>
      </c>
      <c r="D3245" t="s">
        <v>342</v>
      </c>
      <c r="E3245">
        <v>-109488097</v>
      </c>
      <c r="F3245">
        <v>-176782004</v>
      </c>
      <c r="G3245">
        <v>-129664040</v>
      </c>
      <c r="P3245">
        <v>17</v>
      </c>
      <c r="Q3245" t="s">
        <v>6537</v>
      </c>
    </row>
    <row r="3246" spans="1:17" x14ac:dyDescent="0.3">
      <c r="A3246" t="s">
        <v>32</v>
      </c>
      <c r="B3246" t="str">
        <f>"300912"</f>
        <v>300912</v>
      </c>
      <c r="C3246" t="s">
        <v>6538</v>
      </c>
      <c r="D3246" t="s">
        <v>199</v>
      </c>
      <c r="E3246">
        <v>-109516206</v>
      </c>
      <c r="F3246">
        <v>-71982656</v>
      </c>
      <c r="G3246">
        <v>-3193132</v>
      </c>
      <c r="P3246">
        <v>39</v>
      </c>
      <c r="Q3246" t="s">
        <v>6539</v>
      </c>
    </row>
    <row r="3247" spans="1:17" x14ac:dyDescent="0.3">
      <c r="A3247" t="s">
        <v>17</v>
      </c>
      <c r="B3247" t="str">
        <f>"603889"</f>
        <v>603889</v>
      </c>
      <c r="C3247" t="s">
        <v>6540</v>
      </c>
      <c r="D3247" t="s">
        <v>130</v>
      </c>
      <c r="E3247">
        <v>-109517350</v>
      </c>
      <c r="F3247">
        <v>-174666312</v>
      </c>
      <c r="G3247">
        <v>-135790827</v>
      </c>
      <c r="H3247">
        <v>-193393200</v>
      </c>
      <c r="I3247">
        <v>-227766121</v>
      </c>
      <c r="J3247">
        <v>-322698879</v>
      </c>
      <c r="K3247">
        <v>-146784935</v>
      </c>
      <c r="L3247">
        <v>-200693922</v>
      </c>
      <c r="M3247">
        <v>-108023017</v>
      </c>
      <c r="P3247">
        <v>122</v>
      </c>
      <c r="Q3247" t="s">
        <v>6541</v>
      </c>
    </row>
    <row r="3248" spans="1:17" x14ac:dyDescent="0.3">
      <c r="A3248" t="s">
        <v>17</v>
      </c>
      <c r="B3248" t="str">
        <f>"603598"</f>
        <v>603598</v>
      </c>
      <c r="C3248" t="s">
        <v>6542</v>
      </c>
      <c r="D3248" t="s">
        <v>245</v>
      </c>
      <c r="E3248">
        <v>-109532127</v>
      </c>
      <c r="F3248">
        <v>-92926094</v>
      </c>
      <c r="G3248">
        <v>21084979</v>
      </c>
      <c r="H3248">
        <v>-93112014</v>
      </c>
      <c r="I3248">
        <v>-18750147</v>
      </c>
      <c r="J3248">
        <v>-94646887</v>
      </c>
      <c r="K3248">
        <v>-53556420</v>
      </c>
      <c r="L3248">
        <v>-86541511</v>
      </c>
      <c r="M3248">
        <v>-78680751</v>
      </c>
      <c r="P3248">
        <v>113</v>
      </c>
      <c r="Q3248" t="s">
        <v>6543</v>
      </c>
    </row>
    <row r="3249" spans="1:17" x14ac:dyDescent="0.3">
      <c r="A3249" t="s">
        <v>17</v>
      </c>
      <c r="B3249" t="str">
        <f>"688097"</f>
        <v>688097</v>
      </c>
      <c r="C3249" t="s">
        <v>6544</v>
      </c>
      <c r="D3249" t="s">
        <v>135</v>
      </c>
      <c r="E3249">
        <v>-109534511</v>
      </c>
      <c r="F3249">
        <v>-301093355</v>
      </c>
      <c r="G3249">
        <v>-56583944</v>
      </c>
      <c r="P3249">
        <v>25</v>
      </c>
      <c r="Q3249" t="s">
        <v>6545</v>
      </c>
    </row>
    <row r="3250" spans="1:17" x14ac:dyDescent="0.3">
      <c r="A3250" t="s">
        <v>32</v>
      </c>
      <c r="B3250" t="str">
        <f>"301217"</f>
        <v>301217</v>
      </c>
      <c r="C3250" t="s">
        <v>6546</v>
      </c>
      <c r="E3250">
        <v>-109787183</v>
      </c>
      <c r="P3250">
        <v>16</v>
      </c>
      <c r="Q3250" t="s">
        <v>6547</v>
      </c>
    </row>
    <row r="3251" spans="1:17" x14ac:dyDescent="0.3">
      <c r="A3251" t="s">
        <v>32</v>
      </c>
      <c r="B3251" t="str">
        <f>"300243"</f>
        <v>300243</v>
      </c>
      <c r="C3251" t="s">
        <v>6548</v>
      </c>
      <c r="D3251" t="s">
        <v>144</v>
      </c>
      <c r="E3251">
        <v>-109877280</v>
      </c>
      <c r="F3251">
        <v>-63838517</v>
      </c>
      <c r="G3251">
        <v>-78466359</v>
      </c>
      <c r="H3251">
        <v>-18306598</v>
      </c>
      <c r="I3251">
        <v>-34317193</v>
      </c>
      <c r="J3251">
        <v>-63175108</v>
      </c>
      <c r="K3251">
        <v>5640780</v>
      </c>
      <c r="L3251">
        <v>6370652</v>
      </c>
      <c r="M3251">
        <v>-28229286</v>
      </c>
      <c r="N3251">
        <v>-56986030</v>
      </c>
      <c r="O3251">
        <v>-12847091</v>
      </c>
      <c r="P3251">
        <v>103</v>
      </c>
      <c r="Q3251" t="s">
        <v>6549</v>
      </c>
    </row>
    <row r="3252" spans="1:17" x14ac:dyDescent="0.3">
      <c r="A3252" t="s">
        <v>17</v>
      </c>
      <c r="B3252" t="str">
        <f>"603968"</f>
        <v>603968</v>
      </c>
      <c r="C3252" t="s">
        <v>6550</v>
      </c>
      <c r="D3252" t="s">
        <v>144</v>
      </c>
      <c r="E3252">
        <v>-109959278</v>
      </c>
      <c r="F3252">
        <v>-90196130</v>
      </c>
      <c r="G3252">
        <v>58300491</v>
      </c>
      <c r="H3252">
        <v>37228301</v>
      </c>
      <c r="I3252">
        <v>-6188544</v>
      </c>
      <c r="J3252">
        <v>-33025690</v>
      </c>
      <c r="K3252">
        <v>-21120767</v>
      </c>
      <c r="L3252">
        <v>50040935</v>
      </c>
      <c r="M3252">
        <v>29158661</v>
      </c>
      <c r="P3252">
        <v>244</v>
      </c>
      <c r="Q3252" t="s">
        <v>6551</v>
      </c>
    </row>
    <row r="3253" spans="1:17" x14ac:dyDescent="0.3">
      <c r="A3253" t="s">
        <v>32</v>
      </c>
      <c r="B3253" t="str">
        <f>"300536"</f>
        <v>300536</v>
      </c>
      <c r="C3253" t="s">
        <v>6552</v>
      </c>
      <c r="D3253" t="s">
        <v>645</v>
      </c>
      <c r="E3253">
        <v>-110074331</v>
      </c>
      <c r="F3253">
        <v>-45806560</v>
      </c>
      <c r="G3253">
        <v>-45914663</v>
      </c>
      <c r="H3253">
        <v>-20168013</v>
      </c>
      <c r="I3253">
        <v>55548258</v>
      </c>
      <c r="J3253">
        <v>21538700</v>
      </c>
      <c r="K3253">
        <v>11100017</v>
      </c>
      <c r="P3253">
        <v>63</v>
      </c>
      <c r="Q3253" t="s">
        <v>6553</v>
      </c>
    </row>
    <row r="3254" spans="1:17" x14ac:dyDescent="0.3">
      <c r="A3254" t="s">
        <v>32</v>
      </c>
      <c r="B3254" t="str">
        <f>"300820"</f>
        <v>300820</v>
      </c>
      <c r="C3254" t="s">
        <v>6554</v>
      </c>
      <c r="D3254" t="s">
        <v>464</v>
      </c>
      <c r="E3254">
        <v>-110191604</v>
      </c>
      <c r="F3254">
        <v>-47636568</v>
      </c>
      <c r="G3254">
        <v>-15050670</v>
      </c>
      <c r="H3254">
        <v>22708038</v>
      </c>
      <c r="P3254">
        <v>369</v>
      </c>
      <c r="Q3254" t="s">
        <v>6555</v>
      </c>
    </row>
    <row r="3255" spans="1:17" x14ac:dyDescent="0.3">
      <c r="A3255" t="s">
        <v>32</v>
      </c>
      <c r="B3255" t="str">
        <f>"000667"</f>
        <v>000667</v>
      </c>
      <c r="C3255" t="s">
        <v>6556</v>
      </c>
      <c r="D3255" t="s">
        <v>151</v>
      </c>
      <c r="E3255">
        <v>-110239514</v>
      </c>
      <c r="F3255">
        <v>453341721</v>
      </c>
      <c r="G3255">
        <v>-740652420</v>
      </c>
      <c r="H3255">
        <v>-1145540450</v>
      </c>
      <c r="I3255">
        <v>-30291611</v>
      </c>
      <c r="J3255">
        <v>-831454226</v>
      </c>
      <c r="K3255">
        <v>227291058</v>
      </c>
      <c r="L3255">
        <v>-252253366</v>
      </c>
      <c r="M3255">
        <v>-926110815</v>
      </c>
      <c r="N3255">
        <v>-518794960</v>
      </c>
      <c r="O3255">
        <v>-1016347929</v>
      </c>
      <c r="P3255">
        <v>169</v>
      </c>
      <c r="Q3255" t="s">
        <v>6557</v>
      </c>
    </row>
    <row r="3256" spans="1:17" x14ac:dyDescent="0.3">
      <c r="A3256" t="s">
        <v>32</v>
      </c>
      <c r="B3256" t="str">
        <f>"300901"</f>
        <v>300901</v>
      </c>
      <c r="C3256" t="s">
        <v>6558</v>
      </c>
      <c r="D3256" t="s">
        <v>130</v>
      </c>
      <c r="E3256">
        <v>-110476798</v>
      </c>
      <c r="F3256">
        <v>-77199467</v>
      </c>
      <c r="P3256">
        <v>45</v>
      </c>
      <c r="Q3256" t="s">
        <v>6559</v>
      </c>
    </row>
    <row r="3257" spans="1:17" x14ac:dyDescent="0.3">
      <c r="A3257" t="s">
        <v>17</v>
      </c>
      <c r="B3257" t="str">
        <f>"603985"</f>
        <v>603985</v>
      </c>
      <c r="C3257" t="s">
        <v>6560</v>
      </c>
      <c r="D3257" t="s">
        <v>135</v>
      </c>
      <c r="E3257">
        <v>-110597295</v>
      </c>
      <c r="F3257">
        <v>-23358330</v>
      </c>
      <c r="G3257">
        <v>-1356934</v>
      </c>
      <c r="H3257">
        <v>-137146945</v>
      </c>
      <c r="I3257">
        <v>-65618246</v>
      </c>
      <c r="J3257">
        <v>21072283</v>
      </c>
      <c r="K3257">
        <v>-41302280</v>
      </c>
      <c r="P3257">
        <v>219</v>
      </c>
      <c r="Q3257" t="s">
        <v>6561</v>
      </c>
    </row>
    <row r="3258" spans="1:17" x14ac:dyDescent="0.3">
      <c r="A3258" t="s">
        <v>32</v>
      </c>
      <c r="B3258" t="str">
        <f>"002214"</f>
        <v>002214</v>
      </c>
      <c r="C3258" t="s">
        <v>6562</v>
      </c>
      <c r="D3258" t="s">
        <v>188</v>
      </c>
      <c r="E3258">
        <v>-110739573</v>
      </c>
      <c r="F3258">
        <v>-78586679</v>
      </c>
      <c r="G3258">
        <v>200503474</v>
      </c>
      <c r="H3258">
        <v>-55558225</v>
      </c>
      <c r="I3258">
        <v>-10367866</v>
      </c>
      <c r="J3258">
        <v>1426731</v>
      </c>
      <c r="K3258">
        <v>-74309583</v>
      </c>
      <c r="L3258">
        <v>-49354834</v>
      </c>
      <c r="M3258">
        <v>-17691059</v>
      </c>
      <c r="N3258">
        <v>-14640274</v>
      </c>
      <c r="O3258">
        <v>3018644</v>
      </c>
      <c r="P3258">
        <v>511</v>
      </c>
      <c r="Q3258" t="s">
        <v>6563</v>
      </c>
    </row>
    <row r="3259" spans="1:17" x14ac:dyDescent="0.3">
      <c r="A3259" t="s">
        <v>17</v>
      </c>
      <c r="B3259" t="str">
        <f>"600466"</f>
        <v>600466</v>
      </c>
      <c r="C3259" t="s">
        <v>6564</v>
      </c>
      <c r="D3259" t="s">
        <v>151</v>
      </c>
      <c r="E3259">
        <v>-110831686</v>
      </c>
      <c r="F3259">
        <v>1616505214</v>
      </c>
      <c r="G3259">
        <v>-3952913548</v>
      </c>
      <c r="H3259">
        <v>-3102797434</v>
      </c>
      <c r="I3259">
        <v>-2520154982</v>
      </c>
      <c r="J3259">
        <v>162721231</v>
      </c>
      <c r="K3259">
        <v>-3358467480</v>
      </c>
      <c r="L3259">
        <v>243375234</v>
      </c>
      <c r="M3259">
        <v>-37050538</v>
      </c>
      <c r="N3259">
        <v>-20917322</v>
      </c>
      <c r="O3259">
        <v>-17251917</v>
      </c>
      <c r="P3259">
        <v>844</v>
      </c>
      <c r="Q3259" t="s">
        <v>6565</v>
      </c>
    </row>
    <row r="3260" spans="1:17" x14ac:dyDescent="0.3">
      <c r="A3260" t="s">
        <v>17</v>
      </c>
      <c r="B3260" t="str">
        <f>"605189"</f>
        <v>605189</v>
      </c>
      <c r="C3260" t="s">
        <v>6566</v>
      </c>
      <c r="D3260" t="s">
        <v>130</v>
      </c>
      <c r="E3260">
        <v>-111151491</v>
      </c>
      <c r="F3260">
        <v>-95052760</v>
      </c>
      <c r="G3260">
        <v>-42067181</v>
      </c>
      <c r="P3260">
        <v>44</v>
      </c>
      <c r="Q3260" t="s">
        <v>6567</v>
      </c>
    </row>
    <row r="3261" spans="1:17" x14ac:dyDescent="0.3">
      <c r="A3261" t="s">
        <v>17</v>
      </c>
      <c r="B3261" t="str">
        <f>"603983"</f>
        <v>603983</v>
      </c>
      <c r="C3261" t="s">
        <v>6568</v>
      </c>
      <c r="D3261" t="s">
        <v>544</v>
      </c>
      <c r="E3261">
        <v>-111170637</v>
      </c>
      <c r="F3261">
        <v>-89199255</v>
      </c>
      <c r="G3261">
        <v>-42020660</v>
      </c>
      <c r="H3261">
        <v>45069193</v>
      </c>
      <c r="I3261">
        <v>77747904</v>
      </c>
      <c r="P3261">
        <v>898</v>
      </c>
      <c r="Q3261" t="s">
        <v>6569</v>
      </c>
    </row>
    <row r="3262" spans="1:17" x14ac:dyDescent="0.3">
      <c r="A3262" t="s">
        <v>17</v>
      </c>
      <c r="B3262" t="str">
        <f>"603390"</f>
        <v>603390</v>
      </c>
      <c r="C3262" t="s">
        <v>6570</v>
      </c>
      <c r="D3262" t="s">
        <v>199</v>
      </c>
      <c r="E3262">
        <v>-111264288</v>
      </c>
      <c r="F3262">
        <v>-80690297</v>
      </c>
      <c r="G3262">
        <v>-123657201</v>
      </c>
      <c r="H3262">
        <v>-83711644</v>
      </c>
      <c r="I3262">
        <v>-52168380</v>
      </c>
      <c r="P3262">
        <v>89</v>
      </c>
      <c r="Q3262" t="s">
        <v>6571</v>
      </c>
    </row>
    <row r="3263" spans="1:17" x14ac:dyDescent="0.3">
      <c r="A3263" t="s">
        <v>32</v>
      </c>
      <c r="B3263" t="str">
        <f>"300877"</f>
        <v>300877</v>
      </c>
      <c r="C3263" t="s">
        <v>6572</v>
      </c>
      <c r="D3263" t="s">
        <v>130</v>
      </c>
      <c r="E3263">
        <v>-111302273</v>
      </c>
      <c r="F3263">
        <v>-80768417</v>
      </c>
      <c r="G3263">
        <v>-89845810</v>
      </c>
      <c r="H3263">
        <v>-122393400</v>
      </c>
      <c r="P3263">
        <v>75</v>
      </c>
      <c r="Q3263" t="s">
        <v>6573</v>
      </c>
    </row>
    <row r="3264" spans="1:17" x14ac:dyDescent="0.3">
      <c r="A3264" t="s">
        <v>17</v>
      </c>
      <c r="B3264" t="str">
        <f>"603078"</f>
        <v>603078</v>
      </c>
      <c r="C3264" t="s">
        <v>6574</v>
      </c>
      <c r="D3264" t="s">
        <v>124</v>
      </c>
      <c r="E3264">
        <v>-111321758</v>
      </c>
      <c r="F3264">
        <v>-104747127</v>
      </c>
      <c r="G3264">
        <v>-72821095</v>
      </c>
      <c r="H3264">
        <v>-75390574</v>
      </c>
      <c r="I3264">
        <v>-23206344</v>
      </c>
      <c r="J3264">
        <v>3580619</v>
      </c>
      <c r="K3264">
        <v>17111197</v>
      </c>
      <c r="P3264">
        <v>226</v>
      </c>
      <c r="Q3264" t="s">
        <v>6575</v>
      </c>
    </row>
    <row r="3265" spans="1:17" x14ac:dyDescent="0.3">
      <c r="A3265" t="s">
        <v>32</v>
      </c>
      <c r="B3265" t="str">
        <f>"002723"</f>
        <v>002723</v>
      </c>
      <c r="C3265" t="s">
        <v>6576</v>
      </c>
      <c r="D3265" t="s">
        <v>127</v>
      </c>
      <c r="E3265">
        <v>-111380606</v>
      </c>
      <c r="F3265">
        <v>3500350</v>
      </c>
      <c r="G3265">
        <v>9053713</v>
      </c>
      <c r="H3265">
        <v>-23135538</v>
      </c>
      <c r="I3265">
        <v>4180075</v>
      </c>
      <c r="J3265">
        <v>36039772</v>
      </c>
      <c r="K3265">
        <v>-19889963</v>
      </c>
      <c r="L3265">
        <v>8496899</v>
      </c>
      <c r="M3265">
        <v>-44128854</v>
      </c>
      <c r="N3265">
        <v>-69441930</v>
      </c>
      <c r="P3265">
        <v>92</v>
      </c>
      <c r="Q3265" t="s">
        <v>6577</v>
      </c>
    </row>
    <row r="3266" spans="1:17" x14ac:dyDescent="0.3">
      <c r="A3266" t="s">
        <v>17</v>
      </c>
      <c r="B3266" t="str">
        <f>"603680"</f>
        <v>603680</v>
      </c>
      <c r="C3266" t="s">
        <v>6578</v>
      </c>
      <c r="D3266" t="s">
        <v>135</v>
      </c>
      <c r="E3266">
        <v>-111487288</v>
      </c>
      <c r="F3266">
        <v>-252244155</v>
      </c>
      <c r="G3266">
        <v>-142437572</v>
      </c>
      <c r="H3266">
        <v>-291701436</v>
      </c>
      <c r="I3266">
        <v>-134056720</v>
      </c>
      <c r="J3266">
        <v>-214065144</v>
      </c>
      <c r="P3266">
        <v>81</v>
      </c>
      <c r="Q3266" t="s">
        <v>6579</v>
      </c>
    </row>
    <row r="3267" spans="1:17" x14ac:dyDescent="0.3">
      <c r="A3267" t="s">
        <v>32</v>
      </c>
      <c r="B3267" t="str">
        <f>"000803"</f>
        <v>000803</v>
      </c>
      <c r="C3267" t="s">
        <v>6580</v>
      </c>
      <c r="D3267" t="s">
        <v>158</v>
      </c>
      <c r="E3267">
        <v>-111613647</v>
      </c>
      <c r="F3267">
        <v>-55119929</v>
      </c>
      <c r="G3267">
        <v>-22817114</v>
      </c>
      <c r="H3267">
        <v>64225390</v>
      </c>
      <c r="I3267">
        <v>-24215724</v>
      </c>
      <c r="J3267">
        <v>-5305550</v>
      </c>
      <c r="K3267">
        <v>-3089774</v>
      </c>
      <c r="L3267">
        <v>-643565</v>
      </c>
      <c r="M3267">
        <v>-60231960</v>
      </c>
      <c r="N3267">
        <v>5172498</v>
      </c>
      <c r="O3267">
        <v>-13427377</v>
      </c>
      <c r="P3267">
        <v>80</v>
      </c>
      <c r="Q3267" t="s">
        <v>6581</v>
      </c>
    </row>
    <row r="3268" spans="1:17" x14ac:dyDescent="0.3">
      <c r="A3268" t="s">
        <v>32</v>
      </c>
      <c r="B3268" t="str">
        <f>"002181"</f>
        <v>002181</v>
      </c>
      <c r="C3268" t="s">
        <v>6582</v>
      </c>
      <c r="D3268" t="s">
        <v>245</v>
      </c>
      <c r="E3268">
        <v>-111632326</v>
      </c>
      <c r="F3268">
        <v>-27721454</v>
      </c>
      <c r="G3268">
        <v>-30224541</v>
      </c>
      <c r="H3268">
        <v>-137943516</v>
      </c>
      <c r="I3268">
        <v>-34491440</v>
      </c>
      <c r="J3268">
        <v>-92533661</v>
      </c>
      <c r="K3268">
        <v>-99076966</v>
      </c>
      <c r="L3268">
        <v>-74572461</v>
      </c>
      <c r="M3268">
        <v>-22731224</v>
      </c>
      <c r="N3268">
        <v>-118089276</v>
      </c>
      <c r="O3268">
        <v>7104453</v>
      </c>
      <c r="P3268">
        <v>107</v>
      </c>
      <c r="Q3268" t="s">
        <v>6583</v>
      </c>
    </row>
    <row r="3269" spans="1:17" x14ac:dyDescent="0.3">
      <c r="A3269" t="s">
        <v>32</v>
      </c>
      <c r="B3269" t="str">
        <f>"000530"</f>
        <v>000530</v>
      </c>
      <c r="C3269" t="s">
        <v>6584</v>
      </c>
      <c r="D3269" t="s">
        <v>135</v>
      </c>
      <c r="E3269">
        <v>-111857690</v>
      </c>
      <c r="F3269">
        <v>15897825</v>
      </c>
      <c r="G3269">
        <v>-83807266</v>
      </c>
      <c r="H3269">
        <v>-98683611</v>
      </c>
      <c r="I3269">
        <v>-192533847</v>
      </c>
      <c r="J3269">
        <v>-161828456</v>
      </c>
      <c r="K3269">
        <v>-128489704</v>
      </c>
      <c r="L3269">
        <v>-141837888</v>
      </c>
      <c r="M3269">
        <v>-60232291</v>
      </c>
      <c r="N3269">
        <v>-38653172</v>
      </c>
      <c r="O3269">
        <v>-107322158</v>
      </c>
      <c r="P3269">
        <v>129</v>
      </c>
      <c r="Q3269" t="s">
        <v>6585</v>
      </c>
    </row>
    <row r="3270" spans="1:17" x14ac:dyDescent="0.3">
      <c r="A3270" t="s">
        <v>17</v>
      </c>
      <c r="B3270" t="str">
        <f>"603043"</f>
        <v>603043</v>
      </c>
      <c r="C3270" t="s">
        <v>6586</v>
      </c>
      <c r="D3270" t="s">
        <v>172</v>
      </c>
      <c r="E3270">
        <v>-112130312</v>
      </c>
      <c r="F3270">
        <v>-194967699</v>
      </c>
      <c r="G3270">
        <v>-129168904</v>
      </c>
      <c r="H3270">
        <v>-95108092</v>
      </c>
      <c r="I3270">
        <v>-72430513</v>
      </c>
      <c r="J3270">
        <v>-47757898</v>
      </c>
      <c r="K3270">
        <v>-54438300</v>
      </c>
      <c r="P3270">
        <v>1511</v>
      </c>
      <c r="Q3270" t="s">
        <v>6587</v>
      </c>
    </row>
    <row r="3271" spans="1:17" x14ac:dyDescent="0.3">
      <c r="A3271" t="s">
        <v>17</v>
      </c>
      <c r="B3271" t="str">
        <f>"600348"</f>
        <v>600348</v>
      </c>
      <c r="C3271" t="s">
        <v>6588</v>
      </c>
      <c r="D3271" t="s">
        <v>73</v>
      </c>
      <c r="E3271">
        <v>-112147458</v>
      </c>
      <c r="F3271">
        <v>901560698</v>
      </c>
      <c r="G3271">
        <v>825518109</v>
      </c>
      <c r="H3271">
        <v>-183921001</v>
      </c>
      <c r="I3271">
        <v>663259232</v>
      </c>
      <c r="J3271">
        <v>-1757661393</v>
      </c>
      <c r="K3271">
        <v>-529839771</v>
      </c>
      <c r="L3271">
        <v>-566279306</v>
      </c>
      <c r="M3271">
        <v>-1485912774</v>
      </c>
      <c r="N3271">
        <v>1185359789</v>
      </c>
      <c r="O3271">
        <v>1004053312</v>
      </c>
      <c r="P3271">
        <v>1285</v>
      </c>
      <c r="Q3271" t="s">
        <v>6589</v>
      </c>
    </row>
    <row r="3272" spans="1:17" x14ac:dyDescent="0.3">
      <c r="A3272" t="s">
        <v>17</v>
      </c>
      <c r="B3272" t="str">
        <f>"603800"</f>
        <v>603800</v>
      </c>
      <c r="C3272" t="s">
        <v>6590</v>
      </c>
      <c r="D3272" t="s">
        <v>135</v>
      </c>
      <c r="E3272">
        <v>-112205281</v>
      </c>
      <c r="F3272">
        <v>-95171926</v>
      </c>
      <c r="G3272">
        <v>-1996664</v>
      </c>
      <c r="H3272">
        <v>-59835221</v>
      </c>
      <c r="I3272">
        <v>-26794682</v>
      </c>
      <c r="J3272">
        <v>-19241264</v>
      </c>
      <c r="K3272">
        <v>-49454927</v>
      </c>
      <c r="L3272">
        <v>35588100</v>
      </c>
      <c r="M3272">
        <v>30188300</v>
      </c>
      <c r="P3272">
        <v>75</v>
      </c>
      <c r="Q3272" t="s">
        <v>6591</v>
      </c>
    </row>
    <row r="3273" spans="1:17" x14ac:dyDescent="0.3">
      <c r="A3273" t="s">
        <v>17</v>
      </c>
      <c r="B3273" t="str">
        <f>"603229"</f>
        <v>603229</v>
      </c>
      <c r="C3273" t="s">
        <v>6592</v>
      </c>
      <c r="D3273" t="s">
        <v>98</v>
      </c>
      <c r="E3273">
        <v>-112255936</v>
      </c>
      <c r="F3273">
        <v>-93239883</v>
      </c>
      <c r="G3273">
        <v>-17669896</v>
      </c>
      <c r="H3273">
        <v>-5831462</v>
      </c>
      <c r="I3273">
        <v>-11222964</v>
      </c>
      <c r="J3273">
        <v>-5795713</v>
      </c>
      <c r="K3273">
        <v>-26273137</v>
      </c>
      <c r="P3273">
        <v>164</v>
      </c>
      <c r="Q3273" t="s">
        <v>6593</v>
      </c>
    </row>
    <row r="3274" spans="1:17" x14ac:dyDescent="0.3">
      <c r="A3274" t="s">
        <v>17</v>
      </c>
      <c r="B3274" t="str">
        <f>"603869"</f>
        <v>603869</v>
      </c>
      <c r="C3274" t="s">
        <v>6594</v>
      </c>
      <c r="D3274" t="s">
        <v>342</v>
      </c>
      <c r="E3274">
        <v>-112460090</v>
      </c>
      <c r="F3274">
        <v>-16023340</v>
      </c>
      <c r="G3274">
        <v>-129570314</v>
      </c>
      <c r="H3274">
        <v>-39780054</v>
      </c>
      <c r="I3274">
        <v>-350995745</v>
      </c>
      <c r="J3274">
        <v>-283967762</v>
      </c>
      <c r="K3274">
        <v>-15303851</v>
      </c>
      <c r="L3274">
        <v>-12359495</v>
      </c>
      <c r="M3274">
        <v>-12616250</v>
      </c>
      <c r="P3274">
        <v>143</v>
      </c>
      <c r="Q3274" t="s">
        <v>6595</v>
      </c>
    </row>
    <row r="3275" spans="1:17" x14ac:dyDescent="0.3">
      <c r="A3275" t="s">
        <v>32</v>
      </c>
      <c r="B3275" t="str">
        <f>"002586"</f>
        <v>002586</v>
      </c>
      <c r="C3275" t="s">
        <v>6596</v>
      </c>
      <c r="D3275" t="s">
        <v>645</v>
      </c>
      <c r="E3275">
        <v>-112485453</v>
      </c>
      <c r="F3275">
        <v>-165353567</v>
      </c>
      <c r="G3275">
        <v>-183527416</v>
      </c>
      <c r="H3275">
        <v>-197591894</v>
      </c>
      <c r="I3275">
        <v>-39270374</v>
      </c>
      <c r="J3275">
        <v>-127833164</v>
      </c>
      <c r="K3275">
        <v>-32799501</v>
      </c>
      <c r="L3275">
        <v>-149801593</v>
      </c>
      <c r="M3275">
        <v>-212594782</v>
      </c>
      <c r="N3275">
        <v>-170110541</v>
      </c>
      <c r="O3275">
        <v>-126878647</v>
      </c>
      <c r="P3275">
        <v>62</v>
      </c>
      <c r="Q3275" t="s">
        <v>6597</v>
      </c>
    </row>
    <row r="3276" spans="1:17" x14ac:dyDescent="0.3">
      <c r="A3276" t="s">
        <v>17</v>
      </c>
      <c r="B3276" t="str">
        <f>"688333"</f>
        <v>688333</v>
      </c>
      <c r="C3276" t="s">
        <v>6598</v>
      </c>
      <c r="D3276" t="s">
        <v>135</v>
      </c>
      <c r="E3276">
        <v>-112517633</v>
      </c>
      <c r="F3276">
        <v>-112451901</v>
      </c>
      <c r="G3276">
        <v>-32726873</v>
      </c>
      <c r="H3276">
        <v>-27794506</v>
      </c>
      <c r="I3276">
        <v>-59869700</v>
      </c>
      <c r="P3276">
        <v>117</v>
      </c>
      <c r="Q3276" t="s">
        <v>6599</v>
      </c>
    </row>
    <row r="3277" spans="1:17" x14ac:dyDescent="0.3">
      <c r="A3277" t="s">
        <v>17</v>
      </c>
      <c r="B3277" t="str">
        <f>"688136"</f>
        <v>688136</v>
      </c>
      <c r="C3277" t="s">
        <v>6600</v>
      </c>
      <c r="D3277" t="s">
        <v>98</v>
      </c>
      <c r="E3277">
        <v>-112701398</v>
      </c>
      <c r="F3277">
        <v>-1411889</v>
      </c>
      <c r="G3277">
        <v>-16140042</v>
      </c>
      <c r="P3277">
        <v>66</v>
      </c>
      <c r="Q3277" t="s">
        <v>6601</v>
      </c>
    </row>
    <row r="3278" spans="1:17" x14ac:dyDescent="0.3">
      <c r="A3278" t="s">
        <v>32</v>
      </c>
      <c r="B3278" t="str">
        <f>"300455"</f>
        <v>300455</v>
      </c>
      <c r="C3278" t="s">
        <v>6602</v>
      </c>
      <c r="D3278" t="s">
        <v>342</v>
      </c>
      <c r="E3278">
        <v>-112704571</v>
      </c>
      <c r="F3278">
        <v>-102671472</v>
      </c>
      <c r="G3278">
        <v>-41142057</v>
      </c>
      <c r="H3278">
        <v>18493586</v>
      </c>
      <c r="I3278">
        <v>7223274</v>
      </c>
      <c r="J3278">
        <v>5924448</v>
      </c>
      <c r="K3278">
        <v>-41155253</v>
      </c>
      <c r="L3278">
        <v>-27658700</v>
      </c>
      <c r="P3278">
        <v>137</v>
      </c>
      <c r="Q3278" t="s">
        <v>6603</v>
      </c>
    </row>
    <row r="3279" spans="1:17" x14ac:dyDescent="0.3">
      <c r="A3279" t="s">
        <v>17</v>
      </c>
      <c r="B3279" t="str">
        <f>"600843"</f>
        <v>600843</v>
      </c>
      <c r="C3279" t="s">
        <v>6604</v>
      </c>
      <c r="D3279" t="s">
        <v>135</v>
      </c>
      <c r="E3279">
        <v>-112729094</v>
      </c>
      <c r="F3279">
        <v>-67211928</v>
      </c>
      <c r="G3279">
        <v>-21735034</v>
      </c>
      <c r="H3279">
        <v>-194586653</v>
      </c>
      <c r="I3279">
        <v>-50363093</v>
      </c>
      <c r="J3279">
        <v>-45016747</v>
      </c>
      <c r="K3279">
        <v>-81261160</v>
      </c>
      <c r="L3279">
        <v>40725984</v>
      </c>
      <c r="M3279">
        <v>-50326230</v>
      </c>
      <c r="N3279">
        <v>-42224011</v>
      </c>
      <c r="O3279">
        <v>14250897</v>
      </c>
      <c r="P3279">
        <v>78</v>
      </c>
      <c r="Q3279" t="s">
        <v>6605</v>
      </c>
    </row>
    <row r="3280" spans="1:17" x14ac:dyDescent="0.3">
      <c r="A3280" t="s">
        <v>17</v>
      </c>
      <c r="B3280" t="str">
        <f>"603712"</f>
        <v>603712</v>
      </c>
      <c r="C3280" t="s">
        <v>6606</v>
      </c>
      <c r="D3280" t="s">
        <v>188</v>
      </c>
      <c r="E3280">
        <v>-112808076</v>
      </c>
      <c r="F3280">
        <v>450155547</v>
      </c>
      <c r="G3280">
        <v>200649362</v>
      </c>
      <c r="H3280">
        <v>189108740</v>
      </c>
      <c r="I3280">
        <v>83111037</v>
      </c>
      <c r="J3280">
        <v>-98925887</v>
      </c>
      <c r="P3280">
        <v>326</v>
      </c>
      <c r="Q3280" t="s">
        <v>6607</v>
      </c>
    </row>
    <row r="3281" spans="1:17" x14ac:dyDescent="0.3">
      <c r="A3281" t="s">
        <v>17</v>
      </c>
      <c r="B3281" t="str">
        <f>"601700"</f>
        <v>601700</v>
      </c>
      <c r="C3281" t="s">
        <v>6608</v>
      </c>
      <c r="D3281" t="s">
        <v>464</v>
      </c>
      <c r="E3281">
        <v>-112838392</v>
      </c>
      <c r="F3281">
        <v>-226887846</v>
      </c>
      <c r="G3281">
        <v>-86427584</v>
      </c>
      <c r="H3281">
        <v>-289547861</v>
      </c>
      <c r="I3281">
        <v>-123667391</v>
      </c>
      <c r="J3281">
        <v>-77638117</v>
      </c>
      <c r="K3281">
        <v>-43323319</v>
      </c>
      <c r="L3281">
        <v>27887496</v>
      </c>
      <c r="M3281">
        <v>-215063833</v>
      </c>
      <c r="N3281">
        <v>-171033460</v>
      </c>
      <c r="O3281">
        <v>-108524708</v>
      </c>
      <c r="P3281">
        <v>126</v>
      </c>
      <c r="Q3281" t="s">
        <v>6609</v>
      </c>
    </row>
    <row r="3282" spans="1:17" x14ac:dyDescent="0.3">
      <c r="A3282" t="s">
        <v>17</v>
      </c>
      <c r="B3282" t="str">
        <f>"600439"</f>
        <v>600439</v>
      </c>
      <c r="C3282" t="s">
        <v>6610</v>
      </c>
      <c r="D3282" t="s">
        <v>130</v>
      </c>
      <c r="E3282">
        <v>-113328379</v>
      </c>
      <c r="F3282">
        <v>2875069</v>
      </c>
      <c r="G3282">
        <v>-51781603</v>
      </c>
      <c r="H3282">
        <v>23672191</v>
      </c>
      <c r="I3282">
        <v>31668052</v>
      </c>
      <c r="J3282">
        <v>2908412</v>
      </c>
      <c r="K3282">
        <v>49326244</v>
      </c>
      <c r="L3282">
        <v>-66704514</v>
      </c>
      <c r="M3282">
        <v>-81310405</v>
      </c>
      <c r="N3282">
        <v>-33468347</v>
      </c>
      <c r="O3282">
        <v>-124558444</v>
      </c>
      <c r="P3282">
        <v>186</v>
      </c>
      <c r="Q3282" t="s">
        <v>6611</v>
      </c>
    </row>
    <row r="3283" spans="1:17" x14ac:dyDescent="0.3">
      <c r="A3283" t="s">
        <v>32</v>
      </c>
      <c r="B3283" t="str">
        <f>"300825"</f>
        <v>300825</v>
      </c>
      <c r="C3283" t="s">
        <v>6612</v>
      </c>
      <c r="D3283" t="s">
        <v>199</v>
      </c>
      <c r="E3283">
        <v>-113662206</v>
      </c>
      <c r="F3283">
        <v>-156072013</v>
      </c>
      <c r="G3283">
        <v>-174584982</v>
      </c>
      <c r="H3283">
        <v>-23910576</v>
      </c>
      <c r="P3283">
        <v>93</v>
      </c>
      <c r="Q3283" t="s">
        <v>6613</v>
      </c>
    </row>
    <row r="3284" spans="1:17" x14ac:dyDescent="0.3">
      <c r="A3284" t="s">
        <v>32</v>
      </c>
      <c r="B3284" t="str">
        <f>"002197"</f>
        <v>002197</v>
      </c>
      <c r="C3284" t="s">
        <v>6614</v>
      </c>
      <c r="D3284" t="s">
        <v>342</v>
      </c>
      <c r="E3284">
        <v>-113790968</v>
      </c>
      <c r="F3284">
        <v>-66789573</v>
      </c>
      <c r="G3284">
        <v>-19923210</v>
      </c>
      <c r="H3284">
        <v>11528614</v>
      </c>
      <c r="I3284">
        <v>-257274465</v>
      </c>
      <c r="J3284">
        <v>-566920277</v>
      </c>
      <c r="K3284">
        <v>-349336906</v>
      </c>
      <c r="L3284">
        <v>-176732414</v>
      </c>
      <c r="M3284">
        <v>-128122952</v>
      </c>
      <c r="N3284">
        <v>-68489828</v>
      </c>
      <c r="O3284">
        <v>-64574203</v>
      </c>
      <c r="P3284">
        <v>230</v>
      </c>
      <c r="Q3284" t="s">
        <v>6615</v>
      </c>
    </row>
    <row r="3285" spans="1:17" x14ac:dyDescent="0.3">
      <c r="A3285" t="s">
        <v>17</v>
      </c>
      <c r="B3285" t="str">
        <f>"600790"</f>
        <v>600790</v>
      </c>
      <c r="C3285" t="s">
        <v>6616</v>
      </c>
      <c r="D3285" t="s">
        <v>218</v>
      </c>
      <c r="E3285">
        <v>-113841679</v>
      </c>
      <c r="F3285">
        <v>-64833299</v>
      </c>
      <c r="G3285">
        <v>-80656826</v>
      </c>
      <c r="H3285">
        <v>-238828888</v>
      </c>
      <c r="I3285">
        <v>-364599409</v>
      </c>
      <c r="J3285">
        <v>-149926319</v>
      </c>
      <c r="K3285">
        <v>522489</v>
      </c>
      <c r="L3285">
        <v>-99344534</v>
      </c>
      <c r="M3285">
        <v>-46486887</v>
      </c>
      <c r="N3285">
        <v>3669932</v>
      </c>
      <c r="O3285">
        <v>-5266829</v>
      </c>
      <c r="P3285">
        <v>184</v>
      </c>
      <c r="Q3285" t="s">
        <v>6617</v>
      </c>
    </row>
    <row r="3286" spans="1:17" x14ac:dyDescent="0.3">
      <c r="A3286" t="s">
        <v>32</v>
      </c>
      <c r="B3286" t="str">
        <f>"300331"</f>
        <v>300331</v>
      </c>
      <c r="C3286" t="s">
        <v>6618</v>
      </c>
      <c r="D3286" t="s">
        <v>124</v>
      </c>
      <c r="E3286">
        <v>-114125985</v>
      </c>
      <c r="F3286">
        <v>-145084850</v>
      </c>
      <c r="G3286">
        <v>-120909455</v>
      </c>
      <c r="H3286">
        <v>-74680944</v>
      </c>
      <c r="I3286">
        <v>-86992018</v>
      </c>
      <c r="J3286">
        <v>-32554698</v>
      </c>
      <c r="K3286">
        <v>-12841381</v>
      </c>
      <c r="L3286">
        <v>-12851768</v>
      </c>
      <c r="M3286">
        <v>-18718019</v>
      </c>
      <c r="N3286">
        <v>-29286759</v>
      </c>
      <c r="O3286">
        <v>-17196694</v>
      </c>
      <c r="P3286">
        <v>164</v>
      </c>
      <c r="Q3286" t="s">
        <v>6619</v>
      </c>
    </row>
    <row r="3287" spans="1:17" x14ac:dyDescent="0.3">
      <c r="A3287" t="s">
        <v>32</v>
      </c>
      <c r="B3287" t="str">
        <f>"300053"</f>
        <v>300053</v>
      </c>
      <c r="C3287" t="s">
        <v>6620</v>
      </c>
      <c r="D3287" t="s">
        <v>124</v>
      </c>
      <c r="E3287">
        <v>-114262261</v>
      </c>
      <c r="F3287">
        <v>-131531431</v>
      </c>
      <c r="G3287">
        <v>-154387902</v>
      </c>
      <c r="H3287">
        <v>-199047017</v>
      </c>
      <c r="I3287">
        <v>-105285916</v>
      </c>
      <c r="J3287">
        <v>-98418450</v>
      </c>
      <c r="K3287">
        <v>-73054497</v>
      </c>
      <c r="L3287">
        <v>-5119452</v>
      </c>
      <c r="M3287">
        <v>-7152144</v>
      </c>
      <c r="N3287">
        <v>-13573728</v>
      </c>
      <c r="O3287">
        <v>-14449006</v>
      </c>
      <c r="P3287">
        <v>264</v>
      </c>
      <c r="Q3287" t="s">
        <v>6621</v>
      </c>
    </row>
    <row r="3288" spans="1:17" x14ac:dyDescent="0.3">
      <c r="A3288" t="s">
        <v>32</v>
      </c>
      <c r="B3288" t="str">
        <f>"002162"</f>
        <v>002162</v>
      </c>
      <c r="C3288" t="s">
        <v>6622</v>
      </c>
      <c r="D3288" t="s">
        <v>455</v>
      </c>
      <c r="E3288">
        <v>-114338613</v>
      </c>
      <c r="F3288">
        <v>-42936749</v>
      </c>
      <c r="G3288">
        <v>-78354768</v>
      </c>
      <c r="H3288">
        <v>-19179100</v>
      </c>
      <c r="I3288">
        <v>-38921202</v>
      </c>
      <c r="J3288">
        <v>3546222</v>
      </c>
      <c r="K3288">
        <v>-20290934</v>
      </c>
      <c r="L3288">
        <v>-39957119</v>
      </c>
      <c r="M3288">
        <v>716464</v>
      </c>
      <c r="N3288">
        <v>15376679</v>
      </c>
      <c r="O3288">
        <v>-100544256</v>
      </c>
      <c r="P3288">
        <v>137</v>
      </c>
      <c r="Q3288" t="s">
        <v>6623</v>
      </c>
    </row>
    <row r="3289" spans="1:17" x14ac:dyDescent="0.3">
      <c r="A3289" t="s">
        <v>32</v>
      </c>
      <c r="B3289" t="str">
        <f>"002616"</f>
        <v>002616</v>
      </c>
      <c r="C3289" t="s">
        <v>6624</v>
      </c>
      <c r="D3289" t="s">
        <v>158</v>
      </c>
      <c r="E3289">
        <v>-114385986</v>
      </c>
      <c r="F3289">
        <v>-461112123</v>
      </c>
      <c r="G3289">
        <v>-529653752</v>
      </c>
      <c r="H3289">
        <v>-162293051</v>
      </c>
      <c r="I3289">
        <v>-280008812</v>
      </c>
      <c r="J3289">
        <v>-250543920</v>
      </c>
      <c r="K3289">
        <v>-123062658</v>
      </c>
      <c r="L3289">
        <v>-68079125</v>
      </c>
      <c r="M3289">
        <v>-84715836</v>
      </c>
      <c r="N3289">
        <v>-87469287</v>
      </c>
      <c r="O3289">
        <v>-160880692</v>
      </c>
      <c r="P3289">
        <v>202</v>
      </c>
      <c r="Q3289" t="s">
        <v>6625</v>
      </c>
    </row>
    <row r="3290" spans="1:17" x14ac:dyDescent="0.3">
      <c r="A3290" t="s">
        <v>32</v>
      </c>
      <c r="B3290" t="str">
        <f>"300177"</f>
        <v>300177</v>
      </c>
      <c r="C3290" t="s">
        <v>6626</v>
      </c>
      <c r="D3290" t="s">
        <v>188</v>
      </c>
      <c r="E3290">
        <v>-114567775</v>
      </c>
      <c r="F3290">
        <v>-229039387</v>
      </c>
      <c r="G3290">
        <v>-65828972</v>
      </c>
      <c r="H3290">
        <v>-157893947</v>
      </c>
      <c r="I3290">
        <v>-127835809</v>
      </c>
      <c r="J3290">
        <v>-55769766</v>
      </c>
      <c r="K3290">
        <v>-48937828</v>
      </c>
      <c r="L3290">
        <v>-98099153</v>
      </c>
      <c r="M3290">
        <v>-63936364</v>
      </c>
      <c r="N3290">
        <v>-55871804</v>
      </c>
      <c r="O3290">
        <v>-33413415</v>
      </c>
      <c r="P3290">
        <v>232</v>
      </c>
      <c r="Q3290" t="s">
        <v>6627</v>
      </c>
    </row>
    <row r="3291" spans="1:17" x14ac:dyDescent="0.3">
      <c r="A3291" t="s">
        <v>32</v>
      </c>
      <c r="B3291" t="str">
        <f>"002667"</f>
        <v>002667</v>
      </c>
      <c r="C3291" t="s">
        <v>6628</v>
      </c>
      <c r="D3291" t="s">
        <v>135</v>
      </c>
      <c r="E3291">
        <v>-114823883</v>
      </c>
      <c r="F3291">
        <v>-5158940</v>
      </c>
      <c r="G3291">
        <v>4837696</v>
      </c>
      <c r="H3291">
        <v>12486137</v>
      </c>
      <c r="I3291">
        <v>-2491166</v>
      </c>
      <c r="J3291">
        <v>2987831</v>
      </c>
      <c r="K3291">
        <v>3703178</v>
      </c>
      <c r="L3291">
        <v>8661866</v>
      </c>
      <c r="M3291">
        <v>-7921262</v>
      </c>
      <c r="N3291">
        <v>-2136646</v>
      </c>
      <c r="O3291">
        <v>-6853142</v>
      </c>
      <c r="P3291">
        <v>73</v>
      </c>
      <c r="Q3291" t="s">
        <v>6629</v>
      </c>
    </row>
    <row r="3292" spans="1:17" x14ac:dyDescent="0.3">
      <c r="A3292" t="s">
        <v>32</v>
      </c>
      <c r="B3292" t="str">
        <f>"301259"</f>
        <v>301259</v>
      </c>
      <c r="C3292" t="s">
        <v>6630</v>
      </c>
      <c r="E3292">
        <v>-114868914</v>
      </c>
      <c r="P3292">
        <v>0</v>
      </c>
      <c r="Q3292" t="s">
        <v>6631</v>
      </c>
    </row>
    <row r="3293" spans="1:17" x14ac:dyDescent="0.3">
      <c r="A3293" t="s">
        <v>32</v>
      </c>
      <c r="B3293" t="str">
        <f>"300427"</f>
        <v>300427</v>
      </c>
      <c r="C3293" t="s">
        <v>6632</v>
      </c>
      <c r="D3293" t="s">
        <v>464</v>
      </c>
      <c r="E3293">
        <v>-114870348</v>
      </c>
      <c r="F3293">
        <v>-42180861</v>
      </c>
      <c r="G3293">
        <v>-106893612</v>
      </c>
      <c r="H3293">
        <v>-123537018</v>
      </c>
      <c r="I3293">
        <v>-64828826</v>
      </c>
      <c r="J3293">
        <v>-17522167</v>
      </c>
      <c r="K3293">
        <v>-30029403</v>
      </c>
      <c r="L3293">
        <v>-33251271</v>
      </c>
      <c r="M3293">
        <v>-21920848</v>
      </c>
      <c r="P3293">
        <v>249</v>
      </c>
      <c r="Q3293" t="s">
        <v>6633</v>
      </c>
    </row>
    <row r="3294" spans="1:17" x14ac:dyDescent="0.3">
      <c r="A3294" t="s">
        <v>32</v>
      </c>
      <c r="B3294" t="str">
        <f>"002258"</f>
        <v>002258</v>
      </c>
      <c r="C3294" t="s">
        <v>6634</v>
      </c>
      <c r="D3294" t="s">
        <v>144</v>
      </c>
      <c r="E3294">
        <v>-115059992</v>
      </c>
      <c r="F3294">
        <v>-137519237</v>
      </c>
      <c r="G3294">
        <v>-85842959</v>
      </c>
      <c r="H3294">
        <v>-34857923</v>
      </c>
      <c r="I3294">
        <v>-244311583</v>
      </c>
      <c r="J3294">
        <v>-54229492</v>
      </c>
      <c r="K3294">
        <v>-119497565</v>
      </c>
      <c r="L3294">
        <v>-62333678</v>
      </c>
      <c r="M3294">
        <v>-56108731</v>
      </c>
      <c r="N3294">
        <v>-13561055</v>
      </c>
      <c r="O3294">
        <v>-31611271</v>
      </c>
      <c r="P3294">
        <v>646</v>
      </c>
      <c r="Q3294" t="s">
        <v>6635</v>
      </c>
    </row>
    <row r="3295" spans="1:17" x14ac:dyDescent="0.3">
      <c r="A3295" t="s">
        <v>17</v>
      </c>
      <c r="B3295" t="str">
        <f>"688015"</f>
        <v>688015</v>
      </c>
      <c r="C3295" t="s">
        <v>6636</v>
      </c>
      <c r="D3295" t="s">
        <v>135</v>
      </c>
      <c r="E3295">
        <v>-115064442</v>
      </c>
      <c r="F3295">
        <v>-258903951</v>
      </c>
      <c r="G3295">
        <v>-147041487</v>
      </c>
      <c r="H3295">
        <v>65285540</v>
      </c>
      <c r="I3295">
        <v>-160764000</v>
      </c>
      <c r="P3295">
        <v>279</v>
      </c>
      <c r="Q3295" t="s">
        <v>6637</v>
      </c>
    </row>
    <row r="3296" spans="1:17" x14ac:dyDescent="0.3">
      <c r="A3296" t="s">
        <v>32</v>
      </c>
      <c r="B3296" t="str">
        <f>"002510"</f>
        <v>002510</v>
      </c>
      <c r="C3296" t="s">
        <v>6638</v>
      </c>
      <c r="D3296" t="s">
        <v>199</v>
      </c>
      <c r="E3296">
        <v>-115072910</v>
      </c>
      <c r="F3296">
        <v>53270731</v>
      </c>
      <c r="G3296">
        <v>-84417992</v>
      </c>
      <c r="H3296">
        <v>-32116604</v>
      </c>
      <c r="I3296">
        <v>-225812909</v>
      </c>
      <c r="J3296">
        <v>-153174534</v>
      </c>
      <c r="K3296">
        <v>-40892670</v>
      </c>
      <c r="L3296">
        <v>-32375433</v>
      </c>
      <c r="M3296">
        <v>-63711561</v>
      </c>
      <c r="N3296">
        <v>39204679</v>
      </c>
      <c r="O3296">
        <v>-23502362</v>
      </c>
      <c r="P3296">
        <v>208</v>
      </c>
      <c r="Q3296" t="s">
        <v>6639</v>
      </c>
    </row>
    <row r="3297" spans="1:17" x14ac:dyDescent="0.3">
      <c r="A3297" t="s">
        <v>32</v>
      </c>
      <c r="B3297" t="str">
        <f>"002329"</f>
        <v>002329</v>
      </c>
      <c r="C3297" t="s">
        <v>6640</v>
      </c>
      <c r="D3297" t="s">
        <v>172</v>
      </c>
      <c r="E3297">
        <v>-115276466</v>
      </c>
      <c r="F3297">
        <v>-40640862</v>
      </c>
      <c r="G3297">
        <v>-101023673</v>
      </c>
      <c r="H3297">
        <v>-95642403</v>
      </c>
      <c r="I3297">
        <v>-93852849</v>
      </c>
      <c r="J3297">
        <v>26537829</v>
      </c>
      <c r="K3297">
        <v>-163153649</v>
      </c>
      <c r="L3297">
        <v>-11089903</v>
      </c>
      <c r="M3297">
        <v>-43034467</v>
      </c>
      <c r="N3297">
        <v>4738017</v>
      </c>
      <c r="O3297">
        <v>-60202584</v>
      </c>
      <c r="P3297">
        <v>186</v>
      </c>
      <c r="Q3297" t="s">
        <v>6641</v>
      </c>
    </row>
    <row r="3298" spans="1:17" x14ac:dyDescent="0.3">
      <c r="A3298" t="s">
        <v>32</v>
      </c>
      <c r="B3298" t="str">
        <f>"300514"</f>
        <v>300514</v>
      </c>
      <c r="C3298" t="s">
        <v>6642</v>
      </c>
      <c r="D3298" t="s">
        <v>464</v>
      </c>
      <c r="E3298">
        <v>-115278575</v>
      </c>
      <c r="F3298">
        <v>93835630</v>
      </c>
      <c r="G3298">
        <v>67062226</v>
      </c>
      <c r="H3298">
        <v>-36600615</v>
      </c>
      <c r="I3298">
        <v>-50655303</v>
      </c>
      <c r="J3298">
        <v>-14109437</v>
      </c>
      <c r="K3298">
        <v>-25953162</v>
      </c>
      <c r="P3298">
        <v>148</v>
      </c>
      <c r="Q3298" t="s">
        <v>6643</v>
      </c>
    </row>
    <row r="3299" spans="1:17" x14ac:dyDescent="0.3">
      <c r="A3299" t="s">
        <v>17</v>
      </c>
      <c r="B3299" t="str">
        <f>"688051"</f>
        <v>688051</v>
      </c>
      <c r="C3299" t="s">
        <v>6644</v>
      </c>
      <c r="D3299" t="s">
        <v>342</v>
      </c>
      <c r="E3299">
        <v>-115429801</v>
      </c>
      <c r="F3299">
        <v>-119086611</v>
      </c>
      <c r="G3299">
        <v>-100685786</v>
      </c>
      <c r="H3299">
        <v>-71772229</v>
      </c>
      <c r="P3299">
        <v>91</v>
      </c>
      <c r="Q3299" t="s">
        <v>6645</v>
      </c>
    </row>
    <row r="3300" spans="1:17" x14ac:dyDescent="0.3">
      <c r="A3300" t="s">
        <v>32</v>
      </c>
      <c r="B3300" t="str">
        <f>"002845"</f>
        <v>002845</v>
      </c>
      <c r="C3300" t="s">
        <v>6646</v>
      </c>
      <c r="D3300" t="s">
        <v>124</v>
      </c>
      <c r="E3300">
        <v>-115456588</v>
      </c>
      <c r="F3300">
        <v>103390467</v>
      </c>
      <c r="G3300">
        <v>-296408865</v>
      </c>
      <c r="H3300">
        <v>-134148908</v>
      </c>
      <c r="I3300">
        <v>-221135843</v>
      </c>
      <c r="J3300">
        <v>-207120297</v>
      </c>
      <c r="K3300">
        <v>-67546534</v>
      </c>
      <c r="P3300">
        <v>222</v>
      </c>
      <c r="Q3300" t="s">
        <v>6647</v>
      </c>
    </row>
    <row r="3301" spans="1:17" x14ac:dyDescent="0.3">
      <c r="A3301" t="s">
        <v>32</v>
      </c>
      <c r="B3301" t="str">
        <f>"300386"</f>
        <v>300386</v>
      </c>
      <c r="C3301" t="s">
        <v>6648</v>
      </c>
      <c r="D3301" t="s">
        <v>342</v>
      </c>
      <c r="E3301">
        <v>-115536816</v>
      </c>
      <c r="F3301">
        <v>-109816193</v>
      </c>
      <c r="G3301">
        <v>-77850960</v>
      </c>
      <c r="H3301">
        <v>-107892849</v>
      </c>
      <c r="I3301">
        <v>-204617161</v>
      </c>
      <c r="J3301">
        <v>-158157109</v>
      </c>
      <c r="K3301">
        <v>-129410405</v>
      </c>
      <c r="L3301">
        <v>-102162799</v>
      </c>
      <c r="M3301">
        <v>-65623938</v>
      </c>
      <c r="P3301">
        <v>188</v>
      </c>
      <c r="Q3301" t="s">
        <v>6649</v>
      </c>
    </row>
    <row r="3302" spans="1:17" x14ac:dyDescent="0.3">
      <c r="A3302" t="s">
        <v>32</v>
      </c>
      <c r="B3302" t="str">
        <f>"300474"</f>
        <v>300474</v>
      </c>
      <c r="C3302" t="s">
        <v>6650</v>
      </c>
      <c r="D3302" t="s">
        <v>188</v>
      </c>
      <c r="E3302">
        <v>-116071996</v>
      </c>
      <c r="F3302">
        <v>-49224711</v>
      </c>
      <c r="G3302">
        <v>-79243063</v>
      </c>
      <c r="H3302">
        <v>-52725864</v>
      </c>
      <c r="I3302">
        <v>-38901776</v>
      </c>
      <c r="J3302">
        <v>-56096451</v>
      </c>
      <c r="K3302">
        <v>-5064597</v>
      </c>
      <c r="L3302">
        <v>-20082943</v>
      </c>
      <c r="P3302">
        <v>513</v>
      </c>
      <c r="Q3302" t="s">
        <v>6651</v>
      </c>
    </row>
    <row r="3303" spans="1:17" x14ac:dyDescent="0.3">
      <c r="A3303" t="s">
        <v>32</v>
      </c>
      <c r="B3303" t="str">
        <f>"000719"</f>
        <v>000719</v>
      </c>
      <c r="C3303" t="s">
        <v>6652</v>
      </c>
      <c r="D3303" t="s">
        <v>245</v>
      </c>
      <c r="E3303">
        <v>-116406557</v>
      </c>
      <c r="F3303">
        <v>-457434347</v>
      </c>
      <c r="G3303">
        <v>-515622020</v>
      </c>
      <c r="H3303">
        <v>-374293725</v>
      </c>
      <c r="I3303">
        <v>-237222254</v>
      </c>
      <c r="J3303">
        <v>-208955865</v>
      </c>
      <c r="K3303">
        <v>-283620611</v>
      </c>
      <c r="L3303">
        <v>-326672580</v>
      </c>
      <c r="M3303">
        <v>-13540970</v>
      </c>
      <c r="N3303">
        <v>-84855636</v>
      </c>
      <c r="O3303">
        <v>-1202253</v>
      </c>
      <c r="P3303">
        <v>695</v>
      </c>
      <c r="Q3303" t="s">
        <v>6653</v>
      </c>
    </row>
    <row r="3304" spans="1:17" x14ac:dyDescent="0.3">
      <c r="A3304" t="s">
        <v>32</v>
      </c>
      <c r="B3304" t="str">
        <f>"300815"</f>
        <v>300815</v>
      </c>
      <c r="C3304" t="s">
        <v>6654</v>
      </c>
      <c r="D3304" t="s">
        <v>1334</v>
      </c>
      <c r="E3304">
        <v>-116503343</v>
      </c>
      <c r="F3304">
        <v>-168253158</v>
      </c>
      <c r="G3304">
        <v>-113303112</v>
      </c>
      <c r="H3304">
        <v>-60037734</v>
      </c>
      <c r="P3304">
        <v>345</v>
      </c>
      <c r="Q3304" t="s">
        <v>6655</v>
      </c>
    </row>
    <row r="3305" spans="1:17" x14ac:dyDescent="0.3">
      <c r="A3305" t="s">
        <v>32</v>
      </c>
      <c r="B3305" t="str">
        <f>"301185"</f>
        <v>301185</v>
      </c>
      <c r="C3305" t="s">
        <v>6656</v>
      </c>
      <c r="D3305" t="s">
        <v>342</v>
      </c>
      <c r="E3305">
        <v>-116509318</v>
      </c>
      <c r="F3305">
        <v>-19520446</v>
      </c>
      <c r="P3305">
        <v>20</v>
      </c>
      <c r="Q3305" t="s">
        <v>6657</v>
      </c>
    </row>
    <row r="3306" spans="1:17" x14ac:dyDescent="0.3">
      <c r="A3306" t="s">
        <v>17</v>
      </c>
      <c r="B3306" t="str">
        <f>"601952"</f>
        <v>601952</v>
      </c>
      <c r="C3306" t="s">
        <v>6658</v>
      </c>
      <c r="D3306" t="s">
        <v>175</v>
      </c>
      <c r="E3306">
        <v>-116603626</v>
      </c>
      <c r="F3306">
        <v>-386727931</v>
      </c>
      <c r="G3306">
        <v>61650297</v>
      </c>
      <c r="H3306">
        <v>-170644586</v>
      </c>
      <c r="I3306">
        <v>14195599</v>
      </c>
      <c r="J3306">
        <v>92645416</v>
      </c>
      <c r="K3306">
        <v>148267248</v>
      </c>
      <c r="P3306">
        <v>313</v>
      </c>
      <c r="Q3306" t="s">
        <v>6659</v>
      </c>
    </row>
    <row r="3307" spans="1:17" x14ac:dyDescent="0.3">
      <c r="A3307" t="s">
        <v>32</v>
      </c>
      <c r="B3307" t="str">
        <f>"300839"</f>
        <v>300839</v>
      </c>
      <c r="C3307" t="s">
        <v>6660</v>
      </c>
      <c r="D3307" t="s">
        <v>64</v>
      </c>
      <c r="E3307">
        <v>-116654394</v>
      </c>
      <c r="F3307">
        <v>-66946677</v>
      </c>
      <c r="G3307">
        <v>-174250862</v>
      </c>
      <c r="H3307">
        <v>-95916930</v>
      </c>
      <c r="P3307">
        <v>58</v>
      </c>
      <c r="Q3307" t="s">
        <v>6661</v>
      </c>
    </row>
    <row r="3308" spans="1:17" x14ac:dyDescent="0.3">
      <c r="A3308" t="s">
        <v>32</v>
      </c>
      <c r="B3308" t="str">
        <f>"002984"</f>
        <v>002984</v>
      </c>
      <c r="C3308" t="s">
        <v>6662</v>
      </c>
      <c r="D3308" t="s">
        <v>199</v>
      </c>
      <c r="E3308">
        <v>-116755364</v>
      </c>
      <c r="F3308">
        <v>-256771713</v>
      </c>
      <c r="G3308">
        <v>255900894</v>
      </c>
      <c r="P3308">
        <v>204</v>
      </c>
      <c r="Q3308" t="s">
        <v>6663</v>
      </c>
    </row>
    <row r="3309" spans="1:17" x14ac:dyDescent="0.3">
      <c r="A3309" t="s">
        <v>32</v>
      </c>
      <c r="B3309" t="str">
        <f>"000639"</f>
        <v>000639</v>
      </c>
      <c r="C3309" t="s">
        <v>6664</v>
      </c>
      <c r="D3309" t="s">
        <v>175</v>
      </c>
      <c r="E3309">
        <v>-116901432</v>
      </c>
      <c r="F3309">
        <v>41773501</v>
      </c>
      <c r="G3309">
        <v>-24186760</v>
      </c>
      <c r="H3309">
        <v>10710545</v>
      </c>
      <c r="I3309">
        <v>507432117</v>
      </c>
      <c r="J3309">
        <v>-206859794</v>
      </c>
      <c r="K3309">
        <v>-187927014</v>
      </c>
      <c r="L3309">
        <v>48700957</v>
      </c>
      <c r="M3309">
        <v>-141621441</v>
      </c>
      <c r="N3309">
        <v>-157084729</v>
      </c>
      <c r="O3309">
        <v>-51042252</v>
      </c>
      <c r="P3309">
        <v>328</v>
      </c>
      <c r="Q3309" t="s">
        <v>6665</v>
      </c>
    </row>
    <row r="3310" spans="1:17" x14ac:dyDescent="0.3">
      <c r="A3310" t="s">
        <v>32</v>
      </c>
      <c r="B3310" t="str">
        <f>"002531"</f>
        <v>002531</v>
      </c>
      <c r="C3310" t="s">
        <v>6666</v>
      </c>
      <c r="D3310" t="s">
        <v>464</v>
      </c>
      <c r="E3310">
        <v>-117062923</v>
      </c>
      <c r="F3310">
        <v>95587699</v>
      </c>
      <c r="G3310">
        <v>-671329107</v>
      </c>
      <c r="H3310">
        <v>-535383666</v>
      </c>
      <c r="I3310">
        <v>-733465619</v>
      </c>
      <c r="J3310">
        <v>-650492203</v>
      </c>
      <c r="K3310">
        <v>-21004791</v>
      </c>
      <c r="L3310">
        <v>37501616</v>
      </c>
      <c r="M3310">
        <v>-68506539</v>
      </c>
      <c r="N3310">
        <v>-67942507</v>
      </c>
      <c r="O3310">
        <v>143996797</v>
      </c>
      <c r="P3310">
        <v>599</v>
      </c>
      <c r="Q3310" t="s">
        <v>6667</v>
      </c>
    </row>
    <row r="3311" spans="1:17" x14ac:dyDescent="0.3">
      <c r="A3311" t="s">
        <v>17</v>
      </c>
      <c r="B3311" t="str">
        <f>"605488"</f>
        <v>605488</v>
      </c>
      <c r="C3311" t="s">
        <v>6668</v>
      </c>
      <c r="D3311" t="s">
        <v>144</v>
      </c>
      <c r="E3311">
        <v>-117261522</v>
      </c>
      <c r="F3311">
        <v>-34274825</v>
      </c>
      <c r="G3311">
        <v>24311808</v>
      </c>
      <c r="P3311">
        <v>28</v>
      </c>
      <c r="Q3311" t="s">
        <v>6669</v>
      </c>
    </row>
    <row r="3312" spans="1:17" x14ac:dyDescent="0.3">
      <c r="A3312" t="s">
        <v>17</v>
      </c>
      <c r="B3312" t="str">
        <f>"603637"</f>
        <v>603637</v>
      </c>
      <c r="C3312" t="s">
        <v>6670</v>
      </c>
      <c r="D3312" t="s">
        <v>645</v>
      </c>
      <c r="E3312">
        <v>-117309968</v>
      </c>
      <c r="F3312">
        <v>32478613</v>
      </c>
      <c r="G3312">
        <v>-37384313</v>
      </c>
      <c r="H3312">
        <v>70679817</v>
      </c>
      <c r="I3312">
        <v>42291608</v>
      </c>
      <c r="J3312">
        <v>5875560</v>
      </c>
      <c r="K3312">
        <v>-87890640</v>
      </c>
      <c r="P3312">
        <v>70</v>
      </c>
      <c r="Q3312" t="s">
        <v>6671</v>
      </c>
    </row>
    <row r="3313" spans="1:17" x14ac:dyDescent="0.3">
      <c r="A3313" t="s">
        <v>32</v>
      </c>
      <c r="B3313" t="str">
        <f>"300098"</f>
        <v>300098</v>
      </c>
      <c r="C3313" t="s">
        <v>6672</v>
      </c>
      <c r="D3313" t="s">
        <v>342</v>
      </c>
      <c r="E3313">
        <v>-117424155</v>
      </c>
      <c r="F3313">
        <v>-114836363</v>
      </c>
      <c r="G3313">
        <v>-354152256</v>
      </c>
      <c r="H3313">
        <v>-287105057</v>
      </c>
      <c r="I3313">
        <v>-348907160</v>
      </c>
      <c r="J3313">
        <v>-157810749</v>
      </c>
      <c r="K3313">
        <v>-148279127</v>
      </c>
      <c r="L3313">
        <v>-92885295</v>
      </c>
      <c r="M3313">
        <v>-68835368</v>
      </c>
      <c r="N3313">
        <v>-49573663</v>
      </c>
      <c r="O3313">
        <v>-56043971</v>
      </c>
      <c r="P3313">
        <v>368</v>
      </c>
      <c r="Q3313" t="s">
        <v>6673</v>
      </c>
    </row>
    <row r="3314" spans="1:17" x14ac:dyDescent="0.3">
      <c r="A3314" t="s">
        <v>32</v>
      </c>
      <c r="B3314" t="str">
        <f>"002362"</f>
        <v>002362</v>
      </c>
      <c r="C3314" t="s">
        <v>6674</v>
      </c>
      <c r="D3314" t="s">
        <v>342</v>
      </c>
      <c r="E3314">
        <v>-117455556</v>
      </c>
      <c r="F3314">
        <v>-101641861</v>
      </c>
      <c r="G3314">
        <v>-85298389</v>
      </c>
      <c r="H3314">
        <v>-21961873</v>
      </c>
      <c r="I3314">
        <v>-32949281</v>
      </c>
      <c r="J3314">
        <v>-1580369</v>
      </c>
      <c r="K3314">
        <v>-3752617</v>
      </c>
      <c r="L3314">
        <v>-8625985</v>
      </c>
      <c r="M3314">
        <v>22201450</v>
      </c>
      <c r="N3314">
        <v>4834649</v>
      </c>
      <c r="O3314">
        <v>-26397004</v>
      </c>
      <c r="P3314">
        <v>197</v>
      </c>
      <c r="Q3314" t="s">
        <v>6675</v>
      </c>
    </row>
    <row r="3315" spans="1:17" x14ac:dyDescent="0.3">
      <c r="A3315" t="s">
        <v>17</v>
      </c>
      <c r="B3315" t="str">
        <f>"603728"</f>
        <v>603728</v>
      </c>
      <c r="C3315" t="s">
        <v>6676</v>
      </c>
      <c r="D3315" t="s">
        <v>464</v>
      </c>
      <c r="E3315">
        <v>-117568148</v>
      </c>
      <c r="F3315">
        <v>-90946079</v>
      </c>
      <c r="G3315">
        <v>8003433</v>
      </c>
      <c r="H3315">
        <v>-27722571</v>
      </c>
      <c r="I3315">
        <v>-81284891</v>
      </c>
      <c r="J3315">
        <v>-8538929</v>
      </c>
      <c r="K3315">
        <v>-21245102</v>
      </c>
      <c r="P3315">
        <v>311</v>
      </c>
      <c r="Q3315" t="s">
        <v>6677</v>
      </c>
    </row>
    <row r="3316" spans="1:17" x14ac:dyDescent="0.3">
      <c r="A3316" t="s">
        <v>17</v>
      </c>
      <c r="B3316" t="str">
        <f>"603966"</f>
        <v>603966</v>
      </c>
      <c r="C3316" t="s">
        <v>6678</v>
      </c>
      <c r="D3316" t="s">
        <v>135</v>
      </c>
      <c r="E3316">
        <v>-117811521</v>
      </c>
      <c r="F3316">
        <v>25224014</v>
      </c>
      <c r="G3316">
        <v>21421194</v>
      </c>
      <c r="H3316">
        <v>84702651</v>
      </c>
      <c r="I3316">
        <v>-34011720</v>
      </c>
      <c r="J3316">
        <v>-28559512</v>
      </c>
      <c r="K3316">
        <v>-4486220</v>
      </c>
      <c r="P3316">
        <v>123</v>
      </c>
      <c r="Q3316" t="s">
        <v>6679</v>
      </c>
    </row>
    <row r="3317" spans="1:17" x14ac:dyDescent="0.3">
      <c r="A3317" t="s">
        <v>17</v>
      </c>
      <c r="B3317" t="str">
        <f>"603277"</f>
        <v>603277</v>
      </c>
      <c r="C3317" t="s">
        <v>6680</v>
      </c>
      <c r="D3317" t="s">
        <v>135</v>
      </c>
      <c r="E3317">
        <v>-117916485</v>
      </c>
      <c r="F3317">
        <v>-85490501</v>
      </c>
      <c r="G3317">
        <v>-62867922</v>
      </c>
      <c r="H3317">
        <v>-79395372</v>
      </c>
      <c r="I3317">
        <v>-55713709</v>
      </c>
      <c r="J3317">
        <v>-50725630</v>
      </c>
      <c r="P3317">
        <v>137</v>
      </c>
      <c r="Q3317" t="s">
        <v>6681</v>
      </c>
    </row>
    <row r="3318" spans="1:17" x14ac:dyDescent="0.3">
      <c r="A3318" t="s">
        <v>32</v>
      </c>
      <c r="B3318" t="str">
        <f>"300530"</f>
        <v>300530</v>
      </c>
      <c r="C3318" t="s">
        <v>6682</v>
      </c>
      <c r="D3318" t="s">
        <v>144</v>
      </c>
      <c r="E3318">
        <v>-117981721</v>
      </c>
      <c r="F3318">
        <v>-33972737</v>
      </c>
      <c r="G3318">
        <v>-4825995</v>
      </c>
      <c r="H3318">
        <v>-14672681</v>
      </c>
      <c r="I3318">
        <v>-2993231</v>
      </c>
      <c r="J3318">
        <v>5047971</v>
      </c>
      <c r="K3318">
        <v>-4890947</v>
      </c>
      <c r="L3318">
        <v>585</v>
      </c>
      <c r="P3318">
        <v>64</v>
      </c>
      <c r="Q3318" t="s">
        <v>6683</v>
      </c>
    </row>
    <row r="3319" spans="1:17" x14ac:dyDescent="0.3">
      <c r="A3319" t="s">
        <v>17</v>
      </c>
      <c r="B3319" t="str">
        <f>"603239"</f>
        <v>603239</v>
      </c>
      <c r="C3319" t="s">
        <v>6684</v>
      </c>
      <c r="D3319" t="s">
        <v>199</v>
      </c>
      <c r="E3319">
        <v>-118039858</v>
      </c>
      <c r="F3319">
        <v>-25989594</v>
      </c>
      <c r="G3319">
        <v>-26839350</v>
      </c>
      <c r="H3319">
        <v>19857336</v>
      </c>
      <c r="I3319">
        <v>2648594</v>
      </c>
      <c r="J3319">
        <v>-31780070</v>
      </c>
      <c r="K3319">
        <v>7335645</v>
      </c>
      <c r="P3319">
        <v>166</v>
      </c>
      <c r="Q3319" t="s">
        <v>6685</v>
      </c>
    </row>
    <row r="3320" spans="1:17" x14ac:dyDescent="0.3">
      <c r="A3320" t="s">
        <v>32</v>
      </c>
      <c r="B3320" t="str">
        <f>"301127"</f>
        <v>301127</v>
      </c>
      <c r="C3320" t="s">
        <v>6686</v>
      </c>
      <c r="D3320" t="s">
        <v>1334</v>
      </c>
      <c r="E3320">
        <v>-118042794</v>
      </c>
      <c r="P3320">
        <v>13</v>
      </c>
      <c r="Q3320" t="s">
        <v>6687</v>
      </c>
    </row>
    <row r="3321" spans="1:17" x14ac:dyDescent="0.3">
      <c r="A3321" t="s">
        <v>32</v>
      </c>
      <c r="B3321" t="str">
        <f>"002523"</f>
        <v>002523</v>
      </c>
      <c r="C3321" t="s">
        <v>6688</v>
      </c>
      <c r="D3321" t="s">
        <v>135</v>
      </c>
      <c r="E3321">
        <v>-118324314</v>
      </c>
      <c r="F3321">
        <v>-188924690</v>
      </c>
      <c r="G3321">
        <v>-99271598</v>
      </c>
      <c r="H3321">
        <v>-34661071</v>
      </c>
      <c r="I3321">
        <v>-136700147</v>
      </c>
      <c r="J3321">
        <v>-52436125</v>
      </c>
      <c r="K3321">
        <v>-47100990</v>
      </c>
      <c r="L3321">
        <v>29509908</v>
      </c>
      <c r="M3321">
        <v>-24472579</v>
      </c>
      <c r="N3321">
        <v>-39997576</v>
      </c>
      <c r="O3321">
        <v>-33927556</v>
      </c>
      <c r="P3321">
        <v>53</v>
      </c>
      <c r="Q3321" t="s">
        <v>6689</v>
      </c>
    </row>
    <row r="3322" spans="1:17" x14ac:dyDescent="0.3">
      <c r="A3322" t="s">
        <v>17</v>
      </c>
      <c r="B3322" t="str">
        <f>"600076"</f>
        <v>600076</v>
      </c>
      <c r="C3322" t="s">
        <v>6690</v>
      </c>
      <c r="D3322" t="s">
        <v>455</v>
      </c>
      <c r="E3322">
        <v>-118579285</v>
      </c>
      <c r="F3322">
        <v>-92343660</v>
      </c>
      <c r="G3322">
        <v>-89916577</v>
      </c>
      <c r="H3322">
        <v>-265714</v>
      </c>
      <c r="I3322">
        <v>32539471</v>
      </c>
      <c r="J3322">
        <v>-126670550</v>
      </c>
      <c r="K3322">
        <v>-245612297</v>
      </c>
      <c r="L3322">
        <v>3280909</v>
      </c>
      <c r="M3322">
        <v>-58367246</v>
      </c>
      <c r="N3322">
        <v>-8114957</v>
      </c>
      <c r="O3322">
        <v>-8017804</v>
      </c>
      <c r="P3322">
        <v>200</v>
      </c>
      <c r="Q3322" t="s">
        <v>6691</v>
      </c>
    </row>
    <row r="3323" spans="1:17" x14ac:dyDescent="0.3">
      <c r="A3323" t="s">
        <v>32</v>
      </c>
      <c r="B3323" t="str">
        <f>"300983"</f>
        <v>300983</v>
      </c>
      <c r="C3323" t="s">
        <v>6692</v>
      </c>
      <c r="D3323" t="s">
        <v>645</v>
      </c>
      <c r="E3323">
        <v>-118694236</v>
      </c>
      <c r="F3323">
        <v>-159032326</v>
      </c>
      <c r="G3323">
        <v>-105035049</v>
      </c>
      <c r="P3323">
        <v>34</v>
      </c>
      <c r="Q3323" t="s">
        <v>6693</v>
      </c>
    </row>
    <row r="3324" spans="1:17" x14ac:dyDescent="0.3">
      <c r="A3324" t="s">
        <v>32</v>
      </c>
      <c r="B3324" t="str">
        <f>"002593"</f>
        <v>002593</v>
      </c>
      <c r="C3324" t="s">
        <v>6694</v>
      </c>
      <c r="D3324" t="s">
        <v>645</v>
      </c>
      <c r="E3324">
        <v>-118723631</v>
      </c>
      <c r="F3324">
        <v>-214139365</v>
      </c>
      <c r="G3324">
        <v>-121075001</v>
      </c>
      <c r="H3324">
        <v>-105157115</v>
      </c>
      <c r="I3324">
        <v>23164377</v>
      </c>
      <c r="J3324">
        <v>-92269028</v>
      </c>
      <c r="K3324">
        <v>65111145</v>
      </c>
      <c r="L3324">
        <v>-25854046</v>
      </c>
      <c r="M3324">
        <v>-5566611</v>
      </c>
      <c r="N3324">
        <v>-28508955</v>
      </c>
      <c r="O3324">
        <v>-123222283</v>
      </c>
      <c r="P3324">
        <v>88</v>
      </c>
      <c r="Q3324" t="s">
        <v>6695</v>
      </c>
    </row>
    <row r="3325" spans="1:17" x14ac:dyDescent="0.3">
      <c r="A3325" t="s">
        <v>32</v>
      </c>
      <c r="B3325" t="str">
        <f>"000931"</f>
        <v>000931</v>
      </c>
      <c r="C3325" t="s">
        <v>6696</v>
      </c>
      <c r="D3325" t="s">
        <v>98</v>
      </c>
      <c r="E3325">
        <v>-118883733</v>
      </c>
      <c r="F3325">
        <v>7216698</v>
      </c>
      <c r="G3325">
        <v>-58089402</v>
      </c>
      <c r="H3325">
        <v>9987091</v>
      </c>
      <c r="I3325">
        <v>-32085655</v>
      </c>
      <c r="J3325">
        <v>-3181334</v>
      </c>
      <c r="K3325">
        <v>-64548280</v>
      </c>
      <c r="L3325">
        <v>55899687</v>
      </c>
      <c r="M3325">
        <v>-401791588</v>
      </c>
      <c r="N3325">
        <v>13069106</v>
      </c>
      <c r="O3325">
        <v>11284829</v>
      </c>
      <c r="P3325">
        <v>142</v>
      </c>
      <c r="Q3325" t="s">
        <v>6697</v>
      </c>
    </row>
    <row r="3326" spans="1:17" x14ac:dyDescent="0.3">
      <c r="A3326" t="s">
        <v>32</v>
      </c>
      <c r="B3326" t="str">
        <f>"300989"</f>
        <v>300989</v>
      </c>
      <c r="C3326" t="s">
        <v>6698</v>
      </c>
      <c r="D3326" t="s">
        <v>645</v>
      </c>
      <c r="E3326">
        <v>-118925384</v>
      </c>
      <c r="F3326">
        <v>-127360087</v>
      </c>
      <c r="G3326">
        <v>-69212426</v>
      </c>
      <c r="P3326">
        <v>32</v>
      </c>
      <c r="Q3326" t="s">
        <v>6699</v>
      </c>
    </row>
    <row r="3327" spans="1:17" x14ac:dyDescent="0.3">
      <c r="A3327" t="s">
        <v>17</v>
      </c>
      <c r="B3327" t="str">
        <f>"601599"</f>
        <v>601599</v>
      </c>
      <c r="C3327" t="s">
        <v>6700</v>
      </c>
      <c r="D3327" t="s">
        <v>130</v>
      </c>
      <c r="E3327">
        <v>-119098279</v>
      </c>
      <c r="F3327">
        <v>-32336849</v>
      </c>
      <c r="G3327">
        <v>35421522</v>
      </c>
      <c r="H3327">
        <v>-18865911</v>
      </c>
      <c r="I3327">
        <v>805090</v>
      </c>
      <c r="J3327">
        <v>-561098802</v>
      </c>
      <c r="K3327">
        <v>-241368030</v>
      </c>
      <c r="L3327">
        <v>-157195404</v>
      </c>
      <c r="M3327">
        <v>-82655062</v>
      </c>
      <c r="N3327">
        <v>-76332124</v>
      </c>
      <c r="O3327">
        <v>-245080643</v>
      </c>
      <c r="P3327">
        <v>60</v>
      </c>
      <c r="Q3327" t="s">
        <v>6701</v>
      </c>
    </row>
    <row r="3328" spans="1:17" x14ac:dyDescent="0.3">
      <c r="A3328" t="s">
        <v>32</v>
      </c>
      <c r="B3328" t="str">
        <f>"300848"</f>
        <v>300848</v>
      </c>
      <c r="C3328" t="s">
        <v>6702</v>
      </c>
      <c r="D3328" t="s">
        <v>144</v>
      </c>
      <c r="E3328">
        <v>-119115200</v>
      </c>
      <c r="F3328">
        <v>18011481</v>
      </c>
      <c r="G3328">
        <v>-62544192</v>
      </c>
      <c r="H3328">
        <v>-54678913</v>
      </c>
      <c r="P3328">
        <v>125</v>
      </c>
      <c r="Q3328" t="s">
        <v>6703</v>
      </c>
    </row>
    <row r="3329" spans="1:17" x14ac:dyDescent="0.3">
      <c r="A3329" t="s">
        <v>32</v>
      </c>
      <c r="B3329" t="str">
        <f>"002530"</f>
        <v>002530</v>
      </c>
      <c r="C3329" t="s">
        <v>6704</v>
      </c>
      <c r="D3329" t="s">
        <v>342</v>
      </c>
      <c r="E3329">
        <v>-119466414</v>
      </c>
      <c r="F3329">
        <v>-154314543</v>
      </c>
      <c r="G3329">
        <v>-162904800</v>
      </c>
      <c r="H3329">
        <v>-221535500</v>
      </c>
      <c r="I3329">
        <v>-162952360</v>
      </c>
      <c r="J3329">
        <v>-51196893</v>
      </c>
      <c r="K3329">
        <v>9968248</v>
      </c>
      <c r="L3329">
        <v>-33194649</v>
      </c>
      <c r="M3329">
        <v>-12026278</v>
      </c>
      <c r="N3329">
        <v>-18355097</v>
      </c>
      <c r="O3329">
        <v>1894758</v>
      </c>
      <c r="P3329">
        <v>135</v>
      </c>
      <c r="Q3329" t="s">
        <v>6705</v>
      </c>
    </row>
    <row r="3330" spans="1:17" x14ac:dyDescent="0.3">
      <c r="A3330" t="s">
        <v>17</v>
      </c>
      <c r="B3330" t="str">
        <f>"688513"</f>
        <v>688513</v>
      </c>
      <c r="C3330" t="s">
        <v>6706</v>
      </c>
      <c r="D3330" t="s">
        <v>98</v>
      </c>
      <c r="E3330">
        <v>-119473070</v>
      </c>
      <c r="F3330">
        <v>-5720736</v>
      </c>
      <c r="G3330">
        <v>-37417494</v>
      </c>
      <c r="P3330">
        <v>59</v>
      </c>
      <c r="Q3330" t="s">
        <v>6707</v>
      </c>
    </row>
    <row r="3331" spans="1:17" x14ac:dyDescent="0.3">
      <c r="A3331" t="s">
        <v>32</v>
      </c>
      <c r="B3331" t="str">
        <f>"300382"</f>
        <v>300382</v>
      </c>
      <c r="C3331" t="s">
        <v>6708</v>
      </c>
      <c r="D3331" t="s">
        <v>135</v>
      </c>
      <c r="E3331">
        <v>-119486693</v>
      </c>
      <c r="F3331">
        <v>-51379144</v>
      </c>
      <c r="G3331">
        <v>-57120950</v>
      </c>
      <c r="H3331">
        <v>-15764429</v>
      </c>
      <c r="I3331">
        <v>-71909709</v>
      </c>
      <c r="J3331">
        <v>-90634932</v>
      </c>
      <c r="K3331">
        <v>-34363161</v>
      </c>
      <c r="L3331">
        <v>-75548849</v>
      </c>
      <c r="M3331">
        <v>50924278</v>
      </c>
      <c r="N3331">
        <v>39744476</v>
      </c>
      <c r="P3331">
        <v>183</v>
      </c>
      <c r="Q3331" t="s">
        <v>6709</v>
      </c>
    </row>
    <row r="3332" spans="1:17" x14ac:dyDescent="0.3">
      <c r="A3332" t="s">
        <v>32</v>
      </c>
      <c r="B3332" t="str">
        <f>"002224"</f>
        <v>002224</v>
      </c>
      <c r="C3332" t="s">
        <v>6710</v>
      </c>
      <c r="D3332" t="s">
        <v>144</v>
      </c>
      <c r="E3332">
        <v>-119494800</v>
      </c>
      <c r="F3332">
        <v>2337975</v>
      </c>
      <c r="G3332">
        <v>-68196123</v>
      </c>
      <c r="H3332">
        <v>-77851431</v>
      </c>
      <c r="I3332">
        <v>-59804017</v>
      </c>
      <c r="J3332">
        <v>-84231325</v>
      </c>
      <c r="K3332">
        <v>-59477893</v>
      </c>
      <c r="L3332">
        <v>4581293</v>
      </c>
      <c r="M3332">
        <v>56206205</v>
      </c>
      <c r="N3332">
        <v>-129959480</v>
      </c>
      <c r="O3332">
        <v>-61832708</v>
      </c>
      <c r="P3332">
        <v>186</v>
      </c>
      <c r="Q3332" t="s">
        <v>6711</v>
      </c>
    </row>
    <row r="3333" spans="1:17" x14ac:dyDescent="0.3">
      <c r="A3333" t="s">
        <v>32</v>
      </c>
      <c r="B3333" t="str">
        <f>"002724"</f>
        <v>002724</v>
      </c>
      <c r="C3333" t="s">
        <v>6712</v>
      </c>
      <c r="D3333" t="s">
        <v>124</v>
      </c>
      <c r="E3333">
        <v>-119625848</v>
      </c>
      <c r="F3333">
        <v>-84477275</v>
      </c>
      <c r="G3333">
        <v>-105151847</v>
      </c>
      <c r="H3333">
        <v>-78427401</v>
      </c>
      <c r="I3333">
        <v>-105812089</v>
      </c>
      <c r="J3333">
        <v>-67338548</v>
      </c>
      <c r="K3333">
        <v>-81144393</v>
      </c>
      <c r="L3333">
        <v>-76655483</v>
      </c>
      <c r="M3333">
        <v>-67731496</v>
      </c>
      <c r="P3333">
        <v>140</v>
      </c>
      <c r="Q3333" t="s">
        <v>6713</v>
      </c>
    </row>
    <row r="3334" spans="1:17" x14ac:dyDescent="0.3">
      <c r="A3334" t="s">
        <v>32</v>
      </c>
      <c r="B3334" t="str">
        <f>"301248"</f>
        <v>301248</v>
      </c>
      <c r="C3334" t="s">
        <v>6714</v>
      </c>
      <c r="E3334">
        <v>-119649668</v>
      </c>
      <c r="P3334">
        <v>2</v>
      </c>
      <c r="Q3334" t="s">
        <v>6715</v>
      </c>
    </row>
    <row r="3335" spans="1:17" x14ac:dyDescent="0.3">
      <c r="A3335" t="s">
        <v>32</v>
      </c>
      <c r="B3335" t="str">
        <f>"300219"</f>
        <v>300219</v>
      </c>
      <c r="C3335" t="s">
        <v>6716</v>
      </c>
      <c r="D3335" t="s">
        <v>124</v>
      </c>
      <c r="E3335">
        <v>-119737567</v>
      </c>
      <c r="F3335">
        <v>-109522682</v>
      </c>
      <c r="G3335">
        <v>-44111291</v>
      </c>
      <c r="H3335">
        <v>16507786</v>
      </c>
      <c r="I3335">
        <v>47862469</v>
      </c>
      <c r="J3335">
        <v>-76536764</v>
      </c>
      <c r="K3335">
        <v>-69031563</v>
      </c>
      <c r="L3335">
        <v>-63760269</v>
      </c>
      <c r="M3335">
        <v>-7449409</v>
      </c>
      <c r="N3335">
        <v>-11833980</v>
      </c>
      <c r="O3335">
        <v>-29862736</v>
      </c>
      <c r="P3335">
        <v>135</v>
      </c>
      <c r="Q3335" t="s">
        <v>6717</v>
      </c>
    </row>
    <row r="3336" spans="1:17" x14ac:dyDescent="0.3">
      <c r="A3336" t="s">
        <v>32</v>
      </c>
      <c r="B3336" t="str">
        <f>"003029"</f>
        <v>003029</v>
      </c>
      <c r="C3336" t="s">
        <v>6718</v>
      </c>
      <c r="D3336" t="s">
        <v>342</v>
      </c>
      <c r="E3336">
        <v>-119745586</v>
      </c>
      <c r="F3336">
        <v>-61667776</v>
      </c>
      <c r="G3336">
        <v>-78205923</v>
      </c>
      <c r="P3336">
        <v>76</v>
      </c>
      <c r="Q3336" t="s">
        <v>6719</v>
      </c>
    </row>
    <row r="3337" spans="1:17" x14ac:dyDescent="0.3">
      <c r="A3337" t="s">
        <v>32</v>
      </c>
      <c r="B3337" t="str">
        <f>"200726"</f>
        <v>200726</v>
      </c>
      <c r="C3337" t="s">
        <v>6720</v>
      </c>
      <c r="E3337">
        <v>-119824757.714</v>
      </c>
      <c r="F3337">
        <v>-219757861.51300001</v>
      </c>
      <c r="G3337">
        <v>-60635692.005599998</v>
      </c>
      <c r="H3337">
        <v>-414511605.48689997</v>
      </c>
      <c r="I3337">
        <v>-34904716.303999998</v>
      </c>
      <c r="J3337">
        <v>-285029454.35439998</v>
      </c>
      <c r="K3337">
        <v>37752358.930200003</v>
      </c>
      <c r="L3337">
        <v>-217260973.75</v>
      </c>
      <c r="M3337">
        <v>-81172434.870000005</v>
      </c>
      <c r="N3337">
        <v>30078666.643199999</v>
      </c>
      <c r="O3337">
        <v>-250287556.52700001</v>
      </c>
      <c r="P3337">
        <v>329</v>
      </c>
      <c r="Q3337" t="s">
        <v>6721</v>
      </c>
    </row>
    <row r="3338" spans="1:17" x14ac:dyDescent="0.3">
      <c r="A3338" t="s">
        <v>32</v>
      </c>
      <c r="B3338" t="str">
        <f>"300903"</f>
        <v>300903</v>
      </c>
      <c r="C3338" t="s">
        <v>6722</v>
      </c>
      <c r="D3338" t="s">
        <v>124</v>
      </c>
      <c r="E3338">
        <v>-119847984</v>
      </c>
      <c r="F3338">
        <v>-47384523</v>
      </c>
      <c r="G3338">
        <v>-1912612</v>
      </c>
      <c r="P3338">
        <v>61</v>
      </c>
      <c r="Q3338" t="s">
        <v>6723</v>
      </c>
    </row>
    <row r="3339" spans="1:17" x14ac:dyDescent="0.3">
      <c r="A3339" t="s">
        <v>32</v>
      </c>
      <c r="B3339" t="str">
        <f>"300853"</f>
        <v>300853</v>
      </c>
      <c r="C3339" t="s">
        <v>6724</v>
      </c>
      <c r="D3339" t="s">
        <v>135</v>
      </c>
      <c r="E3339">
        <v>-119954560</v>
      </c>
      <c r="F3339">
        <v>-90055953</v>
      </c>
      <c r="G3339">
        <v>-75392189</v>
      </c>
      <c r="H3339">
        <v>-86545488</v>
      </c>
      <c r="P3339">
        <v>143</v>
      </c>
      <c r="Q3339" t="s">
        <v>6725</v>
      </c>
    </row>
    <row r="3340" spans="1:17" x14ac:dyDescent="0.3">
      <c r="A3340" t="s">
        <v>32</v>
      </c>
      <c r="B3340" t="str">
        <f>"300608"</f>
        <v>300608</v>
      </c>
      <c r="C3340" t="s">
        <v>6726</v>
      </c>
      <c r="D3340" t="s">
        <v>342</v>
      </c>
      <c r="E3340">
        <v>-120058522</v>
      </c>
      <c r="F3340">
        <v>-82681700</v>
      </c>
      <c r="G3340">
        <v>-135230937</v>
      </c>
      <c r="H3340">
        <v>-4833408</v>
      </c>
      <c r="I3340">
        <v>-48811273</v>
      </c>
      <c r="J3340">
        <v>-72143098</v>
      </c>
      <c r="K3340">
        <v>-67251982</v>
      </c>
      <c r="P3340">
        <v>217</v>
      </c>
      <c r="Q3340" t="s">
        <v>6727</v>
      </c>
    </row>
    <row r="3341" spans="1:17" x14ac:dyDescent="0.3">
      <c r="A3341" t="s">
        <v>17</v>
      </c>
      <c r="B3341" t="str">
        <f>"600826"</f>
        <v>600826</v>
      </c>
      <c r="C3341" t="s">
        <v>6728</v>
      </c>
      <c r="D3341" t="s">
        <v>497</v>
      </c>
      <c r="E3341">
        <v>-120070031</v>
      </c>
      <c r="F3341">
        <v>-1488035</v>
      </c>
      <c r="G3341">
        <v>-29077488</v>
      </c>
      <c r="H3341">
        <v>-88339576</v>
      </c>
      <c r="I3341">
        <v>-119408698</v>
      </c>
      <c r="J3341">
        <v>3893285</v>
      </c>
      <c r="K3341">
        <v>-11749008</v>
      </c>
      <c r="L3341">
        <v>7064561</v>
      </c>
      <c r="M3341">
        <v>-19536817</v>
      </c>
      <c r="N3341">
        <v>-14052346</v>
      </c>
      <c r="O3341">
        <v>-28898644</v>
      </c>
      <c r="P3341">
        <v>145</v>
      </c>
      <c r="Q3341" t="s">
        <v>6729</v>
      </c>
    </row>
    <row r="3342" spans="1:17" x14ac:dyDescent="0.3">
      <c r="A3342" t="s">
        <v>32</v>
      </c>
      <c r="B3342" t="str">
        <f>"300440"</f>
        <v>300440</v>
      </c>
      <c r="C3342" t="s">
        <v>6730</v>
      </c>
      <c r="D3342" t="s">
        <v>342</v>
      </c>
      <c r="E3342">
        <v>-120185320</v>
      </c>
      <c r="F3342">
        <v>-108550868</v>
      </c>
      <c r="G3342">
        <v>51448077</v>
      </c>
      <c r="H3342">
        <v>-57199927</v>
      </c>
      <c r="I3342">
        <v>-71890568</v>
      </c>
      <c r="J3342">
        <v>-45416972</v>
      </c>
      <c r="K3342">
        <v>-1579269</v>
      </c>
      <c r="L3342">
        <v>-57688503</v>
      </c>
      <c r="M3342">
        <v>-19756453</v>
      </c>
      <c r="P3342">
        <v>151</v>
      </c>
      <c r="Q3342" t="s">
        <v>6731</v>
      </c>
    </row>
    <row r="3343" spans="1:17" x14ac:dyDescent="0.3">
      <c r="A3343" t="s">
        <v>32</v>
      </c>
      <c r="B3343" t="str">
        <f>"300599"</f>
        <v>300599</v>
      </c>
      <c r="C3343" t="s">
        <v>6732</v>
      </c>
      <c r="D3343" t="s">
        <v>400</v>
      </c>
      <c r="E3343">
        <v>-120287771</v>
      </c>
      <c r="F3343">
        <v>-71005501</v>
      </c>
      <c r="G3343">
        <v>-99317088</v>
      </c>
      <c r="H3343">
        <v>-99216031</v>
      </c>
      <c r="I3343">
        <v>-111782960</v>
      </c>
      <c r="J3343">
        <v>-78835979</v>
      </c>
      <c r="K3343">
        <v>-89618973</v>
      </c>
      <c r="P3343">
        <v>102</v>
      </c>
      <c r="Q3343" t="s">
        <v>6733</v>
      </c>
    </row>
    <row r="3344" spans="1:17" x14ac:dyDescent="0.3">
      <c r="A3344" t="s">
        <v>17</v>
      </c>
      <c r="B3344" t="str">
        <f>"601069"</f>
        <v>601069</v>
      </c>
      <c r="C3344" t="s">
        <v>6734</v>
      </c>
      <c r="D3344" t="s">
        <v>121</v>
      </c>
      <c r="E3344">
        <v>-120386663</v>
      </c>
      <c r="F3344">
        <v>-218662680</v>
      </c>
      <c r="G3344">
        <v>-192814058</v>
      </c>
      <c r="H3344">
        <v>-45645470</v>
      </c>
      <c r="I3344">
        <v>-1420827</v>
      </c>
      <c r="J3344">
        <v>113292740</v>
      </c>
      <c r="K3344">
        <v>78456121</v>
      </c>
      <c r="L3344">
        <v>-18830789</v>
      </c>
      <c r="M3344">
        <v>-36226011</v>
      </c>
      <c r="P3344">
        <v>142</v>
      </c>
      <c r="Q3344" t="s">
        <v>6735</v>
      </c>
    </row>
    <row r="3345" spans="1:17" x14ac:dyDescent="0.3">
      <c r="A3345" t="s">
        <v>17</v>
      </c>
      <c r="B3345" t="str">
        <f>"603955"</f>
        <v>603955</v>
      </c>
      <c r="C3345" t="s">
        <v>6736</v>
      </c>
      <c r="D3345" t="s">
        <v>645</v>
      </c>
      <c r="E3345">
        <v>-120571120</v>
      </c>
      <c r="F3345">
        <v>10493546</v>
      </c>
      <c r="G3345">
        <v>-254060357</v>
      </c>
      <c r="H3345">
        <v>-127948402</v>
      </c>
      <c r="I3345">
        <v>-85470641</v>
      </c>
      <c r="J3345">
        <v>-108290163</v>
      </c>
      <c r="K3345">
        <v>49908366</v>
      </c>
      <c r="P3345">
        <v>60</v>
      </c>
      <c r="Q3345" t="s">
        <v>6737</v>
      </c>
    </row>
    <row r="3346" spans="1:17" x14ac:dyDescent="0.3">
      <c r="A3346" t="s">
        <v>32</v>
      </c>
      <c r="B3346" t="str">
        <f>"300252"</f>
        <v>300252</v>
      </c>
      <c r="C3346" t="s">
        <v>6738</v>
      </c>
      <c r="D3346" t="s">
        <v>188</v>
      </c>
      <c r="E3346">
        <v>-121002021</v>
      </c>
      <c r="F3346">
        <v>62556391</v>
      </c>
      <c r="G3346">
        <v>109604348</v>
      </c>
      <c r="H3346">
        <v>-26570006</v>
      </c>
      <c r="I3346">
        <v>-93228213</v>
      </c>
      <c r="J3346">
        <v>-384945425</v>
      </c>
      <c r="K3346">
        <v>-39682836</v>
      </c>
      <c r="L3346">
        <v>26639563</v>
      </c>
      <c r="M3346">
        <v>50160731</v>
      </c>
      <c r="N3346">
        <v>-77776312</v>
      </c>
      <c r="O3346">
        <v>-48279765</v>
      </c>
      <c r="P3346">
        <v>217</v>
      </c>
      <c r="Q3346" t="s">
        <v>6739</v>
      </c>
    </row>
    <row r="3347" spans="1:17" x14ac:dyDescent="0.3">
      <c r="A3347" t="s">
        <v>32</v>
      </c>
      <c r="B3347" t="str">
        <f>"002614"</f>
        <v>002614</v>
      </c>
      <c r="C3347" t="s">
        <v>6740</v>
      </c>
      <c r="D3347" t="s">
        <v>127</v>
      </c>
      <c r="E3347">
        <v>-121003200</v>
      </c>
      <c r="F3347">
        <v>-149982124</v>
      </c>
      <c r="G3347">
        <v>113507851</v>
      </c>
      <c r="H3347">
        <v>-172853358</v>
      </c>
      <c r="I3347">
        <v>-261642309</v>
      </c>
      <c r="J3347">
        <v>92789266</v>
      </c>
      <c r="K3347">
        <v>-117835716</v>
      </c>
      <c r="L3347">
        <v>-218222440</v>
      </c>
      <c r="M3347">
        <v>-48509185</v>
      </c>
      <c r="N3347">
        <v>-10712791</v>
      </c>
      <c r="O3347">
        <v>-74524578</v>
      </c>
      <c r="P3347">
        <v>525</v>
      </c>
      <c r="Q3347" t="s">
        <v>6741</v>
      </c>
    </row>
    <row r="3348" spans="1:17" x14ac:dyDescent="0.3">
      <c r="A3348" t="s">
        <v>32</v>
      </c>
      <c r="B3348" t="str">
        <f>"300788"</f>
        <v>300788</v>
      </c>
      <c r="C3348" t="s">
        <v>6742</v>
      </c>
      <c r="D3348" t="s">
        <v>245</v>
      </c>
      <c r="E3348">
        <v>-121405934</v>
      </c>
      <c r="F3348">
        <v>-17298402</v>
      </c>
      <c r="G3348">
        <v>-76677687</v>
      </c>
      <c r="H3348">
        <v>-54684748</v>
      </c>
      <c r="I3348">
        <v>53157900</v>
      </c>
      <c r="P3348">
        <v>347</v>
      </c>
      <c r="Q3348" t="s">
        <v>6743</v>
      </c>
    </row>
    <row r="3349" spans="1:17" x14ac:dyDescent="0.3">
      <c r="A3349" t="s">
        <v>17</v>
      </c>
      <c r="B3349" t="str">
        <f>"603301"</f>
        <v>603301</v>
      </c>
      <c r="C3349" t="s">
        <v>6744</v>
      </c>
      <c r="D3349" t="s">
        <v>98</v>
      </c>
      <c r="E3349">
        <v>-121494262</v>
      </c>
      <c r="F3349">
        <v>39779170</v>
      </c>
      <c r="G3349">
        <v>86443025</v>
      </c>
      <c r="H3349">
        <v>-102645540</v>
      </c>
      <c r="I3349">
        <v>-49845781</v>
      </c>
      <c r="J3349">
        <v>-6367691</v>
      </c>
      <c r="P3349">
        <v>1533</v>
      </c>
      <c r="Q3349" t="s">
        <v>6745</v>
      </c>
    </row>
    <row r="3350" spans="1:17" x14ac:dyDescent="0.3">
      <c r="A3350" t="s">
        <v>32</v>
      </c>
      <c r="B3350" t="str">
        <f>"000839"</f>
        <v>000839</v>
      </c>
      <c r="C3350" t="s">
        <v>6746</v>
      </c>
      <c r="D3350" t="s">
        <v>345</v>
      </c>
      <c r="E3350">
        <v>-122200680</v>
      </c>
      <c r="F3350">
        <v>-423947782</v>
      </c>
      <c r="G3350">
        <v>-468177671</v>
      </c>
      <c r="H3350">
        <v>-185949089</v>
      </c>
      <c r="I3350">
        <v>-528752283</v>
      </c>
      <c r="J3350">
        <v>-403389977</v>
      </c>
      <c r="K3350">
        <v>-341974518</v>
      </c>
      <c r="L3350">
        <v>-69780914</v>
      </c>
      <c r="M3350">
        <v>-87530755</v>
      </c>
      <c r="N3350">
        <v>-103816036</v>
      </c>
      <c r="O3350">
        <v>-311776208</v>
      </c>
      <c r="P3350">
        <v>219</v>
      </c>
      <c r="Q3350" t="s">
        <v>6747</v>
      </c>
    </row>
    <row r="3351" spans="1:17" x14ac:dyDescent="0.3">
      <c r="A3351" t="s">
        <v>32</v>
      </c>
      <c r="B3351" t="str">
        <f>"000430"</f>
        <v>000430</v>
      </c>
      <c r="C3351" t="s">
        <v>6748</v>
      </c>
      <c r="D3351" t="s">
        <v>497</v>
      </c>
      <c r="E3351">
        <v>-122296380</v>
      </c>
      <c r="F3351">
        <v>-97035194</v>
      </c>
      <c r="G3351">
        <v>-124630388</v>
      </c>
      <c r="H3351">
        <v>-96587686</v>
      </c>
      <c r="I3351">
        <v>-119920016</v>
      </c>
      <c r="J3351">
        <v>-38422687</v>
      </c>
      <c r="K3351">
        <v>-42860627</v>
      </c>
      <c r="L3351">
        <v>-46331810</v>
      </c>
      <c r="M3351">
        <v>-51597187</v>
      </c>
      <c r="N3351">
        <v>-57054250</v>
      </c>
      <c r="O3351">
        <v>-30702693</v>
      </c>
      <c r="P3351">
        <v>109</v>
      </c>
      <c r="Q3351" t="s">
        <v>6749</v>
      </c>
    </row>
    <row r="3352" spans="1:17" x14ac:dyDescent="0.3">
      <c r="A3352" t="s">
        <v>32</v>
      </c>
      <c r="B3352" t="str">
        <f>"300471"</f>
        <v>300471</v>
      </c>
      <c r="C3352" t="s">
        <v>6750</v>
      </c>
      <c r="D3352" t="s">
        <v>135</v>
      </c>
      <c r="E3352">
        <v>-122296386</v>
      </c>
      <c r="F3352">
        <v>-78751730</v>
      </c>
      <c r="G3352">
        <v>-43818745</v>
      </c>
      <c r="H3352">
        <v>-30017091</v>
      </c>
      <c r="I3352">
        <v>-257009080</v>
      </c>
      <c r="J3352">
        <v>-145279510</v>
      </c>
      <c r="K3352">
        <v>-202260335</v>
      </c>
      <c r="L3352">
        <v>-186523414</v>
      </c>
      <c r="M3352">
        <v>-109897276</v>
      </c>
      <c r="P3352">
        <v>166</v>
      </c>
      <c r="Q3352" t="s">
        <v>6751</v>
      </c>
    </row>
    <row r="3353" spans="1:17" x14ac:dyDescent="0.3">
      <c r="A3353" t="s">
        <v>32</v>
      </c>
      <c r="B3353" t="str">
        <f>"002350"</f>
        <v>002350</v>
      </c>
      <c r="C3353" t="s">
        <v>6752</v>
      </c>
      <c r="D3353" t="s">
        <v>464</v>
      </c>
      <c r="E3353">
        <v>-122353881</v>
      </c>
      <c r="F3353">
        <v>-144323109</v>
      </c>
      <c r="G3353">
        <v>-77717661</v>
      </c>
      <c r="H3353">
        <v>138699860</v>
      </c>
      <c r="I3353">
        <v>-104618732</v>
      </c>
      <c r="J3353">
        <v>-98480342</v>
      </c>
      <c r="K3353">
        <v>-99480502</v>
      </c>
      <c r="L3353">
        <v>-108579926</v>
      </c>
      <c r="M3353">
        <v>-166753987</v>
      </c>
      <c r="N3353">
        <v>-63702366</v>
      </c>
      <c r="O3353">
        <v>-62116980</v>
      </c>
      <c r="P3353">
        <v>104</v>
      </c>
      <c r="Q3353" t="s">
        <v>6753</v>
      </c>
    </row>
    <row r="3354" spans="1:17" x14ac:dyDescent="0.3">
      <c r="A3354" t="s">
        <v>17</v>
      </c>
      <c r="B3354" t="str">
        <f>"601158"</f>
        <v>601158</v>
      </c>
      <c r="C3354" t="s">
        <v>6754</v>
      </c>
      <c r="D3354" t="s">
        <v>1334</v>
      </c>
      <c r="E3354">
        <v>-122453171</v>
      </c>
      <c r="F3354">
        <v>-766712254</v>
      </c>
      <c r="G3354">
        <v>-31021537</v>
      </c>
      <c r="H3354">
        <v>-33086632</v>
      </c>
      <c r="I3354">
        <v>74198984</v>
      </c>
      <c r="J3354">
        <v>47415040</v>
      </c>
      <c r="K3354">
        <v>258122464</v>
      </c>
      <c r="L3354">
        <v>373479962</v>
      </c>
      <c r="M3354">
        <v>561607400</v>
      </c>
      <c r="N3354">
        <v>390118943</v>
      </c>
      <c r="O3354">
        <v>259665136</v>
      </c>
      <c r="P3354">
        <v>585</v>
      </c>
      <c r="Q3354" t="s">
        <v>6755</v>
      </c>
    </row>
    <row r="3355" spans="1:17" x14ac:dyDescent="0.3">
      <c r="A3355" t="s">
        <v>32</v>
      </c>
      <c r="B3355" t="str">
        <f>"002031"</f>
        <v>002031</v>
      </c>
      <c r="C3355" t="s">
        <v>6756</v>
      </c>
      <c r="D3355" t="s">
        <v>135</v>
      </c>
      <c r="E3355">
        <v>-122455354</v>
      </c>
      <c r="F3355">
        <v>91892999</v>
      </c>
      <c r="G3355">
        <v>33774761</v>
      </c>
      <c r="H3355">
        <v>120155565</v>
      </c>
      <c r="I3355">
        <v>-142162906</v>
      </c>
      <c r="J3355">
        <v>-8217300</v>
      </c>
      <c r="K3355">
        <v>23767299</v>
      </c>
      <c r="L3355">
        <v>-214367479</v>
      </c>
      <c r="M3355">
        <v>231312</v>
      </c>
      <c r="N3355">
        <v>42478209</v>
      </c>
      <c r="O3355">
        <v>-13731320</v>
      </c>
      <c r="P3355">
        <v>137</v>
      </c>
      <c r="Q3355" t="s">
        <v>6757</v>
      </c>
    </row>
    <row r="3356" spans="1:17" x14ac:dyDescent="0.3">
      <c r="A3356" t="s">
        <v>32</v>
      </c>
      <c r="B3356" t="str">
        <f>"000610"</f>
        <v>000610</v>
      </c>
      <c r="C3356" t="s">
        <v>6758</v>
      </c>
      <c r="D3356" t="s">
        <v>497</v>
      </c>
      <c r="E3356">
        <v>-122773078</v>
      </c>
      <c r="F3356">
        <v>-116633089</v>
      </c>
      <c r="G3356">
        <v>-95950917</v>
      </c>
      <c r="H3356">
        <v>7586548</v>
      </c>
      <c r="I3356">
        <v>-58773605</v>
      </c>
      <c r="J3356">
        <v>-103627998</v>
      </c>
      <c r="K3356">
        <v>-85876234</v>
      </c>
      <c r="L3356">
        <v>-7072197</v>
      </c>
      <c r="M3356">
        <v>-22378352</v>
      </c>
      <c r="N3356">
        <v>-14843182</v>
      </c>
      <c r="O3356">
        <v>124637459</v>
      </c>
      <c r="P3356">
        <v>152</v>
      </c>
      <c r="Q3356" t="s">
        <v>6759</v>
      </c>
    </row>
    <row r="3357" spans="1:17" x14ac:dyDescent="0.3">
      <c r="A3357" t="s">
        <v>17</v>
      </c>
      <c r="B3357" t="str">
        <f>"600080"</f>
        <v>600080</v>
      </c>
      <c r="C3357" t="s">
        <v>6760</v>
      </c>
      <c r="D3357" t="s">
        <v>98</v>
      </c>
      <c r="E3357">
        <v>-122800195</v>
      </c>
      <c r="F3357">
        <v>-40894842</v>
      </c>
      <c r="G3357">
        <v>-15215659</v>
      </c>
      <c r="H3357">
        <v>2659329</v>
      </c>
      <c r="I3357">
        <v>-12607953</v>
      </c>
      <c r="J3357">
        <v>-29073955</v>
      </c>
      <c r="K3357">
        <v>4799237</v>
      </c>
      <c r="L3357">
        <v>-4288177</v>
      </c>
      <c r="M3357">
        <v>-8059130</v>
      </c>
      <c r="N3357">
        <v>-2091017</v>
      </c>
      <c r="O3357">
        <v>-11520385</v>
      </c>
      <c r="P3357">
        <v>97</v>
      </c>
      <c r="Q3357" t="s">
        <v>6761</v>
      </c>
    </row>
    <row r="3358" spans="1:17" x14ac:dyDescent="0.3">
      <c r="A3358" t="s">
        <v>32</v>
      </c>
      <c r="B3358" t="str">
        <f>"301029"</f>
        <v>301029</v>
      </c>
      <c r="C3358" t="s">
        <v>6762</v>
      </c>
      <c r="D3358" t="s">
        <v>135</v>
      </c>
      <c r="E3358">
        <v>-122874342</v>
      </c>
      <c r="F3358">
        <v>-94000816</v>
      </c>
      <c r="G3358">
        <v>-80167210</v>
      </c>
      <c r="P3358">
        <v>67</v>
      </c>
      <c r="Q3358" t="s">
        <v>6763</v>
      </c>
    </row>
    <row r="3359" spans="1:17" x14ac:dyDescent="0.3">
      <c r="A3359" t="s">
        <v>32</v>
      </c>
      <c r="B3359" t="str">
        <f>"002360"</f>
        <v>002360</v>
      </c>
      <c r="C3359" t="s">
        <v>6764</v>
      </c>
      <c r="D3359" t="s">
        <v>144</v>
      </c>
      <c r="E3359">
        <v>-123021929</v>
      </c>
      <c r="F3359">
        <v>17487027</v>
      </c>
      <c r="G3359">
        <v>-11218908</v>
      </c>
      <c r="H3359">
        <v>-40618474</v>
      </c>
      <c r="I3359">
        <v>-18771882</v>
      </c>
      <c r="J3359">
        <v>-1220154</v>
      </c>
      <c r="K3359">
        <v>-31461679</v>
      </c>
      <c r="L3359">
        <v>-18481306</v>
      </c>
      <c r="M3359">
        <v>-51971833</v>
      </c>
      <c r="N3359">
        <v>-35029102</v>
      </c>
      <c r="O3359">
        <v>14095829</v>
      </c>
      <c r="P3359">
        <v>111</v>
      </c>
      <c r="Q3359" t="s">
        <v>6765</v>
      </c>
    </row>
    <row r="3360" spans="1:17" x14ac:dyDescent="0.3">
      <c r="A3360" t="s">
        <v>32</v>
      </c>
      <c r="B3360" t="str">
        <f>"002639"</f>
        <v>002639</v>
      </c>
      <c r="C3360" t="s">
        <v>6766</v>
      </c>
      <c r="D3360" t="s">
        <v>135</v>
      </c>
      <c r="E3360">
        <v>-123233055</v>
      </c>
      <c r="F3360">
        <v>-45478518</v>
      </c>
      <c r="G3360">
        <v>-132666600</v>
      </c>
      <c r="H3360">
        <v>-57998813</v>
      </c>
      <c r="I3360">
        <v>-160702978</v>
      </c>
      <c r="J3360">
        <v>-154212449</v>
      </c>
      <c r="K3360">
        <v>-82214391</v>
      </c>
      <c r="L3360">
        <v>-153503656</v>
      </c>
      <c r="M3360">
        <v>-63690789</v>
      </c>
      <c r="N3360">
        <v>-88120856</v>
      </c>
      <c r="O3360">
        <v>-40975199</v>
      </c>
      <c r="P3360">
        <v>228</v>
      </c>
      <c r="Q3360" t="s">
        <v>6767</v>
      </c>
    </row>
    <row r="3361" spans="1:17" x14ac:dyDescent="0.3">
      <c r="A3361" t="s">
        <v>32</v>
      </c>
      <c r="B3361" t="str">
        <f>"002117"</f>
        <v>002117</v>
      </c>
      <c r="C3361" t="s">
        <v>6768</v>
      </c>
      <c r="D3361" t="s">
        <v>455</v>
      </c>
      <c r="E3361">
        <v>-123379372</v>
      </c>
      <c r="F3361">
        <v>-114884833</v>
      </c>
      <c r="G3361">
        <v>-183589627</v>
      </c>
      <c r="H3361">
        <v>-162934665</v>
      </c>
      <c r="I3361">
        <v>-215297033</v>
      </c>
      <c r="J3361">
        <v>-177075240</v>
      </c>
      <c r="K3361">
        <v>-172786515</v>
      </c>
      <c r="L3361">
        <v>-116452269</v>
      </c>
      <c r="M3361">
        <v>-75047756</v>
      </c>
      <c r="N3361">
        <v>-63689278</v>
      </c>
      <c r="O3361">
        <v>-25376474</v>
      </c>
      <c r="P3361">
        <v>392</v>
      </c>
      <c r="Q3361" t="s">
        <v>6769</v>
      </c>
    </row>
    <row r="3362" spans="1:17" x14ac:dyDescent="0.3">
      <c r="A3362" t="s">
        <v>32</v>
      </c>
      <c r="B3362" t="str">
        <f>"002409"</f>
        <v>002409</v>
      </c>
      <c r="C3362" t="s">
        <v>6770</v>
      </c>
      <c r="D3362" t="s">
        <v>124</v>
      </c>
      <c r="E3362">
        <v>-123447609</v>
      </c>
      <c r="F3362">
        <v>-42330699</v>
      </c>
      <c r="G3362">
        <v>36131520</v>
      </c>
      <c r="H3362">
        <v>-61499115</v>
      </c>
      <c r="I3362">
        <v>70953546</v>
      </c>
      <c r="J3362">
        <v>-53443185</v>
      </c>
      <c r="K3362">
        <v>-5162738</v>
      </c>
      <c r="L3362">
        <v>-74098788</v>
      </c>
      <c r="M3362">
        <v>32054596</v>
      </c>
      <c r="N3362">
        <v>-22682020</v>
      </c>
      <c r="O3362">
        <v>-42805505</v>
      </c>
      <c r="P3362">
        <v>496</v>
      </c>
      <c r="Q3362" t="s">
        <v>6771</v>
      </c>
    </row>
    <row r="3363" spans="1:17" x14ac:dyDescent="0.3">
      <c r="A3363" t="s">
        <v>32</v>
      </c>
      <c r="B3363" t="str">
        <f>"002669"</f>
        <v>002669</v>
      </c>
      <c r="C3363" t="s">
        <v>6772</v>
      </c>
      <c r="D3363" t="s">
        <v>144</v>
      </c>
      <c r="E3363">
        <v>-123634871</v>
      </c>
      <c r="F3363">
        <v>-47266117</v>
      </c>
      <c r="G3363">
        <v>-135522763</v>
      </c>
      <c r="H3363">
        <v>8670543</v>
      </c>
      <c r="I3363">
        <v>-149279518</v>
      </c>
      <c r="J3363">
        <v>-10067185</v>
      </c>
      <c r="K3363">
        <v>-13266546</v>
      </c>
      <c r="L3363">
        <v>-60174360</v>
      </c>
      <c r="M3363">
        <v>-30094561</v>
      </c>
      <c r="N3363">
        <v>-10507837</v>
      </c>
      <c r="O3363">
        <v>-20310064</v>
      </c>
      <c r="P3363">
        <v>138</v>
      </c>
      <c r="Q3363" t="s">
        <v>6773</v>
      </c>
    </row>
    <row r="3364" spans="1:17" x14ac:dyDescent="0.3">
      <c r="A3364" t="s">
        <v>32</v>
      </c>
      <c r="B3364" t="str">
        <f>"002877"</f>
        <v>002877</v>
      </c>
      <c r="C3364" t="s">
        <v>6774</v>
      </c>
      <c r="D3364" t="s">
        <v>135</v>
      </c>
      <c r="E3364">
        <v>-123635480</v>
      </c>
      <c r="F3364">
        <v>-59536783</v>
      </c>
      <c r="G3364">
        <v>-67767419</v>
      </c>
      <c r="H3364">
        <v>-62987864</v>
      </c>
      <c r="I3364">
        <v>-35412570</v>
      </c>
      <c r="J3364">
        <v>-15738341</v>
      </c>
      <c r="K3364">
        <v>5654096</v>
      </c>
      <c r="P3364">
        <v>100</v>
      </c>
      <c r="Q3364" t="s">
        <v>6775</v>
      </c>
    </row>
    <row r="3365" spans="1:17" x14ac:dyDescent="0.3">
      <c r="A3365" t="s">
        <v>17</v>
      </c>
      <c r="B3365" t="str">
        <f>"603383"</f>
        <v>603383</v>
      </c>
      <c r="C3365" t="s">
        <v>6776</v>
      </c>
      <c r="D3365" t="s">
        <v>342</v>
      </c>
      <c r="E3365">
        <v>-123646579</v>
      </c>
      <c r="F3365">
        <v>-82788397</v>
      </c>
      <c r="G3365">
        <v>-68342662</v>
      </c>
      <c r="H3365">
        <v>-68655265</v>
      </c>
      <c r="I3365">
        <v>-42671851</v>
      </c>
      <c r="J3365">
        <v>-24656441</v>
      </c>
      <c r="K3365">
        <v>-32900300</v>
      </c>
      <c r="P3365">
        <v>192</v>
      </c>
      <c r="Q3365" t="s">
        <v>6777</v>
      </c>
    </row>
    <row r="3366" spans="1:17" x14ac:dyDescent="0.3">
      <c r="A3366" t="s">
        <v>32</v>
      </c>
      <c r="B3366" t="str">
        <f>"002149"</f>
        <v>002149</v>
      </c>
      <c r="C3366" t="s">
        <v>6778</v>
      </c>
      <c r="D3366" t="s">
        <v>121</v>
      </c>
      <c r="E3366">
        <v>-123712077</v>
      </c>
      <c r="F3366">
        <v>-64894001</v>
      </c>
      <c r="G3366">
        <v>-160868012</v>
      </c>
      <c r="H3366">
        <v>-74164837</v>
      </c>
      <c r="I3366">
        <v>-27336401</v>
      </c>
      <c r="J3366">
        <v>-67850008</v>
      </c>
      <c r="K3366">
        <v>-52272366</v>
      </c>
      <c r="L3366">
        <v>-36189334</v>
      </c>
      <c r="M3366">
        <v>-16046895</v>
      </c>
      <c r="N3366">
        <v>32440483</v>
      </c>
      <c r="O3366">
        <v>-5181120</v>
      </c>
      <c r="P3366">
        <v>259</v>
      </c>
      <c r="Q3366" t="s">
        <v>6779</v>
      </c>
    </row>
    <row r="3367" spans="1:17" x14ac:dyDescent="0.3">
      <c r="A3367" t="s">
        <v>17</v>
      </c>
      <c r="B3367" t="str">
        <f>"603716"</f>
        <v>603716</v>
      </c>
      <c r="C3367" t="s">
        <v>6780</v>
      </c>
      <c r="D3367" t="s">
        <v>98</v>
      </c>
      <c r="E3367">
        <v>-123954780</v>
      </c>
      <c r="F3367">
        <v>-23612396</v>
      </c>
      <c r="G3367">
        <v>-94417983</v>
      </c>
      <c r="H3367">
        <v>-105467832</v>
      </c>
      <c r="I3367">
        <v>-101160053</v>
      </c>
      <c r="J3367">
        <v>-38043182</v>
      </c>
      <c r="K3367">
        <v>-24265118</v>
      </c>
      <c r="P3367">
        <v>137</v>
      </c>
      <c r="Q3367" t="s">
        <v>6781</v>
      </c>
    </row>
    <row r="3368" spans="1:17" x14ac:dyDescent="0.3">
      <c r="A3368" t="s">
        <v>32</v>
      </c>
      <c r="B3368" t="str">
        <f>"300594"</f>
        <v>300594</v>
      </c>
      <c r="C3368" t="s">
        <v>6782</v>
      </c>
      <c r="D3368" t="s">
        <v>135</v>
      </c>
      <c r="E3368">
        <v>-124171318</v>
      </c>
      <c r="F3368">
        <v>-57235087</v>
      </c>
      <c r="G3368">
        <v>-55405641</v>
      </c>
      <c r="H3368">
        <v>-71571727</v>
      </c>
      <c r="I3368">
        <v>-2013978</v>
      </c>
      <c r="P3368">
        <v>72</v>
      </c>
      <c r="Q3368" t="s">
        <v>6783</v>
      </c>
    </row>
    <row r="3369" spans="1:17" x14ac:dyDescent="0.3">
      <c r="A3369" t="s">
        <v>32</v>
      </c>
      <c r="B3369" t="str">
        <f>"300137"</f>
        <v>300137</v>
      </c>
      <c r="C3369" t="s">
        <v>6784</v>
      </c>
      <c r="D3369" t="s">
        <v>1334</v>
      </c>
      <c r="E3369">
        <v>-124544200</v>
      </c>
      <c r="F3369">
        <v>-137125000</v>
      </c>
      <c r="G3369">
        <v>-107908969</v>
      </c>
      <c r="H3369">
        <v>42358546</v>
      </c>
      <c r="I3369">
        <v>-171974930</v>
      </c>
      <c r="J3369">
        <v>-164230242</v>
      </c>
      <c r="K3369">
        <v>-111399985</v>
      </c>
      <c r="L3369">
        <v>-97748560</v>
      </c>
      <c r="M3369">
        <v>-81771989</v>
      </c>
      <c r="N3369">
        <v>-43526942</v>
      </c>
      <c r="O3369">
        <v>-33531235</v>
      </c>
      <c r="P3369">
        <v>253</v>
      </c>
      <c r="Q3369" t="s">
        <v>6785</v>
      </c>
    </row>
    <row r="3370" spans="1:17" x14ac:dyDescent="0.3">
      <c r="A3370" t="s">
        <v>32</v>
      </c>
      <c r="B3370" t="str">
        <f>"301015"</f>
        <v>301015</v>
      </c>
      <c r="C3370" t="s">
        <v>6786</v>
      </c>
      <c r="D3370" t="s">
        <v>98</v>
      </c>
      <c r="E3370">
        <v>-124544681</v>
      </c>
      <c r="F3370">
        <v>-119305459</v>
      </c>
      <c r="G3370">
        <v>-547773559</v>
      </c>
      <c r="P3370">
        <v>45</v>
      </c>
      <c r="Q3370" t="s">
        <v>6787</v>
      </c>
    </row>
    <row r="3371" spans="1:17" x14ac:dyDescent="0.3">
      <c r="A3371" t="s">
        <v>32</v>
      </c>
      <c r="B3371" t="str">
        <f>"300800"</f>
        <v>300800</v>
      </c>
      <c r="C3371" t="s">
        <v>6788</v>
      </c>
      <c r="D3371" t="s">
        <v>1334</v>
      </c>
      <c r="E3371">
        <v>-124597165</v>
      </c>
      <c r="F3371">
        <v>-88695755</v>
      </c>
      <c r="G3371">
        <v>-66749799</v>
      </c>
      <c r="H3371">
        <v>-71941256</v>
      </c>
      <c r="P3371">
        <v>362</v>
      </c>
      <c r="Q3371" t="s">
        <v>6789</v>
      </c>
    </row>
    <row r="3372" spans="1:17" x14ac:dyDescent="0.3">
      <c r="A3372" t="s">
        <v>32</v>
      </c>
      <c r="B3372" t="str">
        <f>"000006"</f>
        <v>000006</v>
      </c>
      <c r="C3372" t="s">
        <v>6790</v>
      </c>
      <c r="D3372" t="s">
        <v>151</v>
      </c>
      <c r="E3372">
        <v>-124701112</v>
      </c>
      <c r="F3372">
        <v>308959712</v>
      </c>
      <c r="G3372">
        <v>-248925692</v>
      </c>
      <c r="H3372">
        <v>-171766010</v>
      </c>
      <c r="I3372">
        <v>-149828423</v>
      </c>
      <c r="J3372">
        <v>32441902</v>
      </c>
      <c r="K3372">
        <v>524250523</v>
      </c>
      <c r="L3372">
        <v>-739451291</v>
      </c>
      <c r="M3372">
        <v>-96473934</v>
      </c>
      <c r="N3372">
        <v>176998242</v>
      </c>
      <c r="O3372">
        <v>91125799</v>
      </c>
      <c r="P3372">
        <v>424</v>
      </c>
      <c r="Q3372" t="s">
        <v>6791</v>
      </c>
    </row>
    <row r="3373" spans="1:17" x14ac:dyDescent="0.3">
      <c r="A3373" t="s">
        <v>17</v>
      </c>
      <c r="B3373" t="str">
        <f>"600609"</f>
        <v>600609</v>
      </c>
      <c r="C3373" t="s">
        <v>6792</v>
      </c>
      <c r="D3373" t="s">
        <v>199</v>
      </c>
      <c r="E3373">
        <v>-124819009</v>
      </c>
      <c r="F3373">
        <v>-50411332</v>
      </c>
      <c r="G3373">
        <v>53074229</v>
      </c>
      <c r="H3373">
        <v>149711231</v>
      </c>
      <c r="I3373">
        <v>-26180206</v>
      </c>
      <c r="J3373">
        <v>-108396373</v>
      </c>
      <c r="K3373">
        <v>-42929815</v>
      </c>
      <c r="L3373">
        <v>-431615091</v>
      </c>
      <c r="M3373">
        <v>58910210</v>
      </c>
      <c r="N3373">
        <v>39600674</v>
      </c>
      <c r="O3373">
        <v>-11778995</v>
      </c>
      <c r="P3373">
        <v>128</v>
      </c>
      <c r="Q3373" t="s">
        <v>6793</v>
      </c>
    </row>
    <row r="3374" spans="1:17" x14ac:dyDescent="0.3">
      <c r="A3374" t="s">
        <v>32</v>
      </c>
      <c r="B3374" t="str">
        <f>"000823"</f>
        <v>000823</v>
      </c>
      <c r="C3374" t="s">
        <v>6794</v>
      </c>
      <c r="D3374" t="s">
        <v>124</v>
      </c>
      <c r="E3374">
        <v>-124862180</v>
      </c>
      <c r="F3374">
        <v>-118966489</v>
      </c>
      <c r="G3374">
        <v>85014411</v>
      </c>
      <c r="H3374">
        <v>201546993</v>
      </c>
      <c r="I3374">
        <v>-4175895</v>
      </c>
      <c r="J3374">
        <v>16603992</v>
      </c>
      <c r="K3374">
        <v>101296006</v>
      </c>
      <c r="L3374">
        <v>34288952</v>
      </c>
      <c r="M3374">
        <v>-151956934</v>
      </c>
      <c r="N3374">
        <v>56380200</v>
      </c>
      <c r="O3374">
        <v>-32258636</v>
      </c>
      <c r="P3374">
        <v>354</v>
      </c>
      <c r="Q3374" t="s">
        <v>6795</v>
      </c>
    </row>
    <row r="3375" spans="1:17" x14ac:dyDescent="0.3">
      <c r="A3375" t="s">
        <v>32</v>
      </c>
      <c r="B3375" t="str">
        <f>"300458"</f>
        <v>300458</v>
      </c>
      <c r="C3375" t="s">
        <v>6796</v>
      </c>
      <c r="D3375" t="s">
        <v>124</v>
      </c>
      <c r="E3375">
        <v>-124862457</v>
      </c>
      <c r="F3375">
        <v>81318295</v>
      </c>
      <c r="G3375">
        <v>-111915265</v>
      </c>
      <c r="H3375">
        <v>-40128064</v>
      </c>
      <c r="I3375">
        <v>-61735003</v>
      </c>
      <c r="J3375">
        <v>-187820612</v>
      </c>
      <c r="K3375">
        <v>-44695938</v>
      </c>
      <c r="L3375">
        <v>-58410300</v>
      </c>
      <c r="M3375">
        <v>53187900</v>
      </c>
      <c r="P3375">
        <v>561</v>
      </c>
      <c r="Q3375" t="s">
        <v>6797</v>
      </c>
    </row>
    <row r="3376" spans="1:17" x14ac:dyDescent="0.3">
      <c r="A3376" t="s">
        <v>32</v>
      </c>
      <c r="B3376" t="str">
        <f>"002204"</f>
        <v>002204</v>
      </c>
      <c r="C3376" t="s">
        <v>6798</v>
      </c>
      <c r="D3376" t="s">
        <v>135</v>
      </c>
      <c r="E3376">
        <v>-124864572</v>
      </c>
      <c r="F3376">
        <v>140608324</v>
      </c>
      <c r="G3376">
        <v>-237981151</v>
      </c>
      <c r="H3376">
        <v>-178632108</v>
      </c>
      <c r="I3376">
        <v>-336570042</v>
      </c>
      <c r="J3376">
        <v>-356065498</v>
      </c>
      <c r="K3376">
        <v>-174894082</v>
      </c>
      <c r="L3376">
        <v>-18784895</v>
      </c>
      <c r="M3376">
        <v>-97141967</v>
      </c>
      <c r="N3376">
        <v>85712647</v>
      </c>
      <c r="O3376">
        <v>204463223</v>
      </c>
      <c r="P3376">
        <v>137</v>
      </c>
      <c r="Q3376" t="s">
        <v>6799</v>
      </c>
    </row>
    <row r="3377" spans="1:17" x14ac:dyDescent="0.3">
      <c r="A3377" t="s">
        <v>32</v>
      </c>
      <c r="B3377" t="str">
        <f>"002292"</f>
        <v>002292</v>
      </c>
      <c r="C3377" t="s">
        <v>6800</v>
      </c>
      <c r="D3377" t="s">
        <v>245</v>
      </c>
      <c r="E3377">
        <v>-124927116</v>
      </c>
      <c r="F3377">
        <v>-14376615</v>
      </c>
      <c r="G3377">
        <v>-4714445</v>
      </c>
      <c r="H3377">
        <v>69753916</v>
      </c>
      <c r="I3377">
        <v>-18297316</v>
      </c>
      <c r="J3377">
        <v>-127835033</v>
      </c>
      <c r="K3377">
        <v>-239369615</v>
      </c>
      <c r="L3377">
        <v>-167670897</v>
      </c>
      <c r="M3377">
        <v>-46432866</v>
      </c>
      <c r="N3377">
        <v>-73582546</v>
      </c>
      <c r="O3377">
        <v>-84601722</v>
      </c>
      <c r="P3377">
        <v>291</v>
      </c>
      <c r="Q3377" t="s">
        <v>6801</v>
      </c>
    </row>
    <row r="3378" spans="1:17" x14ac:dyDescent="0.3">
      <c r="A3378" t="s">
        <v>17</v>
      </c>
      <c r="B3378" t="str">
        <f>"603893"</f>
        <v>603893</v>
      </c>
      <c r="C3378" t="s">
        <v>6802</v>
      </c>
      <c r="D3378" t="s">
        <v>124</v>
      </c>
      <c r="E3378">
        <v>-125152728</v>
      </c>
      <c r="F3378">
        <v>-36678539</v>
      </c>
      <c r="G3378">
        <v>-60740322</v>
      </c>
      <c r="H3378">
        <v>-100785712</v>
      </c>
      <c r="P3378">
        <v>444</v>
      </c>
      <c r="Q3378" t="s">
        <v>6803</v>
      </c>
    </row>
    <row r="3379" spans="1:17" x14ac:dyDescent="0.3">
      <c r="A3379" t="s">
        <v>32</v>
      </c>
      <c r="B3379" t="str">
        <f>"301166"</f>
        <v>301166</v>
      </c>
      <c r="C3379" t="s">
        <v>6804</v>
      </c>
      <c r="D3379" t="s">
        <v>98</v>
      </c>
      <c r="E3379">
        <v>-125790313</v>
      </c>
      <c r="P3379">
        <v>21</v>
      </c>
      <c r="Q3379" t="s">
        <v>6805</v>
      </c>
    </row>
    <row r="3380" spans="1:17" x14ac:dyDescent="0.3">
      <c r="A3380" t="s">
        <v>17</v>
      </c>
      <c r="B3380" t="str">
        <f>"900940"</f>
        <v>900940</v>
      </c>
      <c r="C3380" t="s">
        <v>6806</v>
      </c>
      <c r="E3380">
        <v>-125934836.7024</v>
      </c>
      <c r="F3380">
        <v>28206987.832800001</v>
      </c>
      <c r="G3380">
        <v>292062743.91769999</v>
      </c>
      <c r="H3380">
        <v>179274201.58899999</v>
      </c>
      <c r="I3380">
        <v>31698195.373599999</v>
      </c>
      <c r="J3380">
        <v>35054913.339599997</v>
      </c>
      <c r="K3380">
        <v>-391863410.39969999</v>
      </c>
      <c r="L3380">
        <v>-204833670.57319999</v>
      </c>
      <c r="M3380">
        <v>-141861231.67199999</v>
      </c>
      <c r="N3380">
        <v>155696431.54100001</v>
      </c>
      <c r="O3380">
        <v>-69708918.593199998</v>
      </c>
      <c r="P3380">
        <v>15</v>
      </c>
      <c r="Q3380" t="s">
        <v>6807</v>
      </c>
    </row>
    <row r="3381" spans="1:17" x14ac:dyDescent="0.3">
      <c r="A3381" t="s">
        <v>32</v>
      </c>
      <c r="B3381" t="str">
        <f>"300625"</f>
        <v>300625</v>
      </c>
      <c r="C3381" t="s">
        <v>6808</v>
      </c>
      <c r="D3381" t="s">
        <v>127</v>
      </c>
      <c r="E3381">
        <v>-126128865</v>
      </c>
      <c r="F3381">
        <v>-200467879</v>
      </c>
      <c r="G3381">
        <v>-85425874</v>
      </c>
      <c r="H3381">
        <v>-80263074</v>
      </c>
      <c r="I3381">
        <v>-43066734</v>
      </c>
      <c r="J3381">
        <v>-112173817</v>
      </c>
      <c r="K3381">
        <v>-13938679</v>
      </c>
      <c r="P3381">
        <v>137</v>
      </c>
      <c r="Q3381" t="s">
        <v>6809</v>
      </c>
    </row>
    <row r="3382" spans="1:17" x14ac:dyDescent="0.3">
      <c r="A3382" t="s">
        <v>32</v>
      </c>
      <c r="B3382" t="str">
        <f>"300516"</f>
        <v>300516</v>
      </c>
      <c r="C3382" t="s">
        <v>6810</v>
      </c>
      <c r="D3382" t="s">
        <v>124</v>
      </c>
      <c r="E3382">
        <v>-126306485</v>
      </c>
      <c r="F3382">
        <v>-160919494</v>
      </c>
      <c r="G3382">
        <v>-38471370</v>
      </c>
      <c r="H3382">
        <v>-80718232</v>
      </c>
      <c r="I3382">
        <v>-7720553</v>
      </c>
      <c r="J3382">
        <v>-118507565</v>
      </c>
      <c r="K3382">
        <v>-75227303</v>
      </c>
      <c r="L3382">
        <v>-52449941</v>
      </c>
      <c r="P3382">
        <v>118</v>
      </c>
      <c r="Q3382" t="s">
        <v>6811</v>
      </c>
    </row>
    <row r="3383" spans="1:17" x14ac:dyDescent="0.3">
      <c r="A3383" t="s">
        <v>17</v>
      </c>
      <c r="B3383" t="str">
        <f>"688276"</f>
        <v>688276</v>
      </c>
      <c r="C3383" t="s">
        <v>6812</v>
      </c>
      <c r="D3383" t="s">
        <v>98</v>
      </c>
      <c r="E3383">
        <v>-126784479</v>
      </c>
      <c r="F3383">
        <v>-205381394</v>
      </c>
      <c r="G3383">
        <v>-142775597</v>
      </c>
      <c r="P3383">
        <v>46</v>
      </c>
      <c r="Q3383" t="s">
        <v>6813</v>
      </c>
    </row>
    <row r="3384" spans="1:17" x14ac:dyDescent="0.3">
      <c r="A3384" t="s">
        <v>17</v>
      </c>
      <c r="B3384" t="str">
        <f>"603569"</f>
        <v>603569</v>
      </c>
      <c r="C3384" t="s">
        <v>6814</v>
      </c>
      <c r="D3384" t="s">
        <v>46</v>
      </c>
      <c r="E3384">
        <v>-127002244</v>
      </c>
      <c r="F3384">
        <v>-1420579</v>
      </c>
      <c r="G3384">
        <v>229803052</v>
      </c>
      <c r="H3384">
        <v>252994757</v>
      </c>
      <c r="I3384">
        <v>-484066010</v>
      </c>
      <c r="J3384">
        <v>-313538403</v>
      </c>
      <c r="K3384">
        <v>-65901238</v>
      </c>
      <c r="L3384">
        <v>-44373455</v>
      </c>
      <c r="P3384">
        <v>198</v>
      </c>
      <c r="Q3384" t="s">
        <v>6815</v>
      </c>
    </row>
    <row r="3385" spans="1:17" x14ac:dyDescent="0.3">
      <c r="A3385" t="s">
        <v>17</v>
      </c>
      <c r="B3385" t="str">
        <f>"600976"</f>
        <v>600976</v>
      </c>
      <c r="C3385" t="s">
        <v>6816</v>
      </c>
      <c r="D3385" t="s">
        <v>98</v>
      </c>
      <c r="E3385">
        <v>-127141601</v>
      </c>
      <c r="F3385">
        <v>28043638</v>
      </c>
      <c r="G3385">
        <v>-19621333</v>
      </c>
      <c r="H3385">
        <v>-25209145</v>
      </c>
      <c r="I3385">
        <v>-31261754</v>
      </c>
      <c r="J3385">
        <v>-90744838</v>
      </c>
      <c r="K3385">
        <v>-16531242</v>
      </c>
      <c r="L3385">
        <v>31095989</v>
      </c>
      <c r="M3385">
        <v>27607309</v>
      </c>
      <c r="N3385">
        <v>-13011610</v>
      </c>
      <c r="O3385">
        <v>9651200</v>
      </c>
      <c r="P3385">
        <v>250</v>
      </c>
      <c r="Q3385" t="s">
        <v>6817</v>
      </c>
    </row>
    <row r="3386" spans="1:17" x14ac:dyDescent="0.3">
      <c r="A3386" t="s">
        <v>32</v>
      </c>
      <c r="B3386" t="str">
        <f>"002636"</f>
        <v>002636</v>
      </c>
      <c r="C3386" t="s">
        <v>6818</v>
      </c>
      <c r="D3386" t="s">
        <v>124</v>
      </c>
      <c r="E3386">
        <v>-127212256</v>
      </c>
      <c r="F3386">
        <v>117080251</v>
      </c>
      <c r="G3386">
        <v>127006551</v>
      </c>
      <c r="H3386">
        <v>-22530556</v>
      </c>
      <c r="I3386">
        <v>130985928</v>
      </c>
      <c r="J3386">
        <v>125441050</v>
      </c>
      <c r="K3386">
        <v>-2181282</v>
      </c>
      <c r="L3386">
        <v>-2741634</v>
      </c>
      <c r="M3386">
        <v>-25746311</v>
      </c>
      <c r="N3386">
        <v>33650859</v>
      </c>
      <c r="O3386">
        <v>62111263</v>
      </c>
      <c r="P3386">
        <v>305</v>
      </c>
      <c r="Q3386" t="s">
        <v>6819</v>
      </c>
    </row>
    <row r="3387" spans="1:17" x14ac:dyDescent="0.3">
      <c r="A3387" t="s">
        <v>32</v>
      </c>
      <c r="B3387" t="str">
        <f>"002521"</f>
        <v>002521</v>
      </c>
      <c r="C3387" t="s">
        <v>6820</v>
      </c>
      <c r="D3387" t="s">
        <v>455</v>
      </c>
      <c r="E3387">
        <v>-127216546</v>
      </c>
      <c r="F3387">
        <v>61162366</v>
      </c>
      <c r="G3387">
        <v>339341294</v>
      </c>
      <c r="H3387">
        <v>124997598</v>
      </c>
      <c r="I3387">
        <v>304562337</v>
      </c>
      <c r="J3387">
        <v>-130578761</v>
      </c>
      <c r="K3387">
        <v>74360078</v>
      </c>
      <c r="L3387">
        <v>-76215794</v>
      </c>
      <c r="M3387">
        <v>-147328494</v>
      </c>
      <c r="N3387">
        <v>-208067832</v>
      </c>
      <c r="O3387">
        <v>-70797001</v>
      </c>
      <c r="P3387">
        <v>132</v>
      </c>
      <c r="Q3387" t="s">
        <v>6821</v>
      </c>
    </row>
    <row r="3388" spans="1:17" x14ac:dyDescent="0.3">
      <c r="A3388" t="s">
        <v>32</v>
      </c>
      <c r="B3388" t="str">
        <f>"002891"</f>
        <v>002891</v>
      </c>
      <c r="C3388" t="s">
        <v>6822</v>
      </c>
      <c r="D3388" t="s">
        <v>175</v>
      </c>
      <c r="E3388">
        <v>-127287412</v>
      </c>
      <c r="F3388">
        <v>-94742272</v>
      </c>
      <c r="G3388">
        <v>-53276259</v>
      </c>
      <c r="H3388">
        <v>-65531915</v>
      </c>
      <c r="I3388">
        <v>-58300092</v>
      </c>
      <c r="J3388">
        <v>24613542</v>
      </c>
      <c r="P3388">
        <v>650</v>
      </c>
      <c r="Q3388" t="s">
        <v>6823</v>
      </c>
    </row>
    <row r="3389" spans="1:17" x14ac:dyDescent="0.3">
      <c r="A3389" t="s">
        <v>17</v>
      </c>
      <c r="B3389" t="str">
        <f>"603261"</f>
        <v>603261</v>
      </c>
      <c r="C3389" t="s">
        <v>6824</v>
      </c>
      <c r="E3389">
        <v>-127335104</v>
      </c>
      <c r="P3389">
        <v>7</v>
      </c>
      <c r="Q3389" t="s">
        <v>6825</v>
      </c>
    </row>
    <row r="3390" spans="1:17" x14ac:dyDescent="0.3">
      <c r="A3390" t="s">
        <v>17</v>
      </c>
      <c r="B3390" t="str">
        <f>"900910"</f>
        <v>900910</v>
      </c>
      <c r="C3390" t="s">
        <v>6826</v>
      </c>
      <c r="E3390">
        <v>-127399990.89049999</v>
      </c>
      <c r="F3390">
        <v>-129230538.846</v>
      </c>
      <c r="G3390">
        <v>-139598071.45030001</v>
      </c>
      <c r="H3390">
        <v>-91862872.702999994</v>
      </c>
      <c r="I3390">
        <v>-112106450.6988</v>
      </c>
      <c r="J3390">
        <v>-94713494.924400002</v>
      </c>
      <c r="K3390">
        <v>-32845472.0077</v>
      </c>
      <c r="L3390">
        <v>-6201912.5762999998</v>
      </c>
      <c r="M3390">
        <v>-48375488.3112</v>
      </c>
      <c r="N3390">
        <v>-59487205.589000002</v>
      </c>
      <c r="O3390">
        <v>-3778384.6151999999</v>
      </c>
      <c r="P3390">
        <v>13</v>
      </c>
      <c r="Q3390" t="s">
        <v>6827</v>
      </c>
    </row>
    <row r="3391" spans="1:17" x14ac:dyDescent="0.3">
      <c r="A3391" t="s">
        <v>17</v>
      </c>
      <c r="B3391" t="str">
        <f>"688202"</f>
        <v>688202</v>
      </c>
      <c r="C3391" t="s">
        <v>6828</v>
      </c>
      <c r="D3391" t="s">
        <v>98</v>
      </c>
      <c r="E3391">
        <v>-127454848</v>
      </c>
      <c r="F3391">
        <v>-53532595</v>
      </c>
      <c r="G3391">
        <v>-19485987</v>
      </c>
      <c r="H3391">
        <v>-9253152</v>
      </c>
      <c r="P3391">
        <v>382</v>
      </c>
      <c r="Q3391" t="s">
        <v>6829</v>
      </c>
    </row>
    <row r="3392" spans="1:17" x14ac:dyDescent="0.3">
      <c r="A3392" t="s">
        <v>32</v>
      </c>
      <c r="B3392" t="str">
        <f>"000524"</f>
        <v>000524</v>
      </c>
      <c r="C3392" t="s">
        <v>6830</v>
      </c>
      <c r="D3392" t="s">
        <v>497</v>
      </c>
      <c r="E3392">
        <v>-127564894</v>
      </c>
      <c r="F3392">
        <v>-133549203</v>
      </c>
      <c r="G3392">
        <v>-359393760</v>
      </c>
      <c r="H3392">
        <v>58116060</v>
      </c>
      <c r="I3392">
        <v>-95279931</v>
      </c>
      <c r="J3392">
        <v>-44194947</v>
      </c>
      <c r="K3392">
        <v>3849688</v>
      </c>
      <c r="L3392">
        <v>4071062</v>
      </c>
      <c r="M3392">
        <v>-7324860</v>
      </c>
      <c r="N3392">
        <v>2113775</v>
      </c>
      <c r="O3392">
        <v>13779962</v>
      </c>
      <c r="P3392">
        <v>156</v>
      </c>
      <c r="Q3392" t="s">
        <v>6831</v>
      </c>
    </row>
    <row r="3393" spans="1:17" x14ac:dyDescent="0.3">
      <c r="A3393" t="s">
        <v>17</v>
      </c>
      <c r="B3393" t="str">
        <f>"603033"</f>
        <v>603033</v>
      </c>
      <c r="C3393" t="s">
        <v>6832</v>
      </c>
      <c r="D3393" t="s">
        <v>144</v>
      </c>
      <c r="E3393">
        <v>-127698304</v>
      </c>
      <c r="F3393">
        <v>-87220646</v>
      </c>
      <c r="G3393">
        <v>-95404888</v>
      </c>
      <c r="H3393">
        <v>-159605314</v>
      </c>
      <c r="I3393">
        <v>-171316955</v>
      </c>
      <c r="J3393">
        <v>-183419110</v>
      </c>
      <c r="K3393">
        <v>-42522887</v>
      </c>
      <c r="P3393">
        <v>99</v>
      </c>
      <c r="Q3393" t="s">
        <v>6833</v>
      </c>
    </row>
    <row r="3394" spans="1:17" x14ac:dyDescent="0.3">
      <c r="A3394" t="s">
        <v>32</v>
      </c>
      <c r="B3394" t="str">
        <f>"000812"</f>
        <v>000812</v>
      </c>
      <c r="C3394" t="s">
        <v>6834</v>
      </c>
      <c r="D3394" t="s">
        <v>455</v>
      </c>
      <c r="E3394">
        <v>-127866166</v>
      </c>
      <c r="F3394">
        <v>-134101211</v>
      </c>
      <c r="G3394">
        <v>-87335230</v>
      </c>
      <c r="H3394">
        <v>-137888820</v>
      </c>
      <c r="I3394">
        <v>-55319975</v>
      </c>
      <c r="J3394">
        <v>-16328859</v>
      </c>
      <c r="K3394">
        <v>-1369703</v>
      </c>
      <c r="L3394">
        <v>-91091125</v>
      </c>
      <c r="M3394">
        <v>-3749892</v>
      </c>
      <c r="N3394">
        <v>11782377</v>
      </c>
      <c r="O3394">
        <v>-39827403</v>
      </c>
      <c r="P3394">
        <v>111</v>
      </c>
      <c r="Q3394" t="s">
        <v>6835</v>
      </c>
    </row>
    <row r="3395" spans="1:17" x14ac:dyDescent="0.3">
      <c r="A3395" t="s">
        <v>17</v>
      </c>
      <c r="B3395" t="str">
        <f>"603903"</f>
        <v>603903</v>
      </c>
      <c r="C3395" t="s">
        <v>6836</v>
      </c>
      <c r="D3395" t="s">
        <v>1334</v>
      </c>
      <c r="E3395">
        <v>-128446715</v>
      </c>
      <c r="F3395">
        <v>-172895516</v>
      </c>
      <c r="G3395">
        <v>-116355446</v>
      </c>
      <c r="H3395">
        <v>-99030347</v>
      </c>
      <c r="I3395">
        <v>-188632485</v>
      </c>
      <c r="J3395">
        <v>-63260946</v>
      </c>
      <c r="K3395">
        <v>-5864420</v>
      </c>
      <c r="P3395">
        <v>119</v>
      </c>
      <c r="Q3395" t="s">
        <v>6837</v>
      </c>
    </row>
    <row r="3396" spans="1:17" x14ac:dyDescent="0.3">
      <c r="A3396" t="s">
        <v>32</v>
      </c>
      <c r="B3396" t="str">
        <f>"002372"</f>
        <v>002372</v>
      </c>
      <c r="C3396" t="s">
        <v>6838</v>
      </c>
      <c r="D3396" t="s">
        <v>400</v>
      </c>
      <c r="E3396">
        <v>-128562343</v>
      </c>
      <c r="F3396">
        <v>95002413</v>
      </c>
      <c r="G3396">
        <v>-128561117</v>
      </c>
      <c r="H3396">
        <v>-179100038</v>
      </c>
      <c r="I3396">
        <v>-9836590</v>
      </c>
      <c r="J3396">
        <v>55888106</v>
      </c>
      <c r="K3396">
        <v>82861687</v>
      </c>
      <c r="L3396">
        <v>-41267088</v>
      </c>
      <c r="M3396">
        <v>-38278397</v>
      </c>
      <c r="N3396">
        <v>-18366714</v>
      </c>
      <c r="O3396">
        <v>-57581947</v>
      </c>
      <c r="P3396">
        <v>10687</v>
      </c>
      <c r="Q3396" t="s">
        <v>6839</v>
      </c>
    </row>
    <row r="3397" spans="1:17" x14ac:dyDescent="0.3">
      <c r="A3397" t="s">
        <v>32</v>
      </c>
      <c r="B3397" t="str">
        <f>"300365"</f>
        <v>300365</v>
      </c>
      <c r="C3397" t="s">
        <v>6840</v>
      </c>
      <c r="D3397" t="s">
        <v>342</v>
      </c>
      <c r="E3397">
        <v>-128603468</v>
      </c>
      <c r="F3397">
        <v>-195788138</v>
      </c>
      <c r="G3397">
        <v>-59582812</v>
      </c>
      <c r="H3397">
        <v>-130230719</v>
      </c>
      <c r="I3397">
        <v>-121442709</v>
      </c>
      <c r="J3397">
        <v>-67798827</v>
      </c>
      <c r="K3397">
        <v>-52445985</v>
      </c>
      <c r="L3397">
        <v>-50139985</v>
      </c>
      <c r="M3397">
        <v>-5755537</v>
      </c>
      <c r="N3397">
        <v>-20964367</v>
      </c>
      <c r="P3397">
        <v>334</v>
      </c>
      <c r="Q3397" t="s">
        <v>6841</v>
      </c>
    </row>
    <row r="3398" spans="1:17" x14ac:dyDescent="0.3">
      <c r="A3398" t="s">
        <v>17</v>
      </c>
      <c r="B3398" t="str">
        <f>"600807"</f>
        <v>600807</v>
      </c>
      <c r="C3398" t="s">
        <v>6842</v>
      </c>
      <c r="D3398" t="s">
        <v>151</v>
      </c>
      <c r="E3398">
        <v>-128831124</v>
      </c>
      <c r="F3398">
        <v>-228002569</v>
      </c>
      <c r="G3398">
        <v>165148748</v>
      </c>
      <c r="H3398">
        <v>558184571</v>
      </c>
      <c r="I3398">
        <v>20318871</v>
      </c>
      <c r="J3398">
        <v>-336687710</v>
      </c>
      <c r="K3398">
        <v>-325020599</v>
      </c>
      <c r="L3398">
        <v>-24237436</v>
      </c>
      <c r="M3398">
        <v>-41702995</v>
      </c>
      <c r="N3398">
        <v>-20922049</v>
      </c>
      <c r="O3398">
        <v>-57638492</v>
      </c>
      <c r="P3398">
        <v>111</v>
      </c>
      <c r="Q3398" t="s">
        <v>6843</v>
      </c>
    </row>
    <row r="3399" spans="1:17" x14ac:dyDescent="0.3">
      <c r="A3399" t="s">
        <v>32</v>
      </c>
      <c r="B3399" t="str">
        <f>"300961"</f>
        <v>300961</v>
      </c>
      <c r="C3399" t="s">
        <v>6844</v>
      </c>
      <c r="D3399" t="s">
        <v>1334</v>
      </c>
      <c r="E3399">
        <v>-129069672</v>
      </c>
      <c r="F3399">
        <v>-88875581</v>
      </c>
      <c r="G3399">
        <v>-49701984</v>
      </c>
      <c r="P3399">
        <v>27</v>
      </c>
      <c r="Q3399" t="s">
        <v>6845</v>
      </c>
    </row>
    <row r="3400" spans="1:17" x14ac:dyDescent="0.3">
      <c r="A3400" t="s">
        <v>17</v>
      </c>
      <c r="B3400" t="str">
        <f>"603106"</f>
        <v>603106</v>
      </c>
      <c r="C3400" t="s">
        <v>6846</v>
      </c>
      <c r="D3400" t="s">
        <v>342</v>
      </c>
      <c r="E3400">
        <v>-129388350</v>
      </c>
      <c r="F3400">
        <v>-230196283</v>
      </c>
      <c r="G3400">
        <v>-216823388</v>
      </c>
      <c r="H3400">
        <v>-67300329</v>
      </c>
      <c r="I3400">
        <v>-129348835</v>
      </c>
      <c r="J3400">
        <v>-202539793</v>
      </c>
      <c r="P3400">
        <v>2938</v>
      </c>
      <c r="Q3400" t="s">
        <v>6847</v>
      </c>
    </row>
    <row r="3401" spans="1:17" x14ac:dyDescent="0.3">
      <c r="A3401" t="s">
        <v>17</v>
      </c>
      <c r="B3401" t="str">
        <f>"603768"</f>
        <v>603768</v>
      </c>
      <c r="C3401" t="s">
        <v>6848</v>
      </c>
      <c r="D3401" t="s">
        <v>199</v>
      </c>
      <c r="E3401">
        <v>-129563847</v>
      </c>
      <c r="F3401">
        <v>-203068509</v>
      </c>
      <c r="G3401">
        <v>-165475298</v>
      </c>
      <c r="H3401">
        <v>-107437931</v>
      </c>
      <c r="I3401">
        <v>-89062616</v>
      </c>
      <c r="J3401">
        <v>-76196898</v>
      </c>
      <c r="K3401">
        <v>-68682849</v>
      </c>
      <c r="P3401">
        <v>58</v>
      </c>
      <c r="Q3401" t="s">
        <v>6849</v>
      </c>
    </row>
    <row r="3402" spans="1:17" x14ac:dyDescent="0.3">
      <c r="A3402" t="s">
        <v>32</v>
      </c>
      <c r="B3402" t="str">
        <f>"002899"</f>
        <v>002899</v>
      </c>
      <c r="C3402" t="s">
        <v>6850</v>
      </c>
      <c r="D3402" t="s">
        <v>455</v>
      </c>
      <c r="E3402">
        <v>-129623504</v>
      </c>
      <c r="F3402">
        <v>-35467308</v>
      </c>
      <c r="G3402">
        <v>-31896360</v>
      </c>
      <c r="H3402">
        <v>-66365961</v>
      </c>
      <c r="I3402">
        <v>-45677523</v>
      </c>
      <c r="J3402">
        <v>-18409311</v>
      </c>
      <c r="P3402">
        <v>65</v>
      </c>
      <c r="Q3402" t="s">
        <v>6851</v>
      </c>
    </row>
    <row r="3403" spans="1:17" x14ac:dyDescent="0.3">
      <c r="A3403" t="s">
        <v>17</v>
      </c>
      <c r="B3403" t="str">
        <f>"603976"</f>
        <v>603976</v>
      </c>
      <c r="C3403" t="s">
        <v>6852</v>
      </c>
      <c r="D3403" t="s">
        <v>98</v>
      </c>
      <c r="E3403">
        <v>-129756160</v>
      </c>
      <c r="F3403">
        <v>3556720</v>
      </c>
      <c r="G3403">
        <v>35208578</v>
      </c>
      <c r="H3403">
        <v>18382126</v>
      </c>
      <c r="I3403">
        <v>-35046174</v>
      </c>
      <c r="J3403">
        <v>11726417</v>
      </c>
      <c r="K3403">
        <v>3527700</v>
      </c>
      <c r="P3403">
        <v>216</v>
      </c>
      <c r="Q3403" t="s">
        <v>6853</v>
      </c>
    </row>
    <row r="3404" spans="1:17" x14ac:dyDescent="0.3">
      <c r="A3404" t="s">
        <v>32</v>
      </c>
      <c r="B3404" t="str">
        <f>"002849"</f>
        <v>002849</v>
      </c>
      <c r="C3404" t="s">
        <v>6854</v>
      </c>
      <c r="D3404" t="s">
        <v>135</v>
      </c>
      <c r="E3404">
        <v>-129830868</v>
      </c>
      <c r="F3404">
        <v>-120899982</v>
      </c>
      <c r="G3404">
        <v>-84984830</v>
      </c>
      <c r="H3404">
        <v>-132133094</v>
      </c>
      <c r="I3404">
        <v>-105625507</v>
      </c>
      <c r="J3404">
        <v>-78173195</v>
      </c>
      <c r="K3404">
        <v>-41619922</v>
      </c>
      <c r="P3404">
        <v>177</v>
      </c>
      <c r="Q3404" t="s">
        <v>6855</v>
      </c>
    </row>
    <row r="3405" spans="1:17" x14ac:dyDescent="0.3">
      <c r="A3405" t="s">
        <v>17</v>
      </c>
      <c r="B3405" t="str">
        <f>"603848"</f>
        <v>603848</v>
      </c>
      <c r="C3405" t="s">
        <v>6856</v>
      </c>
      <c r="D3405" t="s">
        <v>455</v>
      </c>
      <c r="E3405">
        <v>-129834510</v>
      </c>
      <c r="F3405">
        <v>-51748178</v>
      </c>
      <c r="G3405">
        <v>-233609215</v>
      </c>
      <c r="H3405">
        <v>-144151359</v>
      </c>
      <c r="I3405">
        <v>-103011601</v>
      </c>
      <c r="J3405">
        <v>23425980</v>
      </c>
      <c r="P3405">
        <v>416</v>
      </c>
      <c r="Q3405" t="s">
        <v>6857</v>
      </c>
    </row>
    <row r="3406" spans="1:17" x14ac:dyDescent="0.3">
      <c r="A3406" t="s">
        <v>17</v>
      </c>
      <c r="B3406" t="str">
        <f>"600513"</f>
        <v>600513</v>
      </c>
      <c r="C3406" t="s">
        <v>6858</v>
      </c>
      <c r="D3406" t="s">
        <v>98</v>
      </c>
      <c r="E3406">
        <v>-130030042</v>
      </c>
      <c r="F3406">
        <v>-117388236</v>
      </c>
      <c r="G3406">
        <v>-93943321</v>
      </c>
      <c r="H3406">
        <v>-83356437</v>
      </c>
      <c r="I3406">
        <v>-31049150</v>
      </c>
      <c r="J3406">
        <v>-21886998</v>
      </c>
      <c r="K3406">
        <v>-11494693</v>
      </c>
      <c r="L3406">
        <v>-9072279</v>
      </c>
      <c r="M3406">
        <v>-1884995</v>
      </c>
      <c r="N3406">
        <v>63592</v>
      </c>
      <c r="O3406">
        <v>2225918</v>
      </c>
      <c r="P3406">
        <v>144</v>
      </c>
      <c r="Q3406" t="s">
        <v>6859</v>
      </c>
    </row>
    <row r="3407" spans="1:17" x14ac:dyDescent="0.3">
      <c r="A3407" t="s">
        <v>32</v>
      </c>
      <c r="B3407" t="str">
        <f>"002154"</f>
        <v>002154</v>
      </c>
      <c r="C3407" t="s">
        <v>6860</v>
      </c>
      <c r="D3407" t="s">
        <v>130</v>
      </c>
      <c r="E3407">
        <v>-130280531</v>
      </c>
      <c r="F3407">
        <v>5179425</v>
      </c>
      <c r="G3407">
        <v>-47496692</v>
      </c>
      <c r="H3407">
        <v>-23795938</v>
      </c>
      <c r="I3407">
        <v>-46164657</v>
      </c>
      <c r="J3407">
        <v>-62797666</v>
      </c>
      <c r="K3407">
        <v>-53116264</v>
      </c>
      <c r="L3407">
        <v>18466657</v>
      </c>
      <c r="M3407">
        <v>3864808</v>
      </c>
      <c r="N3407">
        <v>-275660309</v>
      </c>
      <c r="O3407">
        <v>-45351789</v>
      </c>
      <c r="P3407">
        <v>204</v>
      </c>
      <c r="Q3407" t="s">
        <v>6861</v>
      </c>
    </row>
    <row r="3408" spans="1:17" x14ac:dyDescent="0.3">
      <c r="A3408" t="s">
        <v>17</v>
      </c>
      <c r="B3408" t="str">
        <f>"603810"</f>
        <v>603810</v>
      </c>
      <c r="C3408" t="s">
        <v>6862</v>
      </c>
      <c r="D3408" t="s">
        <v>144</v>
      </c>
      <c r="E3408">
        <v>-130341439</v>
      </c>
      <c r="F3408">
        <v>-95974146</v>
      </c>
      <c r="G3408">
        <v>26047044</v>
      </c>
      <c r="H3408">
        <v>-15280514</v>
      </c>
      <c r="I3408">
        <v>-38137200</v>
      </c>
      <c r="P3408">
        <v>79</v>
      </c>
      <c r="Q3408" t="s">
        <v>6863</v>
      </c>
    </row>
    <row r="3409" spans="1:17" x14ac:dyDescent="0.3">
      <c r="A3409" t="s">
        <v>32</v>
      </c>
      <c r="B3409" t="str">
        <f>"002342"</f>
        <v>002342</v>
      </c>
      <c r="C3409" t="s">
        <v>6864</v>
      </c>
      <c r="D3409" t="s">
        <v>135</v>
      </c>
      <c r="E3409">
        <v>-130939192</v>
      </c>
      <c r="F3409">
        <v>-111899825</v>
      </c>
      <c r="G3409">
        <v>-99201891</v>
      </c>
      <c r="H3409">
        <v>-49825020</v>
      </c>
      <c r="I3409">
        <v>-121151752</v>
      </c>
      <c r="J3409">
        <v>89996559</v>
      </c>
      <c r="K3409">
        <v>-66274645</v>
      </c>
      <c r="L3409">
        <v>78510918</v>
      </c>
      <c r="M3409">
        <v>95510247</v>
      </c>
      <c r="N3409">
        <v>2608704</v>
      </c>
      <c r="O3409">
        <v>-69722636</v>
      </c>
      <c r="P3409">
        <v>112</v>
      </c>
      <c r="Q3409" t="s">
        <v>6865</v>
      </c>
    </row>
    <row r="3410" spans="1:17" x14ac:dyDescent="0.3">
      <c r="A3410" t="s">
        <v>32</v>
      </c>
      <c r="B3410" t="str">
        <f>"300444"</f>
        <v>300444</v>
      </c>
      <c r="C3410" t="s">
        <v>6866</v>
      </c>
      <c r="D3410" t="s">
        <v>464</v>
      </c>
      <c r="E3410">
        <v>-131050575</v>
      </c>
      <c r="F3410">
        <v>-217117979</v>
      </c>
      <c r="G3410">
        <v>-254253153</v>
      </c>
      <c r="H3410">
        <v>-65199691</v>
      </c>
      <c r="I3410">
        <v>-151548355</v>
      </c>
      <c r="J3410">
        <v>-51365179</v>
      </c>
      <c r="K3410">
        <v>-24881273</v>
      </c>
      <c r="L3410">
        <v>-16735423</v>
      </c>
      <c r="P3410">
        <v>101</v>
      </c>
      <c r="Q3410" t="s">
        <v>6867</v>
      </c>
    </row>
    <row r="3411" spans="1:17" x14ac:dyDescent="0.3">
      <c r="A3411" t="s">
        <v>17</v>
      </c>
      <c r="B3411" t="str">
        <f>"603882"</f>
        <v>603882</v>
      </c>
      <c r="C3411" t="s">
        <v>6868</v>
      </c>
      <c r="D3411" t="s">
        <v>98</v>
      </c>
      <c r="E3411">
        <v>-131116558</v>
      </c>
      <c r="F3411">
        <v>-13017108</v>
      </c>
      <c r="G3411">
        <v>-217680284</v>
      </c>
      <c r="H3411">
        <v>-66803171</v>
      </c>
      <c r="I3411">
        <v>-109354040</v>
      </c>
      <c r="J3411">
        <v>-110266869</v>
      </c>
      <c r="P3411">
        <v>1846</v>
      </c>
      <c r="Q3411" t="s">
        <v>6869</v>
      </c>
    </row>
    <row r="3412" spans="1:17" x14ac:dyDescent="0.3">
      <c r="A3412" t="s">
        <v>32</v>
      </c>
      <c r="B3412" t="str">
        <f>"300725"</f>
        <v>300725</v>
      </c>
      <c r="C3412" t="s">
        <v>6870</v>
      </c>
      <c r="D3412" t="s">
        <v>98</v>
      </c>
      <c r="E3412">
        <v>-131276789</v>
      </c>
      <c r="F3412">
        <v>98298911</v>
      </c>
      <c r="G3412">
        <v>42036539</v>
      </c>
      <c r="H3412">
        <v>-5424569</v>
      </c>
      <c r="I3412">
        <v>18863500</v>
      </c>
      <c r="J3412">
        <v>-9736872</v>
      </c>
      <c r="P3412">
        <v>1116</v>
      </c>
      <c r="Q3412" t="s">
        <v>6871</v>
      </c>
    </row>
    <row r="3413" spans="1:17" x14ac:dyDescent="0.3">
      <c r="A3413" t="s">
        <v>17</v>
      </c>
      <c r="B3413" t="str">
        <f>"600725"</f>
        <v>600725</v>
      </c>
      <c r="C3413" t="s">
        <v>6872</v>
      </c>
      <c r="D3413" t="s">
        <v>73</v>
      </c>
      <c r="E3413">
        <v>-131479087</v>
      </c>
      <c r="F3413">
        <v>-117795911</v>
      </c>
      <c r="G3413">
        <v>-47964528</v>
      </c>
      <c r="H3413">
        <v>56595411</v>
      </c>
      <c r="I3413">
        <v>27903764</v>
      </c>
      <c r="J3413">
        <v>-81427019</v>
      </c>
      <c r="K3413">
        <v>-15859480</v>
      </c>
      <c r="L3413">
        <v>-121046481</v>
      </c>
      <c r="M3413">
        <v>109667644</v>
      </c>
      <c r="N3413">
        <v>265662116</v>
      </c>
      <c r="O3413">
        <v>-392983958</v>
      </c>
      <c r="P3413">
        <v>69</v>
      </c>
      <c r="Q3413" t="s">
        <v>6873</v>
      </c>
    </row>
    <row r="3414" spans="1:17" x14ac:dyDescent="0.3">
      <c r="A3414" t="s">
        <v>32</v>
      </c>
      <c r="B3414" t="str">
        <f>"000688"</f>
        <v>000688</v>
      </c>
      <c r="C3414" t="s">
        <v>6874</v>
      </c>
      <c r="D3414" t="s">
        <v>121</v>
      </c>
      <c r="E3414">
        <v>-131522561</v>
      </c>
      <c r="F3414">
        <v>61093626</v>
      </c>
      <c r="G3414">
        <v>-22134759</v>
      </c>
      <c r="H3414">
        <v>42178497</v>
      </c>
      <c r="I3414">
        <v>85565310</v>
      </c>
      <c r="J3414">
        <v>8604378</v>
      </c>
      <c r="K3414">
        <v>70773030</v>
      </c>
      <c r="L3414">
        <v>-35054249</v>
      </c>
      <c r="M3414">
        <v>-28255548</v>
      </c>
      <c r="N3414">
        <v>10174580</v>
      </c>
      <c r="O3414">
        <v>-7576295</v>
      </c>
      <c r="P3414">
        <v>197</v>
      </c>
      <c r="Q3414" t="s">
        <v>6875</v>
      </c>
    </row>
    <row r="3415" spans="1:17" x14ac:dyDescent="0.3">
      <c r="A3415" t="s">
        <v>32</v>
      </c>
      <c r="B3415" t="str">
        <f>"300398"</f>
        <v>300398</v>
      </c>
      <c r="C3415" t="s">
        <v>6876</v>
      </c>
      <c r="D3415" t="s">
        <v>124</v>
      </c>
      <c r="E3415">
        <v>-131914626</v>
      </c>
      <c r="F3415">
        <v>-11295134</v>
      </c>
      <c r="G3415">
        <v>-131652125</v>
      </c>
      <c r="H3415">
        <v>-131189127</v>
      </c>
      <c r="I3415">
        <v>49188192</v>
      </c>
      <c r="J3415">
        <v>-41401269</v>
      </c>
      <c r="K3415">
        <v>-63117257</v>
      </c>
      <c r="L3415">
        <v>-57117974</v>
      </c>
      <c r="M3415">
        <v>2104679</v>
      </c>
      <c r="P3415">
        <v>244</v>
      </c>
      <c r="Q3415" t="s">
        <v>6877</v>
      </c>
    </row>
    <row r="3416" spans="1:17" x14ac:dyDescent="0.3">
      <c r="A3416" t="s">
        <v>17</v>
      </c>
      <c r="B3416" t="str">
        <f>"688578"</f>
        <v>688578</v>
      </c>
      <c r="C3416" t="s">
        <v>6878</v>
      </c>
      <c r="D3416" t="s">
        <v>98</v>
      </c>
      <c r="E3416">
        <v>-132159800</v>
      </c>
      <c r="F3416">
        <v>-122513169</v>
      </c>
      <c r="G3416">
        <v>-55437400</v>
      </c>
      <c r="H3416">
        <v>-35692100</v>
      </c>
      <c r="P3416">
        <v>47</v>
      </c>
      <c r="Q3416" t="s">
        <v>6879</v>
      </c>
    </row>
    <row r="3417" spans="1:17" x14ac:dyDescent="0.3">
      <c r="A3417" t="s">
        <v>17</v>
      </c>
      <c r="B3417" t="str">
        <f>"603010"</f>
        <v>603010</v>
      </c>
      <c r="C3417" t="s">
        <v>6880</v>
      </c>
      <c r="D3417" t="s">
        <v>144</v>
      </c>
      <c r="E3417">
        <v>-132317884</v>
      </c>
      <c r="F3417">
        <v>34780880</v>
      </c>
      <c r="G3417">
        <v>1247468</v>
      </c>
      <c r="H3417">
        <v>-24299808</v>
      </c>
      <c r="I3417">
        <v>-82835947</v>
      </c>
      <c r="J3417">
        <v>-68231862</v>
      </c>
      <c r="K3417">
        <v>6287150</v>
      </c>
      <c r="L3417">
        <v>-8813485</v>
      </c>
      <c r="M3417">
        <v>-38154203</v>
      </c>
      <c r="P3417">
        <v>278</v>
      </c>
      <c r="Q3417" t="s">
        <v>6881</v>
      </c>
    </row>
    <row r="3418" spans="1:17" x14ac:dyDescent="0.3">
      <c r="A3418" t="s">
        <v>17</v>
      </c>
      <c r="B3418" t="str">
        <f>"603017"</f>
        <v>603017</v>
      </c>
      <c r="C3418" t="s">
        <v>6882</v>
      </c>
      <c r="D3418" t="s">
        <v>645</v>
      </c>
      <c r="E3418">
        <v>-132637774</v>
      </c>
      <c r="F3418">
        <v>-193825317</v>
      </c>
      <c r="G3418">
        <v>-172266584</v>
      </c>
      <c r="H3418">
        <v>-164855809</v>
      </c>
      <c r="I3418">
        <v>-195016829</v>
      </c>
      <c r="J3418">
        <v>-131714254</v>
      </c>
      <c r="K3418">
        <v>-331584477</v>
      </c>
      <c r="L3418">
        <v>-150971276</v>
      </c>
      <c r="M3418">
        <v>-87650233</v>
      </c>
      <c r="P3418">
        <v>121</v>
      </c>
      <c r="Q3418" t="s">
        <v>6883</v>
      </c>
    </row>
    <row r="3419" spans="1:17" x14ac:dyDescent="0.3">
      <c r="A3419" t="s">
        <v>32</v>
      </c>
      <c r="B3419" t="str">
        <f>"002557"</f>
        <v>002557</v>
      </c>
      <c r="C3419" t="s">
        <v>6884</v>
      </c>
      <c r="D3419" t="s">
        <v>172</v>
      </c>
      <c r="E3419">
        <v>-132793386</v>
      </c>
      <c r="F3419">
        <v>217425172</v>
      </c>
      <c r="G3419">
        <v>211314087</v>
      </c>
      <c r="H3419">
        <v>64841258</v>
      </c>
      <c r="I3419">
        <v>17370408</v>
      </c>
      <c r="J3419">
        <v>131719105</v>
      </c>
      <c r="K3419">
        <v>256623891</v>
      </c>
      <c r="L3419">
        <v>40752217</v>
      </c>
      <c r="M3419">
        <v>-5310351</v>
      </c>
      <c r="N3419">
        <v>8200040</v>
      </c>
      <c r="O3419">
        <v>-84778548</v>
      </c>
      <c r="P3419">
        <v>1825</v>
      </c>
      <c r="Q3419" t="s">
        <v>6885</v>
      </c>
    </row>
    <row r="3420" spans="1:17" x14ac:dyDescent="0.3">
      <c r="A3420" t="s">
        <v>32</v>
      </c>
      <c r="B3420" t="str">
        <f>"000601"</f>
        <v>000601</v>
      </c>
      <c r="C3420" t="s">
        <v>6886</v>
      </c>
      <c r="D3420" t="s">
        <v>158</v>
      </c>
      <c r="E3420">
        <v>-133061814</v>
      </c>
      <c r="F3420">
        <v>-252441274</v>
      </c>
      <c r="G3420">
        <v>-234500522</v>
      </c>
      <c r="H3420">
        <v>-155806375</v>
      </c>
      <c r="I3420">
        <v>678485</v>
      </c>
      <c r="J3420">
        <v>-6512616</v>
      </c>
      <c r="K3420">
        <v>107728447</v>
      </c>
      <c r="L3420">
        <v>60411535</v>
      </c>
      <c r="M3420">
        <v>94588454</v>
      </c>
      <c r="N3420">
        <v>94260271</v>
      </c>
      <c r="O3420">
        <v>54612237</v>
      </c>
      <c r="P3420">
        <v>215</v>
      </c>
      <c r="Q3420" t="s">
        <v>6887</v>
      </c>
    </row>
    <row r="3421" spans="1:17" x14ac:dyDescent="0.3">
      <c r="A3421" t="s">
        <v>32</v>
      </c>
      <c r="B3421" t="str">
        <f>"002158"</f>
        <v>002158</v>
      </c>
      <c r="C3421" t="s">
        <v>6888</v>
      </c>
      <c r="D3421" t="s">
        <v>135</v>
      </c>
      <c r="E3421">
        <v>-133407110</v>
      </c>
      <c r="F3421">
        <v>74136922</v>
      </c>
      <c r="G3421">
        <v>-39387259</v>
      </c>
      <c r="H3421">
        <v>17141435</v>
      </c>
      <c r="I3421">
        <v>-104563312</v>
      </c>
      <c r="J3421">
        <v>-10770789</v>
      </c>
      <c r="K3421">
        <v>-415511</v>
      </c>
      <c r="L3421">
        <v>-16766264</v>
      </c>
      <c r="M3421">
        <v>17771304</v>
      </c>
      <c r="N3421">
        <v>29758875</v>
      </c>
      <c r="O3421">
        <v>4153784</v>
      </c>
      <c r="P3421">
        <v>478</v>
      </c>
      <c r="Q3421" t="s">
        <v>6889</v>
      </c>
    </row>
    <row r="3422" spans="1:17" x14ac:dyDescent="0.3">
      <c r="A3422" t="s">
        <v>32</v>
      </c>
      <c r="B3422" t="str">
        <f>"002104"</f>
        <v>002104</v>
      </c>
      <c r="C3422" t="s">
        <v>6890</v>
      </c>
      <c r="D3422" t="s">
        <v>57</v>
      </c>
      <c r="E3422">
        <v>-133694040</v>
      </c>
      <c r="F3422">
        <v>-86596294</v>
      </c>
      <c r="G3422">
        <v>-36411074</v>
      </c>
      <c r="H3422">
        <v>-121211756</v>
      </c>
      <c r="I3422">
        <v>104382481</v>
      </c>
      <c r="J3422">
        <v>-409303761</v>
      </c>
      <c r="K3422">
        <v>-115067815</v>
      </c>
      <c r="L3422">
        <v>-161767940</v>
      </c>
      <c r="M3422">
        <v>-71668913</v>
      </c>
      <c r="N3422">
        <v>-46801661</v>
      </c>
      <c r="O3422">
        <v>-5408789</v>
      </c>
      <c r="P3422">
        <v>416</v>
      </c>
      <c r="Q3422" t="s">
        <v>6891</v>
      </c>
    </row>
    <row r="3423" spans="1:17" x14ac:dyDescent="0.3">
      <c r="A3423" t="s">
        <v>17</v>
      </c>
      <c r="B3423" t="str">
        <f>"688083"</f>
        <v>688083</v>
      </c>
      <c r="C3423" t="s">
        <v>6892</v>
      </c>
      <c r="D3423" t="s">
        <v>342</v>
      </c>
      <c r="E3423">
        <v>-133717711</v>
      </c>
      <c r="F3423">
        <v>-229127093</v>
      </c>
      <c r="G3423">
        <v>-44079346</v>
      </c>
      <c r="P3423">
        <v>130</v>
      </c>
      <c r="Q3423" t="s">
        <v>6893</v>
      </c>
    </row>
    <row r="3424" spans="1:17" x14ac:dyDescent="0.3">
      <c r="A3424" t="s">
        <v>17</v>
      </c>
      <c r="B3424" t="str">
        <f>"688608"</f>
        <v>688608</v>
      </c>
      <c r="C3424" t="s">
        <v>6894</v>
      </c>
      <c r="D3424" t="s">
        <v>124</v>
      </c>
      <c r="E3424">
        <v>-133758998</v>
      </c>
      <c r="F3424">
        <v>18333591</v>
      </c>
      <c r="G3424">
        <v>-31627600</v>
      </c>
      <c r="H3424">
        <v>-2129800</v>
      </c>
      <c r="P3424">
        <v>122</v>
      </c>
      <c r="Q3424" t="s">
        <v>6895</v>
      </c>
    </row>
    <row r="3425" spans="1:17" x14ac:dyDescent="0.3">
      <c r="A3425" t="s">
        <v>32</v>
      </c>
      <c r="B3425" t="str">
        <f>"002923"</f>
        <v>002923</v>
      </c>
      <c r="C3425" t="s">
        <v>6896</v>
      </c>
      <c r="D3425" t="s">
        <v>98</v>
      </c>
      <c r="E3425">
        <v>-134000285</v>
      </c>
      <c r="F3425">
        <v>-100193917</v>
      </c>
      <c r="G3425">
        <v>16867718</v>
      </c>
      <c r="H3425">
        <v>-5732499</v>
      </c>
      <c r="I3425">
        <v>-3135660</v>
      </c>
      <c r="J3425">
        <v>20955562</v>
      </c>
      <c r="P3425">
        <v>165</v>
      </c>
      <c r="Q3425" t="s">
        <v>6897</v>
      </c>
    </row>
    <row r="3426" spans="1:17" x14ac:dyDescent="0.3">
      <c r="A3426" t="s">
        <v>32</v>
      </c>
      <c r="B3426" t="str">
        <f>"301137"</f>
        <v>301137</v>
      </c>
      <c r="C3426" t="s">
        <v>6898</v>
      </c>
      <c r="E3426">
        <v>-134235762</v>
      </c>
      <c r="P3426">
        <v>3</v>
      </c>
      <c r="Q3426" t="s">
        <v>6899</v>
      </c>
    </row>
    <row r="3427" spans="1:17" x14ac:dyDescent="0.3">
      <c r="A3427" t="s">
        <v>32</v>
      </c>
      <c r="B3427" t="str">
        <f>"300075"</f>
        <v>300075</v>
      </c>
      <c r="C3427" t="s">
        <v>6900</v>
      </c>
      <c r="D3427" t="s">
        <v>342</v>
      </c>
      <c r="E3427">
        <v>-134781373</v>
      </c>
      <c r="F3427">
        <v>-156400193</v>
      </c>
      <c r="G3427">
        <v>-75213743</v>
      </c>
      <c r="H3427">
        <v>-129288595</v>
      </c>
      <c r="I3427">
        <v>-138697204</v>
      </c>
      <c r="J3427">
        <v>-122060854</v>
      </c>
      <c r="K3427">
        <v>-73045949</v>
      </c>
      <c r="L3427">
        <v>-25698582</v>
      </c>
      <c r="M3427">
        <v>-67160504</v>
      </c>
      <c r="N3427">
        <v>-32013627</v>
      </c>
      <c r="O3427">
        <v>-34701698</v>
      </c>
      <c r="P3427">
        <v>259</v>
      </c>
      <c r="Q3427" t="s">
        <v>6901</v>
      </c>
    </row>
    <row r="3428" spans="1:17" x14ac:dyDescent="0.3">
      <c r="A3428" t="s">
        <v>32</v>
      </c>
      <c r="B3428" t="str">
        <f>"300867"</f>
        <v>300867</v>
      </c>
      <c r="C3428" t="s">
        <v>6902</v>
      </c>
      <c r="D3428" t="s">
        <v>1334</v>
      </c>
      <c r="E3428">
        <v>-134806440</v>
      </c>
      <c r="F3428">
        <v>-351493961</v>
      </c>
      <c r="G3428">
        <v>-276266598</v>
      </c>
      <c r="P3428">
        <v>103</v>
      </c>
      <c r="Q3428" t="s">
        <v>6903</v>
      </c>
    </row>
    <row r="3429" spans="1:17" x14ac:dyDescent="0.3">
      <c r="A3429" t="s">
        <v>17</v>
      </c>
      <c r="B3429" t="str">
        <f>"600428"</f>
        <v>600428</v>
      </c>
      <c r="C3429" t="s">
        <v>6904</v>
      </c>
      <c r="D3429" t="s">
        <v>46</v>
      </c>
      <c r="E3429">
        <v>-134811948</v>
      </c>
      <c r="F3429">
        <v>-217050142</v>
      </c>
      <c r="G3429">
        <v>49262223</v>
      </c>
      <c r="H3429">
        <v>-186214577</v>
      </c>
      <c r="I3429">
        <v>-488057201</v>
      </c>
      <c r="J3429">
        <v>-83630416</v>
      </c>
      <c r="K3429">
        <v>-244495478</v>
      </c>
      <c r="L3429">
        <v>203957313</v>
      </c>
      <c r="M3429">
        <v>151383061</v>
      </c>
      <c r="N3429">
        <v>-724902879</v>
      </c>
      <c r="O3429">
        <v>-163227001</v>
      </c>
      <c r="P3429">
        <v>199</v>
      </c>
      <c r="Q3429" t="s">
        <v>6905</v>
      </c>
    </row>
    <row r="3430" spans="1:17" x14ac:dyDescent="0.3">
      <c r="A3430" t="s">
        <v>17</v>
      </c>
      <c r="B3430" t="str">
        <f>"603880"</f>
        <v>603880</v>
      </c>
      <c r="C3430" t="s">
        <v>6906</v>
      </c>
      <c r="D3430" t="s">
        <v>98</v>
      </c>
      <c r="E3430">
        <v>-134996390</v>
      </c>
      <c r="F3430">
        <v>-86087698</v>
      </c>
      <c r="G3430">
        <v>-31772956</v>
      </c>
      <c r="H3430">
        <v>10201569</v>
      </c>
      <c r="I3430">
        <v>-6859723</v>
      </c>
      <c r="J3430">
        <v>12690124</v>
      </c>
      <c r="P3430">
        <v>125</v>
      </c>
      <c r="Q3430" t="s">
        <v>6907</v>
      </c>
    </row>
    <row r="3431" spans="1:17" x14ac:dyDescent="0.3">
      <c r="A3431" t="s">
        <v>32</v>
      </c>
      <c r="B3431" t="str">
        <f>"300665"</f>
        <v>300665</v>
      </c>
      <c r="C3431" t="s">
        <v>6908</v>
      </c>
      <c r="D3431" t="s">
        <v>144</v>
      </c>
      <c r="E3431">
        <v>-135025396</v>
      </c>
      <c r="F3431">
        <v>-131334594</v>
      </c>
      <c r="G3431">
        <v>-72122710</v>
      </c>
      <c r="H3431">
        <v>-47329800</v>
      </c>
      <c r="I3431">
        <v>-47371631</v>
      </c>
      <c r="J3431">
        <v>-42298111</v>
      </c>
      <c r="K3431">
        <v>-10824191</v>
      </c>
      <c r="P3431">
        <v>109</v>
      </c>
      <c r="Q3431" t="s">
        <v>6909</v>
      </c>
    </row>
    <row r="3432" spans="1:17" x14ac:dyDescent="0.3">
      <c r="A3432" t="s">
        <v>17</v>
      </c>
      <c r="B3432" t="str">
        <f>"600135"</f>
        <v>600135</v>
      </c>
      <c r="C3432" t="s">
        <v>6910</v>
      </c>
      <c r="D3432" t="s">
        <v>144</v>
      </c>
      <c r="E3432">
        <v>-135209167</v>
      </c>
      <c r="F3432">
        <v>-119898381</v>
      </c>
      <c r="G3432">
        <v>-116745808</v>
      </c>
      <c r="H3432">
        <v>-2186643</v>
      </c>
      <c r="I3432">
        <v>-42207961</v>
      </c>
      <c r="J3432">
        <v>-100845297</v>
      </c>
      <c r="K3432">
        <v>-127530285</v>
      </c>
      <c r="L3432">
        <v>-66708025</v>
      </c>
      <c r="M3432">
        <v>-35402967</v>
      </c>
      <c r="N3432">
        <v>-52639022</v>
      </c>
      <c r="O3432">
        <v>-42245959</v>
      </c>
      <c r="P3432">
        <v>112</v>
      </c>
      <c r="Q3432" t="s">
        <v>6911</v>
      </c>
    </row>
    <row r="3433" spans="1:17" x14ac:dyDescent="0.3">
      <c r="A3433" t="s">
        <v>17</v>
      </c>
      <c r="B3433" t="str">
        <f>"600252"</f>
        <v>600252</v>
      </c>
      <c r="C3433" t="s">
        <v>6912</v>
      </c>
      <c r="D3433" t="s">
        <v>98</v>
      </c>
      <c r="E3433">
        <v>-135264214</v>
      </c>
      <c r="F3433">
        <v>-39990721</v>
      </c>
      <c r="G3433">
        <v>-130527008</v>
      </c>
      <c r="H3433">
        <v>17430145</v>
      </c>
      <c r="I3433">
        <v>62903631</v>
      </c>
      <c r="J3433">
        <v>65753665</v>
      </c>
      <c r="K3433">
        <v>233385184</v>
      </c>
      <c r="L3433">
        <v>-162710773</v>
      </c>
      <c r="M3433">
        <v>91529546</v>
      </c>
      <c r="N3433">
        <v>-8841199</v>
      </c>
      <c r="O3433">
        <v>-10129162</v>
      </c>
      <c r="P3433">
        <v>362</v>
      </c>
      <c r="Q3433" t="s">
        <v>6913</v>
      </c>
    </row>
    <row r="3434" spans="1:17" x14ac:dyDescent="0.3">
      <c r="A3434" t="s">
        <v>32</v>
      </c>
      <c r="B3434" t="str">
        <f>"002439"</f>
        <v>002439</v>
      </c>
      <c r="C3434" t="s">
        <v>6914</v>
      </c>
      <c r="D3434" t="s">
        <v>342</v>
      </c>
      <c r="E3434">
        <v>-135859960</v>
      </c>
      <c r="F3434">
        <v>-249467490</v>
      </c>
      <c r="G3434">
        <v>-182404221</v>
      </c>
      <c r="H3434">
        <v>-107348796</v>
      </c>
      <c r="I3434">
        <v>-170280304</v>
      </c>
      <c r="J3434">
        <v>-162875497</v>
      </c>
      <c r="K3434">
        <v>-247044729</v>
      </c>
      <c r="L3434">
        <v>-175215101</v>
      </c>
      <c r="M3434">
        <v>-106361763</v>
      </c>
      <c r="N3434">
        <v>-95507769</v>
      </c>
      <c r="O3434">
        <v>-79789278</v>
      </c>
      <c r="P3434">
        <v>1190</v>
      </c>
      <c r="Q3434" t="s">
        <v>6915</v>
      </c>
    </row>
    <row r="3435" spans="1:17" x14ac:dyDescent="0.3">
      <c r="A3435" t="s">
        <v>17</v>
      </c>
      <c r="B3435" t="str">
        <f>"688086"</f>
        <v>688086</v>
      </c>
      <c r="C3435" t="s">
        <v>6916</v>
      </c>
      <c r="D3435" t="s">
        <v>342</v>
      </c>
      <c r="E3435">
        <v>-136058490</v>
      </c>
      <c r="F3435">
        <v>-105163736</v>
      </c>
      <c r="G3435">
        <v>-110292555</v>
      </c>
      <c r="H3435">
        <v>-5043546</v>
      </c>
      <c r="I3435">
        <v>-72946158</v>
      </c>
      <c r="P3435">
        <v>84</v>
      </c>
      <c r="Q3435" t="s">
        <v>6917</v>
      </c>
    </row>
    <row r="3436" spans="1:17" x14ac:dyDescent="0.3">
      <c r="A3436" t="s">
        <v>32</v>
      </c>
      <c r="B3436" t="str">
        <f>"000922"</f>
        <v>000922</v>
      </c>
      <c r="C3436" t="s">
        <v>6918</v>
      </c>
      <c r="D3436" t="s">
        <v>464</v>
      </c>
      <c r="E3436">
        <v>-136091055</v>
      </c>
      <c r="F3436">
        <v>-49276535</v>
      </c>
      <c r="G3436">
        <v>57417272</v>
      </c>
      <c r="H3436">
        <v>78193721</v>
      </c>
      <c r="I3436">
        <v>59452964</v>
      </c>
      <c r="J3436">
        <v>-19158919</v>
      </c>
      <c r="K3436">
        <v>30699079</v>
      </c>
      <c r="L3436">
        <v>-37244506</v>
      </c>
      <c r="M3436">
        <v>-99950326</v>
      </c>
      <c r="N3436">
        <v>32767712</v>
      </c>
      <c r="O3436">
        <v>-4160227</v>
      </c>
      <c r="P3436">
        <v>261</v>
      </c>
      <c r="Q3436" t="s">
        <v>6919</v>
      </c>
    </row>
    <row r="3437" spans="1:17" x14ac:dyDescent="0.3">
      <c r="A3437" t="s">
        <v>32</v>
      </c>
      <c r="B3437" t="str">
        <f>"000795"</f>
        <v>000795</v>
      </c>
      <c r="C3437" t="s">
        <v>6920</v>
      </c>
      <c r="D3437" t="s">
        <v>121</v>
      </c>
      <c r="E3437">
        <v>-136155790</v>
      </c>
      <c r="F3437">
        <v>-56387645</v>
      </c>
      <c r="G3437">
        <v>-136515304</v>
      </c>
      <c r="H3437">
        <v>-53373378</v>
      </c>
      <c r="I3437">
        <v>9821293</v>
      </c>
      <c r="J3437">
        <v>43629038</v>
      </c>
      <c r="K3437">
        <v>-27340128</v>
      </c>
      <c r="L3437">
        <v>-184887421</v>
      </c>
      <c r="M3437">
        <v>-65227811</v>
      </c>
      <c r="N3437">
        <v>-146799350</v>
      </c>
      <c r="O3437">
        <v>-95548243</v>
      </c>
      <c r="P3437">
        <v>145</v>
      </c>
      <c r="Q3437" t="s">
        <v>6921</v>
      </c>
    </row>
    <row r="3438" spans="1:17" x14ac:dyDescent="0.3">
      <c r="A3438" t="s">
        <v>17</v>
      </c>
      <c r="B3438" t="str">
        <f>"688699"</f>
        <v>688699</v>
      </c>
      <c r="C3438" t="s">
        <v>6922</v>
      </c>
      <c r="D3438" t="s">
        <v>124</v>
      </c>
      <c r="E3438">
        <v>-136204438</v>
      </c>
      <c r="F3438">
        <v>-28106173</v>
      </c>
      <c r="G3438">
        <v>-27036386</v>
      </c>
      <c r="P3438">
        <v>140</v>
      </c>
      <c r="Q3438" t="s">
        <v>6923</v>
      </c>
    </row>
    <row r="3439" spans="1:17" x14ac:dyDescent="0.3">
      <c r="A3439" t="s">
        <v>32</v>
      </c>
      <c r="B3439" t="str">
        <f>"300749"</f>
        <v>300749</v>
      </c>
      <c r="C3439" t="s">
        <v>6924</v>
      </c>
      <c r="D3439" t="s">
        <v>455</v>
      </c>
      <c r="E3439">
        <v>-136208245</v>
      </c>
      <c r="F3439">
        <v>-136154095</v>
      </c>
      <c r="G3439">
        <v>-150977414</v>
      </c>
      <c r="H3439">
        <v>-95167129</v>
      </c>
      <c r="I3439">
        <v>-79577501</v>
      </c>
      <c r="P3439">
        <v>97</v>
      </c>
      <c r="Q3439" t="s">
        <v>6925</v>
      </c>
    </row>
    <row r="3440" spans="1:17" x14ac:dyDescent="0.3">
      <c r="A3440" t="s">
        <v>32</v>
      </c>
      <c r="B3440" t="str">
        <f>"300346"</f>
        <v>300346</v>
      </c>
      <c r="C3440" t="s">
        <v>6926</v>
      </c>
      <c r="D3440" t="s">
        <v>124</v>
      </c>
      <c r="E3440">
        <v>-136344628</v>
      </c>
      <c r="F3440">
        <v>1303727</v>
      </c>
      <c r="G3440">
        <v>-159794584</v>
      </c>
      <c r="H3440">
        <v>-43165200</v>
      </c>
      <c r="I3440">
        <v>-15300825</v>
      </c>
      <c r="J3440">
        <v>-11328000</v>
      </c>
      <c r="K3440">
        <v>-13025382</v>
      </c>
      <c r="L3440">
        <v>-3760290</v>
      </c>
      <c r="M3440">
        <v>-12971869</v>
      </c>
      <c r="N3440">
        <v>-8943918</v>
      </c>
      <c r="O3440">
        <v>-15044249</v>
      </c>
      <c r="P3440">
        <v>448</v>
      </c>
      <c r="Q3440" t="s">
        <v>6927</v>
      </c>
    </row>
    <row r="3441" spans="1:17" x14ac:dyDescent="0.3">
      <c r="A3441" t="s">
        <v>32</v>
      </c>
      <c r="B3441" t="str">
        <f>"300811"</f>
        <v>300811</v>
      </c>
      <c r="C3441" t="s">
        <v>6928</v>
      </c>
      <c r="D3441" t="s">
        <v>121</v>
      </c>
      <c r="E3441">
        <v>-136346006</v>
      </c>
      <c r="F3441">
        <v>-43029869</v>
      </c>
      <c r="G3441">
        <v>-2942937</v>
      </c>
      <c r="H3441">
        <v>9311590</v>
      </c>
      <c r="P3441">
        <v>163</v>
      </c>
      <c r="Q3441" t="s">
        <v>6929</v>
      </c>
    </row>
    <row r="3442" spans="1:17" x14ac:dyDescent="0.3">
      <c r="A3442" t="s">
        <v>17</v>
      </c>
      <c r="B3442" t="str">
        <f>"688383"</f>
        <v>688383</v>
      </c>
      <c r="C3442" t="s">
        <v>6930</v>
      </c>
      <c r="D3442" t="s">
        <v>135</v>
      </c>
      <c r="E3442">
        <v>-136492945</v>
      </c>
      <c r="F3442">
        <v>-16868465</v>
      </c>
      <c r="G3442">
        <v>13156895</v>
      </c>
      <c r="P3442">
        <v>49</v>
      </c>
      <c r="Q3442" t="s">
        <v>6931</v>
      </c>
    </row>
    <row r="3443" spans="1:17" x14ac:dyDescent="0.3">
      <c r="A3443" t="s">
        <v>32</v>
      </c>
      <c r="B3443" t="str">
        <f>"002115"</f>
        <v>002115</v>
      </c>
      <c r="C3443" t="s">
        <v>6932</v>
      </c>
      <c r="D3443" t="s">
        <v>57</v>
      </c>
      <c r="E3443">
        <v>-136577079</v>
      </c>
      <c r="F3443">
        <v>-55171534</v>
      </c>
      <c r="G3443">
        <v>-144598630</v>
      </c>
      <c r="H3443">
        <v>-107790667</v>
      </c>
      <c r="I3443">
        <v>-176776705</v>
      </c>
      <c r="J3443">
        <v>-94106077</v>
      </c>
      <c r="K3443">
        <v>-90296278</v>
      </c>
      <c r="L3443">
        <v>-113525111</v>
      </c>
      <c r="M3443">
        <v>-139544945</v>
      </c>
      <c r="N3443">
        <v>-93293685</v>
      </c>
      <c r="O3443">
        <v>-145918854</v>
      </c>
      <c r="P3443">
        <v>239</v>
      </c>
      <c r="Q3443" t="s">
        <v>6933</v>
      </c>
    </row>
    <row r="3444" spans="1:17" x14ac:dyDescent="0.3">
      <c r="A3444" t="s">
        <v>17</v>
      </c>
      <c r="B3444" t="str">
        <f>"601222"</f>
        <v>601222</v>
      </c>
      <c r="C3444" t="s">
        <v>6934</v>
      </c>
      <c r="D3444" t="s">
        <v>158</v>
      </c>
      <c r="E3444">
        <v>-136591515</v>
      </c>
      <c r="F3444">
        <v>-369132204</v>
      </c>
      <c r="G3444">
        <v>-110836316</v>
      </c>
      <c r="H3444">
        <v>-132185325</v>
      </c>
      <c r="I3444">
        <v>-495682565</v>
      </c>
      <c r="J3444">
        <v>-342387610</v>
      </c>
      <c r="K3444">
        <v>-588794608</v>
      </c>
      <c r="L3444">
        <v>-308424364</v>
      </c>
      <c r="M3444">
        <v>-48496205</v>
      </c>
      <c r="N3444">
        <v>-201905011</v>
      </c>
      <c r="O3444">
        <v>-168383134</v>
      </c>
      <c r="P3444">
        <v>557</v>
      </c>
      <c r="Q3444" t="s">
        <v>6935</v>
      </c>
    </row>
    <row r="3445" spans="1:17" x14ac:dyDescent="0.3">
      <c r="A3445" t="s">
        <v>32</v>
      </c>
      <c r="B3445" t="str">
        <f>"000888"</f>
        <v>000888</v>
      </c>
      <c r="C3445" t="s">
        <v>6936</v>
      </c>
      <c r="D3445" t="s">
        <v>497</v>
      </c>
      <c r="E3445">
        <v>-136660104</v>
      </c>
      <c r="F3445">
        <v>-76499337</v>
      </c>
      <c r="G3445">
        <v>-173033278</v>
      </c>
      <c r="H3445">
        <v>28553784</v>
      </c>
      <c r="I3445">
        <v>-3155208</v>
      </c>
      <c r="J3445">
        <v>-93352834</v>
      </c>
      <c r="K3445">
        <v>-73603531</v>
      </c>
      <c r="L3445">
        <v>-105237722</v>
      </c>
      <c r="M3445">
        <v>-175754120</v>
      </c>
      <c r="N3445">
        <v>-60860148</v>
      </c>
      <c r="O3445">
        <v>-54703157</v>
      </c>
      <c r="P3445">
        <v>218</v>
      </c>
      <c r="Q3445" t="s">
        <v>6937</v>
      </c>
    </row>
    <row r="3446" spans="1:17" x14ac:dyDescent="0.3">
      <c r="A3446" t="s">
        <v>32</v>
      </c>
      <c r="B3446" t="str">
        <f>"002995"</f>
        <v>002995</v>
      </c>
      <c r="C3446" t="s">
        <v>6938</v>
      </c>
      <c r="D3446" t="s">
        <v>245</v>
      </c>
      <c r="E3446">
        <v>-136691818</v>
      </c>
      <c r="F3446">
        <v>-73044045</v>
      </c>
      <c r="G3446">
        <v>-21959207</v>
      </c>
      <c r="H3446">
        <v>-50061716</v>
      </c>
      <c r="P3446">
        <v>74</v>
      </c>
      <c r="Q3446" t="s">
        <v>6939</v>
      </c>
    </row>
    <row r="3447" spans="1:17" x14ac:dyDescent="0.3">
      <c r="A3447" t="s">
        <v>32</v>
      </c>
      <c r="B3447" t="str">
        <f>"300165"</f>
        <v>300165</v>
      </c>
      <c r="C3447" t="s">
        <v>6940</v>
      </c>
      <c r="D3447" t="s">
        <v>135</v>
      </c>
      <c r="E3447">
        <v>-136998129</v>
      </c>
      <c r="F3447">
        <v>-202815546</v>
      </c>
      <c r="G3447">
        <v>-71083862</v>
      </c>
      <c r="H3447">
        <v>-23562911</v>
      </c>
      <c r="I3447">
        <v>-24166445</v>
      </c>
      <c r="J3447">
        <v>-38911319</v>
      </c>
      <c r="K3447">
        <v>-33186730</v>
      </c>
      <c r="L3447">
        <v>-13639669</v>
      </c>
      <c r="M3447">
        <v>-15951109</v>
      </c>
      <c r="N3447">
        <v>-24949899</v>
      </c>
      <c r="O3447">
        <v>-7780848</v>
      </c>
      <c r="P3447">
        <v>103</v>
      </c>
      <c r="Q3447" t="s">
        <v>6941</v>
      </c>
    </row>
    <row r="3448" spans="1:17" x14ac:dyDescent="0.3">
      <c r="A3448" t="s">
        <v>17</v>
      </c>
      <c r="B3448" t="str">
        <f>"600207"</f>
        <v>600207</v>
      </c>
      <c r="C3448" t="s">
        <v>6942</v>
      </c>
      <c r="D3448" t="s">
        <v>464</v>
      </c>
      <c r="E3448">
        <v>-137119351</v>
      </c>
      <c r="F3448">
        <v>-58003404</v>
      </c>
      <c r="G3448">
        <v>-106154785</v>
      </c>
      <c r="H3448">
        <v>-28780904</v>
      </c>
      <c r="I3448">
        <v>13213294</v>
      </c>
      <c r="J3448">
        <v>-37495479</v>
      </c>
      <c r="K3448">
        <v>38580517</v>
      </c>
      <c r="L3448">
        <v>-127522921</v>
      </c>
      <c r="M3448">
        <v>82247508</v>
      </c>
      <c r="N3448">
        <v>-69945479</v>
      </c>
      <c r="O3448">
        <v>-115288901</v>
      </c>
      <c r="P3448">
        <v>146</v>
      </c>
      <c r="Q3448" t="s">
        <v>6943</v>
      </c>
    </row>
    <row r="3449" spans="1:17" x14ac:dyDescent="0.3">
      <c r="A3449" t="s">
        <v>17</v>
      </c>
      <c r="B3449" t="str">
        <f>"603330"</f>
        <v>603330</v>
      </c>
      <c r="C3449" t="s">
        <v>6944</v>
      </c>
      <c r="D3449" t="s">
        <v>144</v>
      </c>
      <c r="E3449">
        <v>-137587989</v>
      </c>
      <c r="F3449">
        <v>-78889743</v>
      </c>
      <c r="G3449">
        <v>-25286492</v>
      </c>
      <c r="H3449">
        <v>-9142221</v>
      </c>
      <c r="I3449">
        <v>-23106285</v>
      </c>
      <c r="J3449">
        <v>-33531846</v>
      </c>
      <c r="K3449">
        <v>-5479351</v>
      </c>
      <c r="P3449">
        <v>136</v>
      </c>
      <c r="Q3449" t="s">
        <v>6945</v>
      </c>
    </row>
    <row r="3450" spans="1:17" x14ac:dyDescent="0.3">
      <c r="A3450" t="s">
        <v>32</v>
      </c>
      <c r="B3450" t="str">
        <f>"300662"</f>
        <v>300662</v>
      </c>
      <c r="C3450" t="s">
        <v>6946</v>
      </c>
      <c r="D3450" t="s">
        <v>497</v>
      </c>
      <c r="E3450">
        <v>-137760979</v>
      </c>
      <c r="F3450">
        <v>-307278246</v>
      </c>
      <c r="G3450">
        <v>-4513107</v>
      </c>
      <c r="H3450">
        <v>-99931797</v>
      </c>
      <c r="I3450">
        <v>-72029278</v>
      </c>
      <c r="J3450">
        <v>-50604584</v>
      </c>
      <c r="K3450">
        <v>-50870796</v>
      </c>
      <c r="P3450">
        <v>690</v>
      </c>
      <c r="Q3450" t="s">
        <v>6947</v>
      </c>
    </row>
    <row r="3451" spans="1:17" x14ac:dyDescent="0.3">
      <c r="A3451" t="s">
        <v>32</v>
      </c>
      <c r="B3451" t="str">
        <f>"002585"</f>
        <v>002585</v>
      </c>
      <c r="C3451" t="s">
        <v>6948</v>
      </c>
      <c r="D3451" t="s">
        <v>144</v>
      </c>
      <c r="E3451">
        <v>-137936072</v>
      </c>
      <c r="F3451">
        <v>-368172555</v>
      </c>
      <c r="G3451">
        <v>-81594111</v>
      </c>
      <c r="H3451">
        <v>-186617294</v>
      </c>
      <c r="I3451">
        <v>-379674504</v>
      </c>
      <c r="J3451">
        <v>-444603190</v>
      </c>
      <c r="K3451">
        <v>-279347758</v>
      </c>
      <c r="L3451">
        <v>-186832467</v>
      </c>
      <c r="M3451">
        <v>-37164339</v>
      </c>
      <c r="N3451">
        <v>-5362042</v>
      </c>
      <c r="O3451">
        <v>-419694303</v>
      </c>
      <c r="P3451">
        <v>383</v>
      </c>
      <c r="Q3451" t="s">
        <v>6949</v>
      </c>
    </row>
    <row r="3452" spans="1:17" x14ac:dyDescent="0.3">
      <c r="A3452" t="s">
        <v>17</v>
      </c>
      <c r="B3452" t="str">
        <f>"603322"</f>
        <v>603322</v>
      </c>
      <c r="C3452" t="s">
        <v>6950</v>
      </c>
      <c r="D3452" t="s">
        <v>57</v>
      </c>
      <c r="E3452">
        <v>-137981300</v>
      </c>
      <c r="F3452">
        <v>-18996669</v>
      </c>
      <c r="G3452">
        <v>-160006499</v>
      </c>
      <c r="H3452">
        <v>-201053123</v>
      </c>
      <c r="I3452">
        <v>-149635157</v>
      </c>
      <c r="J3452">
        <v>-120250082</v>
      </c>
      <c r="K3452">
        <v>-82088677</v>
      </c>
      <c r="L3452">
        <v>-58762332</v>
      </c>
      <c r="P3452">
        <v>184</v>
      </c>
      <c r="Q3452" t="s">
        <v>6951</v>
      </c>
    </row>
    <row r="3453" spans="1:17" x14ac:dyDescent="0.3">
      <c r="A3453" t="s">
        <v>32</v>
      </c>
      <c r="B3453" t="str">
        <f>"300911"</f>
        <v>300911</v>
      </c>
      <c r="C3453" t="s">
        <v>6952</v>
      </c>
      <c r="D3453" t="s">
        <v>127</v>
      </c>
      <c r="E3453">
        <v>-138006695</v>
      </c>
      <c r="F3453">
        <v>33926594</v>
      </c>
      <c r="G3453">
        <v>5610920</v>
      </c>
      <c r="P3453">
        <v>151</v>
      </c>
      <c r="Q3453" t="s">
        <v>6953</v>
      </c>
    </row>
    <row r="3454" spans="1:17" x14ac:dyDescent="0.3">
      <c r="A3454" t="s">
        <v>32</v>
      </c>
      <c r="B3454" t="str">
        <f>"002009"</f>
        <v>002009</v>
      </c>
      <c r="C3454" t="s">
        <v>6954</v>
      </c>
      <c r="D3454" t="s">
        <v>135</v>
      </c>
      <c r="E3454">
        <v>-138018366</v>
      </c>
      <c r="F3454">
        <v>35300015</v>
      </c>
      <c r="G3454">
        <v>-87764411</v>
      </c>
      <c r="H3454">
        <v>-217811827</v>
      </c>
      <c r="I3454">
        <v>-12339843</v>
      </c>
      <c r="J3454">
        <v>-107602016</v>
      </c>
      <c r="K3454">
        <v>-81255290</v>
      </c>
      <c r="L3454">
        <v>111277253</v>
      </c>
      <c r="M3454">
        <v>-83281486</v>
      </c>
      <c r="N3454">
        <v>-202883611</v>
      </c>
      <c r="O3454">
        <v>-103186214</v>
      </c>
      <c r="P3454">
        <v>148</v>
      </c>
      <c r="Q3454" t="s">
        <v>6955</v>
      </c>
    </row>
    <row r="3455" spans="1:17" x14ac:dyDescent="0.3">
      <c r="A3455" t="s">
        <v>32</v>
      </c>
      <c r="B3455" t="str">
        <f>"200530"</f>
        <v>200530</v>
      </c>
      <c r="C3455" t="s">
        <v>6956</v>
      </c>
      <c r="E3455">
        <v>-138032389.46000001</v>
      </c>
      <c r="F3455">
        <v>18830973.712499999</v>
      </c>
      <c r="G3455">
        <v>-91592961.011399999</v>
      </c>
      <c r="H3455">
        <v>-115371009.62010001</v>
      </c>
      <c r="I3455">
        <v>-240763575.6735</v>
      </c>
      <c r="J3455">
        <v>-182574864.05919999</v>
      </c>
      <c r="K3455">
        <v>-154354681.4152</v>
      </c>
      <c r="L3455">
        <v>-177297360</v>
      </c>
      <c r="M3455">
        <v>-75193992.084399998</v>
      </c>
      <c r="N3455">
        <v>-48308734.365599997</v>
      </c>
      <c r="O3455">
        <v>-132328220.814</v>
      </c>
      <c r="P3455">
        <v>25</v>
      </c>
      <c r="Q3455" t="s">
        <v>6957</v>
      </c>
    </row>
    <row r="3456" spans="1:17" x14ac:dyDescent="0.3">
      <c r="A3456" t="s">
        <v>32</v>
      </c>
      <c r="B3456" t="str">
        <f>"300501"</f>
        <v>300501</v>
      </c>
      <c r="C3456" t="s">
        <v>6958</v>
      </c>
      <c r="D3456" t="s">
        <v>455</v>
      </c>
      <c r="E3456">
        <v>-138292388</v>
      </c>
      <c r="F3456">
        <v>-33791103</v>
      </c>
      <c r="G3456">
        <v>35226863</v>
      </c>
      <c r="H3456">
        <v>22721260</v>
      </c>
      <c r="I3456">
        <v>1380428</v>
      </c>
      <c r="J3456">
        <v>-12435388</v>
      </c>
      <c r="K3456">
        <v>-13709818</v>
      </c>
      <c r="L3456">
        <v>-130144</v>
      </c>
      <c r="P3456">
        <v>132</v>
      </c>
      <c r="Q3456" t="s">
        <v>6959</v>
      </c>
    </row>
    <row r="3457" spans="1:17" x14ac:dyDescent="0.3">
      <c r="A3457" t="s">
        <v>17</v>
      </c>
      <c r="B3457" t="str">
        <f>"603316"</f>
        <v>603316</v>
      </c>
      <c r="C3457" t="s">
        <v>6960</v>
      </c>
      <c r="D3457" t="s">
        <v>645</v>
      </c>
      <c r="E3457">
        <v>-138755319</v>
      </c>
      <c r="F3457">
        <v>-118368953</v>
      </c>
      <c r="G3457">
        <v>-110282292</v>
      </c>
      <c r="H3457">
        <v>-62450536</v>
      </c>
      <c r="I3457">
        <v>20645630</v>
      </c>
      <c r="J3457">
        <v>-57351164</v>
      </c>
      <c r="K3457">
        <v>-10716211</v>
      </c>
      <c r="P3457">
        <v>59</v>
      </c>
      <c r="Q3457" t="s">
        <v>6961</v>
      </c>
    </row>
    <row r="3458" spans="1:17" x14ac:dyDescent="0.3">
      <c r="A3458" t="s">
        <v>17</v>
      </c>
      <c r="B3458" t="str">
        <f>"600229"</f>
        <v>600229</v>
      </c>
      <c r="C3458" t="s">
        <v>6962</v>
      </c>
      <c r="D3458" t="s">
        <v>245</v>
      </c>
      <c r="E3458">
        <v>-139041523</v>
      </c>
      <c r="F3458">
        <v>-53462341</v>
      </c>
      <c r="G3458">
        <v>-100173334</v>
      </c>
      <c r="H3458">
        <v>-98261991</v>
      </c>
      <c r="I3458">
        <v>-202081738</v>
      </c>
      <c r="J3458">
        <v>-158933731</v>
      </c>
      <c r="K3458">
        <v>-127030061</v>
      </c>
      <c r="L3458">
        <v>-214270366</v>
      </c>
      <c r="M3458">
        <v>-8024004</v>
      </c>
      <c r="N3458">
        <v>-37767673</v>
      </c>
      <c r="O3458">
        <v>2035626</v>
      </c>
      <c r="P3458">
        <v>174</v>
      </c>
      <c r="Q3458" t="s">
        <v>6963</v>
      </c>
    </row>
    <row r="3459" spans="1:17" x14ac:dyDescent="0.3">
      <c r="A3459" t="s">
        <v>17</v>
      </c>
      <c r="B3459" t="str">
        <f>"600128"</f>
        <v>600128</v>
      </c>
      <c r="C3459" t="s">
        <v>6964</v>
      </c>
      <c r="D3459" t="s">
        <v>218</v>
      </c>
      <c r="E3459">
        <v>-139088710</v>
      </c>
      <c r="F3459">
        <v>-279759450</v>
      </c>
      <c r="G3459">
        <v>30296762</v>
      </c>
      <c r="H3459">
        <v>-42532223</v>
      </c>
      <c r="I3459">
        <v>-163737452</v>
      </c>
      <c r="J3459">
        <v>-113948342</v>
      </c>
      <c r="K3459">
        <v>-8372270</v>
      </c>
      <c r="L3459">
        <v>49922344</v>
      </c>
      <c r="M3459">
        <v>-191122742</v>
      </c>
      <c r="N3459">
        <v>8059535</v>
      </c>
      <c r="O3459">
        <v>14978399</v>
      </c>
      <c r="P3459">
        <v>77</v>
      </c>
      <c r="Q3459" t="s">
        <v>6965</v>
      </c>
    </row>
    <row r="3460" spans="1:17" x14ac:dyDescent="0.3">
      <c r="A3460" t="s">
        <v>32</v>
      </c>
      <c r="B3460" t="str">
        <f>"000852"</f>
        <v>000852</v>
      </c>
      <c r="C3460" t="s">
        <v>6966</v>
      </c>
      <c r="D3460" t="s">
        <v>135</v>
      </c>
      <c r="E3460">
        <v>-139140308</v>
      </c>
      <c r="F3460">
        <v>-108126832</v>
      </c>
      <c r="G3460">
        <v>118002188</v>
      </c>
      <c r="H3460">
        <v>-551432968</v>
      </c>
      <c r="I3460">
        <v>-226249938</v>
      </c>
      <c r="J3460">
        <v>-272353832</v>
      </c>
      <c r="K3460">
        <v>-89898899</v>
      </c>
      <c r="L3460">
        <v>-149127259</v>
      </c>
      <c r="M3460">
        <v>-56498147</v>
      </c>
      <c r="N3460">
        <v>-116264528</v>
      </c>
      <c r="O3460">
        <v>-45890996</v>
      </c>
      <c r="P3460">
        <v>155</v>
      </c>
      <c r="Q3460" t="s">
        <v>6967</v>
      </c>
    </row>
    <row r="3461" spans="1:17" x14ac:dyDescent="0.3">
      <c r="A3461" t="s">
        <v>32</v>
      </c>
      <c r="B3461" t="str">
        <f>"000796"</f>
        <v>000796</v>
      </c>
      <c r="C3461" t="s">
        <v>6968</v>
      </c>
      <c r="D3461" t="s">
        <v>497</v>
      </c>
      <c r="E3461">
        <v>-139181541</v>
      </c>
      <c r="F3461">
        <v>-151607780</v>
      </c>
      <c r="G3461">
        <v>-300009053</v>
      </c>
      <c r="H3461">
        <v>-70049517</v>
      </c>
      <c r="I3461">
        <v>-156894685</v>
      </c>
      <c r="J3461">
        <v>-187806324</v>
      </c>
      <c r="K3461">
        <v>-489099314</v>
      </c>
      <c r="L3461">
        <v>-17323184</v>
      </c>
      <c r="M3461">
        <v>15399396</v>
      </c>
      <c r="N3461">
        <v>-58819275</v>
      </c>
      <c r="O3461">
        <v>-5294026</v>
      </c>
      <c r="P3461">
        <v>224</v>
      </c>
      <c r="Q3461" t="s">
        <v>6969</v>
      </c>
    </row>
    <row r="3462" spans="1:17" x14ac:dyDescent="0.3">
      <c r="A3462" t="s">
        <v>17</v>
      </c>
      <c r="B3462" t="str">
        <f>"603232"</f>
        <v>603232</v>
      </c>
      <c r="C3462" t="s">
        <v>6970</v>
      </c>
      <c r="D3462" t="s">
        <v>342</v>
      </c>
      <c r="E3462">
        <v>-139381882</v>
      </c>
      <c r="F3462">
        <v>-92556429</v>
      </c>
      <c r="G3462">
        <v>-66429350</v>
      </c>
      <c r="H3462">
        <v>-40269183</v>
      </c>
      <c r="I3462">
        <v>-52555764</v>
      </c>
      <c r="J3462">
        <v>-28700340</v>
      </c>
      <c r="K3462">
        <v>-39985592</v>
      </c>
      <c r="P3462">
        <v>159</v>
      </c>
      <c r="Q3462" t="s">
        <v>6971</v>
      </c>
    </row>
    <row r="3463" spans="1:17" x14ac:dyDescent="0.3">
      <c r="A3463" t="s">
        <v>17</v>
      </c>
      <c r="B3463" t="str">
        <f>"688456"</f>
        <v>688456</v>
      </c>
      <c r="C3463" t="s">
        <v>6972</v>
      </c>
      <c r="D3463" t="s">
        <v>121</v>
      </c>
      <c r="E3463">
        <v>-139412031</v>
      </c>
      <c r="F3463">
        <v>-84398479</v>
      </c>
      <c r="G3463">
        <v>-51516623</v>
      </c>
      <c r="P3463">
        <v>28</v>
      </c>
      <c r="Q3463" t="s">
        <v>6973</v>
      </c>
    </row>
    <row r="3464" spans="1:17" x14ac:dyDescent="0.3">
      <c r="A3464" t="s">
        <v>32</v>
      </c>
      <c r="B3464" t="str">
        <f>"300696"</f>
        <v>300696</v>
      </c>
      <c r="C3464" t="s">
        <v>6974</v>
      </c>
      <c r="D3464" t="s">
        <v>188</v>
      </c>
      <c r="E3464">
        <v>-139465496</v>
      </c>
      <c r="F3464">
        <v>-40135176</v>
      </c>
      <c r="G3464">
        <v>-31517476</v>
      </c>
      <c r="H3464">
        <v>6778311</v>
      </c>
      <c r="I3464">
        <v>-25280675</v>
      </c>
      <c r="J3464">
        <v>-5788860</v>
      </c>
      <c r="P3464">
        <v>223</v>
      </c>
      <c r="Q3464" t="s">
        <v>6975</v>
      </c>
    </row>
    <row r="3465" spans="1:17" x14ac:dyDescent="0.3">
      <c r="A3465" t="s">
        <v>32</v>
      </c>
      <c r="B3465" t="str">
        <f>"301096"</f>
        <v>301096</v>
      </c>
      <c r="C3465" t="s">
        <v>6976</v>
      </c>
      <c r="D3465" t="s">
        <v>98</v>
      </c>
      <c r="E3465">
        <v>-139554878</v>
      </c>
      <c r="P3465">
        <v>26</v>
      </c>
      <c r="Q3465" t="s">
        <v>6977</v>
      </c>
    </row>
    <row r="3466" spans="1:17" x14ac:dyDescent="0.3">
      <c r="A3466" t="s">
        <v>32</v>
      </c>
      <c r="B3466" t="str">
        <f>"200706"</f>
        <v>200706</v>
      </c>
      <c r="C3466" t="s">
        <v>6978</v>
      </c>
      <c r="E3466">
        <v>-139672629.664</v>
      </c>
      <c r="F3466">
        <v>-32305194.237500001</v>
      </c>
      <c r="G3466">
        <v>18993245.711100001</v>
      </c>
      <c r="H3466">
        <v>-47625768.1611</v>
      </c>
      <c r="I3466">
        <v>76595095.788000003</v>
      </c>
      <c r="J3466">
        <v>8201731.9500000002</v>
      </c>
      <c r="K3466">
        <v>17863457.136500001</v>
      </c>
      <c r="L3466">
        <v>-83144166.25</v>
      </c>
      <c r="M3466">
        <v>-34640370.997599997</v>
      </c>
      <c r="N3466">
        <v>-15234314.6196</v>
      </c>
      <c r="O3466">
        <v>133314096.789</v>
      </c>
      <c r="P3466">
        <v>7</v>
      </c>
      <c r="Q3466" t="s">
        <v>6979</v>
      </c>
    </row>
    <row r="3467" spans="1:17" x14ac:dyDescent="0.3">
      <c r="A3467" t="s">
        <v>32</v>
      </c>
      <c r="B3467" t="str">
        <f>"000650"</f>
        <v>000650</v>
      </c>
      <c r="C3467" t="s">
        <v>6980</v>
      </c>
      <c r="D3467" t="s">
        <v>98</v>
      </c>
      <c r="E3467">
        <v>-139866488</v>
      </c>
      <c r="F3467">
        <v>-59079777</v>
      </c>
      <c r="G3467">
        <v>-95379070</v>
      </c>
      <c r="H3467">
        <v>-1964717</v>
      </c>
      <c r="I3467">
        <v>10933443</v>
      </c>
      <c r="J3467">
        <v>-152578499</v>
      </c>
      <c r="K3467">
        <v>61636382</v>
      </c>
      <c r="L3467">
        <v>88815503</v>
      </c>
      <c r="M3467">
        <v>8505891</v>
      </c>
      <c r="N3467">
        <v>-25790945</v>
      </c>
      <c r="O3467">
        <v>55926062</v>
      </c>
      <c r="P3467">
        <v>888</v>
      </c>
      <c r="Q3467" t="s">
        <v>6981</v>
      </c>
    </row>
    <row r="3468" spans="1:17" x14ac:dyDescent="0.3">
      <c r="A3468" t="s">
        <v>17</v>
      </c>
      <c r="B3468" t="str">
        <f>"688155"</f>
        <v>688155</v>
      </c>
      <c r="C3468" t="s">
        <v>6982</v>
      </c>
      <c r="D3468" t="s">
        <v>464</v>
      </c>
      <c r="E3468">
        <v>-140068374</v>
      </c>
      <c r="F3468">
        <v>-91328653</v>
      </c>
      <c r="P3468">
        <v>101</v>
      </c>
      <c r="Q3468" t="s">
        <v>6983</v>
      </c>
    </row>
    <row r="3469" spans="1:17" x14ac:dyDescent="0.3">
      <c r="A3469" t="s">
        <v>32</v>
      </c>
      <c r="B3469" t="str">
        <f>"300818"</f>
        <v>300818</v>
      </c>
      <c r="C3469" t="s">
        <v>6984</v>
      </c>
      <c r="D3469" t="s">
        <v>135</v>
      </c>
      <c r="E3469">
        <v>-140108296</v>
      </c>
      <c r="F3469">
        <v>-124327211</v>
      </c>
      <c r="G3469">
        <v>51612948</v>
      </c>
      <c r="H3469">
        <v>-4938375</v>
      </c>
      <c r="P3469">
        <v>92</v>
      </c>
      <c r="Q3469" t="s">
        <v>6985</v>
      </c>
    </row>
    <row r="3470" spans="1:17" x14ac:dyDescent="0.3">
      <c r="A3470" t="s">
        <v>32</v>
      </c>
      <c r="B3470" t="str">
        <f>"002749"</f>
        <v>002749</v>
      </c>
      <c r="C3470" t="s">
        <v>6986</v>
      </c>
      <c r="D3470" t="s">
        <v>144</v>
      </c>
      <c r="E3470">
        <v>-140399124</v>
      </c>
      <c r="F3470">
        <v>18068348</v>
      </c>
      <c r="G3470">
        <v>-17781488</v>
      </c>
      <c r="H3470">
        <v>-38306031</v>
      </c>
      <c r="I3470">
        <v>-17586893</v>
      </c>
      <c r="J3470">
        <v>-30223526</v>
      </c>
      <c r="K3470">
        <v>-7688213</v>
      </c>
      <c r="L3470">
        <v>1463729</v>
      </c>
      <c r="M3470">
        <v>-13407068</v>
      </c>
      <c r="P3470">
        <v>9781</v>
      </c>
      <c r="Q3470" t="s">
        <v>6987</v>
      </c>
    </row>
    <row r="3471" spans="1:17" x14ac:dyDescent="0.3">
      <c r="A3471" t="s">
        <v>32</v>
      </c>
      <c r="B3471" t="str">
        <f>"002382"</f>
        <v>002382</v>
      </c>
      <c r="C3471" t="s">
        <v>6988</v>
      </c>
      <c r="D3471" t="s">
        <v>98</v>
      </c>
      <c r="E3471">
        <v>-140916982</v>
      </c>
      <c r="F3471">
        <v>163547949</v>
      </c>
      <c r="G3471">
        <v>28685147</v>
      </c>
      <c r="H3471">
        <v>6717852</v>
      </c>
      <c r="I3471">
        <v>-105350460</v>
      </c>
      <c r="J3471">
        <v>-33785807</v>
      </c>
      <c r="K3471">
        <v>46365913</v>
      </c>
      <c r="L3471">
        <v>31727583</v>
      </c>
      <c r="M3471">
        <v>-94156955</v>
      </c>
      <c r="N3471">
        <v>-173746736</v>
      </c>
      <c r="O3471">
        <v>-49876583</v>
      </c>
      <c r="P3471">
        <v>849</v>
      </c>
      <c r="Q3471" t="s">
        <v>6989</v>
      </c>
    </row>
    <row r="3472" spans="1:17" x14ac:dyDescent="0.3">
      <c r="A3472" t="s">
        <v>32</v>
      </c>
      <c r="B3472" t="str">
        <f>"300385"</f>
        <v>300385</v>
      </c>
      <c r="C3472" t="s">
        <v>6990</v>
      </c>
      <c r="D3472" t="s">
        <v>1334</v>
      </c>
      <c r="E3472">
        <v>-140945778</v>
      </c>
      <c r="F3472">
        <v>-146898726</v>
      </c>
      <c r="G3472">
        <v>-131107629</v>
      </c>
      <c r="H3472">
        <v>-124994115</v>
      </c>
      <c r="I3472">
        <v>-34566948</v>
      </c>
      <c r="J3472">
        <v>-92331821</v>
      </c>
      <c r="K3472">
        <v>-69569426</v>
      </c>
      <c r="L3472">
        <v>-40180295</v>
      </c>
      <c r="M3472">
        <v>-32743900</v>
      </c>
      <c r="P3472">
        <v>92</v>
      </c>
      <c r="Q3472" t="s">
        <v>6991</v>
      </c>
    </row>
    <row r="3473" spans="1:17" x14ac:dyDescent="0.3">
      <c r="A3473" t="s">
        <v>32</v>
      </c>
      <c r="B3473" t="str">
        <f>"300577"</f>
        <v>300577</v>
      </c>
      <c r="C3473" t="s">
        <v>6992</v>
      </c>
      <c r="D3473" t="s">
        <v>130</v>
      </c>
      <c r="E3473">
        <v>-141026965</v>
      </c>
      <c r="F3473">
        <v>-163137014</v>
      </c>
      <c r="G3473">
        <v>-94970530</v>
      </c>
      <c r="H3473">
        <v>-36445805</v>
      </c>
      <c r="I3473">
        <v>-93829278</v>
      </c>
      <c r="J3473">
        <v>17061866</v>
      </c>
      <c r="K3473">
        <v>-20877045</v>
      </c>
      <c r="P3473">
        <v>487</v>
      </c>
      <c r="Q3473" t="s">
        <v>6993</v>
      </c>
    </row>
    <row r="3474" spans="1:17" x14ac:dyDescent="0.3">
      <c r="A3474" t="s">
        <v>17</v>
      </c>
      <c r="B3474" t="str">
        <f>"601882"</f>
        <v>601882</v>
      </c>
      <c r="C3474" t="s">
        <v>6994</v>
      </c>
      <c r="D3474" t="s">
        <v>135</v>
      </c>
      <c r="E3474">
        <v>-141298057</v>
      </c>
      <c r="F3474">
        <v>-140300412</v>
      </c>
      <c r="G3474">
        <v>4231728</v>
      </c>
      <c r="H3474">
        <v>-1872945</v>
      </c>
      <c r="I3474">
        <v>-8067531</v>
      </c>
      <c r="J3474">
        <v>-34665876</v>
      </c>
      <c r="K3474">
        <v>-22298547</v>
      </c>
      <c r="P3474">
        <v>190</v>
      </c>
      <c r="Q3474" t="s">
        <v>6995</v>
      </c>
    </row>
    <row r="3475" spans="1:17" x14ac:dyDescent="0.3">
      <c r="A3475" t="s">
        <v>17</v>
      </c>
      <c r="B3475" t="str">
        <f>"600992"</f>
        <v>600992</v>
      </c>
      <c r="C3475" t="s">
        <v>6996</v>
      </c>
      <c r="D3475" t="s">
        <v>135</v>
      </c>
      <c r="E3475">
        <v>-141438756</v>
      </c>
      <c r="F3475">
        <v>-102474549</v>
      </c>
      <c r="G3475">
        <v>-49963358</v>
      </c>
      <c r="H3475">
        <v>-13668354</v>
      </c>
      <c r="I3475">
        <v>-22590752</v>
      </c>
      <c r="J3475">
        <v>-24019737</v>
      </c>
      <c r="K3475">
        <v>-7485976</v>
      </c>
      <c r="L3475">
        <v>-187479728</v>
      </c>
      <c r="M3475">
        <v>-126566870</v>
      </c>
      <c r="N3475">
        <v>-31905089</v>
      </c>
      <c r="O3475">
        <v>-243891298</v>
      </c>
      <c r="P3475">
        <v>57</v>
      </c>
      <c r="Q3475" t="s">
        <v>6997</v>
      </c>
    </row>
    <row r="3476" spans="1:17" x14ac:dyDescent="0.3">
      <c r="A3476" t="s">
        <v>17</v>
      </c>
      <c r="B3476" t="str">
        <f>"688116"</f>
        <v>688116</v>
      </c>
      <c r="C3476" t="s">
        <v>6998</v>
      </c>
      <c r="D3476" t="s">
        <v>464</v>
      </c>
      <c r="E3476">
        <v>-141482591</v>
      </c>
      <c r="F3476">
        <v>-25552238</v>
      </c>
      <c r="G3476">
        <v>-68651990</v>
      </c>
      <c r="H3476">
        <v>27092760</v>
      </c>
      <c r="P3476">
        <v>197</v>
      </c>
      <c r="Q3476" t="s">
        <v>6999</v>
      </c>
    </row>
    <row r="3477" spans="1:17" x14ac:dyDescent="0.3">
      <c r="A3477" t="s">
        <v>17</v>
      </c>
      <c r="B3477" t="str">
        <f>"605333"</f>
        <v>605333</v>
      </c>
      <c r="C3477" t="s">
        <v>7000</v>
      </c>
      <c r="D3477" t="s">
        <v>199</v>
      </c>
      <c r="E3477">
        <v>-141496809</v>
      </c>
      <c r="F3477">
        <v>-142290284</v>
      </c>
      <c r="G3477">
        <v>-13778964</v>
      </c>
      <c r="P3477">
        <v>85</v>
      </c>
      <c r="Q3477" t="s">
        <v>7001</v>
      </c>
    </row>
    <row r="3478" spans="1:17" x14ac:dyDescent="0.3">
      <c r="A3478" t="s">
        <v>32</v>
      </c>
      <c r="B3478" t="str">
        <f>"002474"</f>
        <v>002474</v>
      </c>
      <c r="C3478" t="s">
        <v>7002</v>
      </c>
      <c r="D3478" t="s">
        <v>342</v>
      </c>
      <c r="E3478">
        <v>-141648359</v>
      </c>
      <c r="F3478">
        <v>-134559578</v>
      </c>
      <c r="G3478">
        <v>-154264192</v>
      </c>
      <c r="H3478">
        <v>-17054930</v>
      </c>
      <c r="I3478">
        <v>-93861830</v>
      </c>
      <c r="J3478">
        <v>-37460372</v>
      </c>
      <c r="K3478">
        <v>-132457139</v>
      </c>
      <c r="L3478">
        <v>-127880121</v>
      </c>
      <c r="M3478">
        <v>-65309888</v>
      </c>
      <c r="N3478">
        <v>-14751985</v>
      </c>
      <c r="O3478">
        <v>13210447</v>
      </c>
      <c r="P3478">
        <v>180</v>
      </c>
      <c r="Q3478" t="s">
        <v>7003</v>
      </c>
    </row>
    <row r="3479" spans="1:17" x14ac:dyDescent="0.3">
      <c r="A3479" t="s">
        <v>17</v>
      </c>
      <c r="B3479" t="str">
        <f>"603678"</f>
        <v>603678</v>
      </c>
      <c r="C3479" t="s">
        <v>7004</v>
      </c>
      <c r="D3479" t="s">
        <v>188</v>
      </c>
      <c r="E3479">
        <v>-141652966</v>
      </c>
      <c r="F3479">
        <v>-34986282</v>
      </c>
      <c r="G3479">
        <v>-69320471</v>
      </c>
      <c r="H3479">
        <v>-13317544</v>
      </c>
      <c r="I3479">
        <v>-141817302</v>
      </c>
      <c r="J3479">
        <v>-46766656</v>
      </c>
      <c r="K3479">
        <v>-39935454</v>
      </c>
      <c r="L3479">
        <v>-5764538</v>
      </c>
      <c r="M3479">
        <v>1987633</v>
      </c>
      <c r="P3479">
        <v>640</v>
      </c>
      <c r="Q3479" t="s">
        <v>7005</v>
      </c>
    </row>
    <row r="3480" spans="1:17" x14ac:dyDescent="0.3">
      <c r="A3480" t="s">
        <v>17</v>
      </c>
      <c r="B3480" t="str">
        <f>"688107"</f>
        <v>688107</v>
      </c>
      <c r="C3480" t="s">
        <v>7006</v>
      </c>
      <c r="D3480" t="s">
        <v>124</v>
      </c>
      <c r="E3480">
        <v>-141718324</v>
      </c>
      <c r="P3480">
        <v>31</v>
      </c>
      <c r="Q3480" t="s">
        <v>7007</v>
      </c>
    </row>
    <row r="3481" spans="1:17" x14ac:dyDescent="0.3">
      <c r="A3481" t="s">
        <v>17</v>
      </c>
      <c r="B3481" t="str">
        <f>"600054"</f>
        <v>600054</v>
      </c>
      <c r="C3481" t="s">
        <v>7008</v>
      </c>
      <c r="D3481" t="s">
        <v>497</v>
      </c>
      <c r="E3481">
        <v>-141844823</v>
      </c>
      <c r="F3481">
        <v>-80932962</v>
      </c>
      <c r="G3481">
        <v>-179656350</v>
      </c>
      <c r="H3481">
        <v>-65516156</v>
      </c>
      <c r="I3481">
        <v>-48498035</v>
      </c>
      <c r="J3481">
        <v>38123929</v>
      </c>
      <c r="K3481">
        <v>-31384887</v>
      </c>
      <c r="L3481">
        <v>-76111255</v>
      </c>
      <c r="M3481">
        <v>-140526876</v>
      </c>
      <c r="N3481">
        <v>-174912254</v>
      </c>
      <c r="O3481">
        <v>-202477831</v>
      </c>
      <c r="P3481">
        <v>380</v>
      </c>
      <c r="Q3481" t="s">
        <v>7009</v>
      </c>
    </row>
    <row r="3482" spans="1:17" x14ac:dyDescent="0.3">
      <c r="A3482" t="s">
        <v>17</v>
      </c>
      <c r="B3482" t="str">
        <f>"688239"</f>
        <v>688239</v>
      </c>
      <c r="C3482" t="s">
        <v>7010</v>
      </c>
      <c r="D3482" t="s">
        <v>188</v>
      </c>
      <c r="E3482">
        <v>-141901791</v>
      </c>
      <c r="F3482">
        <v>-44089778</v>
      </c>
      <c r="G3482">
        <v>16250808</v>
      </c>
      <c r="P3482">
        <v>57</v>
      </c>
      <c r="Q3482" t="s">
        <v>7011</v>
      </c>
    </row>
    <row r="3483" spans="1:17" x14ac:dyDescent="0.3">
      <c r="A3483" t="s">
        <v>32</v>
      </c>
      <c r="B3483" t="str">
        <f>"300233"</f>
        <v>300233</v>
      </c>
      <c r="C3483" t="s">
        <v>7012</v>
      </c>
      <c r="D3483" t="s">
        <v>98</v>
      </c>
      <c r="E3483">
        <v>-142164892</v>
      </c>
      <c r="F3483">
        <v>-68319751</v>
      </c>
      <c r="G3483">
        <v>43102936</v>
      </c>
      <c r="H3483">
        <v>14552197</v>
      </c>
      <c r="I3483">
        <v>-8050278</v>
      </c>
      <c r="J3483">
        <v>-5508943</v>
      </c>
      <c r="K3483">
        <v>5576629</v>
      </c>
      <c r="L3483">
        <v>844835</v>
      </c>
      <c r="M3483">
        <v>-19093466</v>
      </c>
      <c r="N3483">
        <v>-26300313</v>
      </c>
      <c r="O3483">
        <v>-6025457</v>
      </c>
      <c r="P3483">
        <v>202</v>
      </c>
      <c r="Q3483" t="s">
        <v>7013</v>
      </c>
    </row>
    <row r="3484" spans="1:17" x14ac:dyDescent="0.3">
      <c r="A3484" t="s">
        <v>17</v>
      </c>
      <c r="B3484" t="str">
        <f>"688121"</f>
        <v>688121</v>
      </c>
      <c r="C3484" t="s">
        <v>7014</v>
      </c>
      <c r="D3484" t="s">
        <v>135</v>
      </c>
      <c r="E3484">
        <v>-142391436</v>
      </c>
      <c r="P3484">
        <v>24</v>
      </c>
      <c r="Q3484" t="s">
        <v>7015</v>
      </c>
    </row>
    <row r="3485" spans="1:17" x14ac:dyDescent="0.3">
      <c r="A3485" t="s">
        <v>17</v>
      </c>
      <c r="B3485" t="str">
        <f>"600425"</f>
        <v>600425</v>
      </c>
      <c r="C3485" t="s">
        <v>7016</v>
      </c>
      <c r="D3485" t="s">
        <v>400</v>
      </c>
      <c r="E3485">
        <v>-142456665</v>
      </c>
      <c r="F3485">
        <v>-81388729</v>
      </c>
      <c r="G3485">
        <v>-254116119</v>
      </c>
      <c r="H3485">
        <v>51283602</v>
      </c>
      <c r="I3485">
        <v>-91184176</v>
      </c>
      <c r="J3485">
        <v>4344501</v>
      </c>
      <c r="K3485">
        <v>-34381109</v>
      </c>
      <c r="L3485">
        <v>-323928429</v>
      </c>
      <c r="M3485">
        <v>-225037592</v>
      </c>
      <c r="N3485">
        <v>-394586097</v>
      </c>
      <c r="O3485">
        <v>-395253043</v>
      </c>
      <c r="P3485">
        <v>167</v>
      </c>
      <c r="Q3485" t="s">
        <v>7017</v>
      </c>
    </row>
    <row r="3486" spans="1:17" x14ac:dyDescent="0.3">
      <c r="A3486" t="s">
        <v>32</v>
      </c>
      <c r="B3486" t="str">
        <f>"002082"</f>
        <v>002082</v>
      </c>
      <c r="C3486" t="s">
        <v>7018</v>
      </c>
      <c r="D3486" t="s">
        <v>121</v>
      </c>
      <c r="E3486">
        <v>-142562568</v>
      </c>
      <c r="F3486">
        <v>-328116900</v>
      </c>
      <c r="G3486">
        <v>-316217351</v>
      </c>
      <c r="H3486">
        <v>-170384741</v>
      </c>
      <c r="I3486">
        <v>-58278692</v>
      </c>
      <c r="J3486">
        <v>-66641400</v>
      </c>
      <c r="K3486">
        <v>-17163775</v>
      </c>
      <c r="L3486">
        <v>-10977402</v>
      </c>
      <c r="M3486">
        <v>-48719559</v>
      </c>
      <c r="N3486">
        <v>-68057976</v>
      </c>
      <c r="O3486">
        <v>-32712582</v>
      </c>
      <c r="P3486">
        <v>135</v>
      </c>
      <c r="Q3486" t="s">
        <v>7019</v>
      </c>
    </row>
    <row r="3487" spans="1:17" x14ac:dyDescent="0.3">
      <c r="A3487" t="s">
        <v>32</v>
      </c>
      <c r="B3487" t="str">
        <f>"300087"</f>
        <v>300087</v>
      </c>
      <c r="C3487" t="s">
        <v>7020</v>
      </c>
      <c r="D3487" t="s">
        <v>175</v>
      </c>
      <c r="E3487">
        <v>-142599960</v>
      </c>
      <c r="F3487">
        <v>-133960680</v>
      </c>
      <c r="G3487">
        <v>-181489961</v>
      </c>
      <c r="H3487">
        <v>-142380537</v>
      </c>
      <c r="I3487">
        <v>-155445642</v>
      </c>
      <c r="J3487">
        <v>-96922894</v>
      </c>
      <c r="K3487">
        <v>-14197524</v>
      </c>
      <c r="L3487">
        <v>-7841522</v>
      </c>
      <c r="M3487">
        <v>-155608</v>
      </c>
      <c r="N3487">
        <v>-51344238</v>
      </c>
      <c r="O3487">
        <v>18300389</v>
      </c>
      <c r="P3487">
        <v>232</v>
      </c>
      <c r="Q3487" t="s">
        <v>7021</v>
      </c>
    </row>
    <row r="3488" spans="1:17" x14ac:dyDescent="0.3">
      <c r="A3488" t="s">
        <v>17</v>
      </c>
      <c r="B3488" t="str">
        <f>"600213"</f>
        <v>600213</v>
      </c>
      <c r="C3488" t="s">
        <v>7022</v>
      </c>
      <c r="D3488" t="s">
        <v>199</v>
      </c>
      <c r="E3488">
        <v>-142821972</v>
      </c>
      <c r="F3488">
        <v>133211896</v>
      </c>
      <c r="G3488">
        <v>156662778</v>
      </c>
      <c r="H3488">
        <v>104063511</v>
      </c>
      <c r="I3488">
        <v>-156908937</v>
      </c>
      <c r="J3488">
        <v>249292503</v>
      </c>
      <c r="K3488">
        <v>-116752835</v>
      </c>
      <c r="L3488">
        <v>-91309448</v>
      </c>
      <c r="M3488">
        <v>-109160637</v>
      </c>
      <c r="N3488">
        <v>-84763227</v>
      </c>
      <c r="O3488">
        <v>-44135364</v>
      </c>
      <c r="P3488">
        <v>109</v>
      </c>
      <c r="Q3488" t="s">
        <v>7023</v>
      </c>
    </row>
    <row r="3489" spans="1:17" x14ac:dyDescent="0.3">
      <c r="A3489" t="s">
        <v>32</v>
      </c>
      <c r="B3489" t="str">
        <f>"300862"</f>
        <v>300862</v>
      </c>
      <c r="C3489" t="s">
        <v>7024</v>
      </c>
      <c r="D3489" t="s">
        <v>135</v>
      </c>
      <c r="E3489">
        <v>-142943676</v>
      </c>
      <c r="F3489">
        <v>-149288290</v>
      </c>
      <c r="G3489">
        <v>-157795343</v>
      </c>
      <c r="P3489">
        <v>68</v>
      </c>
      <c r="Q3489" t="s">
        <v>7025</v>
      </c>
    </row>
    <row r="3490" spans="1:17" x14ac:dyDescent="0.3">
      <c r="A3490" t="s">
        <v>32</v>
      </c>
      <c r="B3490" t="str">
        <f>"300083"</f>
        <v>300083</v>
      </c>
      <c r="C3490" t="s">
        <v>7026</v>
      </c>
      <c r="D3490" t="s">
        <v>135</v>
      </c>
      <c r="E3490">
        <v>-143011557</v>
      </c>
      <c r="F3490">
        <v>-263011286</v>
      </c>
      <c r="G3490">
        <v>-53988658</v>
      </c>
      <c r="H3490">
        <v>223794576</v>
      </c>
      <c r="I3490">
        <v>-120290676</v>
      </c>
      <c r="J3490">
        <v>-222431339</v>
      </c>
      <c r="K3490">
        <v>2373132</v>
      </c>
      <c r="L3490">
        <v>-90690176</v>
      </c>
      <c r="M3490">
        <v>-314842390</v>
      </c>
      <c r="N3490">
        <v>23031619</v>
      </c>
      <c r="O3490">
        <v>-63166159</v>
      </c>
      <c r="P3490">
        <v>488</v>
      </c>
      <c r="Q3490" t="s">
        <v>7027</v>
      </c>
    </row>
    <row r="3491" spans="1:17" x14ac:dyDescent="0.3">
      <c r="A3491" t="s">
        <v>17</v>
      </c>
      <c r="B3491" t="str">
        <f>"600960"</f>
        <v>600960</v>
      </c>
      <c r="C3491" t="s">
        <v>7028</v>
      </c>
      <c r="D3491" t="s">
        <v>199</v>
      </c>
      <c r="E3491">
        <v>-143030610</v>
      </c>
      <c r="F3491">
        <v>-15943502</v>
      </c>
      <c r="G3491">
        <v>-116030186</v>
      </c>
      <c r="H3491">
        <v>28617316</v>
      </c>
      <c r="I3491">
        <v>-161511039</v>
      </c>
      <c r="J3491">
        <v>-96440251</v>
      </c>
      <c r="K3491">
        <v>-2100463</v>
      </c>
      <c r="L3491">
        <v>-14970108</v>
      </c>
      <c r="M3491">
        <v>-52889258</v>
      </c>
      <c r="N3491">
        <v>-20112855</v>
      </c>
      <c r="O3491">
        <v>65341498</v>
      </c>
      <c r="P3491">
        <v>91</v>
      </c>
      <c r="Q3491" t="s">
        <v>7029</v>
      </c>
    </row>
    <row r="3492" spans="1:17" x14ac:dyDescent="0.3">
      <c r="A3492" t="s">
        <v>17</v>
      </c>
      <c r="B3492" t="str">
        <f>"688510"</f>
        <v>688510</v>
      </c>
      <c r="C3492" t="s">
        <v>7030</v>
      </c>
      <c r="D3492" t="s">
        <v>188</v>
      </c>
      <c r="E3492">
        <v>-143194932</v>
      </c>
      <c r="F3492">
        <v>-62059015</v>
      </c>
      <c r="G3492">
        <v>-54270923</v>
      </c>
      <c r="P3492">
        <v>65</v>
      </c>
      <c r="Q3492" t="s">
        <v>7031</v>
      </c>
    </row>
    <row r="3493" spans="1:17" x14ac:dyDescent="0.3">
      <c r="A3493" t="s">
        <v>32</v>
      </c>
      <c r="B3493" t="str">
        <f>"002004"</f>
        <v>002004</v>
      </c>
      <c r="C3493" t="s">
        <v>7032</v>
      </c>
      <c r="D3493" t="s">
        <v>98</v>
      </c>
      <c r="E3493">
        <v>-143266557</v>
      </c>
      <c r="F3493">
        <v>-371587788</v>
      </c>
      <c r="G3493">
        <v>-153207511</v>
      </c>
      <c r="H3493">
        <v>-194796801</v>
      </c>
      <c r="I3493">
        <v>-175451791</v>
      </c>
      <c r="J3493">
        <v>157442064</v>
      </c>
      <c r="K3493">
        <v>-21960749</v>
      </c>
      <c r="L3493">
        <v>-149135017</v>
      </c>
      <c r="M3493">
        <v>84795662</v>
      </c>
      <c r="N3493">
        <v>-154176176</v>
      </c>
      <c r="O3493">
        <v>121908905</v>
      </c>
      <c r="P3493">
        <v>328</v>
      </c>
      <c r="Q3493" t="s">
        <v>7033</v>
      </c>
    </row>
    <row r="3494" spans="1:17" x14ac:dyDescent="0.3">
      <c r="A3494" t="s">
        <v>32</v>
      </c>
      <c r="B3494" t="str">
        <f>"300579"</f>
        <v>300579</v>
      </c>
      <c r="C3494" t="s">
        <v>7034</v>
      </c>
      <c r="D3494" t="s">
        <v>342</v>
      </c>
      <c r="E3494">
        <v>-143376246</v>
      </c>
      <c r="F3494">
        <v>-165372240</v>
      </c>
      <c r="G3494">
        <v>-155198748</v>
      </c>
      <c r="H3494">
        <v>-163592461</v>
      </c>
      <c r="I3494">
        <v>-101034739</v>
      </c>
      <c r="J3494">
        <v>-55430439</v>
      </c>
      <c r="K3494">
        <v>-62740029</v>
      </c>
      <c r="P3494">
        <v>335</v>
      </c>
      <c r="Q3494" t="s">
        <v>7035</v>
      </c>
    </row>
    <row r="3495" spans="1:17" x14ac:dyDescent="0.3">
      <c r="A3495" t="s">
        <v>32</v>
      </c>
      <c r="B3495" t="str">
        <f>"300721"</f>
        <v>300721</v>
      </c>
      <c r="C3495" t="s">
        <v>7036</v>
      </c>
      <c r="D3495" t="s">
        <v>144</v>
      </c>
      <c r="E3495">
        <v>-143413523</v>
      </c>
      <c r="F3495">
        <v>-112992746</v>
      </c>
      <c r="G3495">
        <v>-164496718</v>
      </c>
      <c r="H3495">
        <v>-146763552</v>
      </c>
      <c r="I3495">
        <v>-65210422</v>
      </c>
      <c r="J3495">
        <v>-58873430</v>
      </c>
      <c r="P3495">
        <v>73</v>
      </c>
      <c r="Q3495" t="s">
        <v>7037</v>
      </c>
    </row>
    <row r="3496" spans="1:17" x14ac:dyDescent="0.3">
      <c r="A3496" t="s">
        <v>17</v>
      </c>
      <c r="B3496" t="str">
        <f>"688076"</f>
        <v>688076</v>
      </c>
      <c r="C3496" t="s">
        <v>7038</v>
      </c>
      <c r="D3496" t="s">
        <v>98</v>
      </c>
      <c r="E3496">
        <v>-144464510</v>
      </c>
      <c r="F3496">
        <v>-27666842</v>
      </c>
      <c r="G3496">
        <v>-51335685</v>
      </c>
      <c r="P3496">
        <v>53</v>
      </c>
      <c r="Q3496" t="s">
        <v>7039</v>
      </c>
    </row>
    <row r="3497" spans="1:17" x14ac:dyDescent="0.3">
      <c r="A3497" t="s">
        <v>32</v>
      </c>
      <c r="B3497" t="str">
        <f>"300932"</f>
        <v>300932</v>
      </c>
      <c r="C3497" t="s">
        <v>7040</v>
      </c>
      <c r="D3497" t="s">
        <v>464</v>
      </c>
      <c r="E3497">
        <v>-144701343</v>
      </c>
      <c r="F3497">
        <v>-122795620</v>
      </c>
      <c r="G3497">
        <v>21819316</v>
      </c>
      <c r="P3497">
        <v>30</v>
      </c>
      <c r="Q3497" t="s">
        <v>7041</v>
      </c>
    </row>
    <row r="3498" spans="1:17" x14ac:dyDescent="0.3">
      <c r="A3498" t="s">
        <v>17</v>
      </c>
      <c r="B3498" t="str">
        <f>"600719"</f>
        <v>600719</v>
      </c>
      <c r="C3498" t="s">
        <v>7042</v>
      </c>
      <c r="D3498" t="s">
        <v>158</v>
      </c>
      <c r="E3498">
        <v>-144957111</v>
      </c>
      <c r="F3498">
        <v>-98924849</v>
      </c>
      <c r="G3498">
        <v>-98060313</v>
      </c>
      <c r="H3498">
        <v>-90475788</v>
      </c>
      <c r="I3498">
        <v>-125375583</v>
      </c>
      <c r="J3498">
        <v>-35354491</v>
      </c>
      <c r="K3498">
        <v>-90960009</v>
      </c>
      <c r="L3498">
        <v>-4267875</v>
      </c>
      <c r="M3498">
        <v>25004912</v>
      </c>
      <c r="N3498">
        <v>72351736</v>
      </c>
      <c r="O3498">
        <v>-21175215</v>
      </c>
      <c r="P3498">
        <v>68</v>
      </c>
      <c r="Q3498" t="s">
        <v>7043</v>
      </c>
    </row>
    <row r="3499" spans="1:17" x14ac:dyDescent="0.3">
      <c r="A3499" t="s">
        <v>32</v>
      </c>
      <c r="B3499" t="str">
        <f>"002398"</f>
        <v>002398</v>
      </c>
      <c r="C3499" t="s">
        <v>7044</v>
      </c>
      <c r="D3499" t="s">
        <v>400</v>
      </c>
      <c r="E3499">
        <v>-145174859</v>
      </c>
      <c r="F3499">
        <v>-134086711</v>
      </c>
      <c r="G3499">
        <v>-133132471</v>
      </c>
      <c r="H3499">
        <v>-123728640</v>
      </c>
      <c r="I3499">
        <v>19898936</v>
      </c>
      <c r="J3499">
        <v>-17763297</v>
      </c>
      <c r="K3499">
        <v>-10841151</v>
      </c>
      <c r="L3499">
        <v>6134940</v>
      </c>
      <c r="M3499">
        <v>-36293617</v>
      </c>
      <c r="N3499">
        <v>-31958874</v>
      </c>
      <c r="O3499">
        <v>-47467688</v>
      </c>
      <c r="P3499">
        <v>217</v>
      </c>
      <c r="Q3499" t="s">
        <v>7045</v>
      </c>
    </row>
    <row r="3500" spans="1:17" x14ac:dyDescent="0.3">
      <c r="A3500" t="s">
        <v>32</v>
      </c>
      <c r="B3500" t="str">
        <f>"300397"</f>
        <v>300397</v>
      </c>
      <c r="C3500" t="s">
        <v>7046</v>
      </c>
      <c r="D3500" t="s">
        <v>188</v>
      </c>
      <c r="E3500">
        <v>-145195260</v>
      </c>
      <c r="F3500">
        <v>19931965</v>
      </c>
      <c r="G3500">
        <v>7391417</v>
      </c>
      <c r="H3500">
        <v>-22394943</v>
      </c>
      <c r="I3500">
        <v>-67289655</v>
      </c>
      <c r="J3500">
        <v>-46969196</v>
      </c>
      <c r="K3500">
        <v>-42758766</v>
      </c>
      <c r="L3500">
        <v>-42921655</v>
      </c>
      <c r="M3500">
        <v>16417587</v>
      </c>
      <c r="P3500">
        <v>232</v>
      </c>
      <c r="Q3500" t="s">
        <v>7047</v>
      </c>
    </row>
    <row r="3501" spans="1:17" x14ac:dyDescent="0.3">
      <c r="A3501" t="s">
        <v>32</v>
      </c>
      <c r="B3501" t="str">
        <f>"002334"</f>
        <v>002334</v>
      </c>
      <c r="C3501" t="s">
        <v>7048</v>
      </c>
      <c r="D3501" t="s">
        <v>135</v>
      </c>
      <c r="E3501">
        <v>-145566260</v>
      </c>
      <c r="F3501">
        <v>-82775296</v>
      </c>
      <c r="G3501">
        <v>-61867352</v>
      </c>
      <c r="H3501">
        <v>-41380689</v>
      </c>
      <c r="I3501">
        <v>-94911059</v>
      </c>
      <c r="J3501">
        <v>-122244199</v>
      </c>
      <c r="K3501">
        <v>-94364497</v>
      </c>
      <c r="L3501">
        <v>-51291753</v>
      </c>
      <c r="M3501">
        <v>-47963140</v>
      </c>
      <c r="N3501">
        <v>9268649</v>
      </c>
      <c r="O3501">
        <v>-19802071</v>
      </c>
      <c r="P3501">
        <v>222</v>
      </c>
      <c r="Q3501" t="s">
        <v>7049</v>
      </c>
    </row>
    <row r="3502" spans="1:17" x14ac:dyDescent="0.3">
      <c r="A3502" t="s">
        <v>17</v>
      </c>
      <c r="B3502" t="str">
        <f>"600647"</f>
        <v>600647</v>
      </c>
      <c r="C3502" t="s">
        <v>7050</v>
      </c>
      <c r="D3502" t="s">
        <v>345</v>
      </c>
      <c r="E3502">
        <v>-145569934</v>
      </c>
      <c r="F3502">
        <v>-78059544</v>
      </c>
      <c r="G3502">
        <v>-7807915</v>
      </c>
      <c r="H3502">
        <v>-12232846</v>
      </c>
      <c r="I3502">
        <v>2554497</v>
      </c>
      <c r="J3502">
        <v>106598</v>
      </c>
      <c r="K3502">
        <v>-3043426</v>
      </c>
      <c r="L3502">
        <v>12558784</v>
      </c>
      <c r="M3502">
        <v>-41078568</v>
      </c>
      <c r="N3502">
        <v>11249553</v>
      </c>
      <c r="O3502">
        <v>51772544</v>
      </c>
      <c r="P3502">
        <v>75</v>
      </c>
      <c r="Q3502" t="s">
        <v>7051</v>
      </c>
    </row>
    <row r="3503" spans="1:17" x14ac:dyDescent="0.3">
      <c r="A3503" t="s">
        <v>32</v>
      </c>
      <c r="B3503" t="str">
        <f>"300439"</f>
        <v>300439</v>
      </c>
      <c r="C3503" t="s">
        <v>7052</v>
      </c>
      <c r="D3503" t="s">
        <v>98</v>
      </c>
      <c r="E3503">
        <v>-145725148</v>
      </c>
      <c r="F3503">
        <v>-66927734</v>
      </c>
      <c r="G3503">
        <v>41818336</v>
      </c>
      <c r="H3503">
        <v>-77534228</v>
      </c>
      <c r="I3503">
        <v>-143168648</v>
      </c>
      <c r="J3503">
        <v>-88706583</v>
      </c>
      <c r="K3503">
        <v>-99802972</v>
      </c>
      <c r="L3503">
        <v>-33523523</v>
      </c>
      <c r="M3503">
        <v>-32226436</v>
      </c>
      <c r="P3503">
        <v>209</v>
      </c>
      <c r="Q3503" t="s">
        <v>7053</v>
      </c>
    </row>
    <row r="3504" spans="1:17" x14ac:dyDescent="0.3">
      <c r="A3504" t="s">
        <v>32</v>
      </c>
      <c r="B3504" t="str">
        <f>"002361"</f>
        <v>002361</v>
      </c>
      <c r="C3504" t="s">
        <v>7054</v>
      </c>
      <c r="D3504" t="s">
        <v>144</v>
      </c>
      <c r="E3504">
        <v>-145900953</v>
      </c>
      <c r="F3504">
        <v>-187550879</v>
      </c>
      <c r="G3504">
        <v>-52105499</v>
      </c>
      <c r="H3504">
        <v>-26939288</v>
      </c>
      <c r="I3504">
        <v>7113807</v>
      </c>
      <c r="J3504">
        <v>-139665586</v>
      </c>
      <c r="K3504">
        <v>30154030</v>
      </c>
      <c r="L3504">
        <v>-21126760</v>
      </c>
      <c r="M3504">
        <v>7871505</v>
      </c>
      <c r="N3504">
        <v>-48677545</v>
      </c>
      <c r="O3504">
        <v>-18850843</v>
      </c>
      <c r="P3504">
        <v>89</v>
      </c>
      <c r="Q3504" t="s">
        <v>7055</v>
      </c>
    </row>
    <row r="3505" spans="1:17" x14ac:dyDescent="0.3">
      <c r="A3505" t="s">
        <v>32</v>
      </c>
      <c r="B3505" t="str">
        <f>"300416"</f>
        <v>300416</v>
      </c>
      <c r="C3505" t="s">
        <v>7056</v>
      </c>
      <c r="D3505" t="s">
        <v>135</v>
      </c>
      <c r="E3505">
        <v>-146091464</v>
      </c>
      <c r="F3505">
        <v>-50150743</v>
      </c>
      <c r="G3505">
        <v>-76832323</v>
      </c>
      <c r="H3505">
        <v>-98500851</v>
      </c>
      <c r="I3505">
        <v>-58224688</v>
      </c>
      <c r="J3505">
        <v>-73430519</v>
      </c>
      <c r="K3505">
        <v>-39975763</v>
      </c>
      <c r="L3505">
        <v>-34623911</v>
      </c>
      <c r="M3505">
        <v>-33265457</v>
      </c>
      <c r="P3505">
        <v>306</v>
      </c>
      <c r="Q3505" t="s">
        <v>7057</v>
      </c>
    </row>
    <row r="3506" spans="1:17" x14ac:dyDescent="0.3">
      <c r="A3506" t="s">
        <v>32</v>
      </c>
      <c r="B3506" t="str">
        <f>"002908"</f>
        <v>002908</v>
      </c>
      <c r="C3506" t="s">
        <v>7058</v>
      </c>
      <c r="D3506" t="s">
        <v>57</v>
      </c>
      <c r="E3506">
        <v>-146129307</v>
      </c>
      <c r="F3506">
        <v>-112981256</v>
      </c>
      <c r="G3506">
        <v>-74662651</v>
      </c>
      <c r="H3506">
        <v>-85330963</v>
      </c>
      <c r="I3506">
        <v>-63318074</v>
      </c>
      <c r="J3506">
        <v>-42249682</v>
      </c>
      <c r="P3506">
        <v>127</v>
      </c>
      <c r="Q3506" t="s">
        <v>7059</v>
      </c>
    </row>
    <row r="3507" spans="1:17" x14ac:dyDescent="0.3">
      <c r="A3507" t="s">
        <v>17</v>
      </c>
      <c r="B3507" t="str">
        <f>"688739"</f>
        <v>688739</v>
      </c>
      <c r="C3507" t="s">
        <v>7060</v>
      </c>
      <c r="D3507" t="s">
        <v>98</v>
      </c>
      <c r="E3507">
        <v>-146188602</v>
      </c>
      <c r="G3507">
        <v>60929540</v>
      </c>
      <c r="H3507">
        <v>-30608706</v>
      </c>
      <c r="P3507">
        <v>36</v>
      </c>
      <c r="Q3507" t="s">
        <v>7061</v>
      </c>
    </row>
    <row r="3508" spans="1:17" x14ac:dyDescent="0.3">
      <c r="A3508" t="s">
        <v>32</v>
      </c>
      <c r="B3508" t="str">
        <f>"000782"</f>
        <v>000782</v>
      </c>
      <c r="C3508" t="s">
        <v>7062</v>
      </c>
      <c r="D3508" t="s">
        <v>144</v>
      </c>
      <c r="E3508">
        <v>-146251610</v>
      </c>
      <c r="F3508">
        <v>-120383447</v>
      </c>
      <c r="G3508">
        <v>-235153079</v>
      </c>
      <c r="H3508">
        <v>-118846810</v>
      </c>
      <c r="I3508">
        <v>-123493158</v>
      </c>
      <c r="J3508">
        <v>-171559540</v>
      </c>
      <c r="K3508">
        <v>14083024</v>
      </c>
      <c r="L3508">
        <v>-1746617</v>
      </c>
      <c r="M3508">
        <v>-206475585</v>
      </c>
      <c r="N3508">
        <v>-135557321</v>
      </c>
      <c r="O3508">
        <v>24484323</v>
      </c>
      <c r="P3508">
        <v>64</v>
      </c>
      <c r="Q3508" t="s">
        <v>7063</v>
      </c>
    </row>
    <row r="3509" spans="1:17" x14ac:dyDescent="0.3">
      <c r="A3509" t="s">
        <v>32</v>
      </c>
      <c r="B3509" t="str">
        <f>"300846"</f>
        <v>300846</v>
      </c>
      <c r="C3509" t="s">
        <v>7064</v>
      </c>
      <c r="D3509" t="s">
        <v>342</v>
      </c>
      <c r="E3509">
        <v>-146586258</v>
      </c>
      <c r="F3509">
        <v>-36866638</v>
      </c>
      <c r="G3509">
        <v>-32034802</v>
      </c>
      <c r="H3509">
        <v>7142403</v>
      </c>
      <c r="I3509">
        <v>-8193290</v>
      </c>
      <c r="P3509">
        <v>78</v>
      </c>
      <c r="Q3509" t="s">
        <v>7065</v>
      </c>
    </row>
    <row r="3510" spans="1:17" x14ac:dyDescent="0.3">
      <c r="A3510" t="s">
        <v>17</v>
      </c>
      <c r="B3510" t="str">
        <f>"603188"</f>
        <v>603188</v>
      </c>
      <c r="C3510" t="s">
        <v>7066</v>
      </c>
      <c r="D3510" t="s">
        <v>144</v>
      </c>
      <c r="E3510">
        <v>-146840336</v>
      </c>
      <c r="F3510">
        <v>-78005686</v>
      </c>
      <c r="G3510">
        <v>-50285832</v>
      </c>
      <c r="H3510">
        <v>-150909315</v>
      </c>
      <c r="I3510">
        <v>82539669</v>
      </c>
      <c r="J3510">
        <v>4987088</v>
      </c>
      <c r="K3510">
        <v>76290304</v>
      </c>
      <c r="L3510">
        <v>-30248055</v>
      </c>
      <c r="M3510">
        <v>47804186</v>
      </c>
      <c r="P3510">
        <v>206</v>
      </c>
      <c r="Q3510" t="s">
        <v>7067</v>
      </c>
    </row>
    <row r="3511" spans="1:17" x14ac:dyDescent="0.3">
      <c r="A3511" t="s">
        <v>17</v>
      </c>
      <c r="B3511" t="str">
        <f>"688550"</f>
        <v>688550</v>
      </c>
      <c r="C3511" t="s">
        <v>7068</v>
      </c>
      <c r="D3511" t="s">
        <v>124</v>
      </c>
      <c r="E3511">
        <v>-146864963</v>
      </c>
      <c r="F3511">
        <v>5715489</v>
      </c>
      <c r="G3511">
        <v>24454493</v>
      </c>
      <c r="H3511">
        <v>21387700</v>
      </c>
      <c r="P3511">
        <v>54</v>
      </c>
      <c r="Q3511" t="s">
        <v>7069</v>
      </c>
    </row>
    <row r="3512" spans="1:17" x14ac:dyDescent="0.3">
      <c r="A3512" t="s">
        <v>32</v>
      </c>
      <c r="B3512" t="str">
        <f>"002079"</f>
        <v>002079</v>
      </c>
      <c r="C3512" t="s">
        <v>7070</v>
      </c>
      <c r="D3512" t="s">
        <v>124</v>
      </c>
      <c r="E3512">
        <v>-146893689</v>
      </c>
      <c r="F3512">
        <v>-20461609</v>
      </c>
      <c r="G3512">
        <v>-52910078</v>
      </c>
      <c r="H3512">
        <v>54605761</v>
      </c>
      <c r="I3512">
        <v>-53075202</v>
      </c>
      <c r="J3512">
        <v>23686711</v>
      </c>
      <c r="K3512">
        <v>33512663</v>
      </c>
      <c r="L3512">
        <v>-4340601</v>
      </c>
      <c r="M3512">
        <v>-8309647</v>
      </c>
      <c r="N3512">
        <v>-17999738</v>
      </c>
      <c r="O3512">
        <v>-5720606</v>
      </c>
      <c r="P3512">
        <v>372</v>
      </c>
      <c r="Q3512" t="s">
        <v>7071</v>
      </c>
    </row>
    <row r="3513" spans="1:17" x14ac:dyDescent="0.3">
      <c r="A3513" t="s">
        <v>32</v>
      </c>
      <c r="B3513" t="str">
        <f>"300726"</f>
        <v>300726</v>
      </c>
      <c r="C3513" t="s">
        <v>7072</v>
      </c>
      <c r="D3513" t="s">
        <v>188</v>
      </c>
      <c r="E3513">
        <v>-147192909</v>
      </c>
      <c r="F3513">
        <v>-31298392</v>
      </c>
      <c r="G3513">
        <v>-62910432</v>
      </c>
      <c r="H3513">
        <v>-47512804</v>
      </c>
      <c r="I3513">
        <v>-29891691</v>
      </c>
      <c r="J3513">
        <v>-17704807</v>
      </c>
      <c r="P3513">
        <v>750</v>
      </c>
      <c r="Q3513" t="s">
        <v>7073</v>
      </c>
    </row>
    <row r="3514" spans="1:17" x14ac:dyDescent="0.3">
      <c r="A3514" t="s">
        <v>32</v>
      </c>
      <c r="B3514" t="str">
        <f>"002580"</f>
        <v>002580</v>
      </c>
      <c r="C3514" t="s">
        <v>7074</v>
      </c>
      <c r="D3514" t="s">
        <v>464</v>
      </c>
      <c r="E3514">
        <v>-147664899</v>
      </c>
      <c r="F3514">
        <v>-111323793</v>
      </c>
      <c r="G3514">
        <v>-72243212</v>
      </c>
      <c r="H3514">
        <v>-79036579</v>
      </c>
      <c r="I3514">
        <v>-98779962</v>
      </c>
      <c r="J3514">
        <v>-91368953</v>
      </c>
      <c r="K3514">
        <v>-131783021</v>
      </c>
      <c r="L3514">
        <v>-95498874</v>
      </c>
      <c r="M3514">
        <v>-43590746</v>
      </c>
      <c r="N3514">
        <v>-137841094</v>
      </c>
      <c r="O3514">
        <v>-148049093</v>
      </c>
      <c r="P3514">
        <v>114</v>
      </c>
      <c r="Q3514" t="s">
        <v>7075</v>
      </c>
    </row>
    <row r="3515" spans="1:17" x14ac:dyDescent="0.3">
      <c r="A3515" t="s">
        <v>32</v>
      </c>
      <c r="B3515" t="str">
        <f>"002468"</f>
        <v>002468</v>
      </c>
      <c r="C3515" t="s">
        <v>7076</v>
      </c>
      <c r="D3515" t="s">
        <v>46</v>
      </c>
      <c r="E3515">
        <v>-147818891</v>
      </c>
      <c r="F3515">
        <v>-1285557045</v>
      </c>
      <c r="G3515">
        <v>-1305027329</v>
      </c>
      <c r="H3515">
        <v>-547066913</v>
      </c>
      <c r="I3515">
        <v>-536814772</v>
      </c>
      <c r="J3515">
        <v>-58002839</v>
      </c>
      <c r="K3515">
        <v>76269577</v>
      </c>
      <c r="L3515">
        <v>57951223</v>
      </c>
      <c r="M3515">
        <v>-10197101</v>
      </c>
      <c r="N3515">
        <v>-46479709</v>
      </c>
      <c r="O3515">
        <v>-31652151</v>
      </c>
      <c r="P3515">
        <v>638</v>
      </c>
      <c r="Q3515" t="s">
        <v>7077</v>
      </c>
    </row>
    <row r="3516" spans="1:17" x14ac:dyDescent="0.3">
      <c r="A3516" t="s">
        <v>32</v>
      </c>
      <c r="B3516" t="str">
        <f>"300184"</f>
        <v>300184</v>
      </c>
      <c r="C3516" t="s">
        <v>7078</v>
      </c>
      <c r="D3516" t="s">
        <v>124</v>
      </c>
      <c r="E3516">
        <v>-148395170</v>
      </c>
      <c r="F3516">
        <v>116754177</v>
      </c>
      <c r="G3516">
        <v>46372569</v>
      </c>
      <c r="H3516">
        <v>-104890553</v>
      </c>
      <c r="I3516">
        <v>-30265718</v>
      </c>
      <c r="J3516">
        <v>-191912541</v>
      </c>
      <c r="K3516">
        <v>-51360047</v>
      </c>
      <c r="L3516">
        <v>-51398224</v>
      </c>
      <c r="M3516">
        <v>-15018737</v>
      </c>
      <c r="N3516">
        <v>-32034140</v>
      </c>
      <c r="O3516">
        <v>-3968560</v>
      </c>
      <c r="P3516">
        <v>252</v>
      </c>
      <c r="Q3516" t="s">
        <v>7079</v>
      </c>
    </row>
    <row r="3517" spans="1:17" x14ac:dyDescent="0.3">
      <c r="A3517" t="s">
        <v>32</v>
      </c>
      <c r="B3517" t="str">
        <f>"300996"</f>
        <v>300996</v>
      </c>
      <c r="C3517" t="s">
        <v>7080</v>
      </c>
      <c r="D3517" t="s">
        <v>342</v>
      </c>
      <c r="E3517">
        <v>-148592845</v>
      </c>
      <c r="F3517">
        <v>-91676277</v>
      </c>
      <c r="G3517">
        <v>-48353876</v>
      </c>
      <c r="P3517">
        <v>42</v>
      </c>
      <c r="Q3517" t="s">
        <v>7081</v>
      </c>
    </row>
    <row r="3518" spans="1:17" x14ac:dyDescent="0.3">
      <c r="A3518" t="s">
        <v>17</v>
      </c>
      <c r="B3518" t="str">
        <f>"600312"</f>
        <v>600312</v>
      </c>
      <c r="C3518" t="s">
        <v>7082</v>
      </c>
      <c r="D3518" t="s">
        <v>464</v>
      </c>
      <c r="E3518">
        <v>-149111388</v>
      </c>
      <c r="F3518">
        <v>-245371967</v>
      </c>
      <c r="G3518">
        <v>-361132407</v>
      </c>
      <c r="H3518">
        <v>-393200710</v>
      </c>
      <c r="I3518">
        <v>-571204040</v>
      </c>
      <c r="J3518">
        <v>-1032160170</v>
      </c>
      <c r="K3518">
        <v>-375774739</v>
      </c>
      <c r="L3518">
        <v>-316975607</v>
      </c>
      <c r="M3518">
        <v>-110655399</v>
      </c>
      <c r="N3518">
        <v>-480085172</v>
      </c>
      <c r="O3518">
        <v>-79156957</v>
      </c>
      <c r="P3518">
        <v>634</v>
      </c>
      <c r="Q3518" t="s">
        <v>7083</v>
      </c>
    </row>
    <row r="3519" spans="1:17" x14ac:dyDescent="0.3">
      <c r="A3519" t="s">
        <v>32</v>
      </c>
      <c r="B3519" t="str">
        <f>"300395"</f>
        <v>300395</v>
      </c>
      <c r="C3519" t="s">
        <v>7084</v>
      </c>
      <c r="D3519" t="s">
        <v>188</v>
      </c>
      <c r="E3519">
        <v>-149240489</v>
      </c>
      <c r="F3519">
        <v>-62298571</v>
      </c>
      <c r="G3519">
        <v>-38652061</v>
      </c>
      <c r="H3519">
        <v>22341944</v>
      </c>
      <c r="I3519">
        <v>-20138854</v>
      </c>
      <c r="J3519">
        <v>-22574175</v>
      </c>
      <c r="K3519">
        <v>-47596843</v>
      </c>
      <c r="L3519">
        <v>12527501</v>
      </c>
      <c r="M3519">
        <v>2419748</v>
      </c>
      <c r="P3519">
        <v>553</v>
      </c>
      <c r="Q3519" t="s">
        <v>7085</v>
      </c>
    </row>
    <row r="3520" spans="1:17" x14ac:dyDescent="0.3">
      <c r="A3520" t="s">
        <v>32</v>
      </c>
      <c r="B3520" t="str">
        <f>"300119"</f>
        <v>300119</v>
      </c>
      <c r="C3520" t="s">
        <v>7086</v>
      </c>
      <c r="D3520" t="s">
        <v>175</v>
      </c>
      <c r="E3520">
        <v>-149286130</v>
      </c>
      <c r="F3520">
        <v>-31524805</v>
      </c>
      <c r="G3520">
        <v>-36222764</v>
      </c>
      <c r="H3520">
        <v>-72508123</v>
      </c>
      <c r="I3520">
        <v>-42352370</v>
      </c>
      <c r="J3520">
        <v>-47705083</v>
      </c>
      <c r="K3520">
        <v>-43065754</v>
      </c>
      <c r="L3520">
        <v>-30595642</v>
      </c>
      <c r="M3520">
        <v>-39259598</v>
      </c>
      <c r="N3520">
        <v>-79311381</v>
      </c>
      <c r="O3520">
        <v>-37260806</v>
      </c>
      <c r="P3520">
        <v>388</v>
      </c>
      <c r="Q3520" t="s">
        <v>7087</v>
      </c>
    </row>
    <row r="3521" spans="1:17" x14ac:dyDescent="0.3">
      <c r="A3521" t="s">
        <v>32</v>
      </c>
      <c r="B3521" t="str">
        <f>"002189"</f>
        <v>002189</v>
      </c>
      <c r="C3521" t="s">
        <v>7088</v>
      </c>
      <c r="D3521" t="s">
        <v>188</v>
      </c>
      <c r="E3521">
        <v>-149411706</v>
      </c>
      <c r="F3521">
        <v>-321327639</v>
      </c>
      <c r="G3521">
        <v>-14189095</v>
      </c>
      <c r="H3521">
        <v>250047061</v>
      </c>
      <c r="I3521">
        <v>9472578</v>
      </c>
      <c r="J3521">
        <v>2533256</v>
      </c>
      <c r="K3521">
        <v>-23504815</v>
      </c>
      <c r="L3521">
        <v>-511369</v>
      </c>
      <c r="M3521">
        <v>-10922870</v>
      </c>
      <c r="N3521">
        <v>-16075781</v>
      </c>
      <c r="O3521">
        <v>-17769276</v>
      </c>
      <c r="P3521">
        <v>221</v>
      </c>
      <c r="Q3521" t="s">
        <v>7089</v>
      </c>
    </row>
    <row r="3522" spans="1:17" x14ac:dyDescent="0.3">
      <c r="A3522" t="s">
        <v>17</v>
      </c>
      <c r="B3522" t="str">
        <f>"603117"</f>
        <v>603117</v>
      </c>
      <c r="C3522" t="s">
        <v>7090</v>
      </c>
      <c r="D3522" t="s">
        <v>46</v>
      </c>
      <c r="E3522">
        <v>-149689892</v>
      </c>
      <c r="F3522">
        <v>-457375761</v>
      </c>
      <c r="G3522">
        <v>-320454352</v>
      </c>
      <c r="H3522">
        <v>-497839191</v>
      </c>
      <c r="I3522">
        <v>-149067613</v>
      </c>
      <c r="J3522">
        <v>-34649995</v>
      </c>
      <c r="K3522">
        <v>-70666338</v>
      </c>
      <c r="L3522">
        <v>-74156471</v>
      </c>
      <c r="M3522">
        <v>-104999120</v>
      </c>
      <c r="P3522">
        <v>64</v>
      </c>
      <c r="Q3522" t="s">
        <v>7091</v>
      </c>
    </row>
    <row r="3523" spans="1:17" x14ac:dyDescent="0.3">
      <c r="A3523" t="s">
        <v>32</v>
      </c>
      <c r="B3523" t="str">
        <f>"300552"</f>
        <v>300552</v>
      </c>
      <c r="C3523" t="s">
        <v>7092</v>
      </c>
      <c r="D3523" t="s">
        <v>342</v>
      </c>
      <c r="E3523">
        <v>-150198873</v>
      </c>
      <c r="F3523">
        <v>63879483</v>
      </c>
      <c r="G3523">
        <v>-41543599</v>
      </c>
      <c r="H3523">
        <v>-152598322</v>
      </c>
      <c r="I3523">
        <v>-108010080</v>
      </c>
      <c r="J3523">
        <v>-92970324</v>
      </c>
      <c r="K3523">
        <v>-131218069</v>
      </c>
      <c r="P3523">
        <v>327</v>
      </c>
      <c r="Q3523" t="s">
        <v>7093</v>
      </c>
    </row>
    <row r="3524" spans="1:17" x14ac:dyDescent="0.3">
      <c r="A3524" t="s">
        <v>17</v>
      </c>
      <c r="B3524" t="str">
        <f>"605567"</f>
        <v>605567</v>
      </c>
      <c r="C3524" t="s">
        <v>7094</v>
      </c>
      <c r="D3524" t="s">
        <v>172</v>
      </c>
      <c r="E3524">
        <v>-150239411</v>
      </c>
      <c r="P3524">
        <v>33</v>
      </c>
      <c r="Q3524" t="s">
        <v>7095</v>
      </c>
    </row>
    <row r="3525" spans="1:17" x14ac:dyDescent="0.3">
      <c r="A3525" t="s">
        <v>32</v>
      </c>
      <c r="B3525" t="str">
        <f>"300438"</f>
        <v>300438</v>
      </c>
      <c r="C3525" t="s">
        <v>7096</v>
      </c>
      <c r="D3525" t="s">
        <v>464</v>
      </c>
      <c r="E3525">
        <v>-150735559</v>
      </c>
      <c r="F3525">
        <v>-117667680</v>
      </c>
      <c r="G3525">
        <v>15088304</v>
      </c>
      <c r="H3525">
        <v>-192718095</v>
      </c>
      <c r="I3525">
        <v>-19253304</v>
      </c>
      <c r="J3525">
        <v>-23006519</v>
      </c>
      <c r="K3525">
        <v>-132685217</v>
      </c>
      <c r="L3525">
        <v>-16236489</v>
      </c>
      <c r="M3525">
        <v>-18634371</v>
      </c>
      <c r="P3525">
        <v>394</v>
      </c>
      <c r="Q3525" t="s">
        <v>7097</v>
      </c>
    </row>
    <row r="3526" spans="1:17" x14ac:dyDescent="0.3">
      <c r="A3526" t="s">
        <v>32</v>
      </c>
      <c r="B3526" t="str">
        <f>"300681"</f>
        <v>300681</v>
      </c>
      <c r="C3526" t="s">
        <v>7098</v>
      </c>
      <c r="D3526" t="s">
        <v>199</v>
      </c>
      <c r="E3526">
        <v>-151092613</v>
      </c>
      <c r="F3526">
        <v>-53159681</v>
      </c>
      <c r="G3526">
        <v>-27383451</v>
      </c>
      <c r="H3526">
        <v>35080410</v>
      </c>
      <c r="I3526">
        <v>-38004439</v>
      </c>
      <c r="J3526">
        <v>-14495570</v>
      </c>
      <c r="K3526">
        <v>-13870362</v>
      </c>
      <c r="P3526">
        <v>89</v>
      </c>
      <c r="Q3526" t="s">
        <v>7099</v>
      </c>
    </row>
    <row r="3527" spans="1:17" x14ac:dyDescent="0.3">
      <c r="A3527" t="s">
        <v>32</v>
      </c>
      <c r="B3527" t="str">
        <f>"002879"</f>
        <v>002879</v>
      </c>
      <c r="C3527" t="s">
        <v>7100</v>
      </c>
      <c r="D3527" t="s">
        <v>464</v>
      </c>
      <c r="E3527">
        <v>-151252225</v>
      </c>
      <c r="F3527">
        <v>-66338429</v>
      </c>
      <c r="G3527">
        <v>-84540934</v>
      </c>
      <c r="H3527">
        <v>13347582</v>
      </c>
      <c r="I3527">
        <v>-27388883</v>
      </c>
      <c r="J3527">
        <v>3957135</v>
      </c>
      <c r="K3527">
        <v>-21521007</v>
      </c>
      <c r="P3527">
        <v>267</v>
      </c>
      <c r="Q3527" t="s">
        <v>7101</v>
      </c>
    </row>
    <row r="3528" spans="1:17" x14ac:dyDescent="0.3">
      <c r="A3528" t="s">
        <v>32</v>
      </c>
      <c r="B3528" t="str">
        <f>"002657"</f>
        <v>002657</v>
      </c>
      <c r="C3528" t="s">
        <v>7102</v>
      </c>
      <c r="D3528" t="s">
        <v>342</v>
      </c>
      <c r="E3528">
        <v>-151489460</v>
      </c>
      <c r="F3528">
        <v>-283294553</v>
      </c>
      <c r="G3528">
        <v>-155276383</v>
      </c>
      <c r="H3528">
        <v>-198839359</v>
      </c>
      <c r="I3528">
        <v>-309706506</v>
      </c>
      <c r="J3528">
        <v>-142428670</v>
      </c>
      <c r="K3528">
        <v>-128200829</v>
      </c>
      <c r="L3528">
        <v>-113657856</v>
      </c>
      <c r="M3528">
        <v>-192684242</v>
      </c>
      <c r="N3528">
        <v>-176833190</v>
      </c>
      <c r="O3528">
        <v>-75725788</v>
      </c>
      <c r="P3528">
        <v>154</v>
      </c>
      <c r="Q3528" t="s">
        <v>7103</v>
      </c>
    </row>
    <row r="3529" spans="1:17" x14ac:dyDescent="0.3">
      <c r="A3529" t="s">
        <v>17</v>
      </c>
      <c r="B3529" t="str">
        <f>"601016"</f>
        <v>601016</v>
      </c>
      <c r="C3529" t="s">
        <v>7104</v>
      </c>
      <c r="D3529" t="s">
        <v>158</v>
      </c>
      <c r="E3529">
        <v>-151858700</v>
      </c>
      <c r="F3529">
        <v>-1271009639</v>
      </c>
      <c r="G3529">
        <v>-935715885</v>
      </c>
      <c r="H3529">
        <v>-106344487</v>
      </c>
      <c r="I3529">
        <v>-159554745</v>
      </c>
      <c r="J3529">
        <v>-262330984</v>
      </c>
      <c r="K3529">
        <v>-327953019</v>
      </c>
      <c r="L3529">
        <v>90794039</v>
      </c>
      <c r="M3529">
        <v>-205457591</v>
      </c>
      <c r="P3529">
        <v>542</v>
      </c>
      <c r="Q3529" t="s">
        <v>7105</v>
      </c>
    </row>
    <row r="3530" spans="1:17" x14ac:dyDescent="0.3">
      <c r="A3530" t="s">
        <v>32</v>
      </c>
      <c r="B3530" t="str">
        <f>"300465"</f>
        <v>300465</v>
      </c>
      <c r="C3530" t="s">
        <v>7106</v>
      </c>
      <c r="D3530" t="s">
        <v>342</v>
      </c>
      <c r="E3530">
        <v>-152030659</v>
      </c>
      <c r="F3530">
        <v>-279755510</v>
      </c>
      <c r="G3530">
        <v>-340368071</v>
      </c>
      <c r="H3530">
        <v>-232556505</v>
      </c>
      <c r="I3530">
        <v>-86983418</v>
      </c>
      <c r="J3530">
        <v>-164383350</v>
      </c>
      <c r="K3530">
        <v>-85047195</v>
      </c>
      <c r="L3530">
        <v>-111288546</v>
      </c>
      <c r="M3530">
        <v>-141434565</v>
      </c>
      <c r="P3530">
        <v>252</v>
      </c>
      <c r="Q3530" t="s">
        <v>7107</v>
      </c>
    </row>
    <row r="3531" spans="1:17" x14ac:dyDescent="0.3">
      <c r="A3531" t="s">
        <v>32</v>
      </c>
      <c r="B3531" t="str">
        <f>"300900"</f>
        <v>300900</v>
      </c>
      <c r="C3531" t="s">
        <v>7108</v>
      </c>
      <c r="D3531" t="s">
        <v>188</v>
      </c>
      <c r="E3531">
        <v>-152091237</v>
      </c>
      <c r="F3531">
        <v>-95262748</v>
      </c>
      <c r="G3531">
        <v>-35658556</v>
      </c>
      <c r="P3531">
        <v>76</v>
      </c>
      <c r="Q3531" t="s">
        <v>7109</v>
      </c>
    </row>
    <row r="3532" spans="1:17" x14ac:dyDescent="0.3">
      <c r="A3532" t="s">
        <v>32</v>
      </c>
      <c r="B3532" t="str">
        <f>"301085"</f>
        <v>301085</v>
      </c>
      <c r="C3532" t="s">
        <v>7110</v>
      </c>
      <c r="D3532" t="s">
        <v>342</v>
      </c>
      <c r="E3532">
        <v>-152286368</v>
      </c>
      <c r="P3532">
        <v>16</v>
      </c>
      <c r="Q3532" t="s">
        <v>7111</v>
      </c>
    </row>
    <row r="3533" spans="1:17" x14ac:dyDescent="0.3">
      <c r="A3533" t="s">
        <v>32</v>
      </c>
      <c r="B3533" t="str">
        <f>"002413"</f>
        <v>002413</v>
      </c>
      <c r="C3533" t="s">
        <v>7112</v>
      </c>
      <c r="D3533" t="s">
        <v>188</v>
      </c>
      <c r="E3533">
        <v>-152704489</v>
      </c>
      <c r="F3533">
        <v>-176835273</v>
      </c>
      <c r="G3533">
        <v>-89361170</v>
      </c>
      <c r="H3533">
        <v>-191977114</v>
      </c>
      <c r="I3533">
        <v>-70241210</v>
      </c>
      <c r="J3533">
        <v>-98251979</v>
      </c>
      <c r="K3533">
        <v>-64438631</v>
      </c>
      <c r="L3533">
        <v>-19177290</v>
      </c>
      <c r="M3533">
        <v>-22777874</v>
      </c>
      <c r="N3533">
        <v>-7531787</v>
      </c>
      <c r="O3533">
        <v>-67368573</v>
      </c>
      <c r="P3533">
        <v>218</v>
      </c>
      <c r="Q3533" t="s">
        <v>7113</v>
      </c>
    </row>
    <row r="3534" spans="1:17" x14ac:dyDescent="0.3">
      <c r="A3534" t="s">
        <v>32</v>
      </c>
      <c r="B3534" t="str">
        <f>"300871"</f>
        <v>300871</v>
      </c>
      <c r="C3534" t="s">
        <v>7114</v>
      </c>
      <c r="D3534" t="s">
        <v>175</v>
      </c>
      <c r="E3534">
        <v>-152827618</v>
      </c>
      <c r="F3534">
        <v>-109186531</v>
      </c>
      <c r="P3534">
        <v>84</v>
      </c>
      <c r="Q3534" t="s">
        <v>7115</v>
      </c>
    </row>
    <row r="3535" spans="1:17" x14ac:dyDescent="0.3">
      <c r="A3535" t="s">
        <v>32</v>
      </c>
      <c r="B3535" t="str">
        <f>"300261"</f>
        <v>300261</v>
      </c>
      <c r="C3535" t="s">
        <v>7116</v>
      </c>
      <c r="D3535" t="s">
        <v>144</v>
      </c>
      <c r="E3535">
        <v>-152881281</v>
      </c>
      <c r="F3535">
        <v>-54454900</v>
      </c>
      <c r="G3535">
        <v>258637868</v>
      </c>
      <c r="H3535">
        <v>20150053</v>
      </c>
      <c r="I3535">
        <v>-44507234</v>
      </c>
      <c r="J3535">
        <v>9716605</v>
      </c>
      <c r="K3535">
        <v>3477064</v>
      </c>
      <c r="L3535">
        <v>-74514822</v>
      </c>
      <c r="M3535">
        <v>-42541519</v>
      </c>
      <c r="N3535">
        <v>-92331467</v>
      </c>
      <c r="O3535">
        <v>13831714</v>
      </c>
      <c r="P3535">
        <v>139</v>
      </c>
      <c r="Q3535" t="s">
        <v>7117</v>
      </c>
    </row>
    <row r="3536" spans="1:17" x14ac:dyDescent="0.3">
      <c r="A3536" t="s">
        <v>17</v>
      </c>
      <c r="B3536" t="str">
        <f>"688326"</f>
        <v>688326</v>
      </c>
      <c r="C3536" t="s">
        <v>7118</v>
      </c>
      <c r="E3536">
        <v>-153528598</v>
      </c>
      <c r="F3536">
        <v>-127132572</v>
      </c>
      <c r="P3536">
        <v>4</v>
      </c>
      <c r="Q3536" t="s">
        <v>7119</v>
      </c>
    </row>
    <row r="3537" spans="1:17" x14ac:dyDescent="0.3">
      <c r="A3537" t="s">
        <v>32</v>
      </c>
      <c r="B3537" t="str">
        <f>"300142"</f>
        <v>300142</v>
      </c>
      <c r="C3537" t="s">
        <v>7120</v>
      </c>
      <c r="D3537" t="s">
        <v>98</v>
      </c>
      <c r="E3537">
        <v>-153568556</v>
      </c>
      <c r="F3537">
        <v>-288768016</v>
      </c>
      <c r="G3537">
        <v>-129749257</v>
      </c>
      <c r="H3537">
        <v>-77004154</v>
      </c>
      <c r="I3537">
        <v>-104474698</v>
      </c>
      <c r="J3537">
        <v>-120157853</v>
      </c>
      <c r="K3537">
        <v>-159895755</v>
      </c>
      <c r="L3537">
        <v>-79112408</v>
      </c>
      <c r="M3537">
        <v>-157824843</v>
      </c>
      <c r="N3537">
        <v>-195766294</v>
      </c>
      <c r="O3537">
        <v>-57764185</v>
      </c>
      <c r="P3537">
        <v>1230</v>
      </c>
      <c r="Q3537" t="s">
        <v>7121</v>
      </c>
    </row>
    <row r="3538" spans="1:17" x14ac:dyDescent="0.3">
      <c r="A3538" t="s">
        <v>32</v>
      </c>
      <c r="B3538" t="str">
        <f>"300673"</f>
        <v>300673</v>
      </c>
      <c r="C3538" t="s">
        <v>7122</v>
      </c>
      <c r="D3538" t="s">
        <v>175</v>
      </c>
      <c r="E3538">
        <v>-153795678</v>
      </c>
      <c r="F3538">
        <v>-118844116</v>
      </c>
      <c r="G3538">
        <v>-60010819</v>
      </c>
      <c r="H3538">
        <v>-52360670</v>
      </c>
      <c r="I3538">
        <v>4108845</v>
      </c>
      <c r="J3538">
        <v>35268310</v>
      </c>
      <c r="K3538">
        <v>23839263</v>
      </c>
      <c r="P3538">
        <v>512</v>
      </c>
      <c r="Q3538" t="s">
        <v>7123</v>
      </c>
    </row>
    <row r="3539" spans="1:17" x14ac:dyDescent="0.3">
      <c r="A3539" t="s">
        <v>17</v>
      </c>
      <c r="B3539" t="str">
        <f>"600400"</f>
        <v>600400</v>
      </c>
      <c r="C3539" t="s">
        <v>7124</v>
      </c>
      <c r="D3539" t="s">
        <v>130</v>
      </c>
      <c r="E3539">
        <v>-153931331</v>
      </c>
      <c r="F3539">
        <v>-122018565</v>
      </c>
      <c r="G3539">
        <v>67439633</v>
      </c>
      <c r="H3539">
        <v>-124918580</v>
      </c>
      <c r="I3539">
        <v>-111889790</v>
      </c>
      <c r="J3539">
        <v>-1103872973</v>
      </c>
      <c r="K3539">
        <v>51669110</v>
      </c>
      <c r="L3539">
        <v>95677509</v>
      </c>
      <c r="M3539">
        <v>-235253060</v>
      </c>
      <c r="N3539">
        <v>125828504</v>
      </c>
      <c r="O3539">
        <v>-50211481</v>
      </c>
      <c r="P3539">
        <v>165</v>
      </c>
      <c r="Q3539" t="s">
        <v>7125</v>
      </c>
    </row>
    <row r="3540" spans="1:17" x14ac:dyDescent="0.3">
      <c r="A3540" t="s">
        <v>17</v>
      </c>
      <c r="B3540" t="str">
        <f>"601118"</f>
        <v>601118</v>
      </c>
      <c r="C3540" t="s">
        <v>7126</v>
      </c>
      <c r="D3540" t="s">
        <v>175</v>
      </c>
      <c r="E3540">
        <v>-154253328</v>
      </c>
      <c r="F3540">
        <v>-624631891</v>
      </c>
      <c r="G3540">
        <v>-900773667</v>
      </c>
      <c r="H3540">
        <v>289594586</v>
      </c>
      <c r="I3540">
        <v>-334760797</v>
      </c>
      <c r="J3540">
        <v>-618834740</v>
      </c>
      <c r="K3540">
        <v>122287001</v>
      </c>
      <c r="L3540">
        <v>-73659486</v>
      </c>
      <c r="M3540">
        <v>-703344309</v>
      </c>
      <c r="N3540">
        <v>109894512</v>
      </c>
      <c r="O3540">
        <v>344672540</v>
      </c>
      <c r="P3540">
        <v>199</v>
      </c>
      <c r="Q3540" t="s">
        <v>7127</v>
      </c>
    </row>
    <row r="3541" spans="1:17" x14ac:dyDescent="0.3">
      <c r="A3541" t="s">
        <v>17</v>
      </c>
      <c r="B3541" t="str">
        <f>"600993"</f>
        <v>600993</v>
      </c>
      <c r="C3541" t="s">
        <v>7128</v>
      </c>
      <c r="D3541" t="s">
        <v>98</v>
      </c>
      <c r="E3541">
        <v>-154354183</v>
      </c>
      <c r="F3541">
        <v>-144243383</v>
      </c>
      <c r="G3541">
        <v>1639833</v>
      </c>
      <c r="H3541">
        <v>21815123</v>
      </c>
      <c r="I3541">
        <v>-49872410</v>
      </c>
      <c r="J3541">
        <v>50829491</v>
      </c>
      <c r="K3541">
        <v>-6971371</v>
      </c>
      <c r="L3541">
        <v>-59304776</v>
      </c>
      <c r="M3541">
        <v>-17758005</v>
      </c>
      <c r="N3541">
        <v>6363933</v>
      </c>
      <c r="O3541">
        <v>-4962800</v>
      </c>
      <c r="P3541">
        <v>942</v>
      </c>
      <c r="Q3541" t="s">
        <v>7129</v>
      </c>
    </row>
    <row r="3542" spans="1:17" x14ac:dyDescent="0.3">
      <c r="A3542" t="s">
        <v>32</v>
      </c>
      <c r="B3542" t="str">
        <f>"002246"</f>
        <v>002246</v>
      </c>
      <c r="C3542" t="s">
        <v>7130</v>
      </c>
      <c r="D3542" t="s">
        <v>144</v>
      </c>
      <c r="E3542">
        <v>-154753581</v>
      </c>
      <c r="F3542">
        <v>-172303423</v>
      </c>
      <c r="G3542">
        <v>20127481</v>
      </c>
      <c r="H3542">
        <v>82952447</v>
      </c>
      <c r="I3542">
        <v>-75927192</v>
      </c>
      <c r="J3542">
        <v>13874868</v>
      </c>
      <c r="K3542">
        <v>3813309</v>
      </c>
      <c r="L3542">
        <v>-57082782</v>
      </c>
      <c r="M3542">
        <v>5170046</v>
      </c>
      <c r="N3542">
        <v>-48842112</v>
      </c>
      <c r="O3542">
        <v>-36777249</v>
      </c>
      <c r="P3542">
        <v>117</v>
      </c>
      <c r="Q3542" t="s">
        <v>7131</v>
      </c>
    </row>
    <row r="3543" spans="1:17" x14ac:dyDescent="0.3">
      <c r="A3543" t="s">
        <v>32</v>
      </c>
      <c r="B3543" t="str">
        <f>"300887"</f>
        <v>300887</v>
      </c>
      <c r="C3543" t="s">
        <v>7132</v>
      </c>
      <c r="D3543" t="s">
        <v>497</v>
      </c>
      <c r="E3543">
        <v>-155074405</v>
      </c>
      <c r="F3543">
        <v>-205849353</v>
      </c>
      <c r="G3543">
        <v>-87780169</v>
      </c>
      <c r="P3543">
        <v>117</v>
      </c>
      <c r="Q3543" t="s">
        <v>7133</v>
      </c>
    </row>
    <row r="3544" spans="1:17" x14ac:dyDescent="0.3">
      <c r="A3544" t="s">
        <v>32</v>
      </c>
      <c r="B3544" t="str">
        <f>"002671"</f>
        <v>002671</v>
      </c>
      <c r="C3544" t="s">
        <v>7134</v>
      </c>
      <c r="D3544" t="s">
        <v>400</v>
      </c>
      <c r="E3544">
        <v>-155143742</v>
      </c>
      <c r="F3544">
        <v>-157932652</v>
      </c>
      <c r="G3544">
        <v>-132581173</v>
      </c>
      <c r="H3544">
        <v>-27946225</v>
      </c>
      <c r="I3544">
        <v>-75192243</v>
      </c>
      <c r="J3544">
        <v>-81834965</v>
      </c>
      <c r="K3544">
        <v>-63442816</v>
      </c>
      <c r="L3544">
        <v>-223784919</v>
      </c>
      <c r="M3544">
        <v>-176867733</v>
      </c>
      <c r="N3544">
        <v>-128719845</v>
      </c>
      <c r="O3544">
        <v>-14073228</v>
      </c>
      <c r="P3544">
        <v>68</v>
      </c>
      <c r="Q3544" t="s">
        <v>7135</v>
      </c>
    </row>
    <row r="3545" spans="1:17" x14ac:dyDescent="0.3">
      <c r="A3545" t="s">
        <v>17</v>
      </c>
      <c r="B3545" t="str">
        <f>"600819"</f>
        <v>600819</v>
      </c>
      <c r="C3545" t="s">
        <v>7136</v>
      </c>
      <c r="D3545" t="s">
        <v>400</v>
      </c>
      <c r="E3545">
        <v>-155146299</v>
      </c>
      <c r="F3545">
        <v>-100128148</v>
      </c>
      <c r="G3545">
        <v>-128817995</v>
      </c>
      <c r="H3545">
        <v>-104088459</v>
      </c>
      <c r="I3545">
        <v>-68117637</v>
      </c>
      <c r="J3545">
        <v>-17152782</v>
      </c>
      <c r="K3545">
        <v>-32316633</v>
      </c>
      <c r="L3545">
        <v>-83248399</v>
      </c>
      <c r="M3545">
        <v>-125157682</v>
      </c>
      <c r="N3545">
        <v>-137429768</v>
      </c>
      <c r="O3545">
        <v>-4161018</v>
      </c>
      <c r="P3545">
        <v>94</v>
      </c>
      <c r="Q3545" t="s">
        <v>7137</v>
      </c>
    </row>
    <row r="3546" spans="1:17" x14ac:dyDescent="0.3">
      <c r="A3546" t="s">
        <v>17</v>
      </c>
      <c r="B3546" t="str">
        <f>"689009"</f>
        <v>689009</v>
      </c>
      <c r="C3546" t="s">
        <v>7138</v>
      </c>
      <c r="D3546" t="s">
        <v>199</v>
      </c>
      <c r="E3546">
        <v>-155313654</v>
      </c>
      <c r="F3546">
        <v>-165397443</v>
      </c>
      <c r="G3546">
        <v>-213407921</v>
      </c>
      <c r="P3546">
        <v>115</v>
      </c>
      <c r="Q3546" t="s">
        <v>7139</v>
      </c>
    </row>
    <row r="3547" spans="1:17" x14ac:dyDescent="0.3">
      <c r="A3547" t="s">
        <v>32</v>
      </c>
      <c r="B3547" t="str">
        <f>"300093"</f>
        <v>300093</v>
      </c>
      <c r="C3547" t="s">
        <v>7140</v>
      </c>
      <c r="D3547" t="s">
        <v>400</v>
      </c>
      <c r="E3547">
        <v>-155647209</v>
      </c>
      <c r="F3547">
        <v>69999898</v>
      </c>
      <c r="G3547">
        <v>44440764</v>
      </c>
      <c r="H3547">
        <v>27426394</v>
      </c>
      <c r="I3547">
        <v>7483230</v>
      </c>
      <c r="J3547">
        <v>-3466422</v>
      </c>
      <c r="K3547">
        <v>580610</v>
      </c>
      <c r="L3547">
        <v>29692354</v>
      </c>
      <c r="M3547">
        <v>-38114434</v>
      </c>
      <c r="N3547">
        <v>-14896179</v>
      </c>
      <c r="O3547">
        <v>33229367</v>
      </c>
      <c r="P3547">
        <v>80</v>
      </c>
      <c r="Q3547" t="s">
        <v>7141</v>
      </c>
    </row>
    <row r="3548" spans="1:17" x14ac:dyDescent="0.3">
      <c r="A3548" t="s">
        <v>17</v>
      </c>
      <c r="B3548" t="str">
        <f>"600292"</f>
        <v>600292</v>
      </c>
      <c r="C3548" t="s">
        <v>7142</v>
      </c>
      <c r="D3548" t="s">
        <v>1334</v>
      </c>
      <c r="E3548">
        <v>-155732566</v>
      </c>
      <c r="F3548">
        <v>-113440866</v>
      </c>
      <c r="G3548">
        <v>-166194462</v>
      </c>
      <c r="H3548">
        <v>-182721436</v>
      </c>
      <c r="I3548">
        <v>-179681139</v>
      </c>
      <c r="J3548">
        <v>-151115484</v>
      </c>
      <c r="K3548">
        <v>-24060446</v>
      </c>
      <c r="L3548">
        <v>-93375284</v>
      </c>
      <c r="M3548">
        <v>-82405275</v>
      </c>
      <c r="N3548">
        <v>-6329133</v>
      </c>
      <c r="O3548">
        <v>41643026</v>
      </c>
      <c r="P3548">
        <v>144</v>
      </c>
      <c r="Q3548" t="s">
        <v>7143</v>
      </c>
    </row>
    <row r="3549" spans="1:17" x14ac:dyDescent="0.3">
      <c r="A3549" t="s">
        <v>32</v>
      </c>
      <c r="B3549" t="str">
        <f>"002810"</f>
        <v>002810</v>
      </c>
      <c r="C3549" t="s">
        <v>7144</v>
      </c>
      <c r="D3549" t="s">
        <v>144</v>
      </c>
      <c r="E3549">
        <v>-155789032</v>
      </c>
      <c r="F3549">
        <v>7751319</v>
      </c>
      <c r="G3549">
        <v>22424845</v>
      </c>
      <c r="H3549">
        <v>-24522771</v>
      </c>
      <c r="I3549">
        <v>-73932855</v>
      </c>
      <c r="J3549">
        <v>-48690218</v>
      </c>
      <c r="K3549">
        <v>2622689</v>
      </c>
      <c r="P3549">
        <v>421</v>
      </c>
      <c r="Q3549" t="s">
        <v>7145</v>
      </c>
    </row>
    <row r="3550" spans="1:17" x14ac:dyDescent="0.3">
      <c r="A3550" t="s">
        <v>32</v>
      </c>
      <c r="B3550" t="str">
        <f>"300889"</f>
        <v>300889</v>
      </c>
      <c r="C3550" t="s">
        <v>7146</v>
      </c>
      <c r="D3550" t="s">
        <v>124</v>
      </c>
      <c r="E3550">
        <v>-155822396</v>
      </c>
      <c r="F3550">
        <v>-154281256</v>
      </c>
      <c r="G3550">
        <v>-97158270</v>
      </c>
      <c r="H3550">
        <v>-112917538</v>
      </c>
      <c r="P3550">
        <v>37</v>
      </c>
      <c r="Q3550" t="s">
        <v>7147</v>
      </c>
    </row>
    <row r="3551" spans="1:17" x14ac:dyDescent="0.3">
      <c r="A3551" t="s">
        <v>17</v>
      </c>
      <c r="B3551" t="str">
        <f>"603898"</f>
        <v>603898</v>
      </c>
      <c r="C3551" t="s">
        <v>7148</v>
      </c>
      <c r="D3551" t="s">
        <v>455</v>
      </c>
      <c r="E3551">
        <v>-155892607</v>
      </c>
      <c r="F3551">
        <v>-207383511</v>
      </c>
      <c r="G3551">
        <v>-241364690</v>
      </c>
      <c r="H3551">
        <v>-172783610</v>
      </c>
      <c r="I3551">
        <v>-211739100</v>
      </c>
      <c r="J3551">
        <v>-136717377</v>
      </c>
      <c r="K3551">
        <v>-43209650</v>
      </c>
      <c r="L3551">
        <v>-238807370</v>
      </c>
      <c r="M3551">
        <v>-94343248</v>
      </c>
      <c r="P3551">
        <v>835</v>
      </c>
      <c r="Q3551" t="s">
        <v>7149</v>
      </c>
    </row>
    <row r="3552" spans="1:17" x14ac:dyDescent="0.3">
      <c r="A3552" t="s">
        <v>32</v>
      </c>
      <c r="B3552" t="str">
        <f>"300265"</f>
        <v>300265</v>
      </c>
      <c r="C3552" t="s">
        <v>7150</v>
      </c>
      <c r="D3552" t="s">
        <v>464</v>
      </c>
      <c r="E3552">
        <v>-156114705</v>
      </c>
      <c r="F3552">
        <v>-113116698</v>
      </c>
      <c r="G3552">
        <v>-69412587</v>
      </c>
      <c r="H3552">
        <v>23485234</v>
      </c>
      <c r="I3552">
        <v>-49763894</v>
      </c>
      <c r="J3552">
        <v>-67330140</v>
      </c>
      <c r="K3552">
        <v>-56669021</v>
      </c>
      <c r="L3552">
        <v>-29227471</v>
      </c>
      <c r="M3552">
        <v>-76492843</v>
      </c>
      <c r="N3552">
        <v>-62695448</v>
      </c>
      <c r="O3552">
        <v>-77640375</v>
      </c>
      <c r="P3552">
        <v>162</v>
      </c>
      <c r="Q3552" t="s">
        <v>7151</v>
      </c>
    </row>
    <row r="3553" spans="1:17" x14ac:dyDescent="0.3">
      <c r="A3553" t="s">
        <v>32</v>
      </c>
      <c r="B3553" t="str">
        <f>"002838"</f>
        <v>002838</v>
      </c>
      <c r="C3553" t="s">
        <v>7152</v>
      </c>
      <c r="D3553" t="s">
        <v>144</v>
      </c>
      <c r="E3553">
        <v>-156191787</v>
      </c>
      <c r="F3553">
        <v>-185748115</v>
      </c>
      <c r="G3553">
        <v>58724242</v>
      </c>
      <c r="H3553">
        <v>-4951865</v>
      </c>
      <c r="I3553">
        <v>-47729463</v>
      </c>
      <c r="J3553">
        <v>-32601830</v>
      </c>
      <c r="K3553">
        <v>-12499805</v>
      </c>
      <c r="P3553">
        <v>614</v>
      </c>
      <c r="Q3553" t="s">
        <v>7153</v>
      </c>
    </row>
    <row r="3554" spans="1:17" x14ac:dyDescent="0.3">
      <c r="A3554" t="s">
        <v>17</v>
      </c>
      <c r="B3554" t="str">
        <f>"600159"</f>
        <v>600159</v>
      </c>
      <c r="C3554" t="s">
        <v>7154</v>
      </c>
      <c r="D3554" t="s">
        <v>151</v>
      </c>
      <c r="E3554">
        <v>-156243806</v>
      </c>
      <c r="F3554">
        <v>-12713605</v>
      </c>
      <c r="G3554">
        <v>-167029805</v>
      </c>
      <c r="H3554">
        <v>-119501657</v>
      </c>
      <c r="I3554">
        <v>-89004798</v>
      </c>
      <c r="J3554">
        <v>-260385288</v>
      </c>
      <c r="K3554">
        <v>12435667</v>
      </c>
      <c r="L3554">
        <v>-62993193</v>
      </c>
      <c r="M3554">
        <v>-85954130</v>
      </c>
      <c r="N3554">
        <v>-28573924</v>
      </c>
      <c r="O3554">
        <v>-188116335</v>
      </c>
      <c r="P3554">
        <v>87</v>
      </c>
      <c r="Q3554" t="s">
        <v>7155</v>
      </c>
    </row>
    <row r="3555" spans="1:17" x14ac:dyDescent="0.3">
      <c r="A3555" t="s">
        <v>32</v>
      </c>
      <c r="B3555" t="str">
        <f>"300285"</f>
        <v>300285</v>
      </c>
      <c r="C3555" t="s">
        <v>7156</v>
      </c>
      <c r="D3555" t="s">
        <v>144</v>
      </c>
      <c r="E3555">
        <v>-156455268</v>
      </c>
      <c r="F3555">
        <v>-161349380</v>
      </c>
      <c r="G3555">
        <v>14068248</v>
      </c>
      <c r="H3555">
        <v>-6952549</v>
      </c>
      <c r="I3555">
        <v>13226830</v>
      </c>
      <c r="J3555">
        <v>10923140</v>
      </c>
      <c r="K3555">
        <v>20153810</v>
      </c>
      <c r="L3555">
        <v>-33813425</v>
      </c>
      <c r="M3555">
        <v>-16378310</v>
      </c>
      <c r="N3555">
        <v>-30614530</v>
      </c>
      <c r="O3555">
        <v>-13181939</v>
      </c>
      <c r="P3555">
        <v>1538</v>
      </c>
      <c r="Q3555" t="s">
        <v>7157</v>
      </c>
    </row>
    <row r="3556" spans="1:17" x14ac:dyDescent="0.3">
      <c r="A3556" t="s">
        <v>32</v>
      </c>
      <c r="B3556" t="str">
        <f>"300762"</f>
        <v>300762</v>
      </c>
      <c r="C3556" t="s">
        <v>7158</v>
      </c>
      <c r="D3556" t="s">
        <v>188</v>
      </c>
      <c r="E3556">
        <v>-156992226</v>
      </c>
      <c r="F3556">
        <v>-5411752</v>
      </c>
      <c r="G3556">
        <v>-14629331</v>
      </c>
      <c r="H3556">
        <v>-33068477</v>
      </c>
      <c r="I3556">
        <v>-52822311</v>
      </c>
      <c r="J3556">
        <v>-56105209</v>
      </c>
      <c r="P3556">
        <v>182</v>
      </c>
      <c r="Q3556" t="s">
        <v>7159</v>
      </c>
    </row>
    <row r="3557" spans="1:17" x14ac:dyDescent="0.3">
      <c r="A3557" t="s">
        <v>17</v>
      </c>
      <c r="B3557" t="str">
        <f>"600505"</f>
        <v>600505</v>
      </c>
      <c r="C3557" t="s">
        <v>7160</v>
      </c>
      <c r="D3557" t="s">
        <v>158</v>
      </c>
      <c r="E3557">
        <v>-157286985</v>
      </c>
      <c r="F3557">
        <v>-128721174</v>
      </c>
      <c r="G3557">
        <v>-37515714</v>
      </c>
      <c r="H3557">
        <v>-27656273</v>
      </c>
      <c r="I3557">
        <v>-23378772</v>
      </c>
      <c r="J3557">
        <v>18131640</v>
      </c>
      <c r="K3557">
        <v>-87147700</v>
      </c>
      <c r="L3557">
        <v>17931978</v>
      </c>
      <c r="M3557">
        <v>27993743</v>
      </c>
      <c r="N3557">
        <v>-37924101</v>
      </c>
      <c r="O3557">
        <v>-66437116</v>
      </c>
      <c r="P3557">
        <v>104</v>
      </c>
      <c r="Q3557" t="s">
        <v>7161</v>
      </c>
    </row>
    <row r="3558" spans="1:17" x14ac:dyDescent="0.3">
      <c r="A3558" t="s">
        <v>32</v>
      </c>
      <c r="B3558" t="str">
        <f>"301200"</f>
        <v>301200</v>
      </c>
      <c r="C3558" t="s">
        <v>7162</v>
      </c>
      <c r="E3558">
        <v>-157353874</v>
      </c>
      <c r="P3558">
        <v>13</v>
      </c>
      <c r="Q3558" t="s">
        <v>7163</v>
      </c>
    </row>
    <row r="3559" spans="1:17" x14ac:dyDescent="0.3">
      <c r="A3559" t="s">
        <v>17</v>
      </c>
      <c r="B3559" t="str">
        <f>"688696"</f>
        <v>688696</v>
      </c>
      <c r="C3559" t="s">
        <v>7164</v>
      </c>
      <c r="D3559" t="s">
        <v>127</v>
      </c>
      <c r="E3559">
        <v>-157358644</v>
      </c>
      <c r="F3559">
        <v>44319962</v>
      </c>
      <c r="G3559">
        <v>49319374</v>
      </c>
      <c r="P3559">
        <v>150</v>
      </c>
      <c r="Q3559" t="s">
        <v>7165</v>
      </c>
    </row>
    <row r="3560" spans="1:17" x14ac:dyDescent="0.3">
      <c r="A3560" t="s">
        <v>17</v>
      </c>
      <c r="B3560" t="str">
        <f>"603123"</f>
        <v>603123</v>
      </c>
      <c r="C3560" t="s">
        <v>7166</v>
      </c>
      <c r="D3560" t="s">
        <v>218</v>
      </c>
      <c r="E3560">
        <v>-157758053</v>
      </c>
      <c r="F3560">
        <v>-219345487</v>
      </c>
      <c r="G3560">
        <v>-258099201</v>
      </c>
      <c r="H3560">
        <v>-33386800</v>
      </c>
      <c r="I3560">
        <v>6556016</v>
      </c>
      <c r="J3560">
        <v>-8012006</v>
      </c>
      <c r="K3560">
        <v>16439467</v>
      </c>
      <c r="L3560">
        <v>35164777</v>
      </c>
      <c r="M3560">
        <v>35679574</v>
      </c>
      <c r="N3560">
        <v>220372315</v>
      </c>
      <c r="O3560">
        <v>153814662</v>
      </c>
      <c r="P3560">
        <v>100</v>
      </c>
      <c r="Q3560" t="s">
        <v>7167</v>
      </c>
    </row>
    <row r="3561" spans="1:17" x14ac:dyDescent="0.3">
      <c r="A3561" t="s">
        <v>32</v>
      </c>
      <c r="B3561" t="str">
        <f>"002712"</f>
        <v>002712</v>
      </c>
      <c r="C3561" t="s">
        <v>7168</v>
      </c>
      <c r="D3561" t="s">
        <v>245</v>
      </c>
      <c r="E3561">
        <v>-157893480</v>
      </c>
      <c r="F3561">
        <v>-132341361</v>
      </c>
      <c r="G3561">
        <v>-271845701</v>
      </c>
      <c r="H3561">
        <v>7772927</v>
      </c>
      <c r="I3561">
        <v>-108011772</v>
      </c>
      <c r="J3561">
        <v>-45743729</v>
      </c>
      <c r="K3561">
        <v>29308941</v>
      </c>
      <c r="L3561">
        <v>-4671390</v>
      </c>
      <c r="M3561">
        <v>-148420297</v>
      </c>
      <c r="N3561">
        <v>-182098859</v>
      </c>
      <c r="P3561">
        <v>107</v>
      </c>
      <c r="Q3561" t="s">
        <v>7169</v>
      </c>
    </row>
    <row r="3562" spans="1:17" x14ac:dyDescent="0.3">
      <c r="A3562" t="s">
        <v>32</v>
      </c>
      <c r="B3562" t="str">
        <f>"000536"</f>
        <v>000536</v>
      </c>
      <c r="C3562" t="s">
        <v>7170</v>
      </c>
      <c r="D3562" t="s">
        <v>124</v>
      </c>
      <c r="E3562">
        <v>-157977739</v>
      </c>
      <c r="F3562">
        <v>-49677390</v>
      </c>
      <c r="G3562">
        <v>59862437</v>
      </c>
      <c r="H3562">
        <v>-324414771</v>
      </c>
      <c r="I3562">
        <v>-868703506</v>
      </c>
      <c r="J3562">
        <v>-2665468255</v>
      </c>
      <c r="K3562">
        <v>249180950</v>
      </c>
      <c r="L3562">
        <v>901529588</v>
      </c>
      <c r="M3562">
        <v>-67439217</v>
      </c>
      <c r="N3562">
        <v>-60843032</v>
      </c>
      <c r="O3562">
        <v>-44162969</v>
      </c>
      <c r="P3562">
        <v>142</v>
      </c>
      <c r="Q3562" t="s">
        <v>7171</v>
      </c>
    </row>
    <row r="3563" spans="1:17" x14ac:dyDescent="0.3">
      <c r="A3563" t="s">
        <v>32</v>
      </c>
      <c r="B3563" t="str">
        <f>"002623"</f>
        <v>002623</v>
      </c>
      <c r="C3563" t="s">
        <v>7172</v>
      </c>
      <c r="D3563" t="s">
        <v>464</v>
      </c>
      <c r="E3563">
        <v>-158006658</v>
      </c>
      <c r="F3563">
        <v>6240949</v>
      </c>
      <c r="G3563">
        <v>45046940</v>
      </c>
      <c r="H3563">
        <v>25656705</v>
      </c>
      <c r="I3563">
        <v>-260041419</v>
      </c>
      <c r="J3563">
        <v>-97377568</v>
      </c>
      <c r="K3563">
        <v>-100268608</v>
      </c>
      <c r="L3563">
        <v>-136908040</v>
      </c>
      <c r="M3563">
        <v>40433481</v>
      </c>
      <c r="N3563">
        <v>54417961</v>
      </c>
      <c r="O3563">
        <v>4407503</v>
      </c>
      <c r="P3563">
        <v>172</v>
      </c>
      <c r="Q3563" t="s">
        <v>7173</v>
      </c>
    </row>
    <row r="3564" spans="1:17" x14ac:dyDescent="0.3">
      <c r="A3564" t="s">
        <v>32</v>
      </c>
      <c r="B3564" t="str">
        <f>"002949"</f>
        <v>002949</v>
      </c>
      <c r="C3564" t="s">
        <v>7174</v>
      </c>
      <c r="D3564" t="s">
        <v>645</v>
      </c>
      <c r="E3564">
        <v>-158067167</v>
      </c>
      <c r="F3564">
        <v>-308991840</v>
      </c>
      <c r="G3564">
        <v>-301913463</v>
      </c>
      <c r="H3564">
        <v>-167493942</v>
      </c>
      <c r="I3564">
        <v>-49749472</v>
      </c>
      <c r="P3564">
        <v>159</v>
      </c>
      <c r="Q3564" t="s">
        <v>7175</v>
      </c>
    </row>
    <row r="3565" spans="1:17" x14ac:dyDescent="0.3">
      <c r="A3565" t="s">
        <v>32</v>
      </c>
      <c r="B3565" t="str">
        <f>"301058"</f>
        <v>301058</v>
      </c>
      <c r="C3565" t="s">
        <v>7176</v>
      </c>
      <c r="D3565" t="s">
        <v>645</v>
      </c>
      <c r="E3565">
        <v>-158489994</v>
      </c>
      <c r="F3565">
        <v>-102130757</v>
      </c>
      <c r="P3565">
        <v>24</v>
      </c>
      <c r="Q3565" t="s">
        <v>7177</v>
      </c>
    </row>
    <row r="3566" spans="1:17" x14ac:dyDescent="0.3">
      <c r="A3566" t="s">
        <v>17</v>
      </c>
      <c r="B3566" t="str">
        <f>"688518"</f>
        <v>688518</v>
      </c>
      <c r="C3566" t="s">
        <v>7178</v>
      </c>
      <c r="D3566" t="s">
        <v>135</v>
      </c>
      <c r="E3566">
        <v>-158535323</v>
      </c>
      <c r="F3566">
        <v>-2880306</v>
      </c>
      <c r="G3566">
        <v>-29077468</v>
      </c>
      <c r="H3566">
        <v>-2084734</v>
      </c>
      <c r="P3566">
        <v>65</v>
      </c>
      <c r="Q3566" t="s">
        <v>7179</v>
      </c>
    </row>
    <row r="3567" spans="1:17" x14ac:dyDescent="0.3">
      <c r="A3567" t="s">
        <v>32</v>
      </c>
      <c r="B3567" t="str">
        <f>"300732"</f>
        <v>300732</v>
      </c>
      <c r="C3567" t="s">
        <v>7180</v>
      </c>
      <c r="D3567" t="s">
        <v>645</v>
      </c>
      <c r="E3567">
        <v>-158946250</v>
      </c>
      <c r="F3567">
        <v>-178589433</v>
      </c>
      <c r="G3567">
        <v>-141908155</v>
      </c>
      <c r="H3567">
        <v>-60704679</v>
      </c>
      <c r="I3567">
        <v>-99210757</v>
      </c>
      <c r="J3567">
        <v>-58763515</v>
      </c>
      <c r="P3567">
        <v>151</v>
      </c>
      <c r="Q3567" t="s">
        <v>7181</v>
      </c>
    </row>
    <row r="3568" spans="1:17" x14ac:dyDescent="0.3">
      <c r="A3568" t="s">
        <v>17</v>
      </c>
      <c r="B3568" t="str">
        <f>"603216"</f>
        <v>603216</v>
      </c>
      <c r="C3568" t="s">
        <v>7182</v>
      </c>
      <c r="D3568" t="s">
        <v>455</v>
      </c>
      <c r="E3568">
        <v>-159020630</v>
      </c>
      <c r="P3568">
        <v>22</v>
      </c>
      <c r="Q3568" t="s">
        <v>7183</v>
      </c>
    </row>
    <row r="3569" spans="1:17" x14ac:dyDescent="0.3">
      <c r="A3569" t="s">
        <v>17</v>
      </c>
      <c r="B3569" t="str">
        <f>"688246"</f>
        <v>688246</v>
      </c>
      <c r="C3569" t="s">
        <v>7184</v>
      </c>
      <c r="D3569" t="s">
        <v>342</v>
      </c>
      <c r="E3569">
        <v>-159133753</v>
      </c>
      <c r="G3569">
        <v>-95637867</v>
      </c>
      <c r="P3569">
        <v>12</v>
      </c>
      <c r="Q3569" t="s">
        <v>7185</v>
      </c>
    </row>
    <row r="3570" spans="1:17" x14ac:dyDescent="0.3">
      <c r="A3570" t="s">
        <v>17</v>
      </c>
      <c r="B3570" t="str">
        <f>"600302"</f>
        <v>600302</v>
      </c>
      <c r="C3570" t="s">
        <v>7186</v>
      </c>
      <c r="D3570" t="s">
        <v>135</v>
      </c>
      <c r="E3570">
        <v>-159147640</v>
      </c>
      <c r="F3570">
        <v>2337147</v>
      </c>
      <c r="G3570">
        <v>-15394656</v>
      </c>
      <c r="H3570">
        <v>-79043800</v>
      </c>
      <c r="I3570">
        <v>-69118708</v>
      </c>
      <c r="J3570">
        <v>-34582893</v>
      </c>
      <c r="K3570">
        <v>-75548471</v>
      </c>
      <c r="L3570">
        <v>-62365029</v>
      </c>
      <c r="M3570">
        <v>-37327256</v>
      </c>
      <c r="N3570">
        <v>-10522180</v>
      </c>
      <c r="O3570">
        <v>74559</v>
      </c>
      <c r="P3570">
        <v>51</v>
      </c>
      <c r="Q3570" t="s">
        <v>7187</v>
      </c>
    </row>
    <row r="3571" spans="1:17" x14ac:dyDescent="0.3">
      <c r="A3571" t="s">
        <v>17</v>
      </c>
      <c r="B3571" t="str">
        <f>"600233"</f>
        <v>600233</v>
      </c>
      <c r="C3571" t="s">
        <v>7188</v>
      </c>
      <c r="D3571" t="s">
        <v>46</v>
      </c>
      <c r="E3571">
        <v>-159172379</v>
      </c>
      <c r="F3571">
        <v>-1463271808</v>
      </c>
      <c r="G3571">
        <v>-1323666163</v>
      </c>
      <c r="H3571">
        <v>-440311779</v>
      </c>
      <c r="I3571">
        <v>-1224141293</v>
      </c>
      <c r="J3571">
        <v>-636360921</v>
      </c>
      <c r="K3571">
        <v>17473236</v>
      </c>
      <c r="L3571">
        <v>25594160</v>
      </c>
      <c r="M3571">
        <v>27827648</v>
      </c>
      <c r="N3571">
        <v>41446044</v>
      </c>
      <c r="O3571">
        <v>20891656</v>
      </c>
      <c r="P3571">
        <v>736</v>
      </c>
      <c r="Q3571" t="s">
        <v>7189</v>
      </c>
    </row>
    <row r="3572" spans="1:17" x14ac:dyDescent="0.3">
      <c r="A3572" t="s">
        <v>32</v>
      </c>
      <c r="B3572" t="str">
        <f>"300666"</f>
        <v>300666</v>
      </c>
      <c r="C3572" t="s">
        <v>7190</v>
      </c>
      <c r="D3572" t="s">
        <v>124</v>
      </c>
      <c r="E3572">
        <v>-159333460</v>
      </c>
      <c r="F3572">
        <v>-182329660</v>
      </c>
      <c r="G3572">
        <v>-98244760</v>
      </c>
      <c r="H3572">
        <v>-40900885</v>
      </c>
      <c r="I3572">
        <v>-41070957</v>
      </c>
      <c r="J3572">
        <v>-34002078</v>
      </c>
      <c r="K3572">
        <v>-11139917</v>
      </c>
      <c r="P3572">
        <v>520</v>
      </c>
      <c r="Q3572" t="s">
        <v>7191</v>
      </c>
    </row>
    <row r="3573" spans="1:17" x14ac:dyDescent="0.3">
      <c r="A3573" t="s">
        <v>32</v>
      </c>
      <c r="B3573" t="str">
        <f>"001205"</f>
        <v>001205</v>
      </c>
      <c r="C3573" t="s">
        <v>7192</v>
      </c>
      <c r="D3573" t="s">
        <v>46</v>
      </c>
      <c r="E3573">
        <v>-159404896</v>
      </c>
      <c r="F3573">
        <v>18834689</v>
      </c>
      <c r="G3573">
        <v>-9401337</v>
      </c>
      <c r="P3573">
        <v>44</v>
      </c>
      <c r="Q3573" t="s">
        <v>7193</v>
      </c>
    </row>
    <row r="3574" spans="1:17" x14ac:dyDescent="0.3">
      <c r="A3574" t="s">
        <v>17</v>
      </c>
      <c r="B3574" t="str">
        <f>"605376"</f>
        <v>605376</v>
      </c>
      <c r="C3574" t="s">
        <v>7194</v>
      </c>
      <c r="D3574" t="s">
        <v>121</v>
      </c>
      <c r="E3574">
        <v>-159451008</v>
      </c>
      <c r="F3574">
        <v>-60128980</v>
      </c>
      <c r="G3574">
        <v>-58066800</v>
      </c>
      <c r="P3574">
        <v>110</v>
      </c>
      <c r="Q3574" t="s">
        <v>7195</v>
      </c>
    </row>
    <row r="3575" spans="1:17" x14ac:dyDescent="0.3">
      <c r="A3575" t="s">
        <v>17</v>
      </c>
      <c r="B3575" t="str">
        <f>"600190"</f>
        <v>600190</v>
      </c>
      <c r="C3575" t="s">
        <v>7196</v>
      </c>
      <c r="D3575" t="s">
        <v>46</v>
      </c>
      <c r="E3575">
        <v>-159555154</v>
      </c>
      <c r="F3575">
        <v>52226001</v>
      </c>
      <c r="G3575">
        <v>182307547</v>
      </c>
      <c r="H3575">
        <v>-64255403</v>
      </c>
      <c r="I3575">
        <v>100973841</v>
      </c>
      <c r="J3575">
        <v>-123824672</v>
      </c>
      <c r="K3575">
        <v>127851157</v>
      </c>
      <c r="L3575">
        <v>-120760088</v>
      </c>
      <c r="M3575">
        <v>-88869074</v>
      </c>
      <c r="N3575">
        <v>-95336863</v>
      </c>
      <c r="O3575">
        <v>-143317626</v>
      </c>
      <c r="P3575">
        <v>90</v>
      </c>
      <c r="Q3575" t="s">
        <v>7197</v>
      </c>
    </row>
    <row r="3576" spans="1:17" x14ac:dyDescent="0.3">
      <c r="A3576" t="s">
        <v>32</v>
      </c>
      <c r="B3576" t="str">
        <f>"300248"</f>
        <v>300248</v>
      </c>
      <c r="C3576" t="s">
        <v>7198</v>
      </c>
      <c r="D3576" t="s">
        <v>342</v>
      </c>
      <c r="E3576">
        <v>-160279255</v>
      </c>
      <c r="F3576">
        <v>-97818336</v>
      </c>
      <c r="G3576">
        <v>-118597052</v>
      </c>
      <c r="H3576">
        <v>-120269413</v>
      </c>
      <c r="I3576">
        <v>-129437817</v>
      </c>
      <c r="J3576">
        <v>-81477779</v>
      </c>
      <c r="K3576">
        <v>-53690471</v>
      </c>
      <c r="L3576">
        <v>-42009971</v>
      </c>
      <c r="M3576">
        <v>-49643027</v>
      </c>
      <c r="N3576">
        <v>-30416048</v>
      </c>
      <c r="O3576">
        <v>-28438070</v>
      </c>
      <c r="P3576">
        <v>209</v>
      </c>
      <c r="Q3576" t="s">
        <v>7199</v>
      </c>
    </row>
    <row r="3577" spans="1:17" x14ac:dyDescent="0.3">
      <c r="A3577" t="s">
        <v>32</v>
      </c>
      <c r="B3577" t="str">
        <f>"300429"</f>
        <v>300429</v>
      </c>
      <c r="C3577" t="s">
        <v>7200</v>
      </c>
      <c r="D3577" t="s">
        <v>124</v>
      </c>
      <c r="E3577">
        <v>-160469511</v>
      </c>
      <c r="F3577">
        <v>-71824971</v>
      </c>
      <c r="G3577">
        <v>-12394457</v>
      </c>
      <c r="H3577">
        <v>-11392197</v>
      </c>
      <c r="I3577">
        <v>-50914130</v>
      </c>
      <c r="J3577">
        <v>4528216</v>
      </c>
      <c r="K3577">
        <v>1969762</v>
      </c>
      <c r="L3577">
        <v>-5203054</v>
      </c>
      <c r="M3577">
        <v>-6305203</v>
      </c>
      <c r="P3577">
        <v>261</v>
      </c>
      <c r="Q3577" t="s">
        <v>7201</v>
      </c>
    </row>
    <row r="3578" spans="1:17" x14ac:dyDescent="0.3">
      <c r="A3578" t="s">
        <v>17</v>
      </c>
      <c r="B3578" t="str">
        <f>"600222"</f>
        <v>600222</v>
      </c>
      <c r="C3578" t="s">
        <v>7202</v>
      </c>
      <c r="D3578" t="s">
        <v>98</v>
      </c>
      <c r="E3578">
        <v>-160504482</v>
      </c>
      <c r="F3578">
        <v>-48837083</v>
      </c>
      <c r="G3578">
        <v>-5810698</v>
      </c>
      <c r="H3578">
        <v>-42672559</v>
      </c>
      <c r="I3578">
        <v>-43298328</v>
      </c>
      <c r="J3578">
        <v>-27465965</v>
      </c>
      <c r="K3578">
        <v>-27426787</v>
      </c>
      <c r="L3578">
        <v>-73081753</v>
      </c>
      <c r="M3578">
        <v>-7548619</v>
      </c>
      <c r="N3578">
        <v>-1452260</v>
      </c>
      <c r="O3578">
        <v>13533636</v>
      </c>
      <c r="P3578">
        <v>132</v>
      </c>
      <c r="Q3578" t="s">
        <v>7203</v>
      </c>
    </row>
    <row r="3579" spans="1:17" x14ac:dyDescent="0.3">
      <c r="A3579" t="s">
        <v>32</v>
      </c>
      <c r="B3579" t="str">
        <f>"300777"</f>
        <v>300777</v>
      </c>
      <c r="C3579" t="s">
        <v>7204</v>
      </c>
      <c r="D3579" t="s">
        <v>188</v>
      </c>
      <c r="E3579">
        <v>-160511619</v>
      </c>
      <c r="F3579">
        <v>-4529054</v>
      </c>
      <c r="G3579">
        <v>19566566</v>
      </c>
      <c r="H3579">
        <v>-77566184</v>
      </c>
      <c r="I3579">
        <v>-59697049</v>
      </c>
      <c r="P3579">
        <v>371</v>
      </c>
      <c r="Q3579" t="s">
        <v>7205</v>
      </c>
    </row>
    <row r="3580" spans="1:17" x14ac:dyDescent="0.3">
      <c r="A3580" t="s">
        <v>17</v>
      </c>
      <c r="B3580" t="str">
        <f>"600834"</f>
        <v>600834</v>
      </c>
      <c r="C3580" t="s">
        <v>7206</v>
      </c>
      <c r="D3580" t="s">
        <v>46</v>
      </c>
      <c r="E3580">
        <v>-160578698</v>
      </c>
      <c r="F3580">
        <v>-29565916</v>
      </c>
      <c r="G3580">
        <v>109758167</v>
      </c>
      <c r="H3580">
        <v>131985370</v>
      </c>
      <c r="I3580">
        <v>70641134</v>
      </c>
      <c r="J3580">
        <v>-25193991</v>
      </c>
      <c r="K3580">
        <v>30775352</v>
      </c>
      <c r="L3580">
        <v>74933067</v>
      </c>
      <c r="M3580">
        <v>-139182781</v>
      </c>
      <c r="N3580">
        <v>63194326</v>
      </c>
      <c r="O3580">
        <v>68239233</v>
      </c>
      <c r="P3580">
        <v>120</v>
      </c>
      <c r="Q3580" t="s">
        <v>7207</v>
      </c>
    </row>
    <row r="3581" spans="1:17" x14ac:dyDescent="0.3">
      <c r="A3581" t="s">
        <v>32</v>
      </c>
      <c r="B3581" t="str">
        <f>"300253"</f>
        <v>300253</v>
      </c>
      <c r="C3581" t="s">
        <v>7208</v>
      </c>
      <c r="D3581" t="s">
        <v>342</v>
      </c>
      <c r="E3581">
        <v>-160809937</v>
      </c>
      <c r="F3581">
        <v>-250265675</v>
      </c>
      <c r="G3581">
        <v>-258941601</v>
      </c>
      <c r="H3581">
        <v>-230123073</v>
      </c>
      <c r="I3581">
        <v>-267028973</v>
      </c>
      <c r="J3581">
        <v>-158630953</v>
      </c>
      <c r="K3581">
        <v>-308262156</v>
      </c>
      <c r="L3581">
        <v>-180080382</v>
      </c>
      <c r="M3581">
        <v>-39576277</v>
      </c>
      <c r="N3581">
        <v>-41964476</v>
      </c>
      <c r="O3581">
        <v>-29849460</v>
      </c>
      <c r="P3581">
        <v>936</v>
      </c>
      <c r="Q3581" t="s">
        <v>7209</v>
      </c>
    </row>
    <row r="3582" spans="1:17" x14ac:dyDescent="0.3">
      <c r="A3582" t="s">
        <v>17</v>
      </c>
      <c r="B3582" t="str">
        <f>"600180"</f>
        <v>600180</v>
      </c>
      <c r="C3582" t="s">
        <v>7210</v>
      </c>
      <c r="D3582" t="s">
        <v>46</v>
      </c>
      <c r="E3582">
        <v>-161092131</v>
      </c>
      <c r="F3582">
        <v>538352340</v>
      </c>
      <c r="G3582">
        <v>333900863</v>
      </c>
      <c r="H3582">
        <v>1495661903</v>
      </c>
      <c r="I3582">
        <v>-523241035</v>
      </c>
      <c r="J3582">
        <v>-762911653</v>
      </c>
      <c r="K3582">
        <v>-1644783772</v>
      </c>
      <c r="L3582">
        <v>-454571216</v>
      </c>
      <c r="M3582">
        <v>95845625</v>
      </c>
      <c r="N3582">
        <v>-215863606</v>
      </c>
      <c r="O3582">
        <v>-1484260</v>
      </c>
      <c r="P3582">
        <v>151</v>
      </c>
      <c r="Q3582" t="s">
        <v>7211</v>
      </c>
    </row>
    <row r="3583" spans="1:17" x14ac:dyDescent="0.3">
      <c r="A3583" t="s">
        <v>32</v>
      </c>
      <c r="B3583" t="str">
        <f>"002920"</f>
        <v>002920</v>
      </c>
      <c r="C3583" t="s">
        <v>7212</v>
      </c>
      <c r="D3583" t="s">
        <v>342</v>
      </c>
      <c r="E3583">
        <v>-161291992</v>
      </c>
      <c r="F3583">
        <v>-341536845</v>
      </c>
      <c r="G3583">
        <v>-201701429</v>
      </c>
      <c r="H3583">
        <v>47496713</v>
      </c>
      <c r="I3583">
        <v>580824</v>
      </c>
      <c r="J3583">
        <v>-372393244</v>
      </c>
      <c r="P3583">
        <v>688</v>
      </c>
      <c r="Q3583" t="s">
        <v>7213</v>
      </c>
    </row>
    <row r="3584" spans="1:17" x14ac:dyDescent="0.3">
      <c r="A3584" t="s">
        <v>32</v>
      </c>
      <c r="B3584" t="str">
        <f>"002687"</f>
        <v>002687</v>
      </c>
      <c r="C3584" t="s">
        <v>7214</v>
      </c>
      <c r="D3584" t="s">
        <v>130</v>
      </c>
      <c r="E3584">
        <v>-161316453</v>
      </c>
      <c r="F3584">
        <v>-164719558</v>
      </c>
      <c r="G3584">
        <v>-148468422</v>
      </c>
      <c r="H3584">
        <v>-131652481</v>
      </c>
      <c r="I3584">
        <v>-127473987</v>
      </c>
      <c r="J3584">
        <v>-75650566</v>
      </c>
      <c r="K3584">
        <v>-119135463</v>
      </c>
      <c r="L3584">
        <v>-76413755</v>
      </c>
      <c r="M3584">
        <v>-71057276</v>
      </c>
      <c r="N3584">
        <v>-103982636</v>
      </c>
      <c r="O3584">
        <v>-52018742</v>
      </c>
      <c r="P3584">
        <v>127</v>
      </c>
      <c r="Q3584" t="s">
        <v>7215</v>
      </c>
    </row>
    <row r="3585" spans="1:17" x14ac:dyDescent="0.3">
      <c r="A3585" t="s">
        <v>32</v>
      </c>
      <c r="B3585" t="str">
        <f>"002501"</f>
        <v>002501</v>
      </c>
      <c r="C3585" t="s">
        <v>7216</v>
      </c>
      <c r="D3585" t="s">
        <v>121</v>
      </c>
      <c r="E3585">
        <v>-161491844</v>
      </c>
      <c r="F3585">
        <v>-333072418</v>
      </c>
      <c r="G3585">
        <v>-4524279</v>
      </c>
      <c r="H3585">
        <v>-177404</v>
      </c>
      <c r="I3585">
        <v>-558525040</v>
      </c>
      <c r="J3585">
        <v>-640201795</v>
      </c>
      <c r="K3585">
        <v>-286031867</v>
      </c>
      <c r="L3585">
        <v>49527918</v>
      </c>
      <c r="M3585">
        <v>48608822</v>
      </c>
      <c r="N3585">
        <v>62386588</v>
      </c>
      <c r="O3585">
        <v>91716529</v>
      </c>
      <c r="P3585">
        <v>107</v>
      </c>
      <c r="Q3585" t="s">
        <v>7217</v>
      </c>
    </row>
    <row r="3586" spans="1:17" x14ac:dyDescent="0.3">
      <c r="A3586" t="s">
        <v>32</v>
      </c>
      <c r="B3586" t="str">
        <f>"300407"</f>
        <v>300407</v>
      </c>
      <c r="C3586" t="s">
        <v>7218</v>
      </c>
      <c r="D3586" t="s">
        <v>464</v>
      </c>
      <c r="E3586">
        <v>-161939916</v>
      </c>
      <c r="F3586">
        <v>-78826881</v>
      </c>
      <c r="G3586">
        <v>-77605153</v>
      </c>
      <c r="H3586">
        <v>-73893384</v>
      </c>
      <c r="I3586">
        <v>-85484610</v>
      </c>
      <c r="J3586">
        <v>-128663584</v>
      </c>
      <c r="K3586">
        <v>-6751459</v>
      </c>
      <c r="L3586">
        <v>-40057283</v>
      </c>
      <c r="M3586">
        <v>-27959618</v>
      </c>
      <c r="P3586">
        <v>132</v>
      </c>
      <c r="Q3586" t="s">
        <v>7219</v>
      </c>
    </row>
    <row r="3587" spans="1:17" x14ac:dyDescent="0.3">
      <c r="A3587" t="s">
        <v>32</v>
      </c>
      <c r="B3587" t="str">
        <f>"002083"</f>
        <v>002083</v>
      </c>
      <c r="C3587" t="s">
        <v>7220</v>
      </c>
      <c r="D3587" t="s">
        <v>130</v>
      </c>
      <c r="E3587">
        <v>-162079182</v>
      </c>
      <c r="F3587">
        <v>-38279680</v>
      </c>
      <c r="G3587">
        <v>261121857</v>
      </c>
      <c r="H3587">
        <v>174346925</v>
      </c>
      <c r="I3587">
        <v>27553183</v>
      </c>
      <c r="J3587">
        <v>85738383</v>
      </c>
      <c r="K3587">
        <v>202679778</v>
      </c>
      <c r="L3587">
        <v>102827489</v>
      </c>
      <c r="M3587">
        <v>-308347299</v>
      </c>
      <c r="N3587">
        <v>245754677</v>
      </c>
      <c r="O3587">
        <v>-34021252</v>
      </c>
      <c r="P3587">
        <v>283</v>
      </c>
      <c r="Q3587" t="s">
        <v>7221</v>
      </c>
    </row>
    <row r="3588" spans="1:17" x14ac:dyDescent="0.3">
      <c r="A3588" t="s">
        <v>17</v>
      </c>
      <c r="B3588" t="str">
        <f>"600917"</f>
        <v>600917</v>
      </c>
      <c r="C3588" t="s">
        <v>7222</v>
      </c>
      <c r="D3588" t="s">
        <v>158</v>
      </c>
      <c r="E3588">
        <v>-162392886</v>
      </c>
      <c r="F3588">
        <v>44767463</v>
      </c>
      <c r="G3588">
        <v>-71078623</v>
      </c>
      <c r="H3588">
        <v>-79934539</v>
      </c>
      <c r="I3588">
        <v>85619307</v>
      </c>
      <c r="J3588">
        <v>-20712465</v>
      </c>
      <c r="K3588">
        <v>42843516</v>
      </c>
      <c r="L3588">
        <v>-34276098</v>
      </c>
      <c r="M3588">
        <v>-164905766</v>
      </c>
      <c r="P3588">
        <v>176</v>
      </c>
      <c r="Q3588" t="s">
        <v>7223</v>
      </c>
    </row>
    <row r="3589" spans="1:17" x14ac:dyDescent="0.3">
      <c r="A3589" t="s">
        <v>32</v>
      </c>
      <c r="B3589" t="str">
        <f>"300723"</f>
        <v>300723</v>
      </c>
      <c r="C3589" t="s">
        <v>7224</v>
      </c>
      <c r="D3589" t="s">
        <v>98</v>
      </c>
      <c r="E3589">
        <v>-162714116</v>
      </c>
      <c r="F3589">
        <v>-110382319</v>
      </c>
      <c r="G3589">
        <v>-86664680</v>
      </c>
      <c r="H3589">
        <v>60972299</v>
      </c>
      <c r="I3589">
        <v>19230120</v>
      </c>
      <c r="J3589">
        <v>-6526390</v>
      </c>
      <c r="P3589">
        <v>223</v>
      </c>
      <c r="Q3589" t="s">
        <v>7225</v>
      </c>
    </row>
    <row r="3590" spans="1:17" x14ac:dyDescent="0.3">
      <c r="A3590" t="s">
        <v>17</v>
      </c>
      <c r="B3590" t="str">
        <f>"600716"</f>
        <v>600716</v>
      </c>
      <c r="C3590" t="s">
        <v>7226</v>
      </c>
      <c r="D3590" t="s">
        <v>151</v>
      </c>
      <c r="E3590">
        <v>-163060145</v>
      </c>
      <c r="F3590">
        <v>-144645234</v>
      </c>
      <c r="G3590">
        <v>-175507115</v>
      </c>
      <c r="H3590">
        <v>653476745</v>
      </c>
      <c r="I3590">
        <v>-131686377</v>
      </c>
      <c r="J3590">
        <v>-179242947</v>
      </c>
      <c r="K3590">
        <v>-57510796</v>
      </c>
      <c r="L3590">
        <v>-207446988</v>
      </c>
      <c r="M3590">
        <v>-116140077</v>
      </c>
      <c r="N3590">
        <v>-289934052</v>
      </c>
      <c r="O3590">
        <v>-396092738</v>
      </c>
      <c r="P3590">
        <v>95</v>
      </c>
      <c r="Q3590" t="s">
        <v>7227</v>
      </c>
    </row>
    <row r="3591" spans="1:17" x14ac:dyDescent="0.3">
      <c r="A3591" t="s">
        <v>32</v>
      </c>
      <c r="B3591" t="str">
        <f>"000510"</f>
        <v>000510</v>
      </c>
      <c r="C3591" t="s">
        <v>7228</v>
      </c>
      <c r="D3591" t="s">
        <v>144</v>
      </c>
      <c r="E3591">
        <v>-163244393</v>
      </c>
      <c r="F3591">
        <v>-63986015</v>
      </c>
      <c r="G3591">
        <v>19802391</v>
      </c>
      <c r="H3591">
        <v>-97187294</v>
      </c>
      <c r="I3591">
        <v>-25873607</v>
      </c>
      <c r="J3591">
        <v>-54050312</v>
      </c>
      <c r="K3591">
        <v>-108468876</v>
      </c>
      <c r="L3591">
        <v>-179221215</v>
      </c>
      <c r="M3591">
        <v>21365347</v>
      </c>
      <c r="N3591">
        <v>-96208406</v>
      </c>
      <c r="O3591">
        <v>-80722789</v>
      </c>
      <c r="P3591">
        <v>128</v>
      </c>
      <c r="Q3591" t="s">
        <v>7229</v>
      </c>
    </row>
    <row r="3592" spans="1:17" x14ac:dyDescent="0.3">
      <c r="A3592" t="s">
        <v>32</v>
      </c>
      <c r="B3592" t="str">
        <f>"000833"</f>
        <v>000833</v>
      </c>
      <c r="C3592" t="s">
        <v>7230</v>
      </c>
      <c r="D3592" t="s">
        <v>345</v>
      </c>
      <c r="E3592">
        <v>-163869846</v>
      </c>
      <c r="F3592">
        <v>-415286852</v>
      </c>
      <c r="G3592">
        <v>-291980006</v>
      </c>
      <c r="H3592">
        <v>-135153588</v>
      </c>
      <c r="I3592">
        <v>-269073519</v>
      </c>
      <c r="J3592">
        <v>-264824597</v>
      </c>
      <c r="K3592">
        <v>-257612657</v>
      </c>
      <c r="L3592">
        <v>-181476547</v>
      </c>
      <c r="M3592">
        <v>-177075971</v>
      </c>
      <c r="N3592">
        <v>-172104570</v>
      </c>
      <c r="O3592">
        <v>-180601639</v>
      </c>
      <c r="P3592">
        <v>88</v>
      </c>
      <c r="Q3592" t="s">
        <v>7231</v>
      </c>
    </row>
    <row r="3593" spans="1:17" x14ac:dyDescent="0.3">
      <c r="A3593" t="s">
        <v>32</v>
      </c>
      <c r="B3593" t="str">
        <f>"300500"</f>
        <v>300500</v>
      </c>
      <c r="C3593" t="s">
        <v>7232</v>
      </c>
      <c r="D3593" t="s">
        <v>645</v>
      </c>
      <c r="E3593">
        <v>-164013104</v>
      </c>
      <c r="F3593">
        <v>-150254248</v>
      </c>
      <c r="G3593">
        <v>-6628231</v>
      </c>
      <c r="H3593">
        <v>-53838644</v>
      </c>
      <c r="I3593">
        <v>-44542119</v>
      </c>
      <c r="J3593">
        <v>-52353650</v>
      </c>
      <c r="K3593">
        <v>-9044850</v>
      </c>
      <c r="L3593">
        <v>-36909831</v>
      </c>
      <c r="P3593">
        <v>100</v>
      </c>
      <c r="Q3593" t="s">
        <v>7233</v>
      </c>
    </row>
    <row r="3594" spans="1:17" x14ac:dyDescent="0.3">
      <c r="A3594" t="s">
        <v>32</v>
      </c>
      <c r="B3594" t="str">
        <f>"300380"</f>
        <v>300380</v>
      </c>
      <c r="C3594" t="s">
        <v>7234</v>
      </c>
      <c r="D3594" t="s">
        <v>342</v>
      </c>
      <c r="E3594">
        <v>-164394274</v>
      </c>
      <c r="F3594">
        <v>-138194549</v>
      </c>
      <c r="G3594">
        <v>-50727455</v>
      </c>
      <c r="H3594">
        <v>-69254696</v>
      </c>
      <c r="I3594">
        <v>-87702358</v>
      </c>
      <c r="J3594">
        <v>-83232793</v>
      </c>
      <c r="K3594">
        <v>-56510214</v>
      </c>
      <c r="L3594">
        <v>-37995337</v>
      </c>
      <c r="M3594">
        <v>-36581578</v>
      </c>
      <c r="N3594">
        <v>-26438109</v>
      </c>
      <c r="P3594">
        <v>85</v>
      </c>
      <c r="Q3594" t="s">
        <v>7235</v>
      </c>
    </row>
    <row r="3595" spans="1:17" x14ac:dyDescent="0.3">
      <c r="A3595" t="s">
        <v>32</v>
      </c>
      <c r="B3595" t="str">
        <f>"002323"</f>
        <v>002323</v>
      </c>
      <c r="C3595" t="s">
        <v>7236</v>
      </c>
      <c r="D3595" t="s">
        <v>400</v>
      </c>
      <c r="E3595">
        <v>-164923464</v>
      </c>
      <c r="F3595">
        <v>1040057</v>
      </c>
      <c r="G3595">
        <v>-3054519</v>
      </c>
      <c r="H3595">
        <v>-48280</v>
      </c>
      <c r="I3595">
        <v>67433367</v>
      </c>
      <c r="J3595">
        <v>-197595016</v>
      </c>
      <c r="K3595">
        <v>-118463927</v>
      </c>
      <c r="L3595">
        <v>-17047770</v>
      </c>
      <c r="M3595">
        <v>4003511</v>
      </c>
      <c r="N3595">
        <v>-10488905</v>
      </c>
      <c r="O3595">
        <v>-21445567</v>
      </c>
      <c r="P3595">
        <v>78</v>
      </c>
      <c r="Q3595" t="s">
        <v>7237</v>
      </c>
    </row>
    <row r="3596" spans="1:17" x14ac:dyDescent="0.3">
      <c r="A3596" t="s">
        <v>17</v>
      </c>
      <c r="B3596" t="str">
        <f>"600258"</f>
        <v>600258</v>
      </c>
      <c r="C3596" t="s">
        <v>7238</v>
      </c>
      <c r="D3596" t="s">
        <v>497</v>
      </c>
      <c r="E3596">
        <v>-165024995</v>
      </c>
      <c r="F3596">
        <v>-56178550</v>
      </c>
      <c r="G3596">
        <v>-698033924</v>
      </c>
      <c r="H3596">
        <v>-91493854</v>
      </c>
      <c r="I3596">
        <v>2973674</v>
      </c>
      <c r="J3596">
        <v>27229392</v>
      </c>
      <c r="K3596">
        <v>81958905</v>
      </c>
      <c r="L3596">
        <v>34878959</v>
      </c>
      <c r="M3596">
        <v>55570753</v>
      </c>
      <c r="N3596">
        <v>55021990</v>
      </c>
      <c r="O3596">
        <v>67617481</v>
      </c>
      <c r="P3596">
        <v>516</v>
      </c>
      <c r="Q3596" t="s">
        <v>7239</v>
      </c>
    </row>
    <row r="3597" spans="1:17" x14ac:dyDescent="0.3">
      <c r="A3597" t="s">
        <v>17</v>
      </c>
      <c r="B3597" t="str">
        <f>"900947"</f>
        <v>900947</v>
      </c>
      <c r="C3597" t="s">
        <v>7240</v>
      </c>
      <c r="E3597">
        <v>-165070757.45320001</v>
      </c>
      <c r="F3597">
        <v>-31792484.039999999</v>
      </c>
      <c r="G3597">
        <v>-170991839.4384</v>
      </c>
      <c r="H3597">
        <v>-36399976.754000001</v>
      </c>
      <c r="I3597">
        <v>-77153669.322600007</v>
      </c>
      <c r="J3597">
        <v>59375548.016400002</v>
      </c>
      <c r="K3597">
        <v>46208362.127599999</v>
      </c>
      <c r="L3597">
        <v>-286425124.63770002</v>
      </c>
      <c r="M3597">
        <v>-128244375.72</v>
      </c>
      <c r="N3597">
        <v>-20936644.469999999</v>
      </c>
      <c r="O3597">
        <v>-58589063.881999999</v>
      </c>
      <c r="P3597">
        <v>18</v>
      </c>
      <c r="Q3597" t="s">
        <v>7241</v>
      </c>
    </row>
    <row r="3598" spans="1:17" x14ac:dyDescent="0.3">
      <c r="A3598" t="s">
        <v>17</v>
      </c>
      <c r="B3598" t="str">
        <f>"600266"</f>
        <v>600266</v>
      </c>
      <c r="C3598" t="s">
        <v>7242</v>
      </c>
      <c r="D3598" t="s">
        <v>151</v>
      </c>
      <c r="E3598">
        <v>-165737337</v>
      </c>
      <c r="F3598">
        <v>-4312225154</v>
      </c>
      <c r="G3598">
        <v>-1180882522</v>
      </c>
      <c r="H3598">
        <v>-1989321567</v>
      </c>
      <c r="I3598">
        <v>-881331993</v>
      </c>
      <c r="J3598">
        <v>-998166311</v>
      </c>
      <c r="K3598">
        <v>-1258169714</v>
      </c>
      <c r="L3598">
        <v>-347740798</v>
      </c>
      <c r="M3598">
        <v>-1962141561</v>
      </c>
      <c r="N3598">
        <v>613328846</v>
      </c>
      <c r="O3598">
        <v>-78975800</v>
      </c>
      <c r="P3598">
        <v>338</v>
      </c>
      <c r="Q3598" t="s">
        <v>7243</v>
      </c>
    </row>
    <row r="3599" spans="1:17" x14ac:dyDescent="0.3">
      <c r="A3599" t="s">
        <v>17</v>
      </c>
      <c r="B3599" t="str">
        <f>"605077"</f>
        <v>605077</v>
      </c>
      <c r="C3599" t="s">
        <v>7244</v>
      </c>
      <c r="D3599" t="s">
        <v>144</v>
      </c>
      <c r="E3599">
        <v>-166390586</v>
      </c>
      <c r="F3599">
        <v>-43455944</v>
      </c>
      <c r="G3599">
        <v>39340284</v>
      </c>
      <c r="P3599">
        <v>88</v>
      </c>
      <c r="Q3599" t="s">
        <v>7245</v>
      </c>
    </row>
    <row r="3600" spans="1:17" x14ac:dyDescent="0.3">
      <c r="A3600" t="s">
        <v>32</v>
      </c>
      <c r="B3600" t="str">
        <f>"300078"</f>
        <v>300078</v>
      </c>
      <c r="C3600" t="s">
        <v>7246</v>
      </c>
      <c r="D3600" t="s">
        <v>342</v>
      </c>
      <c r="E3600">
        <v>-166410604</v>
      </c>
      <c r="F3600">
        <v>-218170914</v>
      </c>
      <c r="G3600">
        <v>-156177109</v>
      </c>
      <c r="H3600">
        <v>-177240624</v>
      </c>
      <c r="I3600">
        <v>-102684876</v>
      </c>
      <c r="J3600">
        <v>-79730763</v>
      </c>
      <c r="K3600">
        <v>-19914278</v>
      </c>
      <c r="L3600">
        <v>-22389209</v>
      </c>
      <c r="M3600">
        <v>-8545065</v>
      </c>
      <c r="N3600">
        <v>-13093066</v>
      </c>
      <c r="O3600">
        <v>19896162</v>
      </c>
      <c r="P3600">
        <v>296</v>
      </c>
      <c r="Q3600" t="s">
        <v>7247</v>
      </c>
    </row>
    <row r="3601" spans="1:17" x14ac:dyDescent="0.3">
      <c r="A3601" t="s">
        <v>32</v>
      </c>
      <c r="B3601" t="str">
        <f>"002476"</f>
        <v>002476</v>
      </c>
      <c r="C3601" t="s">
        <v>7248</v>
      </c>
      <c r="D3601" t="s">
        <v>64</v>
      </c>
      <c r="E3601">
        <v>-166814140</v>
      </c>
      <c r="F3601">
        <v>-28500610</v>
      </c>
      <c r="G3601">
        <v>36100162</v>
      </c>
      <c r="H3601">
        <v>-4974752</v>
      </c>
      <c r="I3601">
        <v>-3200835</v>
      </c>
      <c r="J3601">
        <v>-8094706</v>
      </c>
      <c r="K3601">
        <v>-18860213</v>
      </c>
      <c r="L3601">
        <v>38306767</v>
      </c>
      <c r="M3601">
        <v>-91517773</v>
      </c>
      <c r="N3601">
        <v>-64197752</v>
      </c>
      <c r="O3601">
        <v>-32474367</v>
      </c>
      <c r="P3601">
        <v>85</v>
      </c>
      <c r="Q3601" t="s">
        <v>7249</v>
      </c>
    </row>
    <row r="3602" spans="1:17" x14ac:dyDescent="0.3">
      <c r="A3602" t="s">
        <v>17</v>
      </c>
      <c r="B3602" t="str">
        <f>"600805"</f>
        <v>600805</v>
      </c>
      <c r="C3602" t="s">
        <v>7250</v>
      </c>
      <c r="D3602" t="s">
        <v>345</v>
      </c>
      <c r="E3602">
        <v>-167172920</v>
      </c>
      <c r="F3602">
        <v>-217925532</v>
      </c>
      <c r="G3602">
        <v>-163806779</v>
      </c>
      <c r="H3602">
        <v>-116081708</v>
      </c>
      <c r="I3602">
        <v>80555080</v>
      </c>
      <c r="J3602">
        <v>75821045</v>
      </c>
      <c r="K3602">
        <v>80168282</v>
      </c>
      <c r="L3602">
        <v>83322695</v>
      </c>
      <c r="M3602">
        <v>113002372</v>
      </c>
      <c r="N3602">
        <v>100271228</v>
      </c>
      <c r="O3602">
        <v>100684444</v>
      </c>
      <c r="P3602">
        <v>106</v>
      </c>
      <c r="Q3602" t="s">
        <v>7251</v>
      </c>
    </row>
    <row r="3603" spans="1:17" x14ac:dyDescent="0.3">
      <c r="A3603" t="s">
        <v>32</v>
      </c>
      <c r="B3603" t="str">
        <f>"002041"</f>
        <v>002041</v>
      </c>
      <c r="C3603" t="s">
        <v>7252</v>
      </c>
      <c r="D3603" t="s">
        <v>175</v>
      </c>
      <c r="E3603">
        <v>-167221165</v>
      </c>
      <c r="F3603">
        <v>2217996</v>
      </c>
      <c r="G3603">
        <v>-11706824</v>
      </c>
      <c r="H3603">
        <v>-51496458</v>
      </c>
      <c r="I3603">
        <v>-189204786</v>
      </c>
      <c r="J3603">
        <v>-177525024</v>
      </c>
      <c r="K3603">
        <v>26446804</v>
      </c>
      <c r="L3603">
        <v>-157991553</v>
      </c>
      <c r="M3603">
        <v>12932396</v>
      </c>
      <c r="N3603">
        <v>-45544278</v>
      </c>
      <c r="O3603">
        <v>-13227629</v>
      </c>
      <c r="P3603">
        <v>446</v>
      </c>
      <c r="Q3603" t="s">
        <v>7253</v>
      </c>
    </row>
    <row r="3604" spans="1:17" x14ac:dyDescent="0.3">
      <c r="A3604" t="s">
        <v>17</v>
      </c>
      <c r="B3604" t="str">
        <f>"601999"</f>
        <v>601999</v>
      </c>
      <c r="C3604" t="s">
        <v>7254</v>
      </c>
      <c r="D3604" t="s">
        <v>245</v>
      </c>
      <c r="E3604">
        <v>-167324750</v>
      </c>
      <c r="F3604">
        <v>-240137589</v>
      </c>
      <c r="G3604">
        <v>-300645967</v>
      </c>
      <c r="H3604">
        <v>-271872924</v>
      </c>
      <c r="I3604">
        <v>-324163899</v>
      </c>
      <c r="J3604">
        <v>-149679537</v>
      </c>
      <c r="K3604">
        <v>-70147513</v>
      </c>
      <c r="L3604">
        <v>-144663225</v>
      </c>
      <c r="M3604">
        <v>-101237022</v>
      </c>
      <c r="N3604">
        <v>-108166630</v>
      </c>
      <c r="O3604">
        <v>-65171178</v>
      </c>
      <c r="P3604">
        <v>82</v>
      </c>
      <c r="Q3604" t="s">
        <v>7255</v>
      </c>
    </row>
    <row r="3605" spans="1:17" x14ac:dyDescent="0.3">
      <c r="A3605" t="s">
        <v>32</v>
      </c>
      <c r="B3605" t="str">
        <f>"000623"</f>
        <v>000623</v>
      </c>
      <c r="C3605" t="s">
        <v>7256</v>
      </c>
      <c r="D3605" t="s">
        <v>98</v>
      </c>
      <c r="E3605">
        <v>-167452688</v>
      </c>
      <c r="F3605">
        <v>-109635476</v>
      </c>
      <c r="G3605">
        <v>27194290</v>
      </c>
      <c r="H3605">
        <v>-90533648</v>
      </c>
      <c r="I3605">
        <v>11745840</v>
      </c>
      <c r="J3605">
        <v>-12062759</v>
      </c>
      <c r="K3605">
        <v>-78631879</v>
      </c>
      <c r="L3605">
        <v>-110909224</v>
      </c>
      <c r="M3605">
        <v>-58866333</v>
      </c>
      <c r="N3605">
        <v>-92701416</v>
      </c>
      <c r="O3605">
        <v>-130889425</v>
      </c>
      <c r="P3605">
        <v>671</v>
      </c>
      <c r="Q3605" t="s">
        <v>7257</v>
      </c>
    </row>
    <row r="3606" spans="1:17" x14ac:dyDescent="0.3">
      <c r="A3606" t="s">
        <v>32</v>
      </c>
      <c r="B3606" t="str">
        <f>"002310"</f>
        <v>002310</v>
      </c>
      <c r="C3606" t="s">
        <v>7258</v>
      </c>
      <c r="D3606" t="s">
        <v>645</v>
      </c>
      <c r="E3606">
        <v>-167452778</v>
      </c>
      <c r="F3606">
        <v>-209404308</v>
      </c>
      <c r="G3606">
        <v>-1029192174</v>
      </c>
      <c r="H3606">
        <v>-629709885</v>
      </c>
      <c r="I3606">
        <v>-51755008</v>
      </c>
      <c r="J3606">
        <v>-70593089</v>
      </c>
      <c r="K3606">
        <v>12875930</v>
      </c>
      <c r="L3606">
        <v>-400984408</v>
      </c>
      <c r="M3606">
        <v>-185636102</v>
      </c>
      <c r="N3606">
        <v>-174875010</v>
      </c>
      <c r="O3606">
        <v>-480488042</v>
      </c>
      <c r="P3606">
        <v>1194</v>
      </c>
      <c r="Q3606" t="s">
        <v>7259</v>
      </c>
    </row>
    <row r="3607" spans="1:17" x14ac:dyDescent="0.3">
      <c r="A3607" t="s">
        <v>17</v>
      </c>
      <c r="B3607" t="str">
        <f>"603661"</f>
        <v>603661</v>
      </c>
      <c r="C3607" t="s">
        <v>7260</v>
      </c>
      <c r="D3607" t="s">
        <v>455</v>
      </c>
      <c r="E3607">
        <v>-167494008</v>
      </c>
      <c r="F3607">
        <v>-384688039</v>
      </c>
      <c r="G3607">
        <v>-88224693</v>
      </c>
      <c r="H3607">
        <v>-42706455</v>
      </c>
      <c r="I3607">
        <v>-105175365</v>
      </c>
      <c r="J3607">
        <v>-36371407</v>
      </c>
      <c r="P3607">
        <v>148</v>
      </c>
      <c r="Q3607" t="s">
        <v>7261</v>
      </c>
    </row>
    <row r="3608" spans="1:17" x14ac:dyDescent="0.3">
      <c r="A3608" t="s">
        <v>17</v>
      </c>
      <c r="B3608" t="str">
        <f>"688557"</f>
        <v>688557</v>
      </c>
      <c r="C3608" t="s">
        <v>7262</v>
      </c>
      <c r="D3608" t="s">
        <v>135</v>
      </c>
      <c r="E3608">
        <v>-167940148</v>
      </c>
      <c r="F3608">
        <v>-25114387</v>
      </c>
      <c r="G3608">
        <v>7209846</v>
      </c>
      <c r="H3608">
        <v>-22243100</v>
      </c>
      <c r="P3608">
        <v>48</v>
      </c>
      <c r="Q3608" t="s">
        <v>7263</v>
      </c>
    </row>
    <row r="3609" spans="1:17" x14ac:dyDescent="0.3">
      <c r="A3609" t="s">
        <v>17</v>
      </c>
      <c r="B3609" t="str">
        <f>"688178"</f>
        <v>688178</v>
      </c>
      <c r="C3609" t="s">
        <v>7264</v>
      </c>
      <c r="D3609" t="s">
        <v>1334</v>
      </c>
      <c r="E3609">
        <v>-167986304</v>
      </c>
      <c r="F3609">
        <v>-129051254</v>
      </c>
      <c r="G3609">
        <v>-50132914</v>
      </c>
      <c r="H3609">
        <v>-77234460</v>
      </c>
      <c r="P3609">
        <v>69</v>
      </c>
      <c r="Q3609" t="s">
        <v>7265</v>
      </c>
    </row>
    <row r="3610" spans="1:17" x14ac:dyDescent="0.3">
      <c r="A3610" t="s">
        <v>32</v>
      </c>
      <c r="B3610" t="str">
        <f>"002051"</f>
        <v>002051</v>
      </c>
      <c r="C3610" t="s">
        <v>7266</v>
      </c>
      <c r="D3610" t="s">
        <v>645</v>
      </c>
      <c r="E3610">
        <v>-168136286</v>
      </c>
      <c r="F3610">
        <v>-756238389</v>
      </c>
      <c r="G3610">
        <v>-776092760</v>
      </c>
      <c r="H3610">
        <v>-576622336</v>
      </c>
      <c r="I3610">
        <v>-269064504</v>
      </c>
      <c r="J3610">
        <v>-1580345396</v>
      </c>
      <c r="K3610">
        <v>-760827075</v>
      </c>
      <c r="L3610">
        <v>123521404</v>
      </c>
      <c r="M3610">
        <v>295688920</v>
      </c>
      <c r="N3610">
        <v>-663932050</v>
      </c>
      <c r="O3610">
        <v>-379425545</v>
      </c>
      <c r="P3610">
        <v>556</v>
      </c>
      <c r="Q3610" t="s">
        <v>7267</v>
      </c>
    </row>
    <row r="3611" spans="1:17" x14ac:dyDescent="0.3">
      <c r="A3611" t="s">
        <v>32</v>
      </c>
      <c r="B3611" t="str">
        <f>"001896"</f>
        <v>001896</v>
      </c>
      <c r="C3611" t="s">
        <v>7268</v>
      </c>
      <c r="D3611" t="s">
        <v>158</v>
      </c>
      <c r="E3611">
        <v>-168206930</v>
      </c>
      <c r="F3611">
        <v>447663628</v>
      </c>
      <c r="G3611">
        <v>229921018</v>
      </c>
      <c r="H3611">
        <v>298053581</v>
      </c>
      <c r="I3611">
        <v>-349954258</v>
      </c>
      <c r="J3611">
        <v>-231665333</v>
      </c>
      <c r="K3611">
        <v>32411278</v>
      </c>
      <c r="L3611">
        <v>-488136557</v>
      </c>
      <c r="M3611">
        <v>397489102</v>
      </c>
      <c r="N3611">
        <v>249119453</v>
      </c>
      <c r="O3611">
        <v>236349624</v>
      </c>
      <c r="P3611">
        <v>202</v>
      </c>
      <c r="Q3611" t="s">
        <v>7269</v>
      </c>
    </row>
    <row r="3612" spans="1:17" x14ac:dyDescent="0.3">
      <c r="A3612" t="s">
        <v>32</v>
      </c>
      <c r="B3612" t="str">
        <f>"300376"</f>
        <v>300376</v>
      </c>
      <c r="C3612" t="s">
        <v>7270</v>
      </c>
      <c r="D3612" t="s">
        <v>464</v>
      </c>
      <c r="E3612">
        <v>-168207960</v>
      </c>
      <c r="F3612">
        <v>-164639963</v>
      </c>
      <c r="G3612">
        <v>-97672929</v>
      </c>
      <c r="H3612">
        <v>-667672037</v>
      </c>
      <c r="I3612">
        <v>-135726989</v>
      </c>
      <c r="J3612">
        <v>-1323313580</v>
      </c>
      <c r="K3612">
        <v>-246217383</v>
      </c>
      <c r="L3612">
        <v>-22038623</v>
      </c>
      <c r="M3612">
        <v>-178497459</v>
      </c>
      <c r="N3612">
        <v>-62500756</v>
      </c>
      <c r="P3612">
        <v>849</v>
      </c>
      <c r="Q3612" t="s">
        <v>7271</v>
      </c>
    </row>
    <row r="3613" spans="1:17" x14ac:dyDescent="0.3">
      <c r="A3613" t="s">
        <v>32</v>
      </c>
      <c r="B3613" t="str">
        <f>"003041"</f>
        <v>003041</v>
      </c>
      <c r="C3613" t="s">
        <v>7272</v>
      </c>
      <c r="D3613" t="s">
        <v>130</v>
      </c>
      <c r="E3613">
        <v>-168521701</v>
      </c>
      <c r="F3613">
        <v>-39291178</v>
      </c>
      <c r="G3613">
        <v>6860581</v>
      </c>
      <c r="P3613">
        <v>30</v>
      </c>
      <c r="Q3613" t="s">
        <v>7273</v>
      </c>
    </row>
    <row r="3614" spans="1:17" x14ac:dyDescent="0.3">
      <c r="A3614" t="s">
        <v>32</v>
      </c>
      <c r="B3614" t="str">
        <f>"300729"</f>
        <v>300729</v>
      </c>
      <c r="C3614" t="s">
        <v>7274</v>
      </c>
      <c r="D3614" t="s">
        <v>455</v>
      </c>
      <c r="E3614">
        <v>-168623295</v>
      </c>
      <c r="F3614">
        <v>-107978874</v>
      </c>
      <c r="G3614">
        <v>1545114</v>
      </c>
      <c r="H3614">
        <v>14309122</v>
      </c>
      <c r="I3614">
        <v>56333</v>
      </c>
      <c r="J3614">
        <v>-55647750</v>
      </c>
      <c r="P3614">
        <v>220</v>
      </c>
      <c r="Q3614" t="s">
        <v>7275</v>
      </c>
    </row>
    <row r="3615" spans="1:17" x14ac:dyDescent="0.3">
      <c r="A3615" t="s">
        <v>32</v>
      </c>
      <c r="B3615" t="str">
        <f>"002132"</f>
        <v>002132</v>
      </c>
      <c r="C3615" t="s">
        <v>7276</v>
      </c>
      <c r="D3615" t="s">
        <v>135</v>
      </c>
      <c r="E3615">
        <v>-169171908</v>
      </c>
      <c r="F3615">
        <v>238557590</v>
      </c>
      <c r="G3615">
        <v>35214660</v>
      </c>
      <c r="H3615">
        <v>16535721</v>
      </c>
      <c r="I3615">
        <v>36064178</v>
      </c>
      <c r="J3615">
        <v>51737979</v>
      </c>
      <c r="K3615">
        <v>4099162</v>
      </c>
      <c r="L3615">
        <v>-48268513</v>
      </c>
      <c r="M3615">
        <v>173339680</v>
      </c>
      <c r="N3615">
        <v>-4158082</v>
      </c>
      <c r="O3615">
        <v>-4276956</v>
      </c>
      <c r="P3615">
        <v>127</v>
      </c>
      <c r="Q3615" t="s">
        <v>7277</v>
      </c>
    </row>
    <row r="3616" spans="1:17" x14ac:dyDescent="0.3">
      <c r="A3616" t="s">
        <v>17</v>
      </c>
      <c r="B3616" t="str">
        <f>"603039"</f>
        <v>603039</v>
      </c>
      <c r="C3616" t="s">
        <v>7278</v>
      </c>
      <c r="D3616" t="s">
        <v>342</v>
      </c>
      <c r="E3616">
        <v>-169266385</v>
      </c>
      <c r="F3616">
        <v>-98492201</v>
      </c>
      <c r="G3616">
        <v>-114721690</v>
      </c>
      <c r="H3616">
        <v>-30190439</v>
      </c>
      <c r="I3616">
        <v>-37297935</v>
      </c>
      <c r="J3616">
        <v>-29212606</v>
      </c>
      <c r="K3616">
        <v>-8130674</v>
      </c>
      <c r="P3616">
        <v>609</v>
      </c>
      <c r="Q3616" t="s">
        <v>7279</v>
      </c>
    </row>
    <row r="3617" spans="1:17" x14ac:dyDescent="0.3">
      <c r="A3617" t="s">
        <v>32</v>
      </c>
      <c r="B3617" t="str">
        <f>"002155"</f>
        <v>002155</v>
      </c>
      <c r="C3617" t="s">
        <v>7280</v>
      </c>
      <c r="D3617" t="s">
        <v>121</v>
      </c>
      <c r="E3617">
        <v>-169289759</v>
      </c>
      <c r="F3617">
        <v>-393613154</v>
      </c>
      <c r="G3617">
        <v>-205244885</v>
      </c>
      <c r="H3617">
        <v>-351095050</v>
      </c>
      <c r="I3617">
        <v>-62797404</v>
      </c>
      <c r="J3617">
        <v>-36826689</v>
      </c>
      <c r="K3617">
        <v>-95018672</v>
      </c>
      <c r="L3617">
        <v>-77554686</v>
      </c>
      <c r="M3617">
        <v>3916689</v>
      </c>
      <c r="N3617">
        <v>117496916</v>
      </c>
      <c r="O3617">
        <v>137668612</v>
      </c>
      <c r="P3617">
        <v>219</v>
      </c>
      <c r="Q3617" t="s">
        <v>7281</v>
      </c>
    </row>
    <row r="3618" spans="1:17" x14ac:dyDescent="0.3">
      <c r="A3618" t="s">
        <v>32</v>
      </c>
      <c r="B3618" t="str">
        <f>"000607"</f>
        <v>000607</v>
      </c>
      <c r="C3618" t="s">
        <v>7282</v>
      </c>
      <c r="D3618" t="s">
        <v>245</v>
      </c>
      <c r="E3618">
        <v>-169308970</v>
      </c>
      <c r="F3618">
        <v>-161896030</v>
      </c>
      <c r="G3618">
        <v>-163809263</v>
      </c>
      <c r="H3618">
        <v>-146460097</v>
      </c>
      <c r="I3618">
        <v>-72453156</v>
      </c>
      <c r="J3618">
        <v>-107763695</v>
      </c>
      <c r="K3618">
        <v>-98150581</v>
      </c>
      <c r="L3618">
        <v>162436602</v>
      </c>
      <c r="M3618">
        <v>-113907634</v>
      </c>
      <c r="N3618">
        <v>-120392541</v>
      </c>
      <c r="O3618">
        <v>-150138912</v>
      </c>
      <c r="P3618">
        <v>109</v>
      </c>
      <c r="Q3618" t="s">
        <v>7283</v>
      </c>
    </row>
    <row r="3619" spans="1:17" x14ac:dyDescent="0.3">
      <c r="A3619" t="s">
        <v>32</v>
      </c>
      <c r="B3619" t="str">
        <f>"300021"</f>
        <v>300021</v>
      </c>
      <c r="C3619" t="s">
        <v>7284</v>
      </c>
      <c r="D3619" t="s">
        <v>175</v>
      </c>
      <c r="E3619">
        <v>-169393087</v>
      </c>
      <c r="F3619">
        <v>-177281149</v>
      </c>
      <c r="G3619">
        <v>-64651049</v>
      </c>
      <c r="H3619">
        <v>-16017948</v>
      </c>
      <c r="I3619">
        <v>-224043310</v>
      </c>
      <c r="J3619">
        <v>-194748594</v>
      </c>
      <c r="K3619">
        <v>-112455328</v>
      </c>
      <c r="L3619">
        <v>-135251573</v>
      </c>
      <c r="M3619">
        <v>-77381102</v>
      </c>
      <c r="N3619">
        <v>-115266104</v>
      </c>
      <c r="O3619">
        <v>-87501180</v>
      </c>
      <c r="P3619">
        <v>174</v>
      </c>
      <c r="Q3619" t="s">
        <v>7285</v>
      </c>
    </row>
    <row r="3620" spans="1:17" x14ac:dyDescent="0.3">
      <c r="A3620" t="s">
        <v>17</v>
      </c>
      <c r="B3620" t="str">
        <f>"603555"</f>
        <v>603555</v>
      </c>
      <c r="C3620" t="s">
        <v>7286</v>
      </c>
      <c r="D3620" t="s">
        <v>130</v>
      </c>
      <c r="E3620">
        <v>-169629274</v>
      </c>
      <c r="F3620">
        <v>-12665698</v>
      </c>
      <c r="G3620">
        <v>-35684762</v>
      </c>
      <c r="H3620">
        <v>72479128</v>
      </c>
      <c r="I3620">
        <v>180569891</v>
      </c>
      <c r="J3620">
        <v>-110194860</v>
      </c>
      <c r="K3620">
        <v>-320399769</v>
      </c>
      <c r="L3620">
        <v>-321628676</v>
      </c>
      <c r="M3620">
        <v>-254143817</v>
      </c>
      <c r="N3620">
        <v>-197904865</v>
      </c>
      <c r="P3620">
        <v>81</v>
      </c>
      <c r="Q3620" t="s">
        <v>7287</v>
      </c>
    </row>
    <row r="3621" spans="1:17" x14ac:dyDescent="0.3">
      <c r="A3621" t="s">
        <v>17</v>
      </c>
      <c r="B3621" t="str">
        <f>"603938"</f>
        <v>603938</v>
      </c>
      <c r="C3621" t="s">
        <v>7288</v>
      </c>
      <c r="D3621" t="s">
        <v>144</v>
      </c>
      <c r="E3621">
        <v>-169639792</v>
      </c>
      <c r="F3621">
        <v>-96705705</v>
      </c>
      <c r="G3621">
        <v>37142740</v>
      </c>
      <c r="H3621">
        <v>-35940678</v>
      </c>
      <c r="I3621">
        <v>21312999</v>
      </c>
      <c r="J3621">
        <v>22774902</v>
      </c>
      <c r="K3621">
        <v>-7706388</v>
      </c>
      <c r="P3621">
        <v>103</v>
      </c>
      <c r="Q3621" t="s">
        <v>7289</v>
      </c>
    </row>
    <row r="3622" spans="1:17" x14ac:dyDescent="0.3">
      <c r="A3622" t="s">
        <v>32</v>
      </c>
      <c r="B3622" t="str">
        <f>"300792"</f>
        <v>300792</v>
      </c>
      <c r="C3622" t="s">
        <v>7290</v>
      </c>
      <c r="D3622" t="s">
        <v>218</v>
      </c>
      <c r="E3622">
        <v>-169642676</v>
      </c>
      <c r="F3622">
        <v>-47650100</v>
      </c>
      <c r="G3622">
        <v>29667504</v>
      </c>
      <c r="H3622">
        <v>-41195025</v>
      </c>
      <c r="P3622">
        <v>369</v>
      </c>
      <c r="Q3622" t="s">
        <v>7291</v>
      </c>
    </row>
    <row r="3623" spans="1:17" x14ac:dyDescent="0.3">
      <c r="A3623" t="s">
        <v>32</v>
      </c>
      <c r="B3623" t="str">
        <f>"000859"</f>
        <v>000859</v>
      </c>
      <c r="C3623" t="s">
        <v>7292</v>
      </c>
      <c r="D3623" t="s">
        <v>144</v>
      </c>
      <c r="E3623">
        <v>-169699327</v>
      </c>
      <c r="F3623">
        <v>36161711</v>
      </c>
      <c r="G3623">
        <v>53100228</v>
      </c>
      <c r="H3623">
        <v>-26818074</v>
      </c>
      <c r="I3623">
        <v>-48990408</v>
      </c>
      <c r="J3623">
        <v>124186627</v>
      </c>
      <c r="K3623">
        <v>-27720247</v>
      </c>
      <c r="L3623">
        <v>-23676291</v>
      </c>
      <c r="M3623">
        <v>4737761</v>
      </c>
      <c r="N3623">
        <v>-13134280</v>
      </c>
      <c r="O3623">
        <v>7192954</v>
      </c>
      <c r="P3623">
        <v>118</v>
      </c>
      <c r="Q3623" t="s">
        <v>7293</v>
      </c>
    </row>
    <row r="3624" spans="1:17" x14ac:dyDescent="0.3">
      <c r="A3624" t="s">
        <v>17</v>
      </c>
      <c r="B3624" t="str">
        <f>"601177"</f>
        <v>601177</v>
      </c>
      <c r="C3624" t="s">
        <v>7294</v>
      </c>
      <c r="D3624" t="s">
        <v>135</v>
      </c>
      <c r="E3624">
        <v>-169798710</v>
      </c>
      <c r="F3624">
        <v>-78607667</v>
      </c>
      <c r="G3624">
        <v>12117795</v>
      </c>
      <c r="H3624">
        <v>-44509818</v>
      </c>
      <c r="I3624">
        <v>-63386000</v>
      </c>
      <c r="J3624">
        <v>-95693657</v>
      </c>
      <c r="K3624">
        <v>-48674323</v>
      </c>
      <c r="L3624">
        <v>-75217084</v>
      </c>
      <c r="M3624">
        <v>8002113</v>
      </c>
      <c r="N3624">
        <v>-7984633</v>
      </c>
      <c r="O3624">
        <v>-151847294</v>
      </c>
      <c r="P3624">
        <v>74</v>
      </c>
      <c r="Q3624" t="s">
        <v>7295</v>
      </c>
    </row>
    <row r="3625" spans="1:17" x14ac:dyDescent="0.3">
      <c r="A3625" t="s">
        <v>32</v>
      </c>
      <c r="B3625" t="str">
        <f>"002625"</f>
        <v>002625</v>
      </c>
      <c r="C3625" t="s">
        <v>7296</v>
      </c>
      <c r="D3625" t="s">
        <v>188</v>
      </c>
      <c r="E3625">
        <v>-169855368</v>
      </c>
      <c r="F3625">
        <v>-76074498</v>
      </c>
      <c r="G3625">
        <v>-21590006</v>
      </c>
      <c r="H3625">
        <v>-45684068</v>
      </c>
      <c r="I3625">
        <v>-11730624</v>
      </c>
      <c r="J3625">
        <v>960679</v>
      </c>
      <c r="K3625">
        <v>2200389</v>
      </c>
      <c r="L3625">
        <v>1428057</v>
      </c>
      <c r="M3625">
        <v>-740382</v>
      </c>
      <c r="N3625">
        <v>-30554961</v>
      </c>
      <c r="O3625">
        <v>-13218748</v>
      </c>
      <c r="P3625">
        <v>259</v>
      </c>
      <c r="Q3625" t="s">
        <v>7297</v>
      </c>
    </row>
    <row r="3626" spans="1:17" x14ac:dyDescent="0.3">
      <c r="A3626" t="s">
        <v>32</v>
      </c>
      <c r="B3626" t="str">
        <f>"300224"</f>
        <v>300224</v>
      </c>
      <c r="C3626" t="s">
        <v>7298</v>
      </c>
      <c r="D3626" t="s">
        <v>121</v>
      </c>
      <c r="E3626">
        <v>-170054838</v>
      </c>
      <c r="F3626">
        <v>-19700246</v>
      </c>
      <c r="G3626">
        <v>77191588</v>
      </c>
      <c r="H3626">
        <v>-133604979</v>
      </c>
      <c r="I3626">
        <v>-40058213</v>
      </c>
      <c r="J3626">
        <v>98453062</v>
      </c>
      <c r="K3626">
        <v>-4174966</v>
      </c>
      <c r="L3626">
        <v>55612018</v>
      </c>
      <c r="M3626">
        <v>-54903323</v>
      </c>
      <c r="N3626">
        <v>-22230913</v>
      </c>
      <c r="O3626">
        <v>118057686</v>
      </c>
      <c r="P3626">
        <v>200</v>
      </c>
      <c r="Q3626" t="s">
        <v>7299</v>
      </c>
    </row>
    <row r="3627" spans="1:17" x14ac:dyDescent="0.3">
      <c r="A3627" t="s">
        <v>32</v>
      </c>
      <c r="B3627" t="str">
        <f>"300290"</f>
        <v>300290</v>
      </c>
      <c r="C3627" t="s">
        <v>7300</v>
      </c>
      <c r="D3627" t="s">
        <v>342</v>
      </c>
      <c r="E3627">
        <v>-170624201</v>
      </c>
      <c r="F3627">
        <v>-158691106</v>
      </c>
      <c r="G3627">
        <v>-143815865</v>
      </c>
      <c r="H3627">
        <v>-120619214</v>
      </c>
      <c r="I3627">
        <v>-47721646</v>
      </c>
      <c r="J3627">
        <v>-115051348</v>
      </c>
      <c r="K3627">
        <v>-74461577</v>
      </c>
      <c r="L3627">
        <v>-76554737</v>
      </c>
      <c r="M3627">
        <v>-37325879</v>
      </c>
      <c r="N3627">
        <v>-110662354</v>
      </c>
      <c r="O3627">
        <v>-75870302</v>
      </c>
      <c r="P3627">
        <v>113</v>
      </c>
      <c r="Q3627" t="s">
        <v>7301</v>
      </c>
    </row>
    <row r="3628" spans="1:17" x14ac:dyDescent="0.3">
      <c r="A3628" t="s">
        <v>32</v>
      </c>
      <c r="B3628" t="str">
        <f>"002036"</f>
        <v>002036</v>
      </c>
      <c r="C3628" t="s">
        <v>7302</v>
      </c>
      <c r="D3628" t="s">
        <v>124</v>
      </c>
      <c r="E3628">
        <v>-170972674</v>
      </c>
      <c r="F3628">
        <v>-346632455</v>
      </c>
      <c r="G3628">
        <v>-144052953</v>
      </c>
      <c r="H3628">
        <v>-88720784</v>
      </c>
      <c r="I3628">
        <v>-295685093</v>
      </c>
      <c r="J3628">
        <v>-230607458</v>
      </c>
      <c r="K3628">
        <v>-162064673</v>
      </c>
      <c r="L3628">
        <v>-654304</v>
      </c>
      <c r="M3628">
        <v>-10879450</v>
      </c>
      <c r="N3628">
        <v>-8062670</v>
      </c>
      <c r="O3628">
        <v>7050554</v>
      </c>
      <c r="P3628">
        <v>549</v>
      </c>
      <c r="Q3628" t="s">
        <v>7303</v>
      </c>
    </row>
    <row r="3629" spans="1:17" x14ac:dyDescent="0.3">
      <c r="A3629" t="s">
        <v>32</v>
      </c>
      <c r="B3629" t="str">
        <f>"300145"</f>
        <v>300145</v>
      </c>
      <c r="C3629" t="s">
        <v>7304</v>
      </c>
      <c r="D3629" t="s">
        <v>135</v>
      </c>
      <c r="E3629">
        <v>-171338015</v>
      </c>
      <c r="F3629">
        <v>-208741335</v>
      </c>
      <c r="G3629">
        <v>-198126058</v>
      </c>
      <c r="H3629">
        <v>-192589372</v>
      </c>
      <c r="I3629">
        <v>-84231344</v>
      </c>
      <c r="J3629">
        <v>-352677271</v>
      </c>
      <c r="K3629">
        <v>-132853870</v>
      </c>
      <c r="L3629">
        <v>-119756917</v>
      </c>
      <c r="M3629">
        <v>-89439268</v>
      </c>
      <c r="N3629">
        <v>-177341850</v>
      </c>
      <c r="O3629">
        <v>-93481831</v>
      </c>
      <c r="P3629">
        <v>281</v>
      </c>
      <c r="Q3629" t="s">
        <v>7305</v>
      </c>
    </row>
    <row r="3630" spans="1:17" x14ac:dyDescent="0.3">
      <c r="A3630" t="s">
        <v>17</v>
      </c>
      <c r="B3630" t="str">
        <f>"600227"</f>
        <v>600227</v>
      </c>
      <c r="C3630" t="s">
        <v>7306</v>
      </c>
      <c r="D3630" t="s">
        <v>98</v>
      </c>
      <c r="E3630">
        <v>-171703344</v>
      </c>
      <c r="F3630">
        <v>83770748</v>
      </c>
      <c r="G3630">
        <v>43269913</v>
      </c>
      <c r="H3630">
        <v>68309428</v>
      </c>
      <c r="I3630">
        <v>16103192</v>
      </c>
      <c r="J3630">
        <v>-94298625</v>
      </c>
      <c r="K3630">
        <v>289290637</v>
      </c>
      <c r="L3630">
        <v>76689310</v>
      </c>
      <c r="M3630">
        <v>-18483263</v>
      </c>
      <c r="N3630">
        <v>-199259595</v>
      </c>
      <c r="O3630">
        <v>-295452556</v>
      </c>
      <c r="P3630">
        <v>114</v>
      </c>
      <c r="Q3630" t="s">
        <v>7307</v>
      </c>
    </row>
    <row r="3631" spans="1:17" x14ac:dyDescent="0.3">
      <c r="A3631" t="s">
        <v>32</v>
      </c>
      <c r="B3631" t="str">
        <f>"300542"</f>
        <v>300542</v>
      </c>
      <c r="C3631" t="s">
        <v>7308</v>
      </c>
      <c r="D3631" t="s">
        <v>342</v>
      </c>
      <c r="E3631">
        <v>-171749244</v>
      </c>
      <c r="F3631">
        <v>-42914127</v>
      </c>
      <c r="G3631">
        <v>-44780592</v>
      </c>
      <c r="H3631">
        <v>-94824814</v>
      </c>
      <c r="I3631">
        <v>-134399058</v>
      </c>
      <c r="J3631">
        <v>-65023355</v>
      </c>
      <c r="K3631">
        <v>-74765478</v>
      </c>
      <c r="P3631">
        <v>143</v>
      </c>
      <c r="Q3631" t="s">
        <v>7309</v>
      </c>
    </row>
    <row r="3632" spans="1:17" x14ac:dyDescent="0.3">
      <c r="A3632" t="s">
        <v>32</v>
      </c>
      <c r="B3632" t="str">
        <f>"002479"</f>
        <v>002479</v>
      </c>
      <c r="C3632" t="s">
        <v>7310</v>
      </c>
      <c r="D3632" t="s">
        <v>158</v>
      </c>
      <c r="E3632">
        <v>-172089966</v>
      </c>
      <c r="F3632">
        <v>467360815</v>
      </c>
      <c r="G3632">
        <v>16650573</v>
      </c>
      <c r="H3632">
        <v>18440534</v>
      </c>
      <c r="I3632">
        <v>-76311623</v>
      </c>
      <c r="J3632">
        <v>-133057683</v>
      </c>
      <c r="K3632">
        <v>70542437</v>
      </c>
      <c r="L3632">
        <v>-107552548</v>
      </c>
      <c r="M3632">
        <v>25203604</v>
      </c>
      <c r="N3632">
        <v>29796097</v>
      </c>
      <c r="O3632">
        <v>47906476</v>
      </c>
      <c r="P3632">
        <v>158</v>
      </c>
      <c r="Q3632" t="s">
        <v>7311</v>
      </c>
    </row>
    <row r="3633" spans="1:17" x14ac:dyDescent="0.3">
      <c r="A3633" t="s">
        <v>17</v>
      </c>
      <c r="B3633" t="str">
        <f>"600648"</f>
        <v>600648</v>
      </c>
      <c r="C3633" t="s">
        <v>7312</v>
      </c>
      <c r="D3633" t="s">
        <v>151</v>
      </c>
      <c r="E3633">
        <v>-172113042</v>
      </c>
      <c r="F3633">
        <v>-1728085507</v>
      </c>
      <c r="G3633">
        <v>256270463</v>
      </c>
      <c r="H3633">
        <v>316456615</v>
      </c>
      <c r="I3633">
        <v>-718549035</v>
      </c>
      <c r="J3633">
        <v>-306924999</v>
      </c>
      <c r="K3633">
        <v>-68909519</v>
      </c>
      <c r="L3633">
        <v>-1265734473</v>
      </c>
      <c r="M3633">
        <v>-72207483</v>
      </c>
      <c r="N3633">
        <v>-396509623</v>
      </c>
      <c r="O3633">
        <v>-282076079</v>
      </c>
      <c r="P3633">
        <v>139</v>
      </c>
      <c r="Q3633" t="s">
        <v>7313</v>
      </c>
    </row>
    <row r="3634" spans="1:17" x14ac:dyDescent="0.3">
      <c r="A3634" t="s">
        <v>32</v>
      </c>
      <c r="B3634" t="str">
        <f>"002620"</f>
        <v>002620</v>
      </c>
      <c r="C3634" t="s">
        <v>7314</v>
      </c>
      <c r="D3634" t="s">
        <v>645</v>
      </c>
      <c r="E3634">
        <v>-172546935</v>
      </c>
      <c r="F3634">
        <v>-144995989</v>
      </c>
      <c r="G3634">
        <v>-177956470</v>
      </c>
      <c r="H3634">
        <v>-110480807</v>
      </c>
      <c r="I3634">
        <v>-141765210</v>
      </c>
      <c r="J3634">
        <v>-84226725</v>
      </c>
      <c r="K3634">
        <v>-46925101</v>
      </c>
      <c r="L3634">
        <v>-68674498</v>
      </c>
      <c r="M3634">
        <v>-49865372</v>
      </c>
      <c r="N3634">
        <v>-116042123</v>
      </c>
      <c r="O3634">
        <v>-66182832</v>
      </c>
      <c r="P3634">
        <v>90</v>
      </c>
      <c r="Q3634" t="s">
        <v>7315</v>
      </c>
    </row>
    <row r="3635" spans="1:17" x14ac:dyDescent="0.3">
      <c r="A3635" t="s">
        <v>17</v>
      </c>
      <c r="B3635" t="str">
        <f>"603000"</f>
        <v>603000</v>
      </c>
      <c r="C3635" t="s">
        <v>7316</v>
      </c>
      <c r="D3635" t="s">
        <v>245</v>
      </c>
      <c r="E3635">
        <v>-173201416</v>
      </c>
      <c r="F3635">
        <v>-181294704</v>
      </c>
      <c r="G3635">
        <v>-195039896</v>
      </c>
      <c r="H3635">
        <v>-198258512</v>
      </c>
      <c r="I3635">
        <v>-88184857</v>
      </c>
      <c r="J3635">
        <v>-106764128</v>
      </c>
      <c r="K3635">
        <v>-125174626</v>
      </c>
      <c r="L3635">
        <v>-212011772</v>
      </c>
      <c r="M3635">
        <v>-1761472</v>
      </c>
      <c r="N3635">
        <v>-53898656</v>
      </c>
      <c r="O3635">
        <v>-55090871</v>
      </c>
      <c r="P3635">
        <v>323</v>
      </c>
      <c r="Q3635" t="s">
        <v>7317</v>
      </c>
    </row>
    <row r="3636" spans="1:17" x14ac:dyDescent="0.3">
      <c r="A3636" t="s">
        <v>17</v>
      </c>
      <c r="B3636" t="str">
        <f>"600644"</f>
        <v>600644</v>
      </c>
      <c r="C3636" t="s">
        <v>7318</v>
      </c>
      <c r="D3636" t="s">
        <v>158</v>
      </c>
      <c r="E3636">
        <v>-173405308</v>
      </c>
      <c r="F3636">
        <v>-124333319</v>
      </c>
      <c r="G3636">
        <v>-185382360</v>
      </c>
      <c r="H3636">
        <v>-143453526</v>
      </c>
      <c r="I3636">
        <v>-188332712</v>
      </c>
      <c r="J3636">
        <v>-133299694</v>
      </c>
      <c r="K3636">
        <v>-26299708</v>
      </c>
      <c r="L3636">
        <v>-79005406</v>
      </c>
      <c r="M3636">
        <v>-12685084</v>
      </c>
      <c r="N3636">
        <v>18176459</v>
      </c>
      <c r="O3636">
        <v>39302798</v>
      </c>
      <c r="P3636">
        <v>81</v>
      </c>
      <c r="Q3636" t="s">
        <v>7319</v>
      </c>
    </row>
    <row r="3637" spans="1:17" x14ac:dyDescent="0.3">
      <c r="A3637" t="s">
        <v>17</v>
      </c>
      <c r="B3637" t="str">
        <f>"600804"</f>
        <v>600804</v>
      </c>
      <c r="C3637" t="s">
        <v>7320</v>
      </c>
      <c r="D3637" t="s">
        <v>57</v>
      </c>
      <c r="E3637">
        <v>-173613004</v>
      </c>
      <c r="F3637">
        <v>245459022</v>
      </c>
      <c r="G3637">
        <v>148163629</v>
      </c>
      <c r="H3637">
        <v>-575242790</v>
      </c>
      <c r="I3637">
        <v>-368072554</v>
      </c>
      <c r="J3637">
        <v>120588624</v>
      </c>
      <c r="K3637">
        <v>-32192705</v>
      </c>
      <c r="L3637">
        <v>25208645</v>
      </c>
      <c r="M3637">
        <v>53410197</v>
      </c>
      <c r="N3637">
        <v>-146625344</v>
      </c>
      <c r="O3637">
        <v>-458410787</v>
      </c>
      <c r="P3637">
        <v>459</v>
      </c>
      <c r="Q3637" t="s">
        <v>7321</v>
      </c>
    </row>
    <row r="3638" spans="1:17" x14ac:dyDescent="0.3">
      <c r="A3638" t="s">
        <v>17</v>
      </c>
      <c r="B3638" t="str">
        <f>"600936"</f>
        <v>600936</v>
      </c>
      <c r="C3638" t="s">
        <v>7322</v>
      </c>
      <c r="D3638" t="s">
        <v>245</v>
      </c>
      <c r="E3638">
        <v>-174202647</v>
      </c>
      <c r="F3638">
        <v>-406843807</v>
      </c>
      <c r="G3638">
        <v>-245269102</v>
      </c>
      <c r="H3638">
        <v>-333118800</v>
      </c>
      <c r="I3638">
        <v>-351548187</v>
      </c>
      <c r="J3638">
        <v>-363342518</v>
      </c>
      <c r="K3638">
        <v>-218996651</v>
      </c>
      <c r="L3638">
        <v>-64607248</v>
      </c>
      <c r="P3638">
        <v>80</v>
      </c>
      <c r="Q3638" t="s">
        <v>7323</v>
      </c>
    </row>
    <row r="3639" spans="1:17" x14ac:dyDescent="0.3">
      <c r="A3639" t="s">
        <v>17</v>
      </c>
      <c r="B3639" t="str">
        <f>"603639"</f>
        <v>603639</v>
      </c>
      <c r="C3639" t="s">
        <v>7324</v>
      </c>
      <c r="D3639" t="s">
        <v>144</v>
      </c>
      <c r="E3639">
        <v>-174365216</v>
      </c>
      <c r="F3639">
        <v>-79254897</v>
      </c>
      <c r="G3639">
        <v>-176030199</v>
      </c>
      <c r="H3639">
        <v>-84222624</v>
      </c>
      <c r="I3639">
        <v>-82506764</v>
      </c>
      <c r="J3639">
        <v>-117095316</v>
      </c>
      <c r="K3639">
        <v>-8349432</v>
      </c>
      <c r="P3639">
        <v>1570</v>
      </c>
      <c r="Q3639" t="s">
        <v>7325</v>
      </c>
    </row>
    <row r="3640" spans="1:17" x14ac:dyDescent="0.3">
      <c r="A3640" t="s">
        <v>32</v>
      </c>
      <c r="B3640" t="str">
        <f>"000838"</f>
        <v>000838</v>
      </c>
      <c r="C3640" t="s">
        <v>7326</v>
      </c>
      <c r="D3640" t="s">
        <v>151</v>
      </c>
      <c r="E3640">
        <v>-174785260</v>
      </c>
      <c r="F3640">
        <v>548004655</v>
      </c>
      <c r="G3640">
        <v>-306598014</v>
      </c>
      <c r="H3640">
        <v>-526790283</v>
      </c>
      <c r="I3640">
        <v>210365643</v>
      </c>
      <c r="J3640">
        <v>-223844847</v>
      </c>
      <c r="K3640">
        <v>-117653038</v>
      </c>
      <c r="L3640">
        <v>-6930522</v>
      </c>
      <c r="M3640">
        <v>-91596200</v>
      </c>
      <c r="N3640">
        <v>46049998</v>
      </c>
      <c r="O3640">
        <v>39328351</v>
      </c>
      <c r="P3640">
        <v>98</v>
      </c>
      <c r="Q3640" t="s">
        <v>7327</v>
      </c>
    </row>
    <row r="3641" spans="1:17" x14ac:dyDescent="0.3">
      <c r="A3641" t="s">
        <v>17</v>
      </c>
      <c r="B3641" t="str">
        <f>"603809"</f>
        <v>603809</v>
      </c>
      <c r="C3641" t="s">
        <v>7328</v>
      </c>
      <c r="D3641" t="s">
        <v>199</v>
      </c>
      <c r="E3641">
        <v>-174886315</v>
      </c>
      <c r="F3641">
        <v>-14353258</v>
      </c>
      <c r="G3641">
        <v>-10261461</v>
      </c>
      <c r="H3641">
        <v>-159492588</v>
      </c>
      <c r="I3641">
        <v>-60617446</v>
      </c>
      <c r="J3641">
        <v>-48984038</v>
      </c>
      <c r="P3641">
        <v>138</v>
      </c>
      <c r="Q3641" t="s">
        <v>7329</v>
      </c>
    </row>
    <row r="3642" spans="1:17" x14ac:dyDescent="0.3">
      <c r="A3642" t="s">
        <v>32</v>
      </c>
      <c r="B3642" t="str">
        <f>"002389"</f>
        <v>002389</v>
      </c>
      <c r="C3642" t="s">
        <v>7330</v>
      </c>
      <c r="D3642" t="s">
        <v>188</v>
      </c>
      <c r="E3642">
        <v>-174977638</v>
      </c>
      <c r="F3642">
        <v>94381473</v>
      </c>
      <c r="G3642">
        <v>-103483856</v>
      </c>
      <c r="H3642">
        <v>-285981393</v>
      </c>
      <c r="I3642">
        <v>-121098611</v>
      </c>
      <c r="J3642">
        <v>-124292964</v>
      </c>
      <c r="K3642">
        <v>-57342968</v>
      </c>
      <c r="L3642">
        <v>-85017018</v>
      </c>
      <c r="M3642">
        <v>-97207810</v>
      </c>
      <c r="N3642">
        <v>-99506471</v>
      </c>
      <c r="O3642">
        <v>-62300247</v>
      </c>
      <c r="P3642">
        <v>435</v>
      </c>
      <c r="Q3642" t="s">
        <v>7331</v>
      </c>
    </row>
    <row r="3643" spans="1:17" x14ac:dyDescent="0.3">
      <c r="A3643" t="s">
        <v>17</v>
      </c>
      <c r="B3643" t="str">
        <f>"603836"</f>
        <v>603836</v>
      </c>
      <c r="C3643" t="s">
        <v>7332</v>
      </c>
      <c r="D3643" t="s">
        <v>46</v>
      </c>
      <c r="E3643">
        <v>-174994223</v>
      </c>
      <c r="F3643">
        <v>-61667244</v>
      </c>
      <c r="G3643">
        <v>-5197361</v>
      </c>
      <c r="P3643">
        <v>29</v>
      </c>
      <c r="Q3643" t="s">
        <v>7333</v>
      </c>
    </row>
    <row r="3644" spans="1:17" x14ac:dyDescent="0.3">
      <c r="A3644" t="s">
        <v>17</v>
      </c>
      <c r="B3644" t="str">
        <f>"605166"</f>
        <v>605166</v>
      </c>
      <c r="C3644" t="s">
        <v>7334</v>
      </c>
      <c r="D3644" t="s">
        <v>144</v>
      </c>
      <c r="E3644">
        <v>-175274590</v>
      </c>
      <c r="F3644">
        <v>-88604084</v>
      </c>
      <c r="G3644">
        <v>-3343539</v>
      </c>
      <c r="H3644">
        <v>-70070668</v>
      </c>
      <c r="P3644">
        <v>70</v>
      </c>
      <c r="Q3644" t="s">
        <v>7335</v>
      </c>
    </row>
    <row r="3645" spans="1:17" x14ac:dyDescent="0.3">
      <c r="A3645" t="s">
        <v>32</v>
      </c>
      <c r="B3645" t="str">
        <f>"002096"</f>
        <v>002096</v>
      </c>
      <c r="C3645" t="s">
        <v>7336</v>
      </c>
      <c r="D3645" t="s">
        <v>144</v>
      </c>
      <c r="E3645">
        <v>-175419133</v>
      </c>
      <c r="F3645">
        <v>-87943375</v>
      </c>
      <c r="G3645">
        <v>-2155576</v>
      </c>
      <c r="H3645">
        <v>-126605703</v>
      </c>
      <c r="I3645">
        <v>-180080184</v>
      </c>
      <c r="J3645">
        <v>-351574035</v>
      </c>
      <c r="K3645">
        <v>-344378891</v>
      </c>
      <c r="L3645">
        <v>-144056354</v>
      </c>
      <c r="M3645">
        <v>-84809093</v>
      </c>
      <c r="N3645">
        <v>-173117023</v>
      </c>
      <c r="O3645">
        <v>-13282101</v>
      </c>
      <c r="P3645">
        <v>79</v>
      </c>
      <c r="Q3645" t="s">
        <v>7337</v>
      </c>
    </row>
    <row r="3646" spans="1:17" x14ac:dyDescent="0.3">
      <c r="A3646" t="s">
        <v>17</v>
      </c>
      <c r="B3646" t="str">
        <f>"600382"</f>
        <v>600382</v>
      </c>
      <c r="C3646" t="s">
        <v>7338</v>
      </c>
      <c r="D3646" t="s">
        <v>345</v>
      </c>
      <c r="E3646">
        <v>-175890779</v>
      </c>
      <c r="F3646">
        <v>-281578311</v>
      </c>
      <c r="G3646">
        <v>17139119</v>
      </c>
      <c r="H3646">
        <v>-1897870</v>
      </c>
      <c r="I3646">
        <v>-243788867</v>
      </c>
      <c r="J3646">
        <v>-1184241679</v>
      </c>
      <c r="K3646">
        <v>-150961543</v>
      </c>
      <c r="L3646">
        <v>-684279448</v>
      </c>
      <c r="M3646">
        <v>-48232776</v>
      </c>
      <c r="N3646">
        <v>8249532</v>
      </c>
      <c r="O3646">
        <v>-91760228</v>
      </c>
      <c r="P3646">
        <v>156</v>
      </c>
      <c r="Q3646" t="s">
        <v>7339</v>
      </c>
    </row>
    <row r="3647" spans="1:17" x14ac:dyDescent="0.3">
      <c r="A3647" t="s">
        <v>17</v>
      </c>
      <c r="B3647" t="str">
        <f>"688192"</f>
        <v>688192</v>
      </c>
      <c r="C3647" t="s">
        <v>7340</v>
      </c>
      <c r="D3647" t="s">
        <v>98</v>
      </c>
      <c r="E3647">
        <v>-176461705</v>
      </c>
      <c r="P3647">
        <v>11</v>
      </c>
      <c r="Q3647" t="s">
        <v>7341</v>
      </c>
    </row>
    <row r="3648" spans="1:17" x14ac:dyDescent="0.3">
      <c r="A3648" t="s">
        <v>32</v>
      </c>
      <c r="B3648" t="str">
        <f>"002824"</f>
        <v>002824</v>
      </c>
      <c r="C3648" t="s">
        <v>7342</v>
      </c>
      <c r="D3648" t="s">
        <v>121</v>
      </c>
      <c r="E3648">
        <v>-176883765</v>
      </c>
      <c r="F3648">
        <v>-4337525</v>
      </c>
      <c r="G3648">
        <v>53812225</v>
      </c>
      <c r="H3648">
        <v>13500429</v>
      </c>
      <c r="I3648">
        <v>-4396488</v>
      </c>
      <c r="J3648">
        <v>-138394</v>
      </c>
      <c r="K3648">
        <v>-16959202</v>
      </c>
      <c r="P3648">
        <v>168</v>
      </c>
      <c r="Q3648" t="s">
        <v>7343</v>
      </c>
    </row>
    <row r="3649" spans="1:17" x14ac:dyDescent="0.3">
      <c r="A3649" t="s">
        <v>32</v>
      </c>
      <c r="B3649" t="str">
        <f>"002414"</f>
        <v>002414</v>
      </c>
      <c r="C3649" t="s">
        <v>7344</v>
      </c>
      <c r="D3649" t="s">
        <v>188</v>
      </c>
      <c r="E3649">
        <v>-177110459</v>
      </c>
      <c r="F3649">
        <v>225035782</v>
      </c>
      <c r="G3649">
        <v>199654058</v>
      </c>
      <c r="H3649">
        <v>192507250</v>
      </c>
      <c r="I3649">
        <v>-116242492</v>
      </c>
      <c r="J3649">
        <v>-133013798</v>
      </c>
      <c r="K3649">
        <v>-140968513</v>
      </c>
      <c r="L3649">
        <v>-111813224</v>
      </c>
      <c r="M3649">
        <v>-184893845</v>
      </c>
      <c r="N3649">
        <v>-161985627</v>
      </c>
      <c r="O3649">
        <v>-98197990</v>
      </c>
      <c r="P3649">
        <v>790</v>
      </c>
      <c r="Q3649" t="s">
        <v>7345</v>
      </c>
    </row>
    <row r="3650" spans="1:17" x14ac:dyDescent="0.3">
      <c r="A3650" t="s">
        <v>32</v>
      </c>
      <c r="B3650" t="str">
        <f>"300645"</f>
        <v>300645</v>
      </c>
      <c r="C3650" t="s">
        <v>7346</v>
      </c>
      <c r="D3650" t="s">
        <v>342</v>
      </c>
      <c r="E3650">
        <v>-177284667</v>
      </c>
      <c r="F3650">
        <v>-143880455</v>
      </c>
      <c r="G3650">
        <v>-152678837</v>
      </c>
      <c r="H3650">
        <v>-144827223</v>
      </c>
      <c r="I3650">
        <v>-84398443</v>
      </c>
      <c r="J3650">
        <v>-80629436</v>
      </c>
      <c r="K3650">
        <v>-73215842</v>
      </c>
      <c r="P3650">
        <v>111</v>
      </c>
      <c r="Q3650" t="s">
        <v>7347</v>
      </c>
    </row>
    <row r="3651" spans="1:17" x14ac:dyDescent="0.3">
      <c r="A3651" t="s">
        <v>17</v>
      </c>
      <c r="B3651" t="str">
        <f>"600903"</f>
        <v>600903</v>
      </c>
      <c r="C3651" t="s">
        <v>7348</v>
      </c>
      <c r="D3651" t="s">
        <v>158</v>
      </c>
      <c r="E3651">
        <v>-177348614</v>
      </c>
      <c r="F3651">
        <v>-226347577</v>
      </c>
      <c r="G3651">
        <v>-184663567</v>
      </c>
      <c r="H3651">
        <v>-109135710</v>
      </c>
      <c r="I3651">
        <v>-152563560</v>
      </c>
      <c r="J3651">
        <v>-52675569</v>
      </c>
      <c r="P3651">
        <v>186</v>
      </c>
      <c r="Q3651" t="s">
        <v>7349</v>
      </c>
    </row>
    <row r="3652" spans="1:17" x14ac:dyDescent="0.3">
      <c r="A3652" t="s">
        <v>17</v>
      </c>
      <c r="B3652" t="str">
        <f>"603213"</f>
        <v>603213</v>
      </c>
      <c r="C3652" t="s">
        <v>7350</v>
      </c>
      <c r="D3652" t="s">
        <v>144</v>
      </c>
      <c r="E3652">
        <v>-177493507</v>
      </c>
      <c r="G3652">
        <v>9762426</v>
      </c>
      <c r="P3652">
        <v>32</v>
      </c>
      <c r="Q3652" t="s">
        <v>7351</v>
      </c>
    </row>
    <row r="3653" spans="1:17" x14ac:dyDescent="0.3">
      <c r="A3653" t="s">
        <v>17</v>
      </c>
      <c r="B3653" t="str">
        <f>"603191"</f>
        <v>603191</v>
      </c>
      <c r="C3653" t="s">
        <v>7352</v>
      </c>
      <c r="E3653">
        <v>-177558687</v>
      </c>
      <c r="P3653">
        <v>5</v>
      </c>
      <c r="Q3653" t="s">
        <v>7353</v>
      </c>
    </row>
    <row r="3654" spans="1:17" x14ac:dyDescent="0.3">
      <c r="A3654" t="s">
        <v>17</v>
      </c>
      <c r="B3654" t="str">
        <f>"688082"</f>
        <v>688082</v>
      </c>
      <c r="C3654" t="s">
        <v>7354</v>
      </c>
      <c r="D3654" t="s">
        <v>124</v>
      </c>
      <c r="E3654">
        <v>-178231145</v>
      </c>
      <c r="P3654">
        <v>35</v>
      </c>
      <c r="Q3654" t="s">
        <v>7355</v>
      </c>
    </row>
    <row r="3655" spans="1:17" x14ac:dyDescent="0.3">
      <c r="A3655" t="s">
        <v>32</v>
      </c>
      <c r="B3655" t="str">
        <f>"300532"</f>
        <v>300532</v>
      </c>
      <c r="C3655" t="s">
        <v>7356</v>
      </c>
      <c r="D3655" t="s">
        <v>342</v>
      </c>
      <c r="E3655">
        <v>-178241812</v>
      </c>
      <c r="F3655">
        <v>-202957139</v>
      </c>
      <c r="G3655">
        <v>-81971781</v>
      </c>
      <c r="H3655">
        <v>-10681428</v>
      </c>
      <c r="I3655">
        <v>-101239794</v>
      </c>
      <c r="J3655">
        <v>-46982211</v>
      </c>
      <c r="K3655">
        <v>-23104665</v>
      </c>
      <c r="P3655">
        <v>221</v>
      </c>
      <c r="Q3655" t="s">
        <v>7357</v>
      </c>
    </row>
    <row r="3656" spans="1:17" x14ac:dyDescent="0.3">
      <c r="A3656" t="s">
        <v>32</v>
      </c>
      <c r="B3656" t="str">
        <f>"200468"</f>
        <v>200468</v>
      </c>
      <c r="C3656" t="s">
        <v>7358</v>
      </c>
      <c r="E3656">
        <v>-178451145.06600001</v>
      </c>
      <c r="F3656">
        <v>-100618059.64650001</v>
      </c>
      <c r="G3656">
        <v>-24778067.050799999</v>
      </c>
      <c r="H3656">
        <v>-234835899.96689999</v>
      </c>
      <c r="I3656">
        <v>-231379182.167</v>
      </c>
      <c r="J3656">
        <v>-226690779.5314</v>
      </c>
      <c r="K3656">
        <v>-217536373.77810001</v>
      </c>
      <c r="L3656">
        <v>-240252488.75</v>
      </c>
      <c r="M3656">
        <v>-118235161.2788</v>
      </c>
      <c r="N3656">
        <v>-171448420.11300001</v>
      </c>
      <c r="O3656">
        <v>-149288318.29800001</v>
      </c>
      <c r="P3656">
        <v>4</v>
      </c>
      <c r="Q3656" t="s">
        <v>7359</v>
      </c>
    </row>
    <row r="3657" spans="1:17" x14ac:dyDescent="0.3">
      <c r="A3657" t="s">
        <v>17</v>
      </c>
      <c r="B3657" t="str">
        <f>"605388"</f>
        <v>605388</v>
      </c>
      <c r="C3657" t="s">
        <v>7360</v>
      </c>
      <c r="D3657" t="s">
        <v>172</v>
      </c>
      <c r="E3657">
        <v>-178465901</v>
      </c>
      <c r="F3657">
        <v>-95820875</v>
      </c>
      <c r="G3657">
        <v>-111601241</v>
      </c>
      <c r="P3657">
        <v>103</v>
      </c>
      <c r="Q3657" t="s">
        <v>7361</v>
      </c>
    </row>
    <row r="3658" spans="1:17" x14ac:dyDescent="0.3">
      <c r="A3658" t="s">
        <v>17</v>
      </c>
      <c r="B3658" t="str">
        <f>"603826"</f>
        <v>603826</v>
      </c>
      <c r="C3658" t="s">
        <v>7362</v>
      </c>
      <c r="D3658" t="s">
        <v>144</v>
      </c>
      <c r="E3658">
        <v>-178548039</v>
      </c>
      <c r="F3658">
        <v>-118963072</v>
      </c>
      <c r="G3658">
        <v>-79657321</v>
      </c>
      <c r="H3658">
        <v>-120180718</v>
      </c>
      <c r="I3658">
        <v>-16925680</v>
      </c>
      <c r="J3658">
        <v>-17481952</v>
      </c>
      <c r="K3658">
        <v>-51208691</v>
      </c>
      <c r="P3658">
        <v>265</v>
      </c>
      <c r="Q3658" t="s">
        <v>7363</v>
      </c>
    </row>
    <row r="3659" spans="1:17" x14ac:dyDescent="0.3">
      <c r="A3659" t="s">
        <v>17</v>
      </c>
      <c r="B3659" t="str">
        <f>"600459"</f>
        <v>600459</v>
      </c>
      <c r="C3659" t="s">
        <v>7364</v>
      </c>
      <c r="D3659" t="s">
        <v>121</v>
      </c>
      <c r="E3659">
        <v>-178687665</v>
      </c>
      <c r="F3659">
        <v>-1018872209</v>
      </c>
      <c r="G3659">
        <v>268053820</v>
      </c>
      <c r="H3659">
        <v>-858569142</v>
      </c>
      <c r="I3659">
        <v>-223269705</v>
      </c>
      <c r="J3659">
        <v>-586012344</v>
      </c>
      <c r="K3659">
        <v>-29291898</v>
      </c>
      <c r="L3659">
        <v>-239802000</v>
      </c>
      <c r="M3659">
        <v>-232893674</v>
      </c>
      <c r="N3659">
        <v>-186438622</v>
      </c>
      <c r="O3659">
        <v>-93160669</v>
      </c>
      <c r="P3659">
        <v>308</v>
      </c>
      <c r="Q3659" t="s">
        <v>7365</v>
      </c>
    </row>
    <row r="3660" spans="1:17" x14ac:dyDescent="0.3">
      <c r="A3660" t="s">
        <v>32</v>
      </c>
      <c r="B3660" t="str">
        <f>"300572"</f>
        <v>300572</v>
      </c>
      <c r="C3660" t="s">
        <v>7366</v>
      </c>
      <c r="D3660" t="s">
        <v>497</v>
      </c>
      <c r="E3660">
        <v>-179345565</v>
      </c>
      <c r="F3660">
        <v>-57147857</v>
      </c>
      <c r="G3660">
        <v>-188876833</v>
      </c>
      <c r="H3660">
        <v>66858829</v>
      </c>
      <c r="I3660">
        <v>-28413446</v>
      </c>
      <c r="J3660">
        <v>19536466</v>
      </c>
      <c r="K3660">
        <v>-22111033</v>
      </c>
      <c r="P3660">
        <v>466</v>
      </c>
      <c r="Q3660" t="s">
        <v>7367</v>
      </c>
    </row>
    <row r="3661" spans="1:17" x14ac:dyDescent="0.3">
      <c r="A3661" t="s">
        <v>32</v>
      </c>
      <c r="B3661" t="str">
        <f>"002902"</f>
        <v>002902</v>
      </c>
      <c r="C3661" t="s">
        <v>7368</v>
      </c>
      <c r="D3661" t="s">
        <v>57</v>
      </c>
      <c r="E3661">
        <v>-179397522</v>
      </c>
      <c r="F3661">
        <v>-100709969</v>
      </c>
      <c r="G3661">
        <v>56920122</v>
      </c>
      <c r="H3661">
        <v>41581232</v>
      </c>
      <c r="I3661">
        <v>-44342731</v>
      </c>
      <c r="J3661">
        <v>-42925126</v>
      </c>
      <c r="P3661">
        <v>216</v>
      </c>
      <c r="Q3661" t="s">
        <v>7369</v>
      </c>
    </row>
    <row r="3662" spans="1:17" x14ac:dyDescent="0.3">
      <c r="A3662" t="s">
        <v>17</v>
      </c>
      <c r="B3662" t="str">
        <f>"603060"</f>
        <v>603060</v>
      </c>
      <c r="C3662" t="s">
        <v>7370</v>
      </c>
      <c r="D3662" t="s">
        <v>497</v>
      </c>
      <c r="E3662">
        <v>-179882310</v>
      </c>
      <c r="F3662">
        <v>-85703362</v>
      </c>
      <c r="G3662">
        <v>-63903091</v>
      </c>
      <c r="H3662">
        <v>-38884848</v>
      </c>
      <c r="I3662">
        <v>-27785080</v>
      </c>
      <c r="J3662">
        <v>1740622</v>
      </c>
      <c r="K3662">
        <v>-11765193</v>
      </c>
      <c r="P3662">
        <v>508</v>
      </c>
      <c r="Q3662" t="s">
        <v>7371</v>
      </c>
    </row>
    <row r="3663" spans="1:17" x14ac:dyDescent="0.3">
      <c r="A3663" t="s">
        <v>17</v>
      </c>
      <c r="B3663" t="str">
        <f>"603727"</f>
        <v>603727</v>
      </c>
      <c r="C3663" t="s">
        <v>7372</v>
      </c>
      <c r="D3663" t="s">
        <v>64</v>
      </c>
      <c r="E3663">
        <v>-179969693</v>
      </c>
      <c r="F3663">
        <v>67277426</v>
      </c>
      <c r="G3663">
        <v>42040497</v>
      </c>
      <c r="H3663">
        <v>59779537</v>
      </c>
      <c r="I3663">
        <v>-54167785</v>
      </c>
      <c r="J3663">
        <v>100623054</v>
      </c>
      <c r="K3663">
        <v>6395300</v>
      </c>
      <c r="P3663">
        <v>123</v>
      </c>
      <c r="Q3663" t="s">
        <v>7373</v>
      </c>
    </row>
    <row r="3664" spans="1:17" x14ac:dyDescent="0.3">
      <c r="A3664" t="s">
        <v>17</v>
      </c>
      <c r="B3664" t="str">
        <f>"603169"</f>
        <v>603169</v>
      </c>
      <c r="C3664" t="s">
        <v>7374</v>
      </c>
      <c r="D3664" t="s">
        <v>135</v>
      </c>
      <c r="E3664">
        <v>-180010357</v>
      </c>
      <c r="F3664">
        <v>-11389289</v>
      </c>
      <c r="G3664">
        <v>305674625</v>
      </c>
      <c r="H3664">
        <v>92302466</v>
      </c>
      <c r="I3664">
        <v>-258610997</v>
      </c>
      <c r="J3664">
        <v>-293406229</v>
      </c>
      <c r="K3664">
        <v>-463238019</v>
      </c>
      <c r="L3664">
        <v>-374164228</v>
      </c>
      <c r="M3664">
        <v>-301962917</v>
      </c>
      <c r="P3664">
        <v>81</v>
      </c>
      <c r="Q3664" t="s">
        <v>7375</v>
      </c>
    </row>
    <row r="3665" spans="1:17" x14ac:dyDescent="0.3">
      <c r="A3665" t="s">
        <v>32</v>
      </c>
      <c r="B3665" t="str">
        <f>"000407"</f>
        <v>000407</v>
      </c>
      <c r="C3665" t="s">
        <v>7376</v>
      </c>
      <c r="D3665" t="s">
        <v>158</v>
      </c>
      <c r="E3665">
        <v>-180042641</v>
      </c>
      <c r="F3665">
        <v>-152236770</v>
      </c>
      <c r="G3665">
        <v>-252304739</v>
      </c>
      <c r="H3665">
        <v>12549871</v>
      </c>
      <c r="I3665">
        <v>-173089956</v>
      </c>
      <c r="J3665">
        <v>-32484711</v>
      </c>
      <c r="K3665">
        <v>-91715781</v>
      </c>
      <c r="L3665">
        <v>-93464799</v>
      </c>
      <c r="M3665">
        <v>-195442196</v>
      </c>
      <c r="N3665">
        <v>-105862338</v>
      </c>
      <c r="O3665">
        <v>-111652526</v>
      </c>
      <c r="P3665">
        <v>113</v>
      </c>
      <c r="Q3665" t="s">
        <v>7377</v>
      </c>
    </row>
    <row r="3666" spans="1:17" x14ac:dyDescent="0.3">
      <c r="A3666" t="s">
        <v>32</v>
      </c>
      <c r="B3666" t="str">
        <f>"000546"</f>
        <v>000546</v>
      </c>
      <c r="C3666" t="s">
        <v>7378</v>
      </c>
      <c r="D3666" t="s">
        <v>400</v>
      </c>
      <c r="E3666">
        <v>-180096520</v>
      </c>
      <c r="F3666">
        <v>47873464</v>
      </c>
      <c r="G3666">
        <v>-135137971</v>
      </c>
      <c r="H3666">
        <v>77159639</v>
      </c>
      <c r="I3666">
        <v>-150388719</v>
      </c>
      <c r="J3666">
        <v>-121835061</v>
      </c>
      <c r="K3666">
        <v>-192109410</v>
      </c>
      <c r="L3666">
        <v>-43075817</v>
      </c>
      <c r="M3666">
        <v>10532435</v>
      </c>
      <c r="N3666">
        <v>-31070199</v>
      </c>
      <c r="O3666">
        <v>-7979136</v>
      </c>
      <c r="P3666">
        <v>181</v>
      </c>
      <c r="Q3666" t="s">
        <v>7379</v>
      </c>
    </row>
    <row r="3667" spans="1:17" x14ac:dyDescent="0.3">
      <c r="A3667" t="s">
        <v>32</v>
      </c>
      <c r="B3667" t="str">
        <f>"002208"</f>
        <v>002208</v>
      </c>
      <c r="C3667" t="s">
        <v>7380</v>
      </c>
      <c r="D3667" t="s">
        <v>151</v>
      </c>
      <c r="E3667">
        <v>-180477232</v>
      </c>
      <c r="F3667">
        <v>1743239487</v>
      </c>
      <c r="G3667">
        <v>-833014151</v>
      </c>
      <c r="H3667">
        <v>631811087</v>
      </c>
      <c r="I3667">
        <v>-1205585778</v>
      </c>
      <c r="J3667">
        <v>-1448458040</v>
      </c>
      <c r="K3667">
        <v>316408757</v>
      </c>
      <c r="L3667">
        <v>-352611503</v>
      </c>
      <c r="M3667">
        <v>-106832145</v>
      </c>
      <c r="N3667">
        <v>216737987</v>
      </c>
      <c r="O3667">
        <v>-112990567</v>
      </c>
      <c r="P3667">
        <v>198</v>
      </c>
      <c r="Q3667" t="s">
        <v>7381</v>
      </c>
    </row>
    <row r="3668" spans="1:17" x14ac:dyDescent="0.3">
      <c r="A3668" t="s">
        <v>32</v>
      </c>
      <c r="B3668" t="str">
        <f>"300077"</f>
        <v>300077</v>
      </c>
      <c r="C3668" t="s">
        <v>7382</v>
      </c>
      <c r="D3668" t="s">
        <v>124</v>
      </c>
      <c r="E3668">
        <v>-180654032</v>
      </c>
      <c r="F3668">
        <v>-113394108</v>
      </c>
      <c r="G3668">
        <v>-51634649</v>
      </c>
      <c r="H3668">
        <v>-28414993</v>
      </c>
      <c r="I3668">
        <v>-103217084</v>
      </c>
      <c r="J3668">
        <v>-36571392</v>
      </c>
      <c r="K3668">
        <v>-112906336</v>
      </c>
      <c r="L3668">
        <v>-36853278</v>
      </c>
      <c r="M3668">
        <v>-47768293</v>
      </c>
      <c r="N3668">
        <v>-42681947</v>
      </c>
      <c r="O3668">
        <v>-89368721</v>
      </c>
      <c r="P3668">
        <v>3150</v>
      </c>
      <c r="Q3668" t="s">
        <v>7383</v>
      </c>
    </row>
    <row r="3669" spans="1:17" x14ac:dyDescent="0.3">
      <c r="A3669" t="s">
        <v>17</v>
      </c>
      <c r="B3669" t="str">
        <f>"605050"</f>
        <v>605050</v>
      </c>
      <c r="C3669" t="s">
        <v>7384</v>
      </c>
      <c r="D3669" t="s">
        <v>46</v>
      </c>
      <c r="E3669">
        <v>-180943131</v>
      </c>
      <c r="F3669">
        <v>-335565380</v>
      </c>
      <c r="G3669">
        <v>-376445502</v>
      </c>
      <c r="P3669">
        <v>37</v>
      </c>
      <c r="Q3669" t="s">
        <v>7385</v>
      </c>
    </row>
    <row r="3670" spans="1:17" x14ac:dyDescent="0.3">
      <c r="A3670" t="s">
        <v>32</v>
      </c>
      <c r="B3670" t="str">
        <f>"002020"</f>
        <v>002020</v>
      </c>
      <c r="C3670" t="s">
        <v>7386</v>
      </c>
      <c r="D3670" t="s">
        <v>98</v>
      </c>
      <c r="E3670">
        <v>-181025587</v>
      </c>
      <c r="F3670">
        <v>39313714</v>
      </c>
      <c r="G3670">
        <v>85878773</v>
      </c>
      <c r="H3670">
        <v>37296355</v>
      </c>
      <c r="I3670">
        <v>25128206</v>
      </c>
      <c r="J3670">
        <v>46145716</v>
      </c>
      <c r="K3670">
        <v>98521160</v>
      </c>
      <c r="L3670">
        <v>85472480</v>
      </c>
      <c r="M3670">
        <v>49165071</v>
      </c>
      <c r="N3670">
        <v>-20762304</v>
      </c>
      <c r="O3670">
        <v>-2157613</v>
      </c>
      <c r="P3670">
        <v>619</v>
      </c>
      <c r="Q3670" t="s">
        <v>7387</v>
      </c>
    </row>
    <row r="3671" spans="1:17" x14ac:dyDescent="0.3">
      <c r="A3671" t="s">
        <v>17</v>
      </c>
      <c r="B3671" t="str">
        <f>"603786"</f>
        <v>603786</v>
      </c>
      <c r="C3671" t="s">
        <v>7388</v>
      </c>
      <c r="D3671" t="s">
        <v>199</v>
      </c>
      <c r="E3671">
        <v>-181072793</v>
      </c>
      <c r="F3671">
        <v>79189904</v>
      </c>
      <c r="G3671">
        <v>171638194</v>
      </c>
      <c r="H3671">
        <v>42528851</v>
      </c>
      <c r="P3671">
        <v>346</v>
      </c>
      <c r="Q3671" t="s">
        <v>7389</v>
      </c>
    </row>
    <row r="3672" spans="1:17" x14ac:dyDescent="0.3">
      <c r="A3672" t="s">
        <v>17</v>
      </c>
      <c r="B3672" t="str">
        <f>"603324"</f>
        <v>603324</v>
      </c>
      <c r="C3672" t="s">
        <v>7390</v>
      </c>
      <c r="D3672" t="s">
        <v>1334</v>
      </c>
      <c r="E3672">
        <v>-181140969</v>
      </c>
      <c r="F3672">
        <v>-124764100</v>
      </c>
      <c r="G3672">
        <v>-77739794</v>
      </c>
      <c r="P3672">
        <v>29</v>
      </c>
      <c r="Q3672" t="s">
        <v>7391</v>
      </c>
    </row>
    <row r="3673" spans="1:17" x14ac:dyDescent="0.3">
      <c r="A3673" t="s">
        <v>17</v>
      </c>
      <c r="B3673" t="str">
        <f>"605296"</f>
        <v>605296</v>
      </c>
      <c r="C3673" t="s">
        <v>7392</v>
      </c>
      <c r="D3673" t="s">
        <v>175</v>
      </c>
      <c r="E3673">
        <v>-181155833</v>
      </c>
      <c r="F3673">
        <v>-322321120</v>
      </c>
      <c r="G3673">
        <v>140277468</v>
      </c>
      <c r="P3673">
        <v>59</v>
      </c>
      <c r="Q3673" t="s">
        <v>7393</v>
      </c>
    </row>
    <row r="3674" spans="1:17" x14ac:dyDescent="0.3">
      <c r="A3674" t="s">
        <v>32</v>
      </c>
      <c r="B3674" t="str">
        <f>"002321"</f>
        <v>002321</v>
      </c>
      <c r="C3674" t="s">
        <v>7394</v>
      </c>
      <c r="D3674" t="s">
        <v>175</v>
      </c>
      <c r="E3674">
        <v>-181205907</v>
      </c>
      <c r="F3674">
        <v>-4677968</v>
      </c>
      <c r="G3674">
        <v>100769141</v>
      </c>
      <c r="H3674">
        <v>-75826570</v>
      </c>
      <c r="I3674">
        <v>-115043086</v>
      </c>
      <c r="J3674">
        <v>-585849278</v>
      </c>
      <c r="K3674">
        <v>32789557</v>
      </c>
      <c r="L3674">
        <v>208218264</v>
      </c>
      <c r="M3674">
        <v>-23552134</v>
      </c>
      <c r="N3674">
        <v>-80571147</v>
      </c>
      <c r="O3674">
        <v>-80342120</v>
      </c>
      <c r="P3674">
        <v>111</v>
      </c>
      <c r="Q3674" t="s">
        <v>7395</v>
      </c>
    </row>
    <row r="3675" spans="1:17" x14ac:dyDescent="0.3">
      <c r="A3675" t="s">
        <v>17</v>
      </c>
      <c r="B3675" t="str">
        <f>"603602"</f>
        <v>603602</v>
      </c>
      <c r="C3675" t="s">
        <v>7396</v>
      </c>
      <c r="D3675" t="s">
        <v>57</v>
      </c>
      <c r="E3675">
        <v>-181249453</v>
      </c>
      <c r="F3675">
        <v>-221495024</v>
      </c>
      <c r="G3675">
        <v>-137256743</v>
      </c>
      <c r="H3675">
        <v>-182237265</v>
      </c>
      <c r="I3675">
        <v>-94487162</v>
      </c>
      <c r="J3675">
        <v>-106830012</v>
      </c>
      <c r="P3675">
        <v>193</v>
      </c>
      <c r="Q3675" t="s">
        <v>7397</v>
      </c>
    </row>
    <row r="3676" spans="1:17" x14ac:dyDescent="0.3">
      <c r="A3676" t="s">
        <v>17</v>
      </c>
      <c r="B3676" t="str">
        <f>"603150"</f>
        <v>603150</v>
      </c>
      <c r="C3676" t="s">
        <v>7398</v>
      </c>
      <c r="E3676">
        <v>-181339860</v>
      </c>
      <c r="P3676">
        <v>5</v>
      </c>
      <c r="Q3676" t="s">
        <v>7399</v>
      </c>
    </row>
    <row r="3677" spans="1:17" x14ac:dyDescent="0.3">
      <c r="A3677" t="s">
        <v>17</v>
      </c>
      <c r="B3677" t="str">
        <f>"688033"</f>
        <v>688033</v>
      </c>
      <c r="C3677" t="s">
        <v>7400</v>
      </c>
      <c r="D3677" t="s">
        <v>135</v>
      </c>
      <c r="E3677">
        <v>-181579084</v>
      </c>
      <c r="F3677">
        <v>35069130</v>
      </c>
      <c r="G3677">
        <v>6359857</v>
      </c>
      <c r="H3677">
        <v>-55254566</v>
      </c>
      <c r="I3677">
        <v>-77160524</v>
      </c>
      <c r="P3677">
        <v>87</v>
      </c>
      <c r="Q3677" t="s">
        <v>7401</v>
      </c>
    </row>
    <row r="3678" spans="1:17" x14ac:dyDescent="0.3">
      <c r="A3678" t="s">
        <v>32</v>
      </c>
      <c r="B3678" t="str">
        <f>"003001"</f>
        <v>003001</v>
      </c>
      <c r="C3678" t="s">
        <v>7402</v>
      </c>
      <c r="D3678" t="s">
        <v>645</v>
      </c>
      <c r="E3678">
        <v>-181593743</v>
      </c>
      <c r="F3678">
        <v>-222167515</v>
      </c>
      <c r="G3678">
        <v>-169111541</v>
      </c>
      <c r="P3678">
        <v>95</v>
      </c>
      <c r="Q3678" t="s">
        <v>7403</v>
      </c>
    </row>
    <row r="3679" spans="1:17" x14ac:dyDescent="0.3">
      <c r="A3679" t="s">
        <v>32</v>
      </c>
      <c r="B3679" t="str">
        <f>"000720"</f>
        <v>000720</v>
      </c>
      <c r="C3679" t="s">
        <v>7404</v>
      </c>
      <c r="D3679" t="s">
        <v>151</v>
      </c>
      <c r="E3679">
        <v>-181882549</v>
      </c>
      <c r="F3679">
        <v>-533224920</v>
      </c>
      <c r="G3679">
        <v>146901781</v>
      </c>
      <c r="H3679">
        <v>-473756020</v>
      </c>
      <c r="I3679">
        <v>287755363</v>
      </c>
      <c r="J3679">
        <v>-54167010</v>
      </c>
      <c r="K3679">
        <v>212880521</v>
      </c>
      <c r="L3679">
        <v>130321236</v>
      </c>
      <c r="M3679">
        <v>28083712</v>
      </c>
      <c r="N3679">
        <v>208990089</v>
      </c>
      <c r="O3679">
        <v>91815208</v>
      </c>
      <c r="P3679">
        <v>122</v>
      </c>
      <c r="Q3679" t="s">
        <v>7405</v>
      </c>
    </row>
    <row r="3680" spans="1:17" x14ac:dyDescent="0.3">
      <c r="A3680" t="s">
        <v>17</v>
      </c>
      <c r="B3680" t="str">
        <f>"600308"</f>
        <v>600308</v>
      </c>
      <c r="C3680" t="s">
        <v>7406</v>
      </c>
      <c r="D3680" t="s">
        <v>455</v>
      </c>
      <c r="E3680">
        <v>-181961278</v>
      </c>
      <c r="F3680">
        <v>134303171</v>
      </c>
      <c r="G3680">
        <v>116690313</v>
      </c>
      <c r="H3680">
        <v>38497830</v>
      </c>
      <c r="I3680">
        <v>-21262148</v>
      </c>
      <c r="J3680">
        <v>129406261</v>
      </c>
      <c r="K3680">
        <v>115275564</v>
      </c>
      <c r="L3680">
        <v>27915302</v>
      </c>
      <c r="M3680">
        <v>230780441</v>
      </c>
      <c r="N3680">
        <v>143314104</v>
      </c>
      <c r="O3680">
        <v>-88422081</v>
      </c>
      <c r="P3680">
        <v>644</v>
      </c>
      <c r="Q3680" t="s">
        <v>7407</v>
      </c>
    </row>
    <row r="3681" spans="1:17" x14ac:dyDescent="0.3">
      <c r="A3681" t="s">
        <v>32</v>
      </c>
      <c r="B3681" t="str">
        <f>"000819"</f>
        <v>000819</v>
      </c>
      <c r="C3681" t="s">
        <v>7408</v>
      </c>
      <c r="D3681" t="s">
        <v>64</v>
      </c>
      <c r="E3681">
        <v>-182183270</v>
      </c>
      <c r="F3681">
        <v>-95150707</v>
      </c>
      <c r="G3681">
        <v>-30569355</v>
      </c>
      <c r="H3681">
        <v>14754220</v>
      </c>
      <c r="I3681">
        <v>8828210</v>
      </c>
      <c r="J3681">
        <v>2660008</v>
      </c>
      <c r="K3681">
        <v>1406732</v>
      </c>
      <c r="L3681">
        <v>-12390012</v>
      </c>
      <c r="M3681">
        <v>-26290995</v>
      </c>
      <c r="N3681">
        <v>7719793</v>
      </c>
      <c r="O3681">
        <v>-5834997</v>
      </c>
      <c r="P3681">
        <v>81</v>
      </c>
      <c r="Q3681" t="s">
        <v>7409</v>
      </c>
    </row>
    <row r="3682" spans="1:17" x14ac:dyDescent="0.3">
      <c r="A3682" t="s">
        <v>32</v>
      </c>
      <c r="B3682" t="str">
        <f>"002019"</f>
        <v>002019</v>
      </c>
      <c r="C3682" t="s">
        <v>7410</v>
      </c>
      <c r="D3682" t="s">
        <v>98</v>
      </c>
      <c r="E3682">
        <v>-182195850</v>
      </c>
      <c r="F3682">
        <v>-34094926</v>
      </c>
      <c r="G3682">
        <v>45346540</v>
      </c>
      <c r="H3682">
        <v>-150936764</v>
      </c>
      <c r="I3682">
        <v>247499353</v>
      </c>
      <c r="J3682">
        <v>43464830</v>
      </c>
      <c r="K3682">
        <v>-37739605</v>
      </c>
      <c r="L3682">
        <v>35539729</v>
      </c>
      <c r="M3682">
        <v>1708610</v>
      </c>
      <c r="N3682">
        <v>-18036357</v>
      </c>
      <c r="O3682">
        <v>-14831085</v>
      </c>
      <c r="P3682">
        <v>974</v>
      </c>
      <c r="Q3682" t="s">
        <v>7411</v>
      </c>
    </row>
    <row r="3683" spans="1:17" x14ac:dyDescent="0.3">
      <c r="A3683" t="s">
        <v>32</v>
      </c>
      <c r="B3683" t="str">
        <f>"300419"</f>
        <v>300419</v>
      </c>
      <c r="C3683" t="s">
        <v>7412</v>
      </c>
      <c r="D3683" t="s">
        <v>342</v>
      </c>
      <c r="E3683">
        <v>-182236239</v>
      </c>
      <c r="F3683">
        <v>-144208749</v>
      </c>
      <c r="G3683">
        <v>-50398709</v>
      </c>
      <c r="H3683">
        <v>-32070859</v>
      </c>
      <c r="I3683">
        <v>-60377855</v>
      </c>
      <c r="J3683">
        <v>-39944691</v>
      </c>
      <c r="K3683">
        <v>-46114260</v>
      </c>
      <c r="L3683">
        <v>-1456419</v>
      </c>
      <c r="M3683">
        <v>-19864453</v>
      </c>
      <c r="P3683">
        <v>89</v>
      </c>
      <c r="Q3683" t="s">
        <v>7413</v>
      </c>
    </row>
    <row r="3684" spans="1:17" x14ac:dyDescent="0.3">
      <c r="A3684" t="s">
        <v>32</v>
      </c>
      <c r="B3684" t="str">
        <f>"300096"</f>
        <v>300096</v>
      </c>
      <c r="C3684" t="s">
        <v>7414</v>
      </c>
      <c r="D3684" t="s">
        <v>342</v>
      </c>
      <c r="E3684">
        <v>-182469130</v>
      </c>
      <c r="F3684">
        <v>-161783576</v>
      </c>
      <c r="G3684">
        <v>-145427425</v>
      </c>
      <c r="H3684">
        <v>-123606525</v>
      </c>
      <c r="I3684">
        <v>-98735284</v>
      </c>
      <c r="J3684">
        <v>-96207026</v>
      </c>
      <c r="K3684">
        <v>-73540333</v>
      </c>
      <c r="L3684">
        <v>-32507323</v>
      </c>
      <c r="M3684">
        <v>-42092629</v>
      </c>
      <c r="N3684">
        <v>-51335836</v>
      </c>
      <c r="O3684">
        <v>-47630572</v>
      </c>
      <c r="P3684">
        <v>169</v>
      </c>
      <c r="Q3684" t="s">
        <v>7415</v>
      </c>
    </row>
    <row r="3685" spans="1:17" x14ac:dyDescent="0.3">
      <c r="A3685" t="s">
        <v>17</v>
      </c>
      <c r="B3685" t="str">
        <f>"688211"</f>
        <v>688211</v>
      </c>
      <c r="C3685" t="s">
        <v>7416</v>
      </c>
      <c r="D3685" t="s">
        <v>135</v>
      </c>
      <c r="E3685">
        <v>-182787579</v>
      </c>
      <c r="F3685">
        <v>-170163873</v>
      </c>
      <c r="P3685">
        <v>27</v>
      </c>
      <c r="Q3685" t="s">
        <v>7417</v>
      </c>
    </row>
    <row r="3686" spans="1:17" x14ac:dyDescent="0.3">
      <c r="A3686" t="s">
        <v>32</v>
      </c>
      <c r="B3686" t="str">
        <f>"300779"</f>
        <v>300779</v>
      </c>
      <c r="C3686" t="s">
        <v>7418</v>
      </c>
      <c r="D3686" t="s">
        <v>1334</v>
      </c>
      <c r="E3686">
        <v>-183050564</v>
      </c>
      <c r="F3686">
        <v>-47405693</v>
      </c>
      <c r="G3686">
        <v>-32043760</v>
      </c>
      <c r="H3686">
        <v>10938052</v>
      </c>
      <c r="I3686">
        <v>378697</v>
      </c>
      <c r="P3686">
        <v>62</v>
      </c>
      <c r="Q3686" t="s">
        <v>7419</v>
      </c>
    </row>
    <row r="3687" spans="1:17" x14ac:dyDescent="0.3">
      <c r="A3687" t="s">
        <v>17</v>
      </c>
      <c r="B3687" t="str">
        <f>"600706"</f>
        <v>600706</v>
      </c>
      <c r="C3687" t="s">
        <v>7420</v>
      </c>
      <c r="D3687" t="s">
        <v>497</v>
      </c>
      <c r="E3687">
        <v>-183081500</v>
      </c>
      <c r="F3687">
        <v>-187031621</v>
      </c>
      <c r="G3687">
        <v>-149246716</v>
      </c>
      <c r="H3687">
        <v>-58677148</v>
      </c>
      <c r="I3687">
        <v>-34455510</v>
      </c>
      <c r="J3687">
        <v>-16388610</v>
      </c>
      <c r="K3687">
        <v>-26013330</v>
      </c>
      <c r="L3687">
        <v>-40994663</v>
      </c>
      <c r="M3687">
        <v>-132986291</v>
      </c>
      <c r="N3687">
        <v>-228728477</v>
      </c>
      <c r="O3687">
        <v>-2624398</v>
      </c>
      <c r="P3687">
        <v>122</v>
      </c>
      <c r="Q3687" t="s">
        <v>7421</v>
      </c>
    </row>
    <row r="3688" spans="1:17" x14ac:dyDescent="0.3">
      <c r="A3688" t="s">
        <v>32</v>
      </c>
      <c r="B3688" t="str">
        <f>"300841"</f>
        <v>300841</v>
      </c>
      <c r="C3688" t="s">
        <v>7422</v>
      </c>
      <c r="D3688" t="s">
        <v>98</v>
      </c>
      <c r="E3688">
        <v>-183384453</v>
      </c>
      <c r="F3688">
        <v>-93576851</v>
      </c>
      <c r="G3688">
        <v>-17645941</v>
      </c>
      <c r="H3688">
        <v>18408527</v>
      </c>
      <c r="P3688">
        <v>314</v>
      </c>
      <c r="Q3688" t="s">
        <v>7423</v>
      </c>
    </row>
    <row r="3689" spans="1:17" x14ac:dyDescent="0.3">
      <c r="A3689" t="s">
        <v>17</v>
      </c>
      <c r="B3689" t="str">
        <f>"601606"</f>
        <v>601606</v>
      </c>
      <c r="C3689" t="s">
        <v>7424</v>
      </c>
      <c r="D3689" t="s">
        <v>188</v>
      </c>
      <c r="E3689">
        <v>-183540453</v>
      </c>
      <c r="F3689">
        <v>-113084895</v>
      </c>
      <c r="G3689">
        <v>-106633483</v>
      </c>
      <c r="H3689">
        <v>-135962721</v>
      </c>
      <c r="I3689">
        <v>-118494587</v>
      </c>
      <c r="P3689">
        <v>180</v>
      </c>
      <c r="Q3689" t="s">
        <v>7425</v>
      </c>
    </row>
    <row r="3690" spans="1:17" x14ac:dyDescent="0.3">
      <c r="A3690" t="s">
        <v>32</v>
      </c>
      <c r="B3690" t="str">
        <f>"002047"</f>
        <v>002047</v>
      </c>
      <c r="C3690" t="s">
        <v>7426</v>
      </c>
      <c r="D3690" t="s">
        <v>645</v>
      </c>
      <c r="E3690">
        <v>-184148381</v>
      </c>
      <c r="F3690">
        <v>208957995</v>
      </c>
      <c r="G3690">
        <v>-292623048</v>
      </c>
      <c r="H3690">
        <v>-345309777</v>
      </c>
      <c r="I3690">
        <v>-699963642</v>
      </c>
      <c r="J3690">
        <v>-439611768</v>
      </c>
      <c r="K3690">
        <v>-346183885</v>
      </c>
      <c r="L3690">
        <v>-136667678</v>
      </c>
      <c r="M3690">
        <v>-450733458</v>
      </c>
      <c r="N3690">
        <v>27181882</v>
      </c>
      <c r="O3690">
        <v>3558592</v>
      </c>
      <c r="P3690">
        <v>103</v>
      </c>
      <c r="Q3690" t="s">
        <v>7427</v>
      </c>
    </row>
    <row r="3691" spans="1:17" x14ac:dyDescent="0.3">
      <c r="A3691" t="s">
        <v>32</v>
      </c>
      <c r="B3691" t="str">
        <f>"002901"</f>
        <v>002901</v>
      </c>
      <c r="C3691" t="s">
        <v>7428</v>
      </c>
      <c r="D3691" t="s">
        <v>98</v>
      </c>
      <c r="E3691">
        <v>-184278490</v>
      </c>
      <c r="F3691">
        <v>5274806</v>
      </c>
      <c r="G3691">
        <v>-41086775</v>
      </c>
      <c r="H3691">
        <v>-9406246</v>
      </c>
      <c r="I3691">
        <v>15917154</v>
      </c>
      <c r="J3691">
        <v>37055131</v>
      </c>
      <c r="P3691">
        <v>1704</v>
      </c>
      <c r="Q3691" t="s">
        <v>7429</v>
      </c>
    </row>
    <row r="3692" spans="1:17" x14ac:dyDescent="0.3">
      <c r="A3692" t="s">
        <v>32</v>
      </c>
      <c r="B3692" t="str">
        <f>"002690"</f>
        <v>002690</v>
      </c>
      <c r="C3692" t="s">
        <v>7430</v>
      </c>
      <c r="D3692" t="s">
        <v>135</v>
      </c>
      <c r="E3692">
        <v>-184721258</v>
      </c>
      <c r="F3692">
        <v>-95211044</v>
      </c>
      <c r="G3692">
        <v>-135298003</v>
      </c>
      <c r="H3692">
        <v>-54364097</v>
      </c>
      <c r="I3692">
        <v>-3316410</v>
      </c>
      <c r="J3692">
        <v>15209757</v>
      </c>
      <c r="K3692">
        <v>-72843633</v>
      </c>
      <c r="L3692">
        <v>-29074252</v>
      </c>
      <c r="M3692">
        <v>17289064</v>
      </c>
      <c r="N3692">
        <v>-37777794</v>
      </c>
      <c r="O3692">
        <v>-18137788</v>
      </c>
      <c r="P3692">
        <v>3638</v>
      </c>
      <c r="Q3692" t="s">
        <v>7431</v>
      </c>
    </row>
    <row r="3693" spans="1:17" x14ac:dyDescent="0.3">
      <c r="A3693" t="s">
        <v>32</v>
      </c>
      <c r="B3693" t="str">
        <f>"002971"</f>
        <v>002971</v>
      </c>
      <c r="C3693" t="s">
        <v>7432</v>
      </c>
      <c r="D3693" t="s">
        <v>144</v>
      </c>
      <c r="E3693">
        <v>-184830575</v>
      </c>
      <c r="F3693">
        <v>-128923460</v>
      </c>
      <c r="G3693">
        <v>-165316700</v>
      </c>
      <c r="H3693">
        <v>9493109</v>
      </c>
      <c r="P3693">
        <v>70</v>
      </c>
      <c r="Q3693" t="s">
        <v>7433</v>
      </c>
    </row>
    <row r="3694" spans="1:17" x14ac:dyDescent="0.3">
      <c r="A3694" t="s">
        <v>17</v>
      </c>
      <c r="B3694" t="str">
        <f>"600129"</f>
        <v>600129</v>
      </c>
      <c r="C3694" t="s">
        <v>7434</v>
      </c>
      <c r="D3694" t="s">
        <v>98</v>
      </c>
      <c r="E3694">
        <v>-184973060</v>
      </c>
      <c r="F3694">
        <v>-450604405</v>
      </c>
      <c r="G3694">
        <v>-376375954</v>
      </c>
      <c r="H3694">
        <v>-138179145</v>
      </c>
      <c r="I3694">
        <v>-128260256</v>
      </c>
      <c r="J3694">
        <v>-110804952</v>
      </c>
      <c r="K3694">
        <v>-209699008</v>
      </c>
      <c r="L3694">
        <v>-37614188</v>
      </c>
      <c r="M3694">
        <v>-7766497</v>
      </c>
      <c r="N3694">
        <v>-25977480</v>
      </c>
      <c r="O3694">
        <v>-18374867</v>
      </c>
      <c r="P3694">
        <v>283</v>
      </c>
      <c r="Q3694" t="s">
        <v>7435</v>
      </c>
    </row>
    <row r="3695" spans="1:17" x14ac:dyDescent="0.3">
      <c r="A3695" t="s">
        <v>17</v>
      </c>
      <c r="B3695" t="str">
        <f>"600792"</f>
        <v>600792</v>
      </c>
      <c r="C3695" t="s">
        <v>7436</v>
      </c>
      <c r="D3695" t="s">
        <v>73</v>
      </c>
      <c r="E3695">
        <v>-184979149</v>
      </c>
      <c r="F3695">
        <v>-82745488</v>
      </c>
      <c r="G3695">
        <v>127605464</v>
      </c>
      <c r="H3695">
        <v>-146838757</v>
      </c>
      <c r="I3695">
        <v>15585304</v>
      </c>
      <c r="J3695">
        <v>208109883</v>
      </c>
      <c r="K3695">
        <v>-7471485</v>
      </c>
      <c r="L3695">
        <v>17721377</v>
      </c>
      <c r="M3695">
        <v>-133171800</v>
      </c>
      <c r="N3695">
        <v>209202377</v>
      </c>
      <c r="O3695">
        <v>-65756336</v>
      </c>
      <c r="P3695">
        <v>97</v>
      </c>
      <c r="Q3695" t="s">
        <v>7437</v>
      </c>
    </row>
    <row r="3696" spans="1:17" x14ac:dyDescent="0.3">
      <c r="A3696" t="s">
        <v>17</v>
      </c>
      <c r="B3696" t="str">
        <f>"600620"</f>
        <v>600620</v>
      </c>
      <c r="C3696" t="s">
        <v>7438</v>
      </c>
      <c r="D3696" t="s">
        <v>345</v>
      </c>
      <c r="E3696">
        <v>-184993230</v>
      </c>
      <c r="F3696">
        <v>-43024830</v>
      </c>
      <c r="G3696">
        <v>-2941151</v>
      </c>
      <c r="H3696">
        <v>-5284507</v>
      </c>
      <c r="I3696">
        <v>-2952538</v>
      </c>
      <c r="J3696">
        <v>-22607536</v>
      </c>
      <c r="K3696">
        <v>-7601868</v>
      </c>
      <c r="L3696">
        <v>-358511</v>
      </c>
      <c r="M3696">
        <v>-12191001</v>
      </c>
      <c r="N3696">
        <v>-9375060</v>
      </c>
      <c r="O3696">
        <v>-7550932</v>
      </c>
      <c r="P3696">
        <v>66</v>
      </c>
      <c r="Q3696" t="s">
        <v>7439</v>
      </c>
    </row>
    <row r="3697" spans="1:17" x14ac:dyDescent="0.3">
      <c r="A3697" t="s">
        <v>17</v>
      </c>
      <c r="B3697" t="str">
        <f>"600288"</f>
        <v>600288</v>
      </c>
      <c r="C3697" t="s">
        <v>7440</v>
      </c>
      <c r="D3697" t="s">
        <v>124</v>
      </c>
      <c r="E3697">
        <v>-185356497</v>
      </c>
      <c r="F3697">
        <v>-150722311</v>
      </c>
      <c r="G3697">
        <v>-118434274</v>
      </c>
      <c r="H3697">
        <v>-116148254</v>
      </c>
      <c r="I3697">
        <v>-133255916</v>
      </c>
      <c r="J3697">
        <v>-149155922</v>
      </c>
      <c r="K3697">
        <v>-176458950</v>
      </c>
      <c r="L3697">
        <v>-160427596</v>
      </c>
      <c r="M3697">
        <v>-201594187</v>
      </c>
      <c r="N3697">
        <v>-247782309</v>
      </c>
      <c r="O3697">
        <v>-265850028</v>
      </c>
      <c r="P3697">
        <v>95</v>
      </c>
      <c r="Q3697" t="s">
        <v>7441</v>
      </c>
    </row>
    <row r="3698" spans="1:17" x14ac:dyDescent="0.3">
      <c r="A3698" t="s">
        <v>32</v>
      </c>
      <c r="B3698" t="str">
        <f>"002746"</f>
        <v>002746</v>
      </c>
      <c r="C3698" t="s">
        <v>7442</v>
      </c>
      <c r="D3698" t="s">
        <v>175</v>
      </c>
      <c r="E3698">
        <v>-185466952</v>
      </c>
      <c r="F3698">
        <v>-56340626</v>
      </c>
      <c r="G3698">
        <v>26168314</v>
      </c>
      <c r="H3698">
        <v>64492417</v>
      </c>
      <c r="I3698">
        <v>-59046107</v>
      </c>
      <c r="J3698">
        <v>-37294485</v>
      </c>
      <c r="K3698">
        <v>-59016189</v>
      </c>
      <c r="L3698">
        <v>-4294600</v>
      </c>
      <c r="M3698">
        <v>-20847473</v>
      </c>
      <c r="P3698">
        <v>457</v>
      </c>
      <c r="Q3698" t="s">
        <v>7443</v>
      </c>
    </row>
    <row r="3699" spans="1:17" x14ac:dyDescent="0.3">
      <c r="A3699" t="s">
        <v>32</v>
      </c>
      <c r="B3699" t="str">
        <f>"000088"</f>
        <v>000088</v>
      </c>
      <c r="C3699" t="s">
        <v>7444</v>
      </c>
      <c r="D3699" t="s">
        <v>46</v>
      </c>
      <c r="E3699">
        <v>-185702216</v>
      </c>
      <c r="F3699">
        <v>-147724753</v>
      </c>
      <c r="G3699">
        <v>-191319457</v>
      </c>
      <c r="H3699">
        <v>-38202195</v>
      </c>
      <c r="I3699">
        <v>-206104978</v>
      </c>
      <c r="J3699">
        <v>-80778570</v>
      </c>
      <c r="K3699">
        <v>-271728790</v>
      </c>
      <c r="L3699">
        <v>-90296825</v>
      </c>
      <c r="M3699">
        <v>-117050597</v>
      </c>
      <c r="N3699">
        <v>18973653</v>
      </c>
      <c r="O3699">
        <v>-16568960</v>
      </c>
      <c r="P3699">
        <v>170</v>
      </c>
      <c r="Q3699" t="s">
        <v>7445</v>
      </c>
    </row>
    <row r="3700" spans="1:17" x14ac:dyDescent="0.3">
      <c r="A3700" t="s">
        <v>32</v>
      </c>
      <c r="B3700" t="str">
        <f>"002182"</f>
        <v>002182</v>
      </c>
      <c r="C3700" t="s">
        <v>7446</v>
      </c>
      <c r="D3700" t="s">
        <v>121</v>
      </c>
      <c r="E3700">
        <v>-185985357</v>
      </c>
      <c r="F3700">
        <v>-284673352</v>
      </c>
      <c r="G3700">
        <v>11126508</v>
      </c>
      <c r="H3700">
        <v>95260944</v>
      </c>
      <c r="I3700">
        <v>-106256580</v>
      </c>
      <c r="J3700">
        <v>-60229192</v>
      </c>
      <c r="K3700">
        <v>42417485</v>
      </c>
      <c r="L3700">
        <v>47688186</v>
      </c>
      <c r="M3700">
        <v>89259278</v>
      </c>
      <c r="N3700">
        <v>46556241</v>
      </c>
      <c r="O3700">
        <v>13378962</v>
      </c>
      <c r="P3700">
        <v>372</v>
      </c>
      <c r="Q3700" t="s">
        <v>7447</v>
      </c>
    </row>
    <row r="3701" spans="1:17" x14ac:dyDescent="0.3">
      <c r="A3701" t="s">
        <v>32</v>
      </c>
      <c r="B3701" t="str">
        <f>"000541"</f>
        <v>000541</v>
      </c>
      <c r="C3701" t="s">
        <v>7448</v>
      </c>
      <c r="D3701" t="s">
        <v>127</v>
      </c>
      <c r="E3701">
        <v>-186070222</v>
      </c>
      <c r="F3701">
        <v>31922061</v>
      </c>
      <c r="G3701">
        <v>-39461332</v>
      </c>
      <c r="H3701">
        <v>17176685</v>
      </c>
      <c r="I3701">
        <v>49747187</v>
      </c>
      <c r="J3701">
        <v>-90027427</v>
      </c>
      <c r="K3701">
        <v>171453706</v>
      </c>
      <c r="L3701">
        <v>50945844</v>
      </c>
      <c r="M3701">
        <v>68139911</v>
      </c>
      <c r="N3701">
        <v>38659079</v>
      </c>
      <c r="O3701">
        <v>145629820</v>
      </c>
      <c r="P3701">
        <v>437</v>
      </c>
      <c r="Q3701" t="s">
        <v>7449</v>
      </c>
    </row>
    <row r="3702" spans="1:17" x14ac:dyDescent="0.3">
      <c r="A3702" t="s">
        <v>17</v>
      </c>
      <c r="B3702" t="str">
        <f>"600199"</f>
        <v>600199</v>
      </c>
      <c r="C3702" t="s">
        <v>7450</v>
      </c>
      <c r="D3702" t="s">
        <v>172</v>
      </c>
      <c r="E3702">
        <v>-186171381</v>
      </c>
      <c r="F3702">
        <v>-159412106</v>
      </c>
      <c r="G3702">
        <v>-98465119</v>
      </c>
      <c r="H3702">
        <v>-141963329</v>
      </c>
      <c r="I3702">
        <v>-204222093</v>
      </c>
      <c r="J3702">
        <v>-237341054</v>
      </c>
      <c r="K3702">
        <v>-83965921</v>
      </c>
      <c r="L3702">
        <v>100937830</v>
      </c>
      <c r="M3702">
        <v>-28712740</v>
      </c>
      <c r="N3702">
        <v>114351733</v>
      </c>
      <c r="O3702">
        <v>37085748</v>
      </c>
      <c r="P3702">
        <v>383</v>
      </c>
      <c r="Q3702" t="s">
        <v>7451</v>
      </c>
    </row>
    <row r="3703" spans="1:17" x14ac:dyDescent="0.3">
      <c r="A3703" t="s">
        <v>17</v>
      </c>
      <c r="B3703" t="str">
        <f>"600279"</f>
        <v>600279</v>
      </c>
      <c r="C3703" t="s">
        <v>7452</v>
      </c>
      <c r="D3703" t="s">
        <v>46</v>
      </c>
      <c r="E3703">
        <v>-186711527</v>
      </c>
      <c r="F3703">
        <v>-37876783</v>
      </c>
      <c r="G3703">
        <v>-27053007</v>
      </c>
      <c r="H3703">
        <v>28152684</v>
      </c>
      <c r="I3703">
        <v>-46542766</v>
      </c>
      <c r="J3703">
        <v>-145104226</v>
      </c>
      <c r="K3703">
        <v>89592343</v>
      </c>
      <c r="L3703">
        <v>-9463583</v>
      </c>
      <c r="M3703">
        <v>-179993017</v>
      </c>
      <c r="N3703">
        <v>26180406</v>
      </c>
      <c r="O3703">
        <v>-63545869</v>
      </c>
      <c r="P3703">
        <v>125</v>
      </c>
      <c r="Q3703" t="s">
        <v>7453</v>
      </c>
    </row>
    <row r="3704" spans="1:17" x14ac:dyDescent="0.3">
      <c r="A3704" t="s">
        <v>32</v>
      </c>
      <c r="B3704" t="str">
        <f>"300520"</f>
        <v>300520</v>
      </c>
      <c r="C3704" t="s">
        <v>7454</v>
      </c>
      <c r="D3704" t="s">
        <v>342</v>
      </c>
      <c r="E3704">
        <v>-187084643</v>
      </c>
      <c r="F3704">
        <v>-170623789</v>
      </c>
      <c r="G3704">
        <v>-168582313</v>
      </c>
      <c r="H3704">
        <v>-195117090</v>
      </c>
      <c r="I3704">
        <v>-170380163</v>
      </c>
      <c r="J3704">
        <v>-81982627</v>
      </c>
      <c r="K3704">
        <v>-105012736</v>
      </c>
      <c r="L3704">
        <v>-64694627</v>
      </c>
      <c r="P3704">
        <v>255</v>
      </c>
      <c r="Q3704" t="s">
        <v>7455</v>
      </c>
    </row>
    <row r="3705" spans="1:17" x14ac:dyDescent="0.3">
      <c r="A3705" t="s">
        <v>17</v>
      </c>
      <c r="B3705" t="str">
        <f>"688586"</f>
        <v>688586</v>
      </c>
      <c r="C3705" t="s">
        <v>7456</v>
      </c>
      <c r="D3705" t="s">
        <v>188</v>
      </c>
      <c r="E3705">
        <v>-187129720</v>
      </c>
      <c r="F3705">
        <v>-125913120</v>
      </c>
      <c r="G3705">
        <v>11563791</v>
      </c>
      <c r="H3705">
        <v>-87623646</v>
      </c>
      <c r="P3705">
        <v>71</v>
      </c>
      <c r="Q3705" t="s">
        <v>7457</v>
      </c>
    </row>
    <row r="3706" spans="1:17" x14ac:dyDescent="0.3">
      <c r="A3706" t="s">
        <v>32</v>
      </c>
      <c r="B3706" t="str">
        <f>"002863"</f>
        <v>002863</v>
      </c>
      <c r="C3706" t="s">
        <v>7458</v>
      </c>
      <c r="D3706" t="s">
        <v>199</v>
      </c>
      <c r="E3706">
        <v>-187145546</v>
      </c>
      <c r="F3706">
        <v>-192451862</v>
      </c>
      <c r="G3706">
        <v>-1346530</v>
      </c>
      <c r="H3706">
        <v>-30565588</v>
      </c>
      <c r="I3706">
        <v>-225379931</v>
      </c>
      <c r="J3706">
        <v>-7430203</v>
      </c>
      <c r="K3706">
        <v>-16599273</v>
      </c>
      <c r="P3706">
        <v>104</v>
      </c>
      <c r="Q3706" t="s">
        <v>7459</v>
      </c>
    </row>
    <row r="3707" spans="1:17" x14ac:dyDescent="0.3">
      <c r="A3707" t="s">
        <v>32</v>
      </c>
      <c r="B3707" t="str">
        <f>"300740"</f>
        <v>300740</v>
      </c>
      <c r="C3707" t="s">
        <v>7460</v>
      </c>
      <c r="D3707" t="s">
        <v>544</v>
      </c>
      <c r="E3707">
        <v>-187480764</v>
      </c>
      <c r="F3707">
        <v>-89591783</v>
      </c>
      <c r="G3707">
        <v>-120273380</v>
      </c>
      <c r="H3707">
        <v>-97350144</v>
      </c>
      <c r="I3707">
        <v>56358569</v>
      </c>
      <c r="J3707">
        <v>-30901801</v>
      </c>
      <c r="P3707">
        <v>257</v>
      </c>
      <c r="Q3707" t="s">
        <v>7461</v>
      </c>
    </row>
    <row r="3708" spans="1:17" x14ac:dyDescent="0.3">
      <c r="A3708" t="s">
        <v>32</v>
      </c>
      <c r="B3708" t="str">
        <f>"301060"</f>
        <v>301060</v>
      </c>
      <c r="C3708" t="s">
        <v>7462</v>
      </c>
      <c r="D3708" t="s">
        <v>98</v>
      </c>
      <c r="E3708">
        <v>-187487934</v>
      </c>
      <c r="P3708">
        <v>41</v>
      </c>
      <c r="Q3708" t="s">
        <v>7463</v>
      </c>
    </row>
    <row r="3709" spans="1:17" x14ac:dyDescent="0.3">
      <c r="A3709" t="s">
        <v>32</v>
      </c>
      <c r="B3709" t="str">
        <f>"300366"</f>
        <v>300366</v>
      </c>
      <c r="C3709" t="s">
        <v>7464</v>
      </c>
      <c r="D3709" t="s">
        <v>342</v>
      </c>
      <c r="E3709">
        <v>-187533218</v>
      </c>
      <c r="F3709">
        <v>-121031226</v>
      </c>
      <c r="G3709">
        <v>-115309915</v>
      </c>
      <c r="H3709">
        <v>-268386304</v>
      </c>
      <c r="I3709">
        <v>-125395763</v>
      </c>
      <c r="J3709">
        <v>-101336847</v>
      </c>
      <c r="K3709">
        <v>-84283081</v>
      </c>
      <c r="L3709">
        <v>-62589464</v>
      </c>
      <c r="M3709">
        <v>-66711610</v>
      </c>
      <c r="N3709">
        <v>-47089577</v>
      </c>
      <c r="P3709">
        <v>222</v>
      </c>
      <c r="Q3709" t="s">
        <v>7465</v>
      </c>
    </row>
    <row r="3710" spans="1:17" x14ac:dyDescent="0.3">
      <c r="A3710" t="s">
        <v>17</v>
      </c>
      <c r="B3710" t="str">
        <f>"603051"</f>
        <v>603051</v>
      </c>
      <c r="C3710" t="s">
        <v>7466</v>
      </c>
      <c r="E3710">
        <v>-187563710</v>
      </c>
      <c r="P3710">
        <v>3</v>
      </c>
      <c r="Q3710" t="s">
        <v>7467</v>
      </c>
    </row>
    <row r="3711" spans="1:17" x14ac:dyDescent="0.3">
      <c r="A3711" t="s">
        <v>32</v>
      </c>
      <c r="B3711" t="str">
        <f>"300072"</f>
        <v>300072</v>
      </c>
      <c r="C3711" t="s">
        <v>7468</v>
      </c>
      <c r="D3711" t="s">
        <v>1334</v>
      </c>
      <c r="E3711">
        <v>-187603711</v>
      </c>
      <c r="F3711">
        <v>261475895</v>
      </c>
      <c r="G3711">
        <v>-494978443</v>
      </c>
      <c r="H3711">
        <v>-150671145</v>
      </c>
      <c r="I3711">
        <v>-2435382045</v>
      </c>
      <c r="J3711">
        <v>-922304444</v>
      </c>
      <c r="K3711">
        <v>-1205761369</v>
      </c>
      <c r="L3711">
        <v>-253300602</v>
      </c>
      <c r="M3711">
        <v>-436097467</v>
      </c>
      <c r="N3711">
        <v>-96794664</v>
      </c>
      <c r="O3711">
        <v>-140644033</v>
      </c>
      <c r="P3711">
        <v>1138</v>
      </c>
      <c r="Q3711" t="s">
        <v>7469</v>
      </c>
    </row>
    <row r="3712" spans="1:17" x14ac:dyDescent="0.3">
      <c r="A3712" t="s">
        <v>17</v>
      </c>
      <c r="B3712" t="str">
        <f>"688002"</f>
        <v>688002</v>
      </c>
      <c r="C3712" t="s">
        <v>7470</v>
      </c>
      <c r="D3712" t="s">
        <v>188</v>
      </c>
      <c r="E3712">
        <v>-188230670</v>
      </c>
      <c r="F3712">
        <v>-32958413</v>
      </c>
      <c r="G3712">
        <v>-30156756</v>
      </c>
      <c r="H3712">
        <v>-57325739</v>
      </c>
      <c r="I3712">
        <v>-14420279</v>
      </c>
      <c r="P3712">
        <v>407</v>
      </c>
      <c r="Q3712" t="s">
        <v>7471</v>
      </c>
    </row>
    <row r="3713" spans="1:17" x14ac:dyDescent="0.3">
      <c r="A3713" t="s">
        <v>32</v>
      </c>
      <c r="B3713" t="str">
        <f>"001210"</f>
        <v>001210</v>
      </c>
      <c r="C3713" t="s">
        <v>7472</v>
      </c>
      <c r="D3713" t="s">
        <v>158</v>
      </c>
      <c r="E3713">
        <v>-188240847</v>
      </c>
      <c r="F3713">
        <v>-150705910</v>
      </c>
      <c r="G3713">
        <v>-149287058</v>
      </c>
      <c r="P3713">
        <v>27</v>
      </c>
      <c r="Q3713" t="s">
        <v>7473</v>
      </c>
    </row>
    <row r="3714" spans="1:17" x14ac:dyDescent="0.3">
      <c r="A3714" t="s">
        <v>32</v>
      </c>
      <c r="B3714" t="str">
        <f>"002968"</f>
        <v>002968</v>
      </c>
      <c r="C3714" t="s">
        <v>7474</v>
      </c>
      <c r="D3714" t="s">
        <v>151</v>
      </c>
      <c r="E3714">
        <v>-188351335</v>
      </c>
      <c r="F3714">
        <v>-151714950</v>
      </c>
      <c r="G3714">
        <v>-100626463</v>
      </c>
      <c r="H3714">
        <v>-105987470</v>
      </c>
      <c r="P3714">
        <v>237</v>
      </c>
      <c r="Q3714" t="s">
        <v>7475</v>
      </c>
    </row>
    <row r="3715" spans="1:17" x14ac:dyDescent="0.3">
      <c r="A3715" t="s">
        <v>17</v>
      </c>
      <c r="B3715" t="str">
        <f>"603192"</f>
        <v>603192</v>
      </c>
      <c r="C3715" t="s">
        <v>7476</v>
      </c>
      <c r="D3715" t="s">
        <v>144</v>
      </c>
      <c r="E3715">
        <v>-188761853</v>
      </c>
      <c r="F3715">
        <v>-121705596</v>
      </c>
      <c r="G3715">
        <v>-115943834</v>
      </c>
      <c r="H3715">
        <v>-128205386</v>
      </c>
      <c r="I3715">
        <v>-124047579</v>
      </c>
      <c r="J3715">
        <v>-1464800</v>
      </c>
      <c r="P3715">
        <v>82</v>
      </c>
      <c r="Q3715" t="s">
        <v>7477</v>
      </c>
    </row>
    <row r="3716" spans="1:17" x14ac:dyDescent="0.3">
      <c r="A3716" t="s">
        <v>32</v>
      </c>
      <c r="B3716" t="str">
        <f>"300378"</f>
        <v>300378</v>
      </c>
      <c r="C3716" t="s">
        <v>7478</v>
      </c>
      <c r="D3716" t="s">
        <v>342</v>
      </c>
      <c r="E3716">
        <v>-188815527</v>
      </c>
      <c r="F3716">
        <v>-126092082</v>
      </c>
      <c r="G3716">
        <v>-180936675</v>
      </c>
      <c r="H3716">
        <v>-117760231</v>
      </c>
      <c r="I3716">
        <v>-122392546</v>
      </c>
      <c r="J3716">
        <v>-73238235</v>
      </c>
      <c r="K3716">
        <v>-95917513</v>
      </c>
      <c r="L3716">
        <v>-49570478</v>
      </c>
      <c r="M3716">
        <v>-79551534</v>
      </c>
      <c r="N3716">
        <v>-53474465</v>
      </c>
      <c r="P3716">
        <v>197</v>
      </c>
      <c r="Q3716" t="s">
        <v>7479</v>
      </c>
    </row>
    <row r="3717" spans="1:17" x14ac:dyDescent="0.3">
      <c r="A3717" t="s">
        <v>17</v>
      </c>
      <c r="B3717" t="str">
        <f>"605199"</f>
        <v>605199</v>
      </c>
      <c r="C3717" t="s">
        <v>7480</v>
      </c>
      <c r="D3717" t="s">
        <v>98</v>
      </c>
      <c r="E3717">
        <v>-188965368</v>
      </c>
      <c r="F3717">
        <v>-90239895</v>
      </c>
      <c r="G3717">
        <v>-99032803</v>
      </c>
      <c r="H3717">
        <v>-22246682</v>
      </c>
      <c r="P3717">
        <v>136</v>
      </c>
      <c r="Q3717" t="s">
        <v>7481</v>
      </c>
    </row>
    <row r="3718" spans="1:17" x14ac:dyDescent="0.3">
      <c r="A3718" t="s">
        <v>17</v>
      </c>
      <c r="B3718" t="str">
        <f>"688330"</f>
        <v>688330</v>
      </c>
      <c r="C3718" t="s">
        <v>7482</v>
      </c>
      <c r="D3718" t="s">
        <v>464</v>
      </c>
      <c r="E3718">
        <v>-188996335</v>
      </c>
      <c r="F3718">
        <v>-160328632</v>
      </c>
      <c r="G3718">
        <v>-186125394</v>
      </c>
      <c r="P3718">
        <v>90</v>
      </c>
      <c r="Q3718" t="s">
        <v>7483</v>
      </c>
    </row>
    <row r="3719" spans="1:17" x14ac:dyDescent="0.3">
      <c r="A3719" t="s">
        <v>17</v>
      </c>
      <c r="B3719" t="str">
        <f>"688128"</f>
        <v>688128</v>
      </c>
      <c r="C3719" t="s">
        <v>7484</v>
      </c>
      <c r="D3719" t="s">
        <v>135</v>
      </c>
      <c r="E3719">
        <v>-189253600</v>
      </c>
      <c r="F3719">
        <v>-176037800</v>
      </c>
      <c r="G3719">
        <v>-215956100</v>
      </c>
      <c r="H3719">
        <v>-34171932</v>
      </c>
      <c r="P3719">
        <v>69</v>
      </c>
      <c r="Q3719" t="s">
        <v>7485</v>
      </c>
    </row>
    <row r="3720" spans="1:17" x14ac:dyDescent="0.3">
      <c r="A3720" t="s">
        <v>32</v>
      </c>
      <c r="B3720" t="str">
        <f>"000899"</f>
        <v>000899</v>
      </c>
      <c r="C3720" t="s">
        <v>7486</v>
      </c>
      <c r="D3720" t="s">
        <v>158</v>
      </c>
      <c r="E3720">
        <v>-189303867</v>
      </c>
      <c r="F3720">
        <v>-295526671</v>
      </c>
      <c r="G3720">
        <v>52325462</v>
      </c>
      <c r="H3720">
        <v>201965316</v>
      </c>
      <c r="I3720">
        <v>28414595</v>
      </c>
      <c r="J3720">
        <v>292850784</v>
      </c>
      <c r="K3720">
        <v>126085675</v>
      </c>
      <c r="L3720">
        <v>258390438</v>
      </c>
      <c r="M3720">
        <v>266279600</v>
      </c>
      <c r="N3720">
        <v>149629734</v>
      </c>
      <c r="O3720">
        <v>254413537</v>
      </c>
      <c r="P3720">
        <v>174</v>
      </c>
      <c r="Q3720" t="s">
        <v>7487</v>
      </c>
    </row>
    <row r="3721" spans="1:17" x14ac:dyDescent="0.3">
      <c r="A3721" t="s">
        <v>32</v>
      </c>
      <c r="B3721" t="str">
        <f>"002234"</f>
        <v>002234</v>
      </c>
      <c r="C3721" t="s">
        <v>7488</v>
      </c>
      <c r="D3721" t="s">
        <v>175</v>
      </c>
      <c r="E3721">
        <v>-189337350</v>
      </c>
      <c r="F3721">
        <v>39827545</v>
      </c>
      <c r="G3721">
        <v>30085549</v>
      </c>
      <c r="H3721">
        <v>358109114</v>
      </c>
      <c r="I3721">
        <v>-74410219</v>
      </c>
      <c r="J3721">
        <v>-128100860</v>
      </c>
      <c r="K3721">
        <v>-23029135</v>
      </c>
      <c r="L3721">
        <v>146022912</v>
      </c>
      <c r="M3721">
        <v>-59299434</v>
      </c>
      <c r="N3721">
        <v>-94275414</v>
      </c>
      <c r="O3721">
        <v>-46055253</v>
      </c>
      <c r="P3721">
        <v>577</v>
      </c>
      <c r="Q3721" t="s">
        <v>7489</v>
      </c>
    </row>
    <row r="3722" spans="1:17" x14ac:dyDescent="0.3">
      <c r="A3722" t="s">
        <v>32</v>
      </c>
      <c r="B3722" t="str">
        <f>"002775"</f>
        <v>002775</v>
      </c>
      <c r="C3722" t="s">
        <v>7490</v>
      </c>
      <c r="D3722" t="s">
        <v>645</v>
      </c>
      <c r="E3722">
        <v>-189579777</v>
      </c>
      <c r="F3722">
        <v>-222122104</v>
      </c>
      <c r="G3722">
        <v>-229489816</v>
      </c>
      <c r="H3722">
        <v>-42226025</v>
      </c>
      <c r="I3722">
        <v>-197615676</v>
      </c>
      <c r="J3722">
        <v>-222287497</v>
      </c>
      <c r="K3722">
        <v>-37903997</v>
      </c>
      <c r="L3722">
        <v>-88764600</v>
      </c>
      <c r="M3722">
        <v>-107307500</v>
      </c>
      <c r="P3722">
        <v>218</v>
      </c>
      <c r="Q3722" t="s">
        <v>7491</v>
      </c>
    </row>
    <row r="3723" spans="1:17" x14ac:dyDescent="0.3">
      <c r="A3723" t="s">
        <v>32</v>
      </c>
      <c r="B3723" t="str">
        <f>"300881"</f>
        <v>300881</v>
      </c>
      <c r="C3723" t="s">
        <v>7492</v>
      </c>
      <c r="D3723" t="s">
        <v>163</v>
      </c>
      <c r="E3723">
        <v>-189748674</v>
      </c>
      <c r="F3723">
        <v>-30490611</v>
      </c>
      <c r="G3723">
        <v>-35739926</v>
      </c>
      <c r="P3723">
        <v>31</v>
      </c>
      <c r="Q3723" t="s">
        <v>7493</v>
      </c>
    </row>
    <row r="3724" spans="1:17" x14ac:dyDescent="0.3">
      <c r="A3724" t="s">
        <v>17</v>
      </c>
      <c r="B3724" t="str">
        <f>"900925"</f>
        <v>900925</v>
      </c>
      <c r="C3724" t="s">
        <v>7494</v>
      </c>
      <c r="E3724">
        <v>-190085182.90830001</v>
      </c>
      <c r="F3724">
        <v>-231882278.42399999</v>
      </c>
      <c r="G3724">
        <v>-259243380.1444</v>
      </c>
      <c r="H3724">
        <v>-244895703.27599999</v>
      </c>
      <c r="I3724">
        <v>-199556939.36480001</v>
      </c>
      <c r="J3724">
        <v>-43882200.978</v>
      </c>
      <c r="K3724">
        <v>-1250563.4639999999</v>
      </c>
      <c r="L3724">
        <v>-37177461.481600001</v>
      </c>
      <c r="M3724">
        <v>-19188389.423999999</v>
      </c>
      <c r="N3724">
        <v>-112396293.947</v>
      </c>
      <c r="O3724">
        <v>-24413817.196400002</v>
      </c>
      <c r="P3724">
        <v>83</v>
      </c>
      <c r="Q3724" t="s">
        <v>7495</v>
      </c>
    </row>
    <row r="3725" spans="1:17" x14ac:dyDescent="0.3">
      <c r="A3725" t="s">
        <v>32</v>
      </c>
      <c r="B3725" t="str">
        <f>"002403"</f>
        <v>002403</v>
      </c>
      <c r="C3725" t="s">
        <v>7496</v>
      </c>
      <c r="D3725" t="s">
        <v>127</v>
      </c>
      <c r="E3725">
        <v>-190139684</v>
      </c>
      <c r="F3725">
        <v>-128218764</v>
      </c>
      <c r="G3725">
        <v>34231656</v>
      </c>
      <c r="H3725">
        <v>-151857137</v>
      </c>
      <c r="I3725">
        <v>1720798</v>
      </c>
      <c r="J3725">
        <v>22881979</v>
      </c>
      <c r="K3725">
        <v>63276907</v>
      </c>
      <c r="L3725">
        <v>2654476</v>
      </c>
      <c r="M3725">
        <v>30678213</v>
      </c>
      <c r="N3725">
        <v>35313659</v>
      </c>
      <c r="O3725">
        <v>32804769</v>
      </c>
      <c r="P3725">
        <v>151</v>
      </c>
      <c r="Q3725" t="s">
        <v>7497</v>
      </c>
    </row>
    <row r="3726" spans="1:17" x14ac:dyDescent="0.3">
      <c r="A3726" t="s">
        <v>32</v>
      </c>
      <c r="B3726" t="str">
        <f>"000988"</f>
        <v>000988</v>
      </c>
      <c r="C3726" t="s">
        <v>7498</v>
      </c>
      <c r="D3726" t="s">
        <v>135</v>
      </c>
      <c r="E3726">
        <v>-190354489</v>
      </c>
      <c r="F3726">
        <v>-278396660</v>
      </c>
      <c r="G3726">
        <v>-106313795</v>
      </c>
      <c r="H3726">
        <v>-162847434</v>
      </c>
      <c r="I3726">
        <v>-448794848</v>
      </c>
      <c r="J3726">
        <v>-396292372</v>
      </c>
      <c r="K3726">
        <v>-92559275</v>
      </c>
      <c r="L3726">
        <v>-192877840</v>
      </c>
      <c r="M3726">
        <v>-152493893</v>
      </c>
      <c r="N3726">
        <v>-60443285</v>
      </c>
      <c r="O3726">
        <v>-70874209</v>
      </c>
      <c r="P3726">
        <v>711</v>
      </c>
      <c r="Q3726" t="s">
        <v>7499</v>
      </c>
    </row>
    <row r="3727" spans="1:17" x14ac:dyDescent="0.3">
      <c r="A3727" t="s">
        <v>17</v>
      </c>
      <c r="B3727" t="str">
        <f>"600611"</f>
        <v>600611</v>
      </c>
      <c r="C3727" t="s">
        <v>7500</v>
      </c>
      <c r="D3727" t="s">
        <v>46</v>
      </c>
      <c r="E3727">
        <v>-190364274</v>
      </c>
      <c r="F3727">
        <v>188621754</v>
      </c>
      <c r="G3727">
        <v>-522142865</v>
      </c>
      <c r="H3727">
        <v>-1079805036</v>
      </c>
      <c r="I3727">
        <v>-20049815</v>
      </c>
      <c r="J3727">
        <v>-40793231</v>
      </c>
      <c r="K3727">
        <v>63626577</v>
      </c>
      <c r="L3727">
        <v>132092156</v>
      </c>
      <c r="M3727">
        <v>-145836169</v>
      </c>
      <c r="N3727">
        <v>-72851992</v>
      </c>
      <c r="O3727">
        <v>-421478934</v>
      </c>
      <c r="P3727">
        <v>243</v>
      </c>
      <c r="Q3727" t="s">
        <v>7501</v>
      </c>
    </row>
    <row r="3728" spans="1:17" x14ac:dyDescent="0.3">
      <c r="A3728" t="s">
        <v>17</v>
      </c>
      <c r="B3728" t="str">
        <f>"603212"</f>
        <v>603212</v>
      </c>
      <c r="C3728" t="s">
        <v>7502</v>
      </c>
      <c r="D3728" t="s">
        <v>464</v>
      </c>
      <c r="E3728">
        <v>-191163231</v>
      </c>
      <c r="F3728">
        <v>-390476284</v>
      </c>
      <c r="G3728">
        <v>54854207</v>
      </c>
      <c r="H3728">
        <v>-1314969</v>
      </c>
      <c r="P3728">
        <v>130</v>
      </c>
      <c r="Q3728" t="s">
        <v>7503</v>
      </c>
    </row>
    <row r="3729" spans="1:17" x14ac:dyDescent="0.3">
      <c r="A3729" t="s">
        <v>17</v>
      </c>
      <c r="B3729" t="str">
        <f>"601500"</f>
        <v>601500</v>
      </c>
      <c r="C3729" t="s">
        <v>7504</v>
      </c>
      <c r="D3729" t="s">
        <v>199</v>
      </c>
      <c r="E3729">
        <v>-191290736</v>
      </c>
      <c r="F3729">
        <v>-154648831</v>
      </c>
      <c r="G3729">
        <v>-180596088</v>
      </c>
      <c r="H3729">
        <v>-183181170</v>
      </c>
      <c r="I3729">
        <v>-200001663</v>
      </c>
      <c r="J3729">
        <v>-62249020</v>
      </c>
      <c r="K3729">
        <v>230226995</v>
      </c>
      <c r="P3729">
        <v>85</v>
      </c>
      <c r="Q3729" t="s">
        <v>7505</v>
      </c>
    </row>
    <row r="3730" spans="1:17" x14ac:dyDescent="0.3">
      <c r="A3730" t="s">
        <v>17</v>
      </c>
      <c r="B3730" t="str">
        <f>"600817"</f>
        <v>600817</v>
      </c>
      <c r="C3730" t="s">
        <v>7506</v>
      </c>
      <c r="D3730" t="s">
        <v>135</v>
      </c>
      <c r="E3730">
        <v>-191334241</v>
      </c>
      <c r="F3730">
        <v>-238481794</v>
      </c>
      <c r="G3730">
        <v>9400582</v>
      </c>
      <c r="H3730">
        <v>2444819</v>
      </c>
      <c r="I3730">
        <v>-3526652</v>
      </c>
      <c r="J3730">
        <v>-976270</v>
      </c>
      <c r="K3730">
        <v>-97984317</v>
      </c>
      <c r="L3730">
        <v>-40626235</v>
      </c>
      <c r="M3730">
        <v>-20490249</v>
      </c>
      <c r="N3730">
        <v>-62756794</v>
      </c>
      <c r="O3730">
        <v>-469569</v>
      </c>
      <c r="P3730">
        <v>102</v>
      </c>
      <c r="Q3730" t="s">
        <v>7507</v>
      </c>
    </row>
    <row r="3731" spans="1:17" x14ac:dyDescent="0.3">
      <c r="A3731" t="s">
        <v>17</v>
      </c>
      <c r="B3731" t="str">
        <f>"600727"</f>
        <v>600727</v>
      </c>
      <c r="C3731" t="s">
        <v>7508</v>
      </c>
      <c r="D3731" t="s">
        <v>144</v>
      </c>
      <c r="E3731">
        <v>-191511431</v>
      </c>
      <c r="F3731">
        <v>34613015</v>
      </c>
      <c r="G3731">
        <v>28857803</v>
      </c>
      <c r="H3731">
        <v>10849713</v>
      </c>
      <c r="I3731">
        <v>-4662158</v>
      </c>
      <c r="J3731">
        <v>135688186</v>
      </c>
      <c r="K3731">
        <v>37174694</v>
      </c>
      <c r="L3731">
        <v>12445551</v>
      </c>
      <c r="M3731">
        <v>29436789</v>
      </c>
      <c r="N3731">
        <v>-21985936</v>
      </c>
      <c r="O3731">
        <v>33716957</v>
      </c>
      <c r="P3731">
        <v>138</v>
      </c>
      <c r="Q3731" t="s">
        <v>7509</v>
      </c>
    </row>
    <row r="3732" spans="1:17" x14ac:dyDescent="0.3">
      <c r="A3732" t="s">
        <v>32</v>
      </c>
      <c r="B3732" t="str">
        <f>"300422"</f>
        <v>300422</v>
      </c>
      <c r="C3732" t="s">
        <v>7510</v>
      </c>
      <c r="D3732" t="s">
        <v>1334</v>
      </c>
      <c r="E3732">
        <v>-191522200</v>
      </c>
      <c r="F3732">
        <v>-387697361</v>
      </c>
      <c r="G3732">
        <v>-336815264</v>
      </c>
      <c r="H3732">
        <v>-338183683</v>
      </c>
      <c r="I3732">
        <v>-411297017</v>
      </c>
      <c r="J3732">
        <v>-327280544</v>
      </c>
      <c r="K3732">
        <v>-61888811</v>
      </c>
      <c r="L3732">
        <v>-64105010</v>
      </c>
      <c r="M3732">
        <v>-31664188</v>
      </c>
      <c r="P3732">
        <v>331</v>
      </c>
      <c r="Q3732" t="s">
        <v>7511</v>
      </c>
    </row>
    <row r="3733" spans="1:17" x14ac:dyDescent="0.3">
      <c r="A3733" t="s">
        <v>17</v>
      </c>
      <c r="B3733" t="str">
        <f>"600626"</f>
        <v>600626</v>
      </c>
      <c r="C3733" t="s">
        <v>7512</v>
      </c>
      <c r="D3733" t="s">
        <v>199</v>
      </c>
      <c r="E3733">
        <v>-191859490</v>
      </c>
      <c r="F3733">
        <v>-193822825</v>
      </c>
      <c r="G3733">
        <v>-342395303</v>
      </c>
      <c r="H3733">
        <v>-431328229</v>
      </c>
      <c r="I3733">
        <v>-430438600</v>
      </c>
      <c r="J3733">
        <v>-78201610</v>
      </c>
      <c r="K3733">
        <v>-116639739</v>
      </c>
      <c r="L3733">
        <v>-37260742</v>
      </c>
      <c r="M3733">
        <v>-386590001</v>
      </c>
      <c r="N3733">
        <v>-230839970</v>
      </c>
      <c r="O3733">
        <v>-51540150</v>
      </c>
      <c r="P3733">
        <v>93</v>
      </c>
      <c r="Q3733" t="s">
        <v>7513</v>
      </c>
    </row>
    <row r="3734" spans="1:17" x14ac:dyDescent="0.3">
      <c r="A3734" t="s">
        <v>32</v>
      </c>
      <c r="B3734" t="str">
        <f>"002853"</f>
        <v>002853</v>
      </c>
      <c r="C3734" t="s">
        <v>7514</v>
      </c>
      <c r="D3734" t="s">
        <v>455</v>
      </c>
      <c r="E3734">
        <v>-192037200</v>
      </c>
      <c r="F3734">
        <v>-435693221</v>
      </c>
      <c r="G3734">
        <v>-229054304</v>
      </c>
      <c r="H3734">
        <v>-135703108</v>
      </c>
      <c r="I3734">
        <v>-102157993</v>
      </c>
      <c r="J3734">
        <v>-61593202</v>
      </c>
      <c r="K3734">
        <v>-70288906</v>
      </c>
      <c r="P3734">
        <v>379</v>
      </c>
      <c r="Q3734" t="s">
        <v>7515</v>
      </c>
    </row>
    <row r="3735" spans="1:17" x14ac:dyDescent="0.3">
      <c r="A3735" t="s">
        <v>17</v>
      </c>
      <c r="B3735" t="str">
        <f>"600604"</f>
        <v>600604</v>
      </c>
      <c r="C3735" t="s">
        <v>7516</v>
      </c>
      <c r="D3735" t="s">
        <v>151</v>
      </c>
      <c r="E3735">
        <v>-192047801</v>
      </c>
      <c r="F3735">
        <v>-392701181</v>
      </c>
      <c r="G3735">
        <v>-174542347</v>
      </c>
      <c r="H3735">
        <v>-571868292</v>
      </c>
      <c r="I3735">
        <v>-427505020</v>
      </c>
      <c r="J3735">
        <v>-550955857</v>
      </c>
      <c r="K3735">
        <v>-1359576474</v>
      </c>
      <c r="L3735">
        <v>-532193081</v>
      </c>
      <c r="M3735">
        <v>-78710534</v>
      </c>
      <c r="N3735">
        <v>-66859458</v>
      </c>
      <c r="O3735">
        <v>-35160341</v>
      </c>
      <c r="P3735">
        <v>138</v>
      </c>
      <c r="Q3735" t="s">
        <v>7517</v>
      </c>
    </row>
    <row r="3736" spans="1:17" x14ac:dyDescent="0.3">
      <c r="A3736" t="s">
        <v>32</v>
      </c>
      <c r="B3736" t="str">
        <f>"002054"</f>
        <v>002054</v>
      </c>
      <c r="C3736" t="s">
        <v>7518</v>
      </c>
      <c r="D3736" t="s">
        <v>144</v>
      </c>
      <c r="E3736">
        <v>-192816413</v>
      </c>
      <c r="F3736">
        <v>-294899190</v>
      </c>
      <c r="G3736">
        <v>-94573169</v>
      </c>
      <c r="H3736">
        <v>6435892</v>
      </c>
      <c r="I3736">
        <v>-32248985</v>
      </c>
      <c r="J3736">
        <v>-56866796</v>
      </c>
      <c r="K3736">
        <v>-23415013</v>
      </c>
      <c r="L3736">
        <v>-39361005</v>
      </c>
      <c r="M3736">
        <v>-6982797</v>
      </c>
      <c r="N3736">
        <v>-20606425</v>
      </c>
      <c r="O3736">
        <v>31955216</v>
      </c>
      <c r="P3736">
        <v>111</v>
      </c>
      <c r="Q3736" t="s">
        <v>7519</v>
      </c>
    </row>
    <row r="3737" spans="1:17" x14ac:dyDescent="0.3">
      <c r="A3737" t="s">
        <v>32</v>
      </c>
      <c r="B3737" t="str">
        <f>"002068"</f>
        <v>002068</v>
      </c>
      <c r="C3737" t="s">
        <v>7520</v>
      </c>
      <c r="D3737" t="s">
        <v>144</v>
      </c>
      <c r="E3737">
        <v>-193146049</v>
      </c>
      <c r="F3737">
        <v>-22610697</v>
      </c>
      <c r="G3737">
        <v>-371614026</v>
      </c>
      <c r="H3737">
        <v>-109987547</v>
      </c>
      <c r="I3737">
        <v>60646185</v>
      </c>
      <c r="J3737">
        <v>-162095040</v>
      </c>
      <c r="K3737">
        <v>87954524</v>
      </c>
      <c r="L3737">
        <v>-591179796</v>
      </c>
      <c r="M3737">
        <v>325410119</v>
      </c>
      <c r="N3737">
        <v>-278469737</v>
      </c>
      <c r="O3737">
        <v>-64232746</v>
      </c>
      <c r="P3737">
        <v>300</v>
      </c>
      <c r="Q3737" t="s">
        <v>7521</v>
      </c>
    </row>
    <row r="3738" spans="1:17" x14ac:dyDescent="0.3">
      <c r="A3738" t="s">
        <v>32</v>
      </c>
      <c r="B3738" t="str">
        <f>"200771"</f>
        <v>200771</v>
      </c>
      <c r="C3738" t="s">
        <v>7522</v>
      </c>
      <c r="E3738">
        <v>-193219595.366</v>
      </c>
      <c r="F3738">
        <v>53039306.468999997</v>
      </c>
      <c r="G3738">
        <v>75852413.023499995</v>
      </c>
      <c r="H3738">
        <v>-164875029.29010001</v>
      </c>
      <c r="I3738">
        <v>32599124.436000001</v>
      </c>
      <c r="J3738">
        <v>-248864678.43279999</v>
      </c>
      <c r="K3738">
        <v>-10389142.725</v>
      </c>
      <c r="L3738">
        <v>-79811765</v>
      </c>
      <c r="M3738">
        <v>79354044.143199995</v>
      </c>
      <c r="N3738">
        <v>129609257.95020001</v>
      </c>
      <c r="O3738">
        <v>171179802.98100001</v>
      </c>
      <c r="P3738">
        <v>65</v>
      </c>
      <c r="Q3738" t="s">
        <v>7523</v>
      </c>
    </row>
    <row r="3739" spans="1:17" x14ac:dyDescent="0.3">
      <c r="A3739" t="s">
        <v>32</v>
      </c>
      <c r="B3739" t="str">
        <f>"002713"</f>
        <v>002713</v>
      </c>
      <c r="C3739" t="s">
        <v>7524</v>
      </c>
      <c r="D3739" t="s">
        <v>645</v>
      </c>
      <c r="E3739">
        <v>-193511043</v>
      </c>
      <c r="F3739">
        <v>-97438487</v>
      </c>
      <c r="G3739">
        <v>-202820179</v>
      </c>
      <c r="H3739">
        <v>6102647</v>
      </c>
      <c r="I3739">
        <v>-42885707</v>
      </c>
      <c r="J3739">
        <v>84410635</v>
      </c>
      <c r="K3739">
        <v>9090581</v>
      </c>
      <c r="L3739">
        <v>-110292119</v>
      </c>
      <c r="M3739">
        <v>-98547054</v>
      </c>
      <c r="N3739">
        <v>-15639701</v>
      </c>
      <c r="P3739">
        <v>268</v>
      </c>
      <c r="Q3739" t="s">
        <v>7525</v>
      </c>
    </row>
    <row r="3740" spans="1:17" x14ac:dyDescent="0.3">
      <c r="A3740" t="s">
        <v>17</v>
      </c>
      <c r="B3740" t="str">
        <f>"603739"</f>
        <v>603739</v>
      </c>
      <c r="C3740" t="s">
        <v>7526</v>
      </c>
      <c r="D3740" t="s">
        <v>175</v>
      </c>
      <c r="E3740">
        <v>-193688914</v>
      </c>
      <c r="F3740">
        <v>-96384307</v>
      </c>
      <c r="G3740">
        <v>-32465799</v>
      </c>
      <c r="H3740">
        <v>-51919749</v>
      </c>
      <c r="I3740">
        <v>-73783265</v>
      </c>
      <c r="P3740">
        <v>123</v>
      </c>
      <c r="Q3740" t="s">
        <v>7527</v>
      </c>
    </row>
    <row r="3741" spans="1:17" x14ac:dyDescent="0.3">
      <c r="A3741" t="s">
        <v>17</v>
      </c>
      <c r="B3741" t="str">
        <f>"605319"</f>
        <v>605319</v>
      </c>
      <c r="C3741" t="s">
        <v>7528</v>
      </c>
      <c r="D3741" t="s">
        <v>199</v>
      </c>
      <c r="E3741">
        <v>-193841771</v>
      </c>
      <c r="F3741">
        <v>17906323</v>
      </c>
      <c r="G3741">
        <v>-17253874</v>
      </c>
      <c r="P3741">
        <v>22</v>
      </c>
      <c r="Q3741" t="s">
        <v>7529</v>
      </c>
    </row>
    <row r="3742" spans="1:17" x14ac:dyDescent="0.3">
      <c r="A3742" t="s">
        <v>32</v>
      </c>
      <c r="B3742" t="str">
        <f>"002056"</f>
        <v>002056</v>
      </c>
      <c r="C3742" t="s">
        <v>7530</v>
      </c>
      <c r="D3742" t="s">
        <v>121</v>
      </c>
      <c r="E3742">
        <v>-194692769</v>
      </c>
      <c r="F3742">
        <v>66836013</v>
      </c>
      <c r="G3742">
        <v>62228595</v>
      </c>
      <c r="H3742">
        <v>78729070</v>
      </c>
      <c r="I3742">
        <v>-11027834</v>
      </c>
      <c r="J3742">
        <v>-124994686</v>
      </c>
      <c r="K3742">
        <v>32979636</v>
      </c>
      <c r="L3742">
        <v>126353303</v>
      </c>
      <c r="M3742">
        <v>108520157</v>
      </c>
      <c r="N3742">
        <v>137035126</v>
      </c>
      <c r="O3742">
        <v>-31013054</v>
      </c>
      <c r="P3742">
        <v>782</v>
      </c>
      <c r="Q3742" t="s">
        <v>7531</v>
      </c>
    </row>
    <row r="3743" spans="1:17" x14ac:dyDescent="0.3">
      <c r="A3743" t="s">
        <v>17</v>
      </c>
      <c r="B3743" t="str">
        <f>"600408"</f>
        <v>600408</v>
      </c>
      <c r="C3743" t="s">
        <v>7532</v>
      </c>
      <c r="D3743" t="s">
        <v>73</v>
      </c>
      <c r="E3743">
        <v>-194976097</v>
      </c>
      <c r="F3743">
        <v>163610924</v>
      </c>
      <c r="G3743">
        <v>205864925</v>
      </c>
      <c r="H3743">
        <v>49534277</v>
      </c>
      <c r="I3743">
        <v>34945326</v>
      </c>
      <c r="J3743">
        <v>126072028</v>
      </c>
      <c r="K3743">
        <v>-81051157</v>
      </c>
      <c r="L3743">
        <v>-151506558</v>
      </c>
      <c r="M3743">
        <v>6849052</v>
      </c>
      <c r="N3743">
        <v>243274822</v>
      </c>
      <c r="O3743">
        <v>88041381</v>
      </c>
      <c r="P3743">
        <v>93</v>
      </c>
      <c r="Q3743" t="s">
        <v>7533</v>
      </c>
    </row>
    <row r="3744" spans="1:17" x14ac:dyDescent="0.3">
      <c r="A3744" t="s">
        <v>17</v>
      </c>
      <c r="B3744" t="str">
        <f>"600955"</f>
        <v>600955</v>
      </c>
      <c r="C3744" t="s">
        <v>7534</v>
      </c>
      <c r="D3744" t="s">
        <v>144</v>
      </c>
      <c r="E3744">
        <v>-195172971</v>
      </c>
      <c r="P3744">
        <v>47</v>
      </c>
      <c r="Q3744" t="s">
        <v>7535</v>
      </c>
    </row>
    <row r="3745" spans="1:17" x14ac:dyDescent="0.3">
      <c r="A3745" t="s">
        <v>17</v>
      </c>
      <c r="B3745" t="str">
        <f>"900909"</f>
        <v>900909</v>
      </c>
      <c r="C3745" t="s">
        <v>7536</v>
      </c>
      <c r="E3745">
        <v>-195332112.0226</v>
      </c>
      <c r="F3745">
        <v>-159333088.54679999</v>
      </c>
      <c r="G3745">
        <v>-145776029.6169</v>
      </c>
      <c r="H3745">
        <v>-85672411.870000005</v>
      </c>
      <c r="I3745">
        <v>-252610623.33419999</v>
      </c>
      <c r="J3745">
        <v>93638860.431600004</v>
      </c>
      <c r="K3745">
        <v>38078674.328500003</v>
      </c>
      <c r="L3745">
        <v>39713847.526600003</v>
      </c>
      <c r="M3745">
        <v>-71102689.684799999</v>
      </c>
      <c r="N3745">
        <v>-83808137.195999995</v>
      </c>
      <c r="O3745">
        <v>-66892687.774400003</v>
      </c>
      <c r="P3745">
        <v>24</v>
      </c>
      <c r="Q3745" t="s">
        <v>7537</v>
      </c>
    </row>
    <row r="3746" spans="1:17" x14ac:dyDescent="0.3">
      <c r="A3746" t="s">
        <v>32</v>
      </c>
      <c r="B3746" t="str">
        <f>"002003"</f>
        <v>002003</v>
      </c>
      <c r="C3746" t="s">
        <v>7538</v>
      </c>
      <c r="D3746" t="s">
        <v>130</v>
      </c>
      <c r="E3746">
        <v>-195366199</v>
      </c>
      <c r="F3746">
        <v>-140886391</v>
      </c>
      <c r="G3746">
        <v>-9418562</v>
      </c>
      <c r="H3746">
        <v>-78650847</v>
      </c>
      <c r="I3746">
        <v>-120419717</v>
      </c>
      <c r="J3746">
        <v>-97173940</v>
      </c>
      <c r="K3746">
        <v>-33586209</v>
      </c>
      <c r="L3746">
        <v>-56527412</v>
      </c>
      <c r="M3746">
        <v>-48210828</v>
      </c>
      <c r="N3746">
        <v>-81587209</v>
      </c>
      <c r="O3746">
        <v>-78930105</v>
      </c>
      <c r="P3746">
        <v>761</v>
      </c>
      <c r="Q3746" t="s">
        <v>7539</v>
      </c>
    </row>
    <row r="3747" spans="1:17" x14ac:dyDescent="0.3">
      <c r="A3747" t="s">
        <v>32</v>
      </c>
      <c r="B3747" t="str">
        <f>"002279"</f>
        <v>002279</v>
      </c>
      <c r="C3747" t="s">
        <v>7540</v>
      </c>
      <c r="D3747" t="s">
        <v>342</v>
      </c>
      <c r="E3747">
        <v>-195609182</v>
      </c>
      <c r="F3747">
        <v>-202186269</v>
      </c>
      <c r="G3747">
        <v>-170787660</v>
      </c>
      <c r="H3747">
        <v>-242222674</v>
      </c>
      <c r="I3747">
        <v>-263692175</v>
      </c>
      <c r="J3747">
        <v>-121175545</v>
      </c>
      <c r="K3747">
        <v>-134544298</v>
      </c>
      <c r="L3747">
        <v>-60652160</v>
      </c>
      <c r="M3747">
        <v>-58407216</v>
      </c>
      <c r="N3747">
        <v>-39991538</v>
      </c>
      <c r="O3747">
        <v>-55245652</v>
      </c>
      <c r="P3747">
        <v>323</v>
      </c>
      <c r="Q3747" t="s">
        <v>7541</v>
      </c>
    </row>
    <row r="3748" spans="1:17" x14ac:dyDescent="0.3">
      <c r="A3748" t="s">
        <v>32</v>
      </c>
      <c r="B3748" t="str">
        <f>"000713"</f>
        <v>000713</v>
      </c>
      <c r="C3748" t="s">
        <v>7542</v>
      </c>
      <c r="D3748" t="s">
        <v>175</v>
      </c>
      <c r="E3748">
        <v>-195703682</v>
      </c>
      <c r="F3748">
        <v>-182284367</v>
      </c>
      <c r="G3748">
        <v>-112283828</v>
      </c>
      <c r="H3748">
        <v>-56496891</v>
      </c>
      <c r="I3748">
        <v>-87389041</v>
      </c>
      <c r="J3748">
        <v>-129955489</v>
      </c>
      <c r="K3748">
        <v>-96282557</v>
      </c>
      <c r="L3748">
        <v>-76343485</v>
      </c>
      <c r="M3748">
        <v>-35011751</v>
      </c>
      <c r="N3748">
        <v>-60441468</v>
      </c>
      <c r="O3748">
        <v>-125944168</v>
      </c>
      <c r="P3748">
        <v>237</v>
      </c>
      <c r="Q3748" t="s">
        <v>7543</v>
      </c>
    </row>
    <row r="3749" spans="1:17" x14ac:dyDescent="0.3">
      <c r="A3749" t="s">
        <v>17</v>
      </c>
      <c r="B3749" t="str">
        <f>"688556"</f>
        <v>688556</v>
      </c>
      <c r="C3749" t="s">
        <v>7544</v>
      </c>
      <c r="D3749" t="s">
        <v>464</v>
      </c>
      <c r="E3749">
        <v>-195729843</v>
      </c>
      <c r="F3749">
        <v>-31180584</v>
      </c>
      <c r="G3749">
        <v>24281316</v>
      </c>
      <c r="H3749">
        <v>-48845419</v>
      </c>
      <c r="P3749">
        <v>69</v>
      </c>
      <c r="Q3749" t="s">
        <v>7545</v>
      </c>
    </row>
    <row r="3750" spans="1:17" x14ac:dyDescent="0.3">
      <c r="A3750" t="s">
        <v>17</v>
      </c>
      <c r="B3750" t="str">
        <f>"603129"</f>
        <v>603129</v>
      </c>
      <c r="C3750" t="s">
        <v>7546</v>
      </c>
      <c r="D3750" t="s">
        <v>199</v>
      </c>
      <c r="E3750">
        <v>-195828068</v>
      </c>
      <c r="F3750">
        <v>19276838</v>
      </c>
      <c r="G3750">
        <v>-65870599</v>
      </c>
      <c r="H3750">
        <v>-7082008</v>
      </c>
      <c r="I3750">
        <v>-19669067</v>
      </c>
      <c r="J3750">
        <v>27249861</v>
      </c>
      <c r="K3750">
        <v>39977145</v>
      </c>
      <c r="P3750">
        <v>627</v>
      </c>
      <c r="Q3750" t="s">
        <v>7547</v>
      </c>
    </row>
    <row r="3751" spans="1:17" x14ac:dyDescent="0.3">
      <c r="A3751" t="s">
        <v>17</v>
      </c>
      <c r="B3751" t="str">
        <f>"603230"</f>
        <v>603230</v>
      </c>
      <c r="C3751" t="s">
        <v>7548</v>
      </c>
      <c r="D3751" t="s">
        <v>245</v>
      </c>
      <c r="E3751">
        <v>-196309441</v>
      </c>
      <c r="P3751">
        <v>17</v>
      </c>
      <c r="Q3751" t="s">
        <v>7549</v>
      </c>
    </row>
    <row r="3752" spans="1:17" x14ac:dyDescent="0.3">
      <c r="A3752" t="s">
        <v>17</v>
      </c>
      <c r="B3752" t="str">
        <f>"603357"</f>
        <v>603357</v>
      </c>
      <c r="C3752" t="s">
        <v>7550</v>
      </c>
      <c r="D3752" t="s">
        <v>645</v>
      </c>
      <c r="E3752">
        <v>-196327458</v>
      </c>
      <c r="F3752">
        <v>-186743431</v>
      </c>
      <c r="G3752">
        <v>74259605</v>
      </c>
      <c r="H3752">
        <v>31361402</v>
      </c>
      <c r="I3752">
        <v>-16870848</v>
      </c>
      <c r="J3752">
        <v>-62398291</v>
      </c>
      <c r="K3752">
        <v>37168561</v>
      </c>
      <c r="P3752">
        <v>361</v>
      </c>
      <c r="Q3752" t="s">
        <v>7551</v>
      </c>
    </row>
    <row r="3753" spans="1:17" x14ac:dyDescent="0.3">
      <c r="A3753" t="s">
        <v>17</v>
      </c>
      <c r="B3753" t="str">
        <f>"688669"</f>
        <v>688669</v>
      </c>
      <c r="C3753" t="s">
        <v>7552</v>
      </c>
      <c r="D3753" t="s">
        <v>144</v>
      </c>
      <c r="E3753">
        <v>-196567257</v>
      </c>
      <c r="F3753">
        <v>-152605915</v>
      </c>
      <c r="G3753">
        <v>-17704294</v>
      </c>
      <c r="J3753">
        <v>-58392489</v>
      </c>
      <c r="P3753">
        <v>36</v>
      </c>
      <c r="Q3753" t="s">
        <v>7553</v>
      </c>
    </row>
    <row r="3754" spans="1:17" x14ac:dyDescent="0.3">
      <c r="A3754" t="s">
        <v>32</v>
      </c>
      <c r="B3754" t="str">
        <f>"300007"</f>
        <v>300007</v>
      </c>
      <c r="C3754" t="s">
        <v>7554</v>
      </c>
      <c r="D3754" t="s">
        <v>135</v>
      </c>
      <c r="E3754">
        <v>-196704143</v>
      </c>
      <c r="F3754">
        <v>-198443101</v>
      </c>
      <c r="G3754">
        <v>-121795990</v>
      </c>
      <c r="H3754">
        <v>-11899669</v>
      </c>
      <c r="I3754">
        <v>-106734409</v>
      </c>
      <c r="J3754">
        <v>-181378044</v>
      </c>
      <c r="K3754">
        <v>-108668196</v>
      </c>
      <c r="L3754">
        <v>18024066</v>
      </c>
      <c r="M3754">
        <v>-17725196</v>
      </c>
      <c r="N3754">
        <v>-25854691</v>
      </c>
      <c r="O3754">
        <v>-47569116</v>
      </c>
      <c r="P3754">
        <v>315</v>
      </c>
      <c r="Q3754" t="s">
        <v>7555</v>
      </c>
    </row>
    <row r="3755" spans="1:17" x14ac:dyDescent="0.3">
      <c r="A3755" t="s">
        <v>32</v>
      </c>
      <c r="B3755" t="str">
        <f>"002170"</f>
        <v>002170</v>
      </c>
      <c r="C3755" t="s">
        <v>7556</v>
      </c>
      <c r="D3755" t="s">
        <v>144</v>
      </c>
      <c r="E3755">
        <v>-196754150</v>
      </c>
      <c r="F3755">
        <v>30328324</v>
      </c>
      <c r="G3755">
        <v>130660056</v>
      </c>
      <c r="H3755">
        <v>241780917</v>
      </c>
      <c r="I3755">
        <v>-66170069</v>
      </c>
      <c r="J3755">
        <v>-146699037</v>
      </c>
      <c r="K3755">
        <v>-82880172</v>
      </c>
      <c r="L3755">
        <v>-157437272</v>
      </c>
      <c r="M3755">
        <v>-88957539</v>
      </c>
      <c r="N3755">
        <v>-88564497</v>
      </c>
      <c r="O3755">
        <v>-48476978</v>
      </c>
      <c r="P3755">
        <v>103</v>
      </c>
      <c r="Q3755" t="s">
        <v>7557</v>
      </c>
    </row>
    <row r="3756" spans="1:17" x14ac:dyDescent="0.3">
      <c r="A3756" t="s">
        <v>32</v>
      </c>
      <c r="B3756" t="str">
        <f>"002269"</f>
        <v>002269</v>
      </c>
      <c r="C3756" t="s">
        <v>7558</v>
      </c>
      <c r="D3756" t="s">
        <v>130</v>
      </c>
      <c r="E3756">
        <v>-196780512</v>
      </c>
      <c r="F3756">
        <v>-13581529</v>
      </c>
      <c r="G3756">
        <v>-147829203</v>
      </c>
      <c r="H3756">
        <v>199352273</v>
      </c>
      <c r="I3756">
        <v>155821713</v>
      </c>
      <c r="J3756">
        <v>90221823</v>
      </c>
      <c r="K3756">
        <v>85685586</v>
      </c>
      <c r="L3756">
        <v>308719916</v>
      </c>
      <c r="M3756">
        <v>535240387</v>
      </c>
      <c r="N3756">
        <v>680577830</v>
      </c>
      <c r="O3756">
        <v>885574272</v>
      </c>
      <c r="P3756">
        <v>143</v>
      </c>
      <c r="Q3756" t="s">
        <v>7559</v>
      </c>
    </row>
    <row r="3757" spans="1:17" x14ac:dyDescent="0.3">
      <c r="A3757" t="s">
        <v>17</v>
      </c>
      <c r="B3757" t="str">
        <f>"603187"</f>
        <v>603187</v>
      </c>
      <c r="C3757" t="s">
        <v>7560</v>
      </c>
      <c r="D3757" t="s">
        <v>135</v>
      </c>
      <c r="E3757">
        <v>-197250875</v>
      </c>
      <c r="F3757">
        <v>-192847225</v>
      </c>
      <c r="G3757">
        <v>-93750421</v>
      </c>
      <c r="H3757">
        <v>-65038742</v>
      </c>
      <c r="I3757">
        <v>-25030661</v>
      </c>
      <c r="P3757">
        <v>705</v>
      </c>
      <c r="Q3757" t="s">
        <v>7561</v>
      </c>
    </row>
    <row r="3758" spans="1:17" x14ac:dyDescent="0.3">
      <c r="A3758" t="s">
        <v>17</v>
      </c>
      <c r="B3758" t="str">
        <f>"603329"</f>
        <v>603329</v>
      </c>
      <c r="C3758" t="s">
        <v>7562</v>
      </c>
      <c r="D3758" t="s">
        <v>46</v>
      </c>
      <c r="E3758">
        <v>-197517286</v>
      </c>
      <c r="F3758">
        <v>-161453531</v>
      </c>
      <c r="G3758">
        <v>-124622006</v>
      </c>
      <c r="H3758">
        <v>-17168389</v>
      </c>
      <c r="I3758">
        <v>-178979134</v>
      </c>
      <c r="J3758">
        <v>-53757208</v>
      </c>
      <c r="P3758">
        <v>62</v>
      </c>
      <c r="Q3758" t="s">
        <v>7563</v>
      </c>
    </row>
    <row r="3759" spans="1:17" x14ac:dyDescent="0.3">
      <c r="A3759" t="s">
        <v>32</v>
      </c>
      <c r="B3759" t="str">
        <f>"002642"</f>
        <v>002642</v>
      </c>
      <c r="C3759" t="s">
        <v>7564</v>
      </c>
      <c r="D3759" t="s">
        <v>342</v>
      </c>
      <c r="E3759">
        <v>-197619290</v>
      </c>
      <c r="F3759">
        <v>-347488743</v>
      </c>
      <c r="G3759">
        <v>-192507364</v>
      </c>
      <c r="H3759">
        <v>-341120432</v>
      </c>
      <c r="I3759">
        <v>-486681066</v>
      </c>
      <c r="J3759">
        <v>-208599653</v>
      </c>
      <c r="K3759">
        <v>-165864046</v>
      </c>
      <c r="L3759">
        <v>-265809166</v>
      </c>
      <c r="M3759">
        <v>-163475066</v>
      </c>
      <c r="N3759">
        <v>-129129126</v>
      </c>
      <c r="O3759">
        <v>-74038615</v>
      </c>
      <c r="P3759">
        <v>221</v>
      </c>
      <c r="Q3759" t="s">
        <v>7565</v>
      </c>
    </row>
    <row r="3760" spans="1:17" x14ac:dyDescent="0.3">
      <c r="A3760" t="s">
        <v>32</v>
      </c>
      <c r="B3760" t="str">
        <f>"300604"</f>
        <v>300604</v>
      </c>
      <c r="C3760" t="s">
        <v>7566</v>
      </c>
      <c r="D3760" t="s">
        <v>124</v>
      </c>
      <c r="E3760">
        <v>-197713565</v>
      </c>
      <c r="F3760">
        <v>-83880104</v>
      </c>
      <c r="G3760">
        <v>-34796556</v>
      </c>
      <c r="H3760">
        <v>-20749733</v>
      </c>
      <c r="I3760">
        <v>-11656361</v>
      </c>
      <c r="J3760">
        <v>-28462289</v>
      </c>
      <c r="K3760">
        <v>-3912531</v>
      </c>
      <c r="P3760">
        <v>372</v>
      </c>
      <c r="Q3760" t="s">
        <v>7567</v>
      </c>
    </row>
    <row r="3761" spans="1:17" x14ac:dyDescent="0.3">
      <c r="A3761" t="s">
        <v>32</v>
      </c>
      <c r="B3761" t="str">
        <f>"300114"</f>
        <v>300114</v>
      </c>
      <c r="C3761" t="s">
        <v>7568</v>
      </c>
      <c r="D3761" t="s">
        <v>188</v>
      </c>
      <c r="E3761">
        <v>-198073449</v>
      </c>
      <c r="F3761">
        <v>-161389162</v>
      </c>
      <c r="G3761">
        <v>-107672496</v>
      </c>
      <c r="H3761">
        <v>-25262366</v>
      </c>
      <c r="I3761">
        <v>-80426201</v>
      </c>
      <c r="J3761">
        <v>-84314183</v>
      </c>
      <c r="K3761">
        <v>-49007731</v>
      </c>
      <c r="L3761">
        <v>-58702398</v>
      </c>
      <c r="M3761">
        <v>-45466458</v>
      </c>
      <c r="N3761">
        <v>-35695184</v>
      </c>
      <c r="O3761">
        <v>-27227697</v>
      </c>
      <c r="P3761">
        <v>259</v>
      </c>
      <c r="Q3761" t="s">
        <v>7569</v>
      </c>
    </row>
    <row r="3762" spans="1:17" x14ac:dyDescent="0.3">
      <c r="A3762" t="s">
        <v>17</v>
      </c>
      <c r="B3762" t="str">
        <f>"688285"</f>
        <v>688285</v>
      </c>
      <c r="C3762" t="s">
        <v>7570</v>
      </c>
      <c r="D3762" t="s">
        <v>135</v>
      </c>
      <c r="E3762">
        <v>-198319147</v>
      </c>
      <c r="P3762">
        <v>14</v>
      </c>
      <c r="Q3762" t="s">
        <v>7571</v>
      </c>
    </row>
    <row r="3763" spans="1:17" x14ac:dyDescent="0.3">
      <c r="A3763" t="s">
        <v>32</v>
      </c>
      <c r="B3763" t="str">
        <f>"002777"</f>
        <v>002777</v>
      </c>
      <c r="C3763" t="s">
        <v>7572</v>
      </c>
      <c r="D3763" t="s">
        <v>342</v>
      </c>
      <c r="E3763">
        <v>-198319467</v>
      </c>
      <c r="F3763">
        <v>-136495547</v>
      </c>
      <c r="G3763">
        <v>-127905404</v>
      </c>
      <c r="H3763">
        <v>-100557092</v>
      </c>
      <c r="I3763">
        <v>-160956095</v>
      </c>
      <c r="J3763">
        <v>-69819928</v>
      </c>
      <c r="K3763">
        <v>-51469944</v>
      </c>
      <c r="L3763">
        <v>-46306200</v>
      </c>
      <c r="P3763">
        <v>374</v>
      </c>
      <c r="Q3763" t="s">
        <v>7573</v>
      </c>
    </row>
    <row r="3764" spans="1:17" x14ac:dyDescent="0.3">
      <c r="A3764" t="s">
        <v>17</v>
      </c>
      <c r="B3764" t="str">
        <f>"600794"</f>
        <v>600794</v>
      </c>
      <c r="C3764" t="s">
        <v>7574</v>
      </c>
      <c r="D3764" t="s">
        <v>46</v>
      </c>
      <c r="E3764">
        <v>-198714626</v>
      </c>
      <c r="F3764">
        <v>279692858</v>
      </c>
      <c r="G3764">
        <v>-2275627</v>
      </c>
      <c r="H3764">
        <v>-75101416</v>
      </c>
      <c r="I3764">
        <v>-88244597</v>
      </c>
      <c r="J3764">
        <v>-300783070</v>
      </c>
      <c r="K3764">
        <v>-26358928</v>
      </c>
      <c r="L3764">
        <v>125890212</v>
      </c>
      <c r="M3764">
        <v>-115452774</v>
      </c>
      <c r="N3764">
        <v>27951249</v>
      </c>
      <c r="O3764">
        <v>74490516</v>
      </c>
      <c r="P3764">
        <v>100</v>
      </c>
      <c r="Q3764" t="s">
        <v>7575</v>
      </c>
    </row>
    <row r="3765" spans="1:17" x14ac:dyDescent="0.3">
      <c r="A3765" t="s">
        <v>32</v>
      </c>
      <c r="B3765" t="str">
        <f>"000936"</f>
        <v>000936</v>
      </c>
      <c r="C3765" t="s">
        <v>7576</v>
      </c>
      <c r="D3765" t="s">
        <v>144</v>
      </c>
      <c r="E3765">
        <v>-198934117</v>
      </c>
      <c r="F3765">
        <v>-66141390</v>
      </c>
      <c r="G3765">
        <v>-232976348</v>
      </c>
      <c r="H3765">
        <v>-31744792</v>
      </c>
      <c r="I3765">
        <v>-127497511</v>
      </c>
      <c r="J3765">
        <v>-65503139</v>
      </c>
      <c r="K3765">
        <v>-12554480</v>
      </c>
      <c r="L3765">
        <v>-115251814</v>
      </c>
      <c r="M3765">
        <v>-192504720</v>
      </c>
      <c r="N3765">
        <v>-178645049</v>
      </c>
      <c r="O3765">
        <v>-102958400</v>
      </c>
      <c r="P3765">
        <v>226</v>
      </c>
      <c r="Q3765" t="s">
        <v>7577</v>
      </c>
    </row>
    <row r="3766" spans="1:17" x14ac:dyDescent="0.3">
      <c r="A3766" t="s">
        <v>17</v>
      </c>
      <c r="B3766" t="str">
        <f>"600152"</f>
        <v>600152</v>
      </c>
      <c r="C3766" t="s">
        <v>7578</v>
      </c>
      <c r="D3766" t="s">
        <v>464</v>
      </c>
      <c r="E3766">
        <v>-199273056</v>
      </c>
      <c r="F3766">
        <v>-70527438</v>
      </c>
      <c r="G3766">
        <v>-47274159</v>
      </c>
      <c r="H3766">
        <v>-43063627</v>
      </c>
      <c r="I3766">
        <v>-19095437</v>
      </c>
      <c r="J3766">
        <v>-16391072</v>
      </c>
      <c r="K3766">
        <v>-7566958</v>
      </c>
      <c r="L3766">
        <v>-20494645</v>
      </c>
      <c r="M3766">
        <v>-8490175</v>
      </c>
      <c r="N3766">
        <v>-42256832</v>
      </c>
      <c r="O3766">
        <v>-103862702</v>
      </c>
      <c r="P3766">
        <v>147</v>
      </c>
      <c r="Q3766" t="s">
        <v>7579</v>
      </c>
    </row>
    <row r="3767" spans="1:17" x14ac:dyDescent="0.3">
      <c r="A3767" t="s">
        <v>17</v>
      </c>
      <c r="B3767" t="str">
        <f>"603843"</f>
        <v>603843</v>
      </c>
      <c r="C3767" t="s">
        <v>7580</v>
      </c>
      <c r="D3767" t="s">
        <v>645</v>
      </c>
      <c r="E3767">
        <v>-199340236</v>
      </c>
      <c r="F3767">
        <v>-165707307</v>
      </c>
      <c r="G3767">
        <v>-218713849</v>
      </c>
      <c r="H3767">
        <v>-47835065</v>
      </c>
      <c r="I3767">
        <v>-316944718</v>
      </c>
      <c r="J3767">
        <v>-765581504</v>
      </c>
      <c r="K3767">
        <v>-328443807</v>
      </c>
      <c r="L3767">
        <v>-429215332</v>
      </c>
      <c r="P3767">
        <v>90</v>
      </c>
      <c r="Q3767" t="s">
        <v>7581</v>
      </c>
    </row>
    <row r="3768" spans="1:17" x14ac:dyDescent="0.3">
      <c r="A3768" t="s">
        <v>32</v>
      </c>
      <c r="B3768" t="str">
        <f>"001308"</f>
        <v>001308</v>
      </c>
      <c r="C3768" t="s">
        <v>7582</v>
      </c>
      <c r="E3768">
        <v>-199483010</v>
      </c>
      <c r="F3768">
        <v>20775917</v>
      </c>
      <c r="P3768">
        <v>5</v>
      </c>
      <c r="Q3768" t="s">
        <v>7583</v>
      </c>
    </row>
    <row r="3769" spans="1:17" x14ac:dyDescent="0.3">
      <c r="A3769" t="s">
        <v>32</v>
      </c>
      <c r="B3769" t="str">
        <f>"000692"</f>
        <v>000692</v>
      </c>
      <c r="C3769" t="s">
        <v>7584</v>
      </c>
      <c r="D3769" t="s">
        <v>158</v>
      </c>
      <c r="E3769">
        <v>-199528055</v>
      </c>
      <c r="F3769">
        <v>-68541970</v>
      </c>
      <c r="G3769">
        <v>-371396776</v>
      </c>
      <c r="H3769">
        <v>-548742087</v>
      </c>
      <c r="I3769">
        <v>-449135792</v>
      </c>
      <c r="J3769">
        <v>-541951396</v>
      </c>
      <c r="K3769">
        <v>-541502999</v>
      </c>
      <c r="L3769">
        <v>-529966015</v>
      </c>
      <c r="M3769">
        <v>-378135955</v>
      </c>
      <c r="N3769">
        <v>-218381352</v>
      </c>
      <c r="O3769">
        <v>-358041359</v>
      </c>
      <c r="P3769">
        <v>77</v>
      </c>
      <c r="Q3769" t="s">
        <v>7585</v>
      </c>
    </row>
    <row r="3770" spans="1:17" x14ac:dyDescent="0.3">
      <c r="A3770" t="s">
        <v>32</v>
      </c>
      <c r="B3770" t="str">
        <f>"301098"</f>
        <v>301098</v>
      </c>
      <c r="C3770" t="s">
        <v>7586</v>
      </c>
      <c r="D3770" t="s">
        <v>645</v>
      </c>
      <c r="E3770">
        <v>-199671533</v>
      </c>
      <c r="P3770">
        <v>13</v>
      </c>
      <c r="Q3770" t="s">
        <v>7587</v>
      </c>
    </row>
    <row r="3771" spans="1:17" x14ac:dyDescent="0.3">
      <c r="A3771" t="s">
        <v>32</v>
      </c>
      <c r="B3771" t="str">
        <f>"300702"</f>
        <v>300702</v>
      </c>
      <c r="C3771" t="s">
        <v>7588</v>
      </c>
      <c r="D3771" t="s">
        <v>98</v>
      </c>
      <c r="E3771">
        <v>-199755264</v>
      </c>
      <c r="F3771">
        <v>-318802061</v>
      </c>
      <c r="G3771">
        <v>132553416</v>
      </c>
      <c r="H3771">
        <v>3746692</v>
      </c>
      <c r="I3771">
        <v>-69354027</v>
      </c>
      <c r="J3771">
        <v>-62444001</v>
      </c>
      <c r="P3771">
        <v>411</v>
      </c>
      <c r="Q3771" t="s">
        <v>7589</v>
      </c>
    </row>
    <row r="3772" spans="1:17" x14ac:dyDescent="0.3">
      <c r="A3772" t="s">
        <v>17</v>
      </c>
      <c r="B3772" t="str">
        <f>"603551"</f>
        <v>603551</v>
      </c>
      <c r="C3772" t="s">
        <v>7590</v>
      </c>
      <c r="D3772" t="s">
        <v>127</v>
      </c>
      <c r="E3772">
        <v>-199757405</v>
      </c>
      <c r="F3772">
        <v>-183783245</v>
      </c>
      <c r="G3772">
        <v>-233451592</v>
      </c>
      <c r="H3772">
        <v>-548541</v>
      </c>
      <c r="P3772">
        <v>116</v>
      </c>
      <c r="Q3772" t="s">
        <v>7591</v>
      </c>
    </row>
    <row r="3773" spans="1:17" x14ac:dyDescent="0.3">
      <c r="A3773" t="s">
        <v>17</v>
      </c>
      <c r="B3773" t="str">
        <f>"600518"</f>
        <v>600518</v>
      </c>
      <c r="C3773" t="s">
        <v>7592</v>
      </c>
      <c r="D3773" t="s">
        <v>98</v>
      </c>
      <c r="E3773">
        <v>-200664232</v>
      </c>
      <c r="F3773">
        <v>29131193</v>
      </c>
      <c r="G3773">
        <v>1293002941</v>
      </c>
      <c r="H3773">
        <v>490641649</v>
      </c>
      <c r="I3773">
        <v>644280466</v>
      </c>
      <c r="J3773">
        <v>1240167233</v>
      </c>
      <c r="K3773">
        <v>298045820</v>
      </c>
      <c r="L3773">
        <v>748613063</v>
      </c>
      <c r="M3773">
        <v>-291371069</v>
      </c>
      <c r="N3773">
        <v>464104782</v>
      </c>
      <c r="O3773">
        <v>-612521877</v>
      </c>
      <c r="P3773">
        <v>1483</v>
      </c>
      <c r="Q3773" t="s">
        <v>7593</v>
      </c>
    </row>
    <row r="3774" spans="1:17" x14ac:dyDescent="0.3">
      <c r="A3774" t="s">
        <v>32</v>
      </c>
      <c r="B3774" t="str">
        <f>"002909"</f>
        <v>002909</v>
      </c>
      <c r="C3774" t="s">
        <v>7594</v>
      </c>
      <c r="D3774" t="s">
        <v>144</v>
      </c>
      <c r="E3774">
        <v>-200676653</v>
      </c>
      <c r="F3774">
        <v>-69790371</v>
      </c>
      <c r="G3774">
        <v>-79788385</v>
      </c>
      <c r="H3774">
        <v>-103549355</v>
      </c>
      <c r="I3774">
        <v>-65995538</v>
      </c>
      <c r="J3774">
        <v>17575409</v>
      </c>
      <c r="P3774">
        <v>87</v>
      </c>
      <c r="Q3774" t="s">
        <v>7595</v>
      </c>
    </row>
    <row r="3775" spans="1:17" x14ac:dyDescent="0.3">
      <c r="A3775" t="s">
        <v>32</v>
      </c>
      <c r="B3775" t="str">
        <f>"301136"</f>
        <v>301136</v>
      </c>
      <c r="C3775" t="s">
        <v>7596</v>
      </c>
      <c r="D3775" t="s">
        <v>645</v>
      </c>
      <c r="E3775">
        <v>-201052899</v>
      </c>
      <c r="P3775">
        <v>9</v>
      </c>
      <c r="Q3775" t="s">
        <v>7597</v>
      </c>
    </row>
    <row r="3776" spans="1:17" x14ac:dyDescent="0.3">
      <c r="A3776" t="s">
        <v>32</v>
      </c>
      <c r="B3776" t="str">
        <f>"000505"</f>
        <v>000505</v>
      </c>
      <c r="C3776" t="s">
        <v>7598</v>
      </c>
      <c r="D3776" t="s">
        <v>175</v>
      </c>
      <c r="E3776">
        <v>-201094396</v>
      </c>
      <c r="F3776">
        <v>257844150</v>
      </c>
      <c r="G3776">
        <v>324102516</v>
      </c>
      <c r="H3776">
        <v>155790488</v>
      </c>
      <c r="I3776">
        <v>658689208</v>
      </c>
      <c r="J3776">
        <v>-33372800</v>
      </c>
      <c r="K3776">
        <v>125455395</v>
      </c>
      <c r="L3776">
        <v>-51440893</v>
      </c>
      <c r="M3776">
        <v>-97185253</v>
      </c>
      <c r="N3776">
        <v>-42872746</v>
      </c>
      <c r="O3776">
        <v>-88205507</v>
      </c>
      <c r="P3776">
        <v>193</v>
      </c>
      <c r="Q3776" t="s">
        <v>7599</v>
      </c>
    </row>
    <row r="3777" spans="1:17" x14ac:dyDescent="0.3">
      <c r="A3777" t="s">
        <v>17</v>
      </c>
      <c r="B3777" t="str">
        <f>"600326"</f>
        <v>600326</v>
      </c>
      <c r="C3777" t="s">
        <v>7600</v>
      </c>
      <c r="D3777" t="s">
        <v>400</v>
      </c>
      <c r="E3777">
        <v>-201104209</v>
      </c>
      <c r="F3777">
        <v>-608337631</v>
      </c>
      <c r="G3777">
        <v>-536857495</v>
      </c>
      <c r="H3777">
        <v>-685700664</v>
      </c>
      <c r="I3777">
        <v>-425447008</v>
      </c>
      <c r="J3777">
        <v>-301582533</v>
      </c>
      <c r="K3777">
        <v>-319819134</v>
      </c>
      <c r="L3777">
        <v>-110553667</v>
      </c>
      <c r="M3777">
        <v>-213987781</v>
      </c>
      <c r="N3777">
        <v>-181674890</v>
      </c>
      <c r="O3777">
        <v>-92570400</v>
      </c>
      <c r="P3777">
        <v>275</v>
      </c>
      <c r="Q3777" t="s">
        <v>7601</v>
      </c>
    </row>
    <row r="3778" spans="1:17" x14ac:dyDescent="0.3">
      <c r="A3778" t="s">
        <v>17</v>
      </c>
      <c r="B3778" t="str">
        <f>"688208"</f>
        <v>688208</v>
      </c>
      <c r="C3778" t="s">
        <v>7602</v>
      </c>
      <c r="D3778" t="s">
        <v>342</v>
      </c>
      <c r="E3778">
        <v>-201408667</v>
      </c>
      <c r="F3778">
        <v>-10053965</v>
      </c>
      <c r="G3778">
        <v>129059273</v>
      </c>
      <c r="H3778">
        <v>3672336</v>
      </c>
      <c r="P3778">
        <v>220</v>
      </c>
      <c r="Q3778" t="s">
        <v>7603</v>
      </c>
    </row>
    <row r="3779" spans="1:17" x14ac:dyDescent="0.3">
      <c r="A3779" t="s">
        <v>17</v>
      </c>
      <c r="B3779" t="str">
        <f>"603915"</f>
        <v>603915</v>
      </c>
      <c r="C3779" t="s">
        <v>7604</v>
      </c>
      <c r="D3779" t="s">
        <v>135</v>
      </c>
      <c r="E3779">
        <v>-201829351</v>
      </c>
      <c r="F3779">
        <v>-121434104</v>
      </c>
      <c r="G3779">
        <v>-75970669</v>
      </c>
      <c r="H3779">
        <v>-113086300</v>
      </c>
      <c r="I3779">
        <v>-92346900</v>
      </c>
      <c r="P3779">
        <v>161</v>
      </c>
      <c r="Q3779" t="s">
        <v>7605</v>
      </c>
    </row>
    <row r="3780" spans="1:17" x14ac:dyDescent="0.3">
      <c r="A3780" t="s">
        <v>32</v>
      </c>
      <c r="B3780" t="str">
        <f>"002985"</f>
        <v>002985</v>
      </c>
      <c r="C3780" t="s">
        <v>7606</v>
      </c>
      <c r="D3780" t="s">
        <v>188</v>
      </c>
      <c r="E3780">
        <v>-201878323</v>
      </c>
      <c r="F3780">
        <v>-66964688</v>
      </c>
      <c r="G3780">
        <v>-23916489</v>
      </c>
      <c r="H3780">
        <v>-109673281</v>
      </c>
      <c r="P3780">
        <v>549</v>
      </c>
      <c r="Q3780" t="s">
        <v>7607</v>
      </c>
    </row>
    <row r="3781" spans="1:17" x14ac:dyDescent="0.3">
      <c r="A3781" t="s">
        <v>32</v>
      </c>
      <c r="B3781" t="str">
        <f>"002418"</f>
        <v>002418</v>
      </c>
      <c r="C3781" t="s">
        <v>7608</v>
      </c>
      <c r="D3781" t="s">
        <v>127</v>
      </c>
      <c r="E3781">
        <v>-202011180</v>
      </c>
      <c r="F3781">
        <v>80542798</v>
      </c>
      <c r="G3781">
        <v>47571735</v>
      </c>
      <c r="H3781">
        <v>116121289</v>
      </c>
      <c r="I3781">
        <v>-345257993</v>
      </c>
      <c r="J3781">
        <v>-30017531</v>
      </c>
      <c r="K3781">
        <v>-170410391</v>
      </c>
      <c r="L3781">
        <v>-51593627</v>
      </c>
      <c r="M3781">
        <v>17675176</v>
      </c>
      <c r="N3781">
        <v>-43338137</v>
      </c>
      <c r="O3781">
        <v>-66313272</v>
      </c>
      <c r="P3781">
        <v>94</v>
      </c>
      <c r="Q3781" t="s">
        <v>7609</v>
      </c>
    </row>
    <row r="3782" spans="1:17" x14ac:dyDescent="0.3">
      <c r="A3782" t="s">
        <v>17</v>
      </c>
      <c r="B3782" t="str">
        <f>"603825"</f>
        <v>603825</v>
      </c>
      <c r="C3782" t="s">
        <v>7610</v>
      </c>
      <c r="D3782" t="s">
        <v>245</v>
      </c>
      <c r="E3782">
        <v>-202040313</v>
      </c>
      <c r="F3782">
        <v>370997863</v>
      </c>
      <c r="G3782">
        <v>-308105745</v>
      </c>
      <c r="H3782">
        <v>82931102</v>
      </c>
      <c r="I3782">
        <v>-246874062</v>
      </c>
      <c r="J3782">
        <v>-174657886</v>
      </c>
      <c r="K3782">
        <v>-194949900</v>
      </c>
      <c r="P3782">
        <v>158</v>
      </c>
      <c r="Q3782" t="s">
        <v>7611</v>
      </c>
    </row>
    <row r="3783" spans="1:17" x14ac:dyDescent="0.3">
      <c r="A3783" t="s">
        <v>32</v>
      </c>
      <c r="B3783" t="str">
        <f>"000705"</f>
        <v>000705</v>
      </c>
      <c r="C3783" t="s">
        <v>7612</v>
      </c>
      <c r="D3783" t="s">
        <v>98</v>
      </c>
      <c r="E3783">
        <v>-202140540</v>
      </c>
      <c r="F3783">
        <v>-153636790</v>
      </c>
      <c r="G3783">
        <v>-127304788</v>
      </c>
      <c r="H3783">
        <v>-120643349</v>
      </c>
      <c r="I3783">
        <v>-54038093</v>
      </c>
      <c r="J3783">
        <v>-59136112</v>
      </c>
      <c r="K3783">
        <v>-53818556</v>
      </c>
      <c r="L3783">
        <v>-69191449</v>
      </c>
      <c r="M3783">
        <v>-39718380</v>
      </c>
      <c r="N3783">
        <v>-39011642</v>
      </c>
      <c r="O3783">
        <v>10494867</v>
      </c>
      <c r="P3783">
        <v>107</v>
      </c>
      <c r="Q3783" t="s">
        <v>7613</v>
      </c>
    </row>
    <row r="3784" spans="1:17" x14ac:dyDescent="0.3">
      <c r="A3784" t="s">
        <v>32</v>
      </c>
      <c r="B3784" t="str">
        <f>"000816"</f>
        <v>000816</v>
      </c>
      <c r="C3784" t="s">
        <v>7614</v>
      </c>
      <c r="D3784" t="s">
        <v>199</v>
      </c>
      <c r="E3784">
        <v>-202330832</v>
      </c>
      <c r="F3784">
        <v>349413339</v>
      </c>
      <c r="G3784">
        <v>-13370151</v>
      </c>
      <c r="H3784">
        <v>-67843683</v>
      </c>
      <c r="I3784">
        <v>-81212184</v>
      </c>
      <c r="J3784">
        <v>-9487670</v>
      </c>
      <c r="K3784">
        <v>-5871470</v>
      </c>
      <c r="L3784">
        <v>-127617500</v>
      </c>
      <c r="M3784">
        <v>-202663855</v>
      </c>
      <c r="N3784">
        <v>-154845724</v>
      </c>
      <c r="O3784">
        <v>-53014572</v>
      </c>
      <c r="P3784">
        <v>153</v>
      </c>
      <c r="Q3784" t="s">
        <v>7615</v>
      </c>
    </row>
    <row r="3785" spans="1:17" x14ac:dyDescent="0.3">
      <c r="A3785" t="s">
        <v>32</v>
      </c>
      <c r="B3785" t="str">
        <f>"300305"</f>
        <v>300305</v>
      </c>
      <c r="C3785" t="s">
        <v>7616</v>
      </c>
      <c r="D3785" t="s">
        <v>144</v>
      </c>
      <c r="E3785">
        <v>-202414467</v>
      </c>
      <c r="F3785">
        <v>-78714717</v>
      </c>
      <c r="G3785">
        <v>12100322</v>
      </c>
      <c r="H3785">
        <v>-50261487</v>
      </c>
      <c r="I3785">
        <v>-20097708</v>
      </c>
      <c r="J3785">
        <v>26116820</v>
      </c>
      <c r="K3785">
        <v>50977545</v>
      </c>
      <c r="L3785">
        <v>31292625</v>
      </c>
      <c r="M3785">
        <v>-2560874</v>
      </c>
      <c r="N3785">
        <v>-6323890</v>
      </c>
      <c r="O3785">
        <v>-1182775</v>
      </c>
      <c r="P3785">
        <v>148</v>
      </c>
      <c r="Q3785" t="s">
        <v>7617</v>
      </c>
    </row>
    <row r="3786" spans="1:17" x14ac:dyDescent="0.3">
      <c r="A3786" t="s">
        <v>32</v>
      </c>
      <c r="B3786" t="str">
        <f>"002505"</f>
        <v>002505</v>
      </c>
      <c r="C3786" t="s">
        <v>7618</v>
      </c>
      <c r="D3786" t="s">
        <v>175</v>
      </c>
      <c r="E3786">
        <v>-202451793</v>
      </c>
      <c r="F3786">
        <v>-593819069</v>
      </c>
      <c r="G3786">
        <v>-270527255</v>
      </c>
      <c r="H3786">
        <v>-84025783</v>
      </c>
      <c r="I3786">
        <v>45869723</v>
      </c>
      <c r="J3786">
        <v>-501203054</v>
      </c>
      <c r="K3786">
        <v>-175828861</v>
      </c>
      <c r="L3786">
        <v>-150008941</v>
      </c>
      <c r="M3786">
        <v>-160847073</v>
      </c>
      <c r="N3786">
        <v>-15216834</v>
      </c>
      <c r="O3786">
        <v>17690290</v>
      </c>
      <c r="P3786">
        <v>209</v>
      </c>
      <c r="Q3786" t="s">
        <v>7619</v>
      </c>
    </row>
    <row r="3787" spans="1:17" x14ac:dyDescent="0.3">
      <c r="A3787" t="s">
        <v>17</v>
      </c>
      <c r="B3787" t="str">
        <f>"600894"</f>
        <v>600894</v>
      </c>
      <c r="C3787" t="s">
        <v>7620</v>
      </c>
      <c r="D3787" t="s">
        <v>135</v>
      </c>
      <c r="E3787">
        <v>-203132986</v>
      </c>
      <c r="F3787">
        <v>-174404585</v>
      </c>
      <c r="G3787">
        <v>-129732304</v>
      </c>
      <c r="H3787">
        <v>-216874938</v>
      </c>
      <c r="I3787">
        <v>-84233687</v>
      </c>
      <c r="J3787">
        <v>-81955415</v>
      </c>
      <c r="K3787">
        <v>-190476079</v>
      </c>
      <c r="L3787">
        <v>-202152376</v>
      </c>
      <c r="M3787">
        <v>-196123465</v>
      </c>
      <c r="N3787">
        <v>-82283635</v>
      </c>
      <c r="O3787">
        <v>25173390</v>
      </c>
      <c r="P3787">
        <v>394</v>
      </c>
      <c r="Q3787" t="s">
        <v>7621</v>
      </c>
    </row>
    <row r="3788" spans="1:17" x14ac:dyDescent="0.3">
      <c r="A3788" t="s">
        <v>32</v>
      </c>
      <c r="B3788" t="str">
        <f>"301109"</f>
        <v>301109</v>
      </c>
      <c r="C3788" t="s">
        <v>7622</v>
      </c>
      <c r="E3788">
        <v>-203481464</v>
      </c>
      <c r="F3788">
        <v>-263285088</v>
      </c>
      <c r="P3788">
        <v>3</v>
      </c>
      <c r="Q3788" t="s">
        <v>7623</v>
      </c>
    </row>
    <row r="3789" spans="1:17" x14ac:dyDescent="0.3">
      <c r="A3789" t="s">
        <v>17</v>
      </c>
      <c r="B3789" t="str">
        <f>"601956"</f>
        <v>601956</v>
      </c>
      <c r="C3789" t="s">
        <v>7624</v>
      </c>
      <c r="D3789" t="s">
        <v>127</v>
      </c>
      <c r="E3789">
        <v>-203555455</v>
      </c>
      <c r="F3789">
        <v>532071497</v>
      </c>
      <c r="G3789">
        <v>-140945379</v>
      </c>
      <c r="P3789">
        <v>23</v>
      </c>
      <c r="Q3789" t="s">
        <v>7625</v>
      </c>
    </row>
    <row r="3790" spans="1:17" x14ac:dyDescent="0.3">
      <c r="A3790" t="s">
        <v>32</v>
      </c>
      <c r="B3790" t="str">
        <f>"002261"</f>
        <v>002261</v>
      </c>
      <c r="C3790" t="s">
        <v>7626</v>
      </c>
      <c r="D3790" t="s">
        <v>497</v>
      </c>
      <c r="E3790">
        <v>-203903258</v>
      </c>
      <c r="F3790">
        <v>-200260631</v>
      </c>
      <c r="G3790">
        <v>-170324572</v>
      </c>
      <c r="H3790">
        <v>-96198935</v>
      </c>
      <c r="I3790">
        <v>-77495695</v>
      </c>
      <c r="J3790">
        <v>-56059343</v>
      </c>
      <c r="K3790">
        <v>21210991</v>
      </c>
      <c r="L3790">
        <v>-48677335</v>
      </c>
      <c r="M3790">
        <v>27504772</v>
      </c>
      <c r="N3790">
        <v>-45956528</v>
      </c>
      <c r="O3790">
        <v>-27387873</v>
      </c>
      <c r="P3790">
        <v>299</v>
      </c>
      <c r="Q3790" t="s">
        <v>7627</v>
      </c>
    </row>
    <row r="3791" spans="1:17" x14ac:dyDescent="0.3">
      <c r="A3791" t="s">
        <v>32</v>
      </c>
      <c r="B3791" t="str">
        <f>"300894"</f>
        <v>300894</v>
      </c>
      <c r="C3791" t="s">
        <v>7628</v>
      </c>
      <c r="D3791" t="s">
        <v>127</v>
      </c>
      <c r="E3791">
        <v>-204009387</v>
      </c>
      <c r="F3791">
        <v>-97052728</v>
      </c>
      <c r="G3791">
        <v>-127591926</v>
      </c>
      <c r="P3791">
        <v>232</v>
      </c>
      <c r="Q3791" t="s">
        <v>7629</v>
      </c>
    </row>
    <row r="3792" spans="1:17" x14ac:dyDescent="0.3">
      <c r="A3792" t="s">
        <v>17</v>
      </c>
      <c r="B3792" t="str">
        <f>"688499"</f>
        <v>688499</v>
      </c>
      <c r="C3792" t="s">
        <v>7630</v>
      </c>
      <c r="D3792" t="s">
        <v>464</v>
      </c>
      <c r="E3792">
        <v>-204050228</v>
      </c>
      <c r="F3792">
        <v>-31882952</v>
      </c>
      <c r="G3792">
        <v>-16934368</v>
      </c>
      <c r="P3792">
        <v>66</v>
      </c>
      <c r="Q3792" t="s">
        <v>7631</v>
      </c>
    </row>
    <row r="3793" spans="1:17" x14ac:dyDescent="0.3">
      <c r="A3793" t="s">
        <v>17</v>
      </c>
      <c r="B3793" t="str">
        <f>"600230"</f>
        <v>600230</v>
      </c>
      <c r="C3793" t="s">
        <v>7632</v>
      </c>
      <c r="D3793" t="s">
        <v>144</v>
      </c>
      <c r="E3793">
        <v>-205443822</v>
      </c>
      <c r="F3793">
        <v>-262917117</v>
      </c>
      <c r="G3793">
        <v>-483612669</v>
      </c>
      <c r="H3793">
        <v>64373485</v>
      </c>
      <c r="I3793">
        <v>66449547</v>
      </c>
      <c r="J3793">
        <v>204874575</v>
      </c>
      <c r="K3793">
        <v>24630055</v>
      </c>
      <c r="L3793">
        <v>-49027951</v>
      </c>
      <c r="M3793">
        <v>-147143554</v>
      </c>
      <c r="N3793">
        <v>104823076</v>
      </c>
      <c r="O3793">
        <v>29239626</v>
      </c>
      <c r="P3793">
        <v>382</v>
      </c>
      <c r="Q3793" t="s">
        <v>7633</v>
      </c>
    </row>
    <row r="3794" spans="1:17" x14ac:dyDescent="0.3">
      <c r="A3794" t="s">
        <v>32</v>
      </c>
      <c r="B3794" t="str">
        <f>"002571"</f>
        <v>002571</v>
      </c>
      <c r="C3794" t="s">
        <v>7634</v>
      </c>
      <c r="D3794" t="s">
        <v>455</v>
      </c>
      <c r="E3794">
        <v>-205494892</v>
      </c>
      <c r="F3794">
        <v>-50567496</v>
      </c>
      <c r="G3794">
        <v>-48884750</v>
      </c>
      <c r="H3794">
        <v>-52954157</v>
      </c>
      <c r="I3794">
        <v>-48477774</v>
      </c>
      <c r="J3794">
        <v>10511919</v>
      </c>
      <c r="K3794">
        <v>-24850597</v>
      </c>
      <c r="L3794">
        <v>-24466792</v>
      </c>
      <c r="M3794">
        <v>-42264505</v>
      </c>
      <c r="N3794">
        <v>-49098073</v>
      </c>
      <c r="O3794">
        <v>-45984427</v>
      </c>
      <c r="P3794">
        <v>92</v>
      </c>
      <c r="Q3794" t="s">
        <v>7635</v>
      </c>
    </row>
    <row r="3795" spans="1:17" x14ac:dyDescent="0.3">
      <c r="A3795" t="s">
        <v>17</v>
      </c>
      <c r="B3795" t="str">
        <f>"900911"</f>
        <v>900911</v>
      </c>
      <c r="C3795" t="s">
        <v>7636</v>
      </c>
      <c r="E3795">
        <v>-205519007.35010001</v>
      </c>
      <c r="F3795">
        <v>-102932531.70119999</v>
      </c>
      <c r="G3795">
        <v>-236357642.82190001</v>
      </c>
      <c r="H3795">
        <v>-134696089.54899999</v>
      </c>
      <c r="I3795">
        <v>-113810211.9448</v>
      </c>
      <c r="J3795">
        <v>-1674350.2775999999</v>
      </c>
      <c r="K3795">
        <v>-43661068.184</v>
      </c>
      <c r="L3795">
        <v>-25137171.526900001</v>
      </c>
      <c r="M3795">
        <v>1924207.5719999999</v>
      </c>
      <c r="N3795">
        <v>-21837836.013</v>
      </c>
      <c r="O3795">
        <v>-8906501.2640000004</v>
      </c>
      <c r="P3795">
        <v>73</v>
      </c>
      <c r="Q3795" t="s">
        <v>7637</v>
      </c>
    </row>
    <row r="3796" spans="1:17" x14ac:dyDescent="0.3">
      <c r="A3796" t="s">
        <v>32</v>
      </c>
      <c r="B3796" t="str">
        <f>"300415"</f>
        <v>300415</v>
      </c>
      <c r="C3796" t="s">
        <v>7638</v>
      </c>
      <c r="D3796" t="s">
        <v>135</v>
      </c>
      <c r="E3796">
        <v>-205522520</v>
      </c>
      <c r="F3796">
        <v>-44518028</v>
      </c>
      <c r="G3796">
        <v>-204721337</v>
      </c>
      <c r="H3796">
        <v>-49640923</v>
      </c>
      <c r="I3796">
        <v>-187846390</v>
      </c>
      <c r="J3796">
        <v>-103874584</v>
      </c>
      <c r="K3796">
        <v>-58430326</v>
      </c>
      <c r="L3796">
        <v>-60054710</v>
      </c>
      <c r="M3796">
        <v>-101990872</v>
      </c>
      <c r="P3796">
        <v>549</v>
      </c>
      <c r="Q3796" t="s">
        <v>7639</v>
      </c>
    </row>
    <row r="3797" spans="1:17" x14ac:dyDescent="0.3">
      <c r="A3797" t="s">
        <v>32</v>
      </c>
      <c r="B3797" t="str">
        <f>"002075"</f>
        <v>002075</v>
      </c>
      <c r="C3797" t="s">
        <v>7640</v>
      </c>
      <c r="D3797" t="s">
        <v>163</v>
      </c>
      <c r="E3797">
        <v>-205584838</v>
      </c>
      <c r="F3797">
        <v>141784046</v>
      </c>
      <c r="G3797">
        <v>164200927</v>
      </c>
      <c r="H3797">
        <v>59407828</v>
      </c>
      <c r="I3797">
        <v>113816968</v>
      </c>
      <c r="J3797">
        <v>363485430</v>
      </c>
      <c r="K3797">
        <v>75729435</v>
      </c>
      <c r="L3797">
        <v>108139453</v>
      </c>
      <c r="M3797">
        <v>84338667</v>
      </c>
      <c r="N3797">
        <v>459849581</v>
      </c>
      <c r="O3797">
        <v>52406538</v>
      </c>
      <c r="P3797">
        <v>281</v>
      </c>
      <c r="Q3797" t="s">
        <v>7641</v>
      </c>
    </row>
    <row r="3798" spans="1:17" x14ac:dyDescent="0.3">
      <c r="A3798" t="s">
        <v>32</v>
      </c>
      <c r="B3798" t="str">
        <f>"002631"</f>
        <v>002631</v>
      </c>
      <c r="C3798" t="s">
        <v>7642</v>
      </c>
      <c r="D3798" t="s">
        <v>455</v>
      </c>
      <c r="E3798">
        <v>-205652362</v>
      </c>
      <c r="F3798">
        <v>-102477822</v>
      </c>
      <c r="G3798">
        <v>-178983779</v>
      </c>
      <c r="H3798">
        <v>-124916578</v>
      </c>
      <c r="I3798">
        <v>-64645200</v>
      </c>
      <c r="J3798">
        <v>-75254245</v>
      </c>
      <c r="K3798">
        <v>-9098447</v>
      </c>
      <c r="L3798">
        <v>33231267</v>
      </c>
      <c r="M3798">
        <v>-2443156</v>
      </c>
      <c r="N3798">
        <v>-9126053</v>
      </c>
      <c r="O3798">
        <v>-62129992</v>
      </c>
      <c r="P3798">
        <v>156</v>
      </c>
      <c r="Q3798" t="s">
        <v>7643</v>
      </c>
    </row>
    <row r="3799" spans="1:17" x14ac:dyDescent="0.3">
      <c r="A3799" t="s">
        <v>17</v>
      </c>
      <c r="B3799" t="str">
        <f>"600088"</f>
        <v>600088</v>
      </c>
      <c r="C3799" t="s">
        <v>7644</v>
      </c>
      <c r="D3799" t="s">
        <v>245</v>
      </c>
      <c r="E3799">
        <v>-206756277</v>
      </c>
      <c r="F3799">
        <v>-163038439</v>
      </c>
      <c r="G3799">
        <v>-76985043</v>
      </c>
      <c r="H3799">
        <v>-83728123</v>
      </c>
      <c r="I3799">
        <v>9835137</v>
      </c>
      <c r="J3799">
        <v>4782177</v>
      </c>
      <c r="K3799">
        <v>-25327285</v>
      </c>
      <c r="L3799">
        <v>-84736604</v>
      </c>
      <c r="M3799">
        <v>-78238609</v>
      </c>
      <c r="N3799">
        <v>-142915752</v>
      </c>
      <c r="O3799">
        <v>-154284367</v>
      </c>
      <c r="P3799">
        <v>114</v>
      </c>
      <c r="Q3799" t="s">
        <v>7645</v>
      </c>
    </row>
    <row r="3800" spans="1:17" x14ac:dyDescent="0.3">
      <c r="A3800" t="s">
        <v>17</v>
      </c>
      <c r="B3800" t="str">
        <f>"600416"</f>
        <v>600416</v>
      </c>
      <c r="C3800" t="s">
        <v>7646</v>
      </c>
      <c r="D3800" t="s">
        <v>464</v>
      </c>
      <c r="E3800">
        <v>-207075569</v>
      </c>
      <c r="F3800">
        <v>307074179</v>
      </c>
      <c r="G3800">
        <v>8221481</v>
      </c>
      <c r="H3800">
        <v>-331526836</v>
      </c>
      <c r="I3800">
        <v>-769085619</v>
      </c>
      <c r="J3800">
        <v>-644431354</v>
      </c>
      <c r="K3800">
        <v>-816747427</v>
      </c>
      <c r="L3800">
        <v>-780866015</v>
      </c>
      <c r="M3800">
        <v>-469778460</v>
      </c>
      <c r="N3800">
        <v>-123951026</v>
      </c>
      <c r="O3800">
        <v>-1214291121</v>
      </c>
      <c r="P3800">
        <v>149</v>
      </c>
      <c r="Q3800" t="s">
        <v>7647</v>
      </c>
    </row>
    <row r="3801" spans="1:17" x14ac:dyDescent="0.3">
      <c r="A3801" t="s">
        <v>32</v>
      </c>
      <c r="B3801" t="str">
        <f>"002653"</f>
        <v>002653</v>
      </c>
      <c r="C3801" t="s">
        <v>7648</v>
      </c>
      <c r="D3801" t="s">
        <v>98</v>
      </c>
      <c r="E3801">
        <v>-207177473</v>
      </c>
      <c r="F3801">
        <v>-159758453</v>
      </c>
      <c r="G3801">
        <v>-202938846</v>
      </c>
      <c r="H3801">
        <v>-42332197</v>
      </c>
      <c r="I3801">
        <v>-28401726</v>
      </c>
      <c r="J3801">
        <v>-117454183</v>
      </c>
      <c r="K3801">
        <v>-125604332</v>
      </c>
      <c r="L3801">
        <v>-44023653</v>
      </c>
      <c r="M3801">
        <v>-18494475</v>
      </c>
      <c r="N3801">
        <v>29301131</v>
      </c>
      <c r="O3801">
        <v>59526714</v>
      </c>
      <c r="P3801">
        <v>549</v>
      </c>
      <c r="Q3801" t="s">
        <v>7649</v>
      </c>
    </row>
    <row r="3802" spans="1:17" x14ac:dyDescent="0.3">
      <c r="A3802" t="s">
        <v>32</v>
      </c>
      <c r="B3802" t="str">
        <f>"301268"</f>
        <v>301268</v>
      </c>
      <c r="C3802" t="s">
        <v>7650</v>
      </c>
      <c r="E3802">
        <v>-207361710</v>
      </c>
      <c r="F3802">
        <v>-40559567</v>
      </c>
      <c r="P3802">
        <v>2</v>
      </c>
      <c r="Q3802" t="s">
        <v>7651</v>
      </c>
    </row>
    <row r="3803" spans="1:17" x14ac:dyDescent="0.3">
      <c r="A3803" t="s">
        <v>32</v>
      </c>
      <c r="B3803" t="str">
        <f>"300590"</f>
        <v>300590</v>
      </c>
      <c r="C3803" t="s">
        <v>7652</v>
      </c>
      <c r="D3803" t="s">
        <v>57</v>
      </c>
      <c r="E3803">
        <v>-207393201</v>
      </c>
      <c r="F3803">
        <v>-20632984</v>
      </c>
      <c r="G3803">
        <v>26119357</v>
      </c>
      <c r="H3803">
        <v>-67619290</v>
      </c>
      <c r="I3803">
        <v>-60994488</v>
      </c>
      <c r="J3803">
        <v>-23106935</v>
      </c>
      <c r="K3803">
        <v>24069161</v>
      </c>
      <c r="P3803">
        <v>411</v>
      </c>
      <c r="Q3803" t="s">
        <v>7653</v>
      </c>
    </row>
    <row r="3804" spans="1:17" x14ac:dyDescent="0.3">
      <c r="A3804" t="s">
        <v>32</v>
      </c>
      <c r="B3804" t="str">
        <f>"300019"</f>
        <v>300019</v>
      </c>
      <c r="C3804" t="s">
        <v>7654</v>
      </c>
      <c r="D3804" t="s">
        <v>144</v>
      </c>
      <c r="E3804">
        <v>-207476514</v>
      </c>
      <c r="F3804">
        <v>-66842083</v>
      </c>
      <c r="G3804">
        <v>-30661812</v>
      </c>
      <c r="H3804">
        <v>-38493011</v>
      </c>
      <c r="I3804">
        <v>-9402198</v>
      </c>
      <c r="J3804">
        <v>-8457009</v>
      </c>
      <c r="K3804">
        <v>-21954778</v>
      </c>
      <c r="L3804">
        <v>-24804132</v>
      </c>
      <c r="M3804">
        <v>-33855751</v>
      </c>
      <c r="N3804">
        <v>-38067542</v>
      </c>
      <c r="O3804">
        <v>-24986023</v>
      </c>
      <c r="P3804">
        <v>296</v>
      </c>
      <c r="Q3804" t="s">
        <v>7655</v>
      </c>
    </row>
    <row r="3805" spans="1:17" x14ac:dyDescent="0.3">
      <c r="A3805" t="s">
        <v>17</v>
      </c>
      <c r="B3805" t="str">
        <f>"688658"</f>
        <v>688658</v>
      </c>
      <c r="C3805" t="s">
        <v>7656</v>
      </c>
      <c r="D3805" t="s">
        <v>98</v>
      </c>
      <c r="E3805">
        <v>-207501555</v>
      </c>
      <c r="F3805">
        <v>-30705682</v>
      </c>
      <c r="G3805">
        <v>52057500</v>
      </c>
      <c r="H3805">
        <v>67153300</v>
      </c>
      <c r="P3805">
        <v>76</v>
      </c>
      <c r="Q3805" t="s">
        <v>7657</v>
      </c>
    </row>
    <row r="3806" spans="1:17" x14ac:dyDescent="0.3">
      <c r="A3806" t="s">
        <v>32</v>
      </c>
      <c r="B3806" t="str">
        <f>"002672"</f>
        <v>002672</v>
      </c>
      <c r="C3806" t="s">
        <v>7658</v>
      </c>
      <c r="D3806" t="s">
        <v>1334</v>
      </c>
      <c r="E3806">
        <v>-207726730</v>
      </c>
      <c r="F3806">
        <v>-197072212</v>
      </c>
      <c r="G3806">
        <v>94549767</v>
      </c>
      <c r="H3806">
        <v>138623662</v>
      </c>
      <c r="I3806">
        <v>-203158451</v>
      </c>
      <c r="J3806">
        <v>-40277017</v>
      </c>
      <c r="K3806">
        <v>-137315691</v>
      </c>
      <c r="L3806">
        <v>-190070862</v>
      </c>
      <c r="M3806">
        <v>-58448084</v>
      </c>
      <c r="N3806">
        <v>-39422711</v>
      </c>
      <c r="O3806">
        <v>44347250</v>
      </c>
      <c r="P3806">
        <v>317</v>
      </c>
      <c r="Q3806" t="s">
        <v>7659</v>
      </c>
    </row>
    <row r="3807" spans="1:17" x14ac:dyDescent="0.3">
      <c r="A3807" t="s">
        <v>32</v>
      </c>
      <c r="B3807" t="str">
        <f>"300692"</f>
        <v>300692</v>
      </c>
      <c r="C3807" t="s">
        <v>7660</v>
      </c>
      <c r="D3807" t="s">
        <v>1334</v>
      </c>
      <c r="E3807">
        <v>-207760159</v>
      </c>
      <c r="F3807">
        <v>-111197495</v>
      </c>
      <c r="G3807">
        <v>-105904392</v>
      </c>
      <c r="H3807">
        <v>-77229453</v>
      </c>
      <c r="I3807">
        <v>-64638504</v>
      </c>
      <c r="J3807">
        <v>-42889448</v>
      </c>
      <c r="P3807">
        <v>162</v>
      </c>
      <c r="Q3807" t="s">
        <v>7661</v>
      </c>
    </row>
    <row r="3808" spans="1:17" x14ac:dyDescent="0.3">
      <c r="A3808" t="s">
        <v>17</v>
      </c>
      <c r="B3808" t="str">
        <f>"600571"</f>
        <v>600571</v>
      </c>
      <c r="C3808" t="s">
        <v>7662</v>
      </c>
      <c r="D3808" t="s">
        <v>342</v>
      </c>
      <c r="E3808">
        <v>-208183978</v>
      </c>
      <c r="F3808">
        <v>-138820432</v>
      </c>
      <c r="G3808">
        <v>-165731656</v>
      </c>
      <c r="H3808">
        <v>-212713010</v>
      </c>
      <c r="I3808">
        <v>-214305772</v>
      </c>
      <c r="J3808">
        <v>-202046376</v>
      </c>
      <c r="K3808">
        <v>-150151808</v>
      </c>
      <c r="L3808">
        <v>-149011510</v>
      </c>
      <c r="M3808">
        <v>-137112536</v>
      </c>
      <c r="N3808">
        <v>-98120004</v>
      </c>
      <c r="O3808">
        <v>-88238765</v>
      </c>
      <c r="P3808">
        <v>155</v>
      </c>
      <c r="Q3808" t="s">
        <v>7663</v>
      </c>
    </row>
    <row r="3809" spans="1:17" x14ac:dyDescent="0.3">
      <c r="A3809" t="s">
        <v>32</v>
      </c>
      <c r="B3809" t="str">
        <f>"000901"</f>
        <v>000901</v>
      </c>
      <c r="C3809" t="s">
        <v>7664</v>
      </c>
      <c r="D3809" t="s">
        <v>188</v>
      </c>
      <c r="E3809">
        <v>-209219048</v>
      </c>
      <c r="F3809">
        <v>-93596754</v>
      </c>
      <c r="G3809">
        <v>-36705383</v>
      </c>
      <c r="H3809">
        <v>-113835112</v>
      </c>
      <c r="I3809">
        <v>-132731565</v>
      </c>
      <c r="J3809">
        <v>49730891</v>
      </c>
      <c r="K3809">
        <v>-20624078</v>
      </c>
      <c r="L3809">
        <v>-135185734</v>
      </c>
      <c r="M3809">
        <v>-54240794</v>
      </c>
      <c r="N3809">
        <v>-91661261</v>
      </c>
      <c r="O3809">
        <v>-107761268</v>
      </c>
      <c r="P3809">
        <v>224</v>
      </c>
      <c r="Q3809" t="s">
        <v>7665</v>
      </c>
    </row>
    <row r="3810" spans="1:17" x14ac:dyDescent="0.3">
      <c r="A3810" t="s">
        <v>32</v>
      </c>
      <c r="B3810" t="str">
        <f>"002979"</f>
        <v>002979</v>
      </c>
      <c r="C3810" t="s">
        <v>7666</v>
      </c>
      <c r="D3810" t="s">
        <v>135</v>
      </c>
      <c r="E3810">
        <v>-209601858</v>
      </c>
      <c r="F3810">
        <v>-60176476</v>
      </c>
      <c r="G3810">
        <v>-263916</v>
      </c>
      <c r="H3810">
        <v>8350010</v>
      </c>
      <c r="P3810">
        <v>196</v>
      </c>
      <c r="Q3810" t="s">
        <v>7667</v>
      </c>
    </row>
    <row r="3811" spans="1:17" x14ac:dyDescent="0.3">
      <c r="A3811" t="s">
        <v>17</v>
      </c>
      <c r="B3811" t="str">
        <f>"605268"</f>
        <v>605268</v>
      </c>
      <c r="C3811" t="s">
        <v>7668</v>
      </c>
      <c r="D3811" t="s">
        <v>455</v>
      </c>
      <c r="E3811">
        <v>-210236908</v>
      </c>
      <c r="F3811">
        <v>-290877117</v>
      </c>
      <c r="G3811">
        <v>-141817598</v>
      </c>
      <c r="P3811">
        <v>61</v>
      </c>
      <c r="Q3811" t="s">
        <v>7669</v>
      </c>
    </row>
    <row r="3812" spans="1:17" x14ac:dyDescent="0.3">
      <c r="A3812" t="s">
        <v>17</v>
      </c>
      <c r="B3812" t="str">
        <f>"600693"</f>
        <v>600693</v>
      </c>
      <c r="C3812" t="s">
        <v>7670</v>
      </c>
      <c r="D3812" t="s">
        <v>218</v>
      </c>
      <c r="E3812">
        <v>-210381662</v>
      </c>
      <c r="F3812">
        <v>-152451035</v>
      </c>
      <c r="G3812">
        <v>-230246689</v>
      </c>
      <c r="H3812">
        <v>-313251878</v>
      </c>
      <c r="I3812">
        <v>-297261676</v>
      </c>
      <c r="J3812">
        <v>-193431570</v>
      </c>
      <c r="K3812">
        <v>-11027062</v>
      </c>
      <c r="L3812">
        <v>-179950810</v>
      </c>
      <c r="M3812">
        <v>-337417087</v>
      </c>
      <c r="N3812">
        <v>-85979235</v>
      </c>
      <c r="O3812">
        <v>-97400943</v>
      </c>
      <c r="P3812">
        <v>103</v>
      </c>
      <c r="Q3812" t="s">
        <v>7671</v>
      </c>
    </row>
    <row r="3813" spans="1:17" x14ac:dyDescent="0.3">
      <c r="A3813" t="s">
        <v>32</v>
      </c>
      <c r="B3813" t="str">
        <f>"000534"</f>
        <v>000534</v>
      </c>
      <c r="C3813" t="s">
        <v>7672</v>
      </c>
      <c r="D3813" t="s">
        <v>98</v>
      </c>
      <c r="E3813">
        <v>-210574307</v>
      </c>
      <c r="F3813">
        <v>-88752123</v>
      </c>
      <c r="G3813">
        <v>-13371096</v>
      </c>
      <c r="H3813">
        <v>-281936989</v>
      </c>
      <c r="I3813">
        <v>-320755167</v>
      </c>
      <c r="J3813">
        <v>169396337</v>
      </c>
      <c r="K3813">
        <v>-203719882</v>
      </c>
      <c r="L3813">
        <v>37795157</v>
      </c>
      <c r="M3813">
        <v>196023376</v>
      </c>
      <c r="N3813">
        <v>25424063</v>
      </c>
      <c r="O3813">
        <v>-250884050</v>
      </c>
      <c r="P3813">
        <v>120</v>
      </c>
      <c r="Q3813" t="s">
        <v>7673</v>
      </c>
    </row>
    <row r="3814" spans="1:17" x14ac:dyDescent="0.3">
      <c r="A3814" t="s">
        <v>32</v>
      </c>
      <c r="B3814" t="str">
        <f>"301235"</f>
        <v>301235</v>
      </c>
      <c r="C3814" t="s">
        <v>7674</v>
      </c>
      <c r="E3814">
        <v>-210704080</v>
      </c>
      <c r="P3814">
        <v>11</v>
      </c>
      <c r="Q3814" t="s">
        <v>7675</v>
      </c>
    </row>
    <row r="3815" spans="1:17" x14ac:dyDescent="0.3">
      <c r="A3815" t="s">
        <v>32</v>
      </c>
      <c r="B3815" t="str">
        <f>"002438"</f>
        <v>002438</v>
      </c>
      <c r="C3815" t="s">
        <v>7676</v>
      </c>
      <c r="D3815" t="s">
        <v>135</v>
      </c>
      <c r="E3815">
        <v>-210877640</v>
      </c>
      <c r="F3815">
        <v>-32857354</v>
      </c>
      <c r="G3815">
        <v>-34121143</v>
      </c>
      <c r="H3815">
        <v>-73212858</v>
      </c>
      <c r="I3815">
        <v>-76970419</v>
      </c>
      <c r="J3815">
        <v>-38784588</v>
      </c>
      <c r="K3815">
        <v>-38879588</v>
      </c>
      <c r="L3815">
        <v>-75724072</v>
      </c>
      <c r="M3815">
        <v>-52912161</v>
      </c>
      <c r="N3815">
        <v>-36551543</v>
      </c>
      <c r="O3815">
        <v>-66018503</v>
      </c>
      <c r="P3815">
        <v>186</v>
      </c>
      <c r="Q3815" t="s">
        <v>7677</v>
      </c>
    </row>
    <row r="3816" spans="1:17" x14ac:dyDescent="0.3">
      <c r="A3816" t="s">
        <v>17</v>
      </c>
      <c r="B3816" t="str">
        <f>"601002"</f>
        <v>601002</v>
      </c>
      <c r="C3816" t="s">
        <v>7678</v>
      </c>
      <c r="D3816" t="s">
        <v>135</v>
      </c>
      <c r="E3816">
        <v>-211409854</v>
      </c>
      <c r="F3816">
        <v>-127787026</v>
      </c>
      <c r="G3816">
        <v>73617971</v>
      </c>
      <c r="H3816">
        <v>-88256605</v>
      </c>
      <c r="I3816">
        <v>-64820504</v>
      </c>
      <c r="J3816">
        <v>-131975901</v>
      </c>
      <c r="K3816">
        <v>43201205</v>
      </c>
      <c r="L3816">
        <v>-12291433</v>
      </c>
      <c r="M3816">
        <v>-64473383</v>
      </c>
      <c r="N3816">
        <v>-86417953</v>
      </c>
      <c r="O3816">
        <v>-44452222</v>
      </c>
      <c r="P3816">
        <v>146</v>
      </c>
      <c r="Q3816" t="s">
        <v>7679</v>
      </c>
    </row>
    <row r="3817" spans="1:17" x14ac:dyDescent="0.3">
      <c r="A3817" t="s">
        <v>32</v>
      </c>
      <c r="B3817" t="str">
        <f>"300355"</f>
        <v>300355</v>
      </c>
      <c r="C3817" t="s">
        <v>7680</v>
      </c>
      <c r="D3817" t="s">
        <v>645</v>
      </c>
      <c r="E3817">
        <v>-211620802</v>
      </c>
      <c r="F3817">
        <v>-40860649</v>
      </c>
      <c r="G3817">
        <v>-643022285</v>
      </c>
      <c r="H3817">
        <v>-702977538</v>
      </c>
      <c r="I3817">
        <v>-1072663187</v>
      </c>
      <c r="J3817">
        <v>-345084200</v>
      </c>
      <c r="K3817">
        <v>-306819686</v>
      </c>
      <c r="L3817">
        <v>-237452778</v>
      </c>
      <c r="M3817">
        <v>-135836985</v>
      </c>
      <c r="N3817">
        <v>-51759180</v>
      </c>
      <c r="O3817">
        <v>-59847786</v>
      </c>
      <c r="P3817">
        <v>406</v>
      </c>
      <c r="Q3817" t="s">
        <v>7681</v>
      </c>
    </row>
    <row r="3818" spans="1:17" x14ac:dyDescent="0.3">
      <c r="A3818" t="s">
        <v>32</v>
      </c>
      <c r="B3818" t="str">
        <f>"002911"</f>
        <v>002911</v>
      </c>
      <c r="C3818" t="s">
        <v>7682</v>
      </c>
      <c r="D3818" t="s">
        <v>158</v>
      </c>
      <c r="E3818">
        <v>-211926544</v>
      </c>
      <c r="F3818">
        <v>-199391201</v>
      </c>
      <c r="G3818">
        <v>15917572</v>
      </c>
      <c r="H3818">
        <v>17976636</v>
      </c>
      <c r="I3818">
        <v>95813203</v>
      </c>
      <c r="J3818">
        <v>23568889</v>
      </c>
      <c r="P3818">
        <v>183</v>
      </c>
      <c r="Q3818" t="s">
        <v>7683</v>
      </c>
    </row>
    <row r="3819" spans="1:17" x14ac:dyDescent="0.3">
      <c r="A3819" t="s">
        <v>17</v>
      </c>
      <c r="B3819" t="str">
        <f>"600516"</f>
        <v>600516</v>
      </c>
      <c r="C3819" t="s">
        <v>7684</v>
      </c>
      <c r="D3819" t="s">
        <v>163</v>
      </c>
      <c r="E3819">
        <v>-212542424</v>
      </c>
      <c r="F3819">
        <v>9273599</v>
      </c>
      <c r="G3819">
        <v>-134534521</v>
      </c>
      <c r="H3819">
        <v>2008726712</v>
      </c>
      <c r="I3819">
        <v>653291839</v>
      </c>
      <c r="J3819">
        <v>103941071</v>
      </c>
      <c r="K3819">
        <v>167723706</v>
      </c>
      <c r="L3819">
        <v>-140239465</v>
      </c>
      <c r="M3819">
        <v>-278562713</v>
      </c>
      <c r="N3819">
        <v>-575296474</v>
      </c>
      <c r="O3819">
        <v>-292831944</v>
      </c>
      <c r="P3819">
        <v>1177</v>
      </c>
      <c r="Q3819" t="s">
        <v>7685</v>
      </c>
    </row>
    <row r="3820" spans="1:17" x14ac:dyDescent="0.3">
      <c r="A3820" t="s">
        <v>17</v>
      </c>
      <c r="B3820" t="str">
        <f>"600933"</f>
        <v>600933</v>
      </c>
      <c r="C3820" t="s">
        <v>7686</v>
      </c>
      <c r="D3820" t="s">
        <v>199</v>
      </c>
      <c r="E3820">
        <v>-212723191</v>
      </c>
      <c r="F3820">
        <v>-176779598</v>
      </c>
      <c r="G3820">
        <v>170165292</v>
      </c>
      <c r="H3820">
        <v>75695283</v>
      </c>
      <c r="I3820">
        <v>-63442147</v>
      </c>
      <c r="J3820">
        <v>4865980</v>
      </c>
      <c r="P3820">
        <v>177</v>
      </c>
      <c r="Q3820" t="s">
        <v>7687</v>
      </c>
    </row>
    <row r="3821" spans="1:17" x14ac:dyDescent="0.3">
      <c r="A3821" t="s">
        <v>17</v>
      </c>
      <c r="B3821" t="str">
        <f>"688345"</f>
        <v>688345</v>
      </c>
      <c r="C3821" t="s">
        <v>7688</v>
      </c>
      <c r="D3821" t="s">
        <v>464</v>
      </c>
      <c r="E3821">
        <v>-212772123</v>
      </c>
      <c r="F3821">
        <v>-34463276</v>
      </c>
      <c r="G3821">
        <v>6013236</v>
      </c>
      <c r="P3821">
        <v>39</v>
      </c>
      <c r="Q3821" t="s">
        <v>7689</v>
      </c>
    </row>
    <row r="3822" spans="1:17" x14ac:dyDescent="0.3">
      <c r="A3822" t="s">
        <v>17</v>
      </c>
      <c r="B3822" t="str">
        <f>"688039"</f>
        <v>688039</v>
      </c>
      <c r="C3822" t="s">
        <v>7690</v>
      </c>
      <c r="D3822" t="s">
        <v>342</v>
      </c>
      <c r="E3822">
        <v>-213064993</v>
      </c>
      <c r="F3822">
        <v>-88465185</v>
      </c>
      <c r="G3822">
        <v>-85500056</v>
      </c>
      <c r="H3822">
        <v>-32566925</v>
      </c>
      <c r="P3822">
        <v>155</v>
      </c>
      <c r="Q3822" t="s">
        <v>7691</v>
      </c>
    </row>
    <row r="3823" spans="1:17" x14ac:dyDescent="0.3">
      <c r="A3823" t="s">
        <v>17</v>
      </c>
      <c r="B3823" t="str">
        <f>"603327"</f>
        <v>603327</v>
      </c>
      <c r="C3823" t="s">
        <v>7692</v>
      </c>
      <c r="D3823" t="s">
        <v>124</v>
      </c>
      <c r="E3823">
        <v>-213769625</v>
      </c>
      <c r="F3823">
        <v>175932903</v>
      </c>
      <c r="G3823">
        <v>69753567</v>
      </c>
      <c r="H3823">
        <v>28675580</v>
      </c>
      <c r="I3823">
        <v>-45290497</v>
      </c>
      <c r="P3823">
        <v>349</v>
      </c>
      <c r="Q3823" t="s">
        <v>7693</v>
      </c>
    </row>
    <row r="3824" spans="1:17" x14ac:dyDescent="0.3">
      <c r="A3824" t="s">
        <v>17</v>
      </c>
      <c r="B3824" t="str">
        <f>"688248"</f>
        <v>688248</v>
      </c>
      <c r="C3824" t="s">
        <v>7694</v>
      </c>
      <c r="D3824" t="s">
        <v>464</v>
      </c>
      <c r="E3824">
        <v>-213991713</v>
      </c>
      <c r="P3824">
        <v>14</v>
      </c>
      <c r="Q3824" t="s">
        <v>7695</v>
      </c>
    </row>
    <row r="3825" spans="1:17" x14ac:dyDescent="0.3">
      <c r="A3825" t="s">
        <v>32</v>
      </c>
      <c r="B3825" t="str">
        <f>"300241"</f>
        <v>300241</v>
      </c>
      <c r="C3825" t="s">
        <v>7696</v>
      </c>
      <c r="D3825" t="s">
        <v>124</v>
      </c>
      <c r="E3825">
        <v>-214172914</v>
      </c>
      <c r="F3825">
        <v>-24658246</v>
      </c>
      <c r="G3825">
        <v>-65674279</v>
      </c>
      <c r="H3825">
        <v>73799001</v>
      </c>
      <c r="I3825">
        <v>-63319655</v>
      </c>
      <c r="J3825">
        <v>67012278</v>
      </c>
      <c r="K3825">
        <v>-51740251</v>
      </c>
      <c r="L3825">
        <v>-57098377</v>
      </c>
      <c r="M3825">
        <v>-26689051</v>
      </c>
      <c r="N3825">
        <v>-9687640</v>
      </c>
      <c r="O3825">
        <v>9203545</v>
      </c>
      <c r="P3825">
        <v>170</v>
      </c>
      <c r="Q3825" t="s">
        <v>7697</v>
      </c>
    </row>
    <row r="3826" spans="1:17" x14ac:dyDescent="0.3">
      <c r="A3826" t="s">
        <v>17</v>
      </c>
      <c r="B3826" t="str">
        <f>"603050"</f>
        <v>603050</v>
      </c>
      <c r="C3826" t="s">
        <v>7698</v>
      </c>
      <c r="D3826" t="s">
        <v>464</v>
      </c>
      <c r="E3826">
        <v>-214332721</v>
      </c>
      <c r="F3826">
        <v>-135546065</v>
      </c>
      <c r="G3826">
        <v>-84915879</v>
      </c>
      <c r="H3826">
        <v>-148525635</v>
      </c>
      <c r="I3826">
        <v>-45066562</v>
      </c>
      <c r="J3826">
        <v>-52007766</v>
      </c>
      <c r="K3826">
        <v>9203193</v>
      </c>
      <c r="P3826">
        <v>124</v>
      </c>
      <c r="Q3826" t="s">
        <v>7699</v>
      </c>
    </row>
    <row r="3827" spans="1:17" x14ac:dyDescent="0.3">
      <c r="A3827" t="s">
        <v>32</v>
      </c>
      <c r="B3827" t="str">
        <f>"002280"</f>
        <v>002280</v>
      </c>
      <c r="C3827" t="s">
        <v>7700</v>
      </c>
      <c r="D3827" t="s">
        <v>218</v>
      </c>
      <c r="E3827">
        <v>-215592009</v>
      </c>
      <c r="F3827">
        <v>125674502</v>
      </c>
      <c r="G3827">
        <v>105480807</v>
      </c>
      <c r="H3827">
        <v>-232883700</v>
      </c>
      <c r="I3827">
        <v>-659012145</v>
      </c>
      <c r="J3827">
        <v>-1110144321</v>
      </c>
      <c r="K3827">
        <v>-108727516</v>
      </c>
      <c r="L3827">
        <v>-121300186</v>
      </c>
      <c r="M3827">
        <v>-46879703</v>
      </c>
      <c r="N3827">
        <v>-43607977</v>
      </c>
      <c r="O3827">
        <v>-48444527</v>
      </c>
      <c r="P3827">
        <v>179</v>
      </c>
      <c r="Q3827" t="s">
        <v>7701</v>
      </c>
    </row>
    <row r="3828" spans="1:17" x14ac:dyDescent="0.3">
      <c r="A3828" t="s">
        <v>17</v>
      </c>
      <c r="B3828" t="str">
        <f>"603797"</f>
        <v>603797</v>
      </c>
      <c r="C3828" t="s">
        <v>7702</v>
      </c>
      <c r="D3828" t="s">
        <v>1334</v>
      </c>
      <c r="E3828">
        <v>-215615250</v>
      </c>
      <c r="F3828">
        <v>-728901287</v>
      </c>
      <c r="G3828">
        <v>-230176348</v>
      </c>
      <c r="H3828">
        <v>-222001298</v>
      </c>
      <c r="I3828">
        <v>-192812328</v>
      </c>
      <c r="J3828">
        <v>-93563245</v>
      </c>
      <c r="K3828">
        <v>-57725060</v>
      </c>
      <c r="P3828">
        <v>243</v>
      </c>
      <c r="Q3828" t="s">
        <v>7703</v>
      </c>
    </row>
    <row r="3829" spans="1:17" x14ac:dyDescent="0.3">
      <c r="A3829" t="s">
        <v>17</v>
      </c>
      <c r="B3829" t="str">
        <f>"603011"</f>
        <v>603011</v>
      </c>
      <c r="C3829" t="s">
        <v>7704</v>
      </c>
      <c r="D3829" t="s">
        <v>135</v>
      </c>
      <c r="E3829">
        <v>-215721672</v>
      </c>
      <c r="F3829">
        <v>-82254795</v>
      </c>
      <c r="G3829">
        <v>-88025137</v>
      </c>
      <c r="H3829">
        <v>-73679856</v>
      </c>
      <c r="I3829">
        <v>-64997816</v>
      </c>
      <c r="J3829">
        <v>-65635058</v>
      </c>
      <c r="K3829">
        <v>-28422489</v>
      </c>
      <c r="L3829">
        <v>-79679561</v>
      </c>
      <c r="M3829">
        <v>-52927899</v>
      </c>
      <c r="P3829">
        <v>82</v>
      </c>
      <c r="Q3829" t="s">
        <v>7705</v>
      </c>
    </row>
    <row r="3830" spans="1:17" x14ac:dyDescent="0.3">
      <c r="A3830" t="s">
        <v>32</v>
      </c>
      <c r="B3830" t="str">
        <f>"000753"</f>
        <v>000753</v>
      </c>
      <c r="C3830" t="s">
        <v>7706</v>
      </c>
      <c r="D3830" t="s">
        <v>345</v>
      </c>
      <c r="E3830">
        <v>-216473359</v>
      </c>
      <c r="F3830">
        <v>-736412983</v>
      </c>
      <c r="G3830">
        <v>-342908476</v>
      </c>
      <c r="H3830">
        <v>118723066</v>
      </c>
      <c r="I3830">
        <v>-47569750</v>
      </c>
      <c r="J3830">
        <v>-23797644</v>
      </c>
      <c r="K3830">
        <v>-74145523</v>
      </c>
      <c r="L3830">
        <v>-137919610</v>
      </c>
      <c r="M3830">
        <v>-260823380</v>
      </c>
      <c r="N3830">
        <v>60214490</v>
      </c>
      <c r="O3830">
        <v>-19879683</v>
      </c>
      <c r="P3830">
        <v>85</v>
      </c>
      <c r="Q3830" t="s">
        <v>7707</v>
      </c>
    </row>
    <row r="3831" spans="1:17" x14ac:dyDescent="0.3">
      <c r="A3831" t="s">
        <v>17</v>
      </c>
      <c r="B3831" t="str">
        <f>"605208"</f>
        <v>605208</v>
      </c>
      <c r="C3831" t="s">
        <v>7708</v>
      </c>
      <c r="D3831" t="s">
        <v>121</v>
      </c>
      <c r="E3831">
        <v>-216579987</v>
      </c>
      <c r="F3831">
        <v>19334541</v>
      </c>
      <c r="G3831">
        <v>43065846</v>
      </c>
      <c r="P3831">
        <v>40</v>
      </c>
      <c r="Q3831" t="s">
        <v>7709</v>
      </c>
    </row>
    <row r="3832" spans="1:17" x14ac:dyDescent="0.3">
      <c r="A3832" t="s">
        <v>17</v>
      </c>
      <c r="B3832" t="str">
        <f>"688001"</f>
        <v>688001</v>
      </c>
      <c r="C3832" t="s">
        <v>7710</v>
      </c>
      <c r="D3832" t="s">
        <v>135</v>
      </c>
      <c r="E3832">
        <v>-216848392</v>
      </c>
      <c r="F3832">
        <v>-26064631</v>
      </c>
      <c r="G3832">
        <v>13680702</v>
      </c>
      <c r="H3832">
        <v>-131239200</v>
      </c>
      <c r="I3832">
        <v>15874000</v>
      </c>
      <c r="P3832">
        <v>170</v>
      </c>
      <c r="Q3832" t="s">
        <v>7711</v>
      </c>
    </row>
    <row r="3833" spans="1:17" x14ac:dyDescent="0.3">
      <c r="A3833" t="s">
        <v>17</v>
      </c>
      <c r="B3833" t="str">
        <f>"600975"</f>
        <v>600975</v>
      </c>
      <c r="C3833" t="s">
        <v>7712</v>
      </c>
      <c r="D3833" t="s">
        <v>175</v>
      </c>
      <c r="E3833">
        <v>-216879077</v>
      </c>
      <c r="F3833">
        <v>-263704275</v>
      </c>
      <c r="G3833">
        <v>16776070</v>
      </c>
      <c r="H3833">
        <v>-119237659</v>
      </c>
      <c r="I3833">
        <v>13656003</v>
      </c>
      <c r="J3833">
        <v>57278877</v>
      </c>
      <c r="K3833">
        <v>64994997</v>
      </c>
      <c r="L3833">
        <v>-16117255</v>
      </c>
      <c r="M3833">
        <v>-38369127</v>
      </c>
      <c r="N3833">
        <v>-30767459</v>
      </c>
      <c r="O3833">
        <v>12797352</v>
      </c>
      <c r="P3833">
        <v>305</v>
      </c>
      <c r="Q3833" t="s">
        <v>7713</v>
      </c>
    </row>
    <row r="3834" spans="1:17" x14ac:dyDescent="0.3">
      <c r="A3834" t="s">
        <v>17</v>
      </c>
      <c r="B3834" t="str">
        <f>"603366"</f>
        <v>603366</v>
      </c>
      <c r="C3834" t="s">
        <v>7714</v>
      </c>
      <c r="D3834" t="s">
        <v>127</v>
      </c>
      <c r="E3834">
        <v>-217519037</v>
      </c>
      <c r="F3834">
        <v>-200087439</v>
      </c>
      <c r="G3834">
        <v>-139112185</v>
      </c>
      <c r="H3834">
        <v>-155097765</v>
      </c>
      <c r="I3834">
        <v>-157022525</v>
      </c>
      <c r="J3834">
        <v>-353800294</v>
      </c>
      <c r="K3834">
        <v>-270261554</v>
      </c>
      <c r="L3834">
        <v>-290569210</v>
      </c>
      <c r="M3834">
        <v>-278957981</v>
      </c>
      <c r="N3834">
        <v>-351641169</v>
      </c>
      <c r="O3834">
        <v>-185813841</v>
      </c>
      <c r="P3834">
        <v>121</v>
      </c>
      <c r="Q3834" t="s">
        <v>7715</v>
      </c>
    </row>
    <row r="3835" spans="1:17" x14ac:dyDescent="0.3">
      <c r="A3835" t="s">
        <v>32</v>
      </c>
      <c r="B3835" t="str">
        <f>"002378"</f>
        <v>002378</v>
      </c>
      <c r="C3835" t="s">
        <v>7716</v>
      </c>
      <c r="D3835" t="s">
        <v>121</v>
      </c>
      <c r="E3835">
        <v>-218679549</v>
      </c>
      <c r="F3835">
        <v>-190406469</v>
      </c>
      <c r="G3835">
        <v>-63727587</v>
      </c>
      <c r="H3835">
        <v>-30736778</v>
      </c>
      <c r="I3835">
        <v>-127964591</v>
      </c>
      <c r="J3835">
        <v>-194240246</v>
      </c>
      <c r="K3835">
        <v>14914507</v>
      </c>
      <c r="L3835">
        <v>55532756</v>
      </c>
      <c r="M3835">
        <v>-62984858</v>
      </c>
      <c r="N3835">
        <v>169500417</v>
      </c>
      <c r="O3835">
        <v>-84800377</v>
      </c>
      <c r="P3835">
        <v>128</v>
      </c>
      <c r="Q3835" t="s">
        <v>7717</v>
      </c>
    </row>
    <row r="3836" spans="1:17" x14ac:dyDescent="0.3">
      <c r="A3836" t="s">
        <v>17</v>
      </c>
      <c r="B3836" t="str">
        <f>"600383"</f>
        <v>600383</v>
      </c>
      <c r="C3836" t="s">
        <v>7718</v>
      </c>
      <c r="D3836" t="s">
        <v>151</v>
      </c>
      <c r="E3836">
        <v>-220631111</v>
      </c>
      <c r="F3836">
        <v>-5306916657</v>
      </c>
      <c r="G3836">
        <v>-8716346354</v>
      </c>
      <c r="H3836">
        <v>-4939653474</v>
      </c>
      <c r="I3836">
        <v>-3162985723</v>
      </c>
      <c r="J3836">
        <v>-4476373290</v>
      </c>
      <c r="K3836">
        <v>-536782860</v>
      </c>
      <c r="L3836">
        <v>-2581470748</v>
      </c>
      <c r="M3836">
        <v>-3475913914</v>
      </c>
      <c r="N3836">
        <v>-3568473072</v>
      </c>
      <c r="O3836">
        <v>-1222441259</v>
      </c>
      <c r="P3836">
        <v>2481</v>
      </c>
      <c r="Q3836" t="s">
        <v>7719</v>
      </c>
    </row>
    <row r="3837" spans="1:17" x14ac:dyDescent="0.3">
      <c r="A3837" t="s">
        <v>32</v>
      </c>
      <c r="B3837" t="str">
        <f>"002407"</f>
        <v>002407</v>
      </c>
      <c r="C3837" t="s">
        <v>7720</v>
      </c>
      <c r="D3837" t="s">
        <v>144</v>
      </c>
      <c r="E3837">
        <v>-221590163</v>
      </c>
      <c r="F3837">
        <v>-50698010</v>
      </c>
      <c r="G3837">
        <v>-55770189</v>
      </c>
      <c r="H3837">
        <v>-158496317</v>
      </c>
      <c r="I3837">
        <v>-348093241</v>
      </c>
      <c r="J3837">
        <v>-181440329</v>
      </c>
      <c r="K3837">
        <v>-200589408</v>
      </c>
      <c r="L3837">
        <v>29522447</v>
      </c>
      <c r="M3837">
        <v>-23055700</v>
      </c>
      <c r="N3837">
        <v>-47647687</v>
      </c>
      <c r="O3837">
        <v>-87014962</v>
      </c>
      <c r="P3837">
        <v>566</v>
      </c>
      <c r="Q3837" t="s">
        <v>7721</v>
      </c>
    </row>
    <row r="3838" spans="1:17" x14ac:dyDescent="0.3">
      <c r="A3838" t="s">
        <v>17</v>
      </c>
      <c r="B3838" t="str">
        <f>"688003"</f>
        <v>688003</v>
      </c>
      <c r="C3838" t="s">
        <v>7722</v>
      </c>
      <c r="D3838" t="s">
        <v>135</v>
      </c>
      <c r="E3838">
        <v>-221793567</v>
      </c>
      <c r="F3838">
        <v>-112869790</v>
      </c>
      <c r="G3838">
        <v>-93281570</v>
      </c>
      <c r="H3838">
        <v>-69538000</v>
      </c>
      <c r="I3838">
        <v>-19414700</v>
      </c>
      <c r="P3838">
        <v>142</v>
      </c>
      <c r="Q3838" t="s">
        <v>7723</v>
      </c>
    </row>
    <row r="3839" spans="1:17" x14ac:dyDescent="0.3">
      <c r="A3839" t="s">
        <v>17</v>
      </c>
      <c r="B3839" t="str">
        <f>"688369"</f>
        <v>688369</v>
      </c>
      <c r="C3839" t="s">
        <v>7724</v>
      </c>
      <c r="D3839" t="s">
        <v>342</v>
      </c>
      <c r="E3839">
        <v>-222145573</v>
      </c>
      <c r="F3839">
        <v>-136668914</v>
      </c>
      <c r="G3839">
        <v>-116345333</v>
      </c>
      <c r="H3839">
        <v>-141563402</v>
      </c>
      <c r="P3839">
        <v>170</v>
      </c>
      <c r="Q3839" t="s">
        <v>7725</v>
      </c>
    </row>
    <row r="3840" spans="1:17" x14ac:dyDescent="0.3">
      <c r="A3840" t="s">
        <v>32</v>
      </c>
      <c r="B3840" t="str">
        <f>"000909"</f>
        <v>000909</v>
      </c>
      <c r="C3840" t="s">
        <v>7726</v>
      </c>
      <c r="D3840" t="s">
        <v>151</v>
      </c>
      <c r="E3840">
        <v>-222360314</v>
      </c>
      <c r="F3840">
        <v>145466970</v>
      </c>
      <c r="G3840">
        <v>67345801</v>
      </c>
      <c r="H3840">
        <v>-227406150</v>
      </c>
      <c r="I3840">
        <v>333282459</v>
      </c>
      <c r="J3840">
        <v>198302696</v>
      </c>
      <c r="K3840">
        <v>112759148</v>
      </c>
      <c r="L3840">
        <v>-310182396</v>
      </c>
      <c r="M3840">
        <v>-182485857</v>
      </c>
      <c r="N3840">
        <v>-120643159</v>
      </c>
      <c r="O3840">
        <v>11249627</v>
      </c>
      <c r="P3840">
        <v>206</v>
      </c>
      <c r="Q3840" t="s">
        <v>7727</v>
      </c>
    </row>
    <row r="3841" spans="1:17" x14ac:dyDescent="0.3">
      <c r="A3841" t="s">
        <v>17</v>
      </c>
      <c r="B3841" t="str">
        <f>"603956"</f>
        <v>603956</v>
      </c>
      <c r="C3841" t="s">
        <v>7728</v>
      </c>
      <c r="D3841" t="s">
        <v>135</v>
      </c>
      <c r="E3841">
        <v>-222595285</v>
      </c>
      <c r="F3841">
        <v>-119217525</v>
      </c>
      <c r="G3841">
        <v>-128669494</v>
      </c>
      <c r="H3841">
        <v>-47936840</v>
      </c>
      <c r="I3841">
        <v>-72972824</v>
      </c>
      <c r="P3841">
        <v>182</v>
      </c>
      <c r="Q3841" t="s">
        <v>7729</v>
      </c>
    </row>
    <row r="3842" spans="1:17" x14ac:dyDescent="0.3">
      <c r="A3842" t="s">
        <v>17</v>
      </c>
      <c r="B3842" t="str">
        <f>"603326"</f>
        <v>603326</v>
      </c>
      <c r="C3842" t="s">
        <v>7730</v>
      </c>
      <c r="D3842" t="s">
        <v>455</v>
      </c>
      <c r="E3842">
        <v>-222689372</v>
      </c>
      <c r="F3842">
        <v>-366083658</v>
      </c>
      <c r="G3842">
        <v>-173668699</v>
      </c>
      <c r="H3842">
        <v>-143517183</v>
      </c>
      <c r="I3842">
        <v>-178523088</v>
      </c>
      <c r="J3842">
        <v>-41903757</v>
      </c>
      <c r="K3842">
        <v>-47583330</v>
      </c>
      <c r="P3842">
        <v>247</v>
      </c>
      <c r="Q3842" t="s">
        <v>7731</v>
      </c>
    </row>
    <row r="3843" spans="1:17" x14ac:dyDescent="0.3">
      <c r="A3843" t="s">
        <v>32</v>
      </c>
      <c r="B3843" t="str">
        <f>"000919"</f>
        <v>000919</v>
      </c>
      <c r="C3843" t="s">
        <v>7732</v>
      </c>
      <c r="D3843" t="s">
        <v>98</v>
      </c>
      <c r="E3843">
        <v>-223101814</v>
      </c>
      <c r="F3843">
        <v>-23800169</v>
      </c>
      <c r="G3843">
        <v>-128585888</v>
      </c>
      <c r="H3843">
        <v>-8512657</v>
      </c>
      <c r="I3843">
        <v>58675473</v>
      </c>
      <c r="J3843">
        <v>-20288906</v>
      </c>
      <c r="K3843">
        <v>-135150933</v>
      </c>
      <c r="L3843">
        <v>-52840615</v>
      </c>
      <c r="M3843">
        <v>-30564987</v>
      </c>
      <c r="N3843">
        <v>-27446772</v>
      </c>
      <c r="O3843">
        <v>753192</v>
      </c>
      <c r="P3843">
        <v>179</v>
      </c>
      <c r="Q3843" t="s">
        <v>7733</v>
      </c>
    </row>
    <row r="3844" spans="1:17" x14ac:dyDescent="0.3">
      <c r="A3844" t="s">
        <v>32</v>
      </c>
      <c r="B3844" t="str">
        <f>"300663"</f>
        <v>300663</v>
      </c>
      <c r="C3844" t="s">
        <v>7734</v>
      </c>
      <c r="D3844" t="s">
        <v>342</v>
      </c>
      <c r="E3844">
        <v>-223107298</v>
      </c>
      <c r="F3844">
        <v>-170484413</v>
      </c>
      <c r="G3844">
        <v>-156628781</v>
      </c>
      <c r="H3844">
        <v>-244939748</v>
      </c>
      <c r="I3844">
        <v>-130733009</v>
      </c>
      <c r="J3844">
        <v>-129731355</v>
      </c>
      <c r="K3844">
        <v>-121462602</v>
      </c>
      <c r="P3844">
        <v>261</v>
      </c>
      <c r="Q3844" t="s">
        <v>7735</v>
      </c>
    </row>
    <row r="3845" spans="1:17" x14ac:dyDescent="0.3">
      <c r="A3845" t="s">
        <v>32</v>
      </c>
      <c r="B3845" t="str">
        <f>"300109"</f>
        <v>300109</v>
      </c>
      <c r="C3845" t="s">
        <v>7736</v>
      </c>
      <c r="D3845" t="s">
        <v>144</v>
      </c>
      <c r="E3845">
        <v>-223639139</v>
      </c>
      <c r="F3845">
        <v>-813450</v>
      </c>
      <c r="G3845">
        <v>-20073930</v>
      </c>
      <c r="H3845">
        <v>-82079533</v>
      </c>
      <c r="I3845">
        <v>-83977815</v>
      </c>
      <c r="J3845">
        <v>-74624823</v>
      </c>
      <c r="K3845">
        <v>-1094459</v>
      </c>
      <c r="L3845">
        <v>-8246008</v>
      </c>
      <c r="M3845">
        <v>-9422949</v>
      </c>
      <c r="N3845">
        <v>-17341949</v>
      </c>
      <c r="O3845">
        <v>-17123446</v>
      </c>
      <c r="P3845">
        <v>122</v>
      </c>
      <c r="Q3845" t="s">
        <v>7737</v>
      </c>
    </row>
    <row r="3846" spans="1:17" x14ac:dyDescent="0.3">
      <c r="A3846" t="s">
        <v>32</v>
      </c>
      <c r="B3846" t="str">
        <f>"300377"</f>
        <v>300377</v>
      </c>
      <c r="C3846" t="s">
        <v>7738</v>
      </c>
      <c r="D3846" t="s">
        <v>342</v>
      </c>
      <c r="E3846">
        <v>-224285191</v>
      </c>
      <c r="F3846">
        <v>-104850665</v>
      </c>
      <c r="G3846">
        <v>-59148721</v>
      </c>
      <c r="H3846">
        <v>-70968155</v>
      </c>
      <c r="I3846">
        <v>-127493690</v>
      </c>
      <c r="J3846">
        <v>-188767635</v>
      </c>
      <c r="K3846">
        <v>-28614220</v>
      </c>
      <c r="L3846">
        <v>-42846648</v>
      </c>
      <c r="M3846">
        <v>-81674096</v>
      </c>
      <c r="N3846">
        <v>-21711644</v>
      </c>
      <c r="P3846">
        <v>3125</v>
      </c>
      <c r="Q3846" t="s">
        <v>7739</v>
      </c>
    </row>
    <row r="3847" spans="1:17" x14ac:dyDescent="0.3">
      <c r="A3847" t="s">
        <v>17</v>
      </c>
      <c r="B3847" t="str">
        <f>"600073"</f>
        <v>600073</v>
      </c>
      <c r="C3847" t="s">
        <v>7740</v>
      </c>
      <c r="D3847" t="s">
        <v>172</v>
      </c>
      <c r="E3847">
        <v>-224533011</v>
      </c>
      <c r="F3847">
        <v>-482997801</v>
      </c>
      <c r="G3847">
        <v>-121836354</v>
      </c>
      <c r="H3847">
        <v>-518317920</v>
      </c>
      <c r="I3847">
        <v>130798278</v>
      </c>
      <c r="J3847">
        <v>47081633</v>
      </c>
      <c r="K3847">
        <v>238542748</v>
      </c>
      <c r="L3847">
        <v>84374242</v>
      </c>
      <c r="M3847">
        <v>40595258</v>
      </c>
      <c r="N3847">
        <v>-85395848</v>
      </c>
      <c r="O3847">
        <v>22844082</v>
      </c>
      <c r="P3847">
        <v>442</v>
      </c>
      <c r="Q3847" t="s">
        <v>7741</v>
      </c>
    </row>
    <row r="3848" spans="1:17" x14ac:dyDescent="0.3">
      <c r="A3848" t="s">
        <v>17</v>
      </c>
      <c r="B3848" t="str">
        <f>"600986"</f>
        <v>600986</v>
      </c>
      <c r="C3848" t="s">
        <v>7742</v>
      </c>
      <c r="D3848" t="s">
        <v>245</v>
      </c>
      <c r="E3848">
        <v>-224892335</v>
      </c>
      <c r="F3848">
        <v>-327998997</v>
      </c>
      <c r="G3848">
        <v>260726714</v>
      </c>
      <c r="H3848">
        <v>129022097</v>
      </c>
      <c r="I3848">
        <v>-290541959</v>
      </c>
      <c r="J3848">
        <v>-216180068</v>
      </c>
      <c r="K3848">
        <v>-133961109</v>
      </c>
      <c r="L3848">
        <v>39726988</v>
      </c>
      <c r="M3848">
        <v>35685973</v>
      </c>
      <c r="N3848">
        <v>-76189983</v>
      </c>
      <c r="O3848">
        <v>-2362280</v>
      </c>
      <c r="P3848">
        <v>239</v>
      </c>
      <c r="Q3848" t="s">
        <v>7743</v>
      </c>
    </row>
    <row r="3849" spans="1:17" x14ac:dyDescent="0.3">
      <c r="A3849" t="s">
        <v>32</v>
      </c>
      <c r="B3849" t="str">
        <f>"300266"</f>
        <v>300266</v>
      </c>
      <c r="C3849" t="s">
        <v>7744</v>
      </c>
      <c r="D3849" t="s">
        <v>1334</v>
      </c>
      <c r="E3849">
        <v>-225152292</v>
      </c>
      <c r="F3849">
        <v>-364146920</v>
      </c>
      <c r="G3849">
        <v>-451080118</v>
      </c>
      <c r="H3849">
        <v>-234424626</v>
      </c>
      <c r="I3849">
        <v>-347475336</v>
      </c>
      <c r="J3849">
        <v>-269616119</v>
      </c>
      <c r="K3849">
        <v>-85067124</v>
      </c>
      <c r="L3849">
        <v>-69762877</v>
      </c>
      <c r="M3849">
        <v>-23744503</v>
      </c>
      <c r="N3849">
        <v>-9465968</v>
      </c>
      <c r="O3849">
        <v>-22791540</v>
      </c>
      <c r="P3849">
        <v>145</v>
      </c>
      <c r="Q3849" t="s">
        <v>7745</v>
      </c>
    </row>
    <row r="3850" spans="1:17" x14ac:dyDescent="0.3">
      <c r="A3850" t="s">
        <v>32</v>
      </c>
      <c r="B3850" t="str">
        <f>"300443"</f>
        <v>300443</v>
      </c>
      <c r="C3850" t="s">
        <v>7746</v>
      </c>
      <c r="D3850" t="s">
        <v>464</v>
      </c>
      <c r="E3850">
        <v>-225196971</v>
      </c>
      <c r="F3850">
        <v>18348623</v>
      </c>
      <c r="G3850">
        <v>-70555030</v>
      </c>
      <c r="H3850">
        <v>34162074</v>
      </c>
      <c r="I3850">
        <v>-44378814</v>
      </c>
      <c r="J3850">
        <v>74903648</v>
      </c>
      <c r="K3850">
        <v>-2648392</v>
      </c>
      <c r="L3850">
        <v>-5048449</v>
      </c>
      <c r="P3850">
        <v>357</v>
      </c>
      <c r="Q3850" t="s">
        <v>7747</v>
      </c>
    </row>
    <row r="3851" spans="1:17" x14ac:dyDescent="0.3">
      <c r="A3851" t="s">
        <v>32</v>
      </c>
      <c r="B3851" t="str">
        <f>"002339"</f>
        <v>002339</v>
      </c>
      <c r="C3851" t="s">
        <v>7748</v>
      </c>
      <c r="D3851" t="s">
        <v>464</v>
      </c>
      <c r="E3851">
        <v>-225485864</v>
      </c>
      <c r="F3851">
        <v>-309907688</v>
      </c>
      <c r="G3851">
        <v>-66667645</v>
      </c>
      <c r="H3851">
        <v>-26756374</v>
      </c>
      <c r="I3851">
        <v>-62314577</v>
      </c>
      <c r="J3851">
        <v>-138504135</v>
      </c>
      <c r="K3851">
        <v>-186507368</v>
      </c>
      <c r="L3851">
        <v>-192571179</v>
      </c>
      <c r="M3851">
        <v>-60792372</v>
      </c>
      <c r="N3851">
        <v>-125947258</v>
      </c>
      <c r="O3851">
        <v>-117755272</v>
      </c>
      <c r="P3851">
        <v>120</v>
      </c>
      <c r="Q3851" t="s">
        <v>7749</v>
      </c>
    </row>
    <row r="3852" spans="1:17" x14ac:dyDescent="0.3">
      <c r="A3852" t="s">
        <v>32</v>
      </c>
      <c r="B3852" t="str">
        <f>"300349"</f>
        <v>300349</v>
      </c>
      <c r="C3852" t="s">
        <v>7750</v>
      </c>
      <c r="D3852" t="s">
        <v>135</v>
      </c>
      <c r="E3852">
        <v>-225508267</v>
      </c>
      <c r="F3852">
        <v>-96045246</v>
      </c>
      <c r="G3852">
        <v>-12990196</v>
      </c>
      <c r="H3852">
        <v>-16934793</v>
      </c>
      <c r="I3852">
        <v>-50092444</v>
      </c>
      <c r="J3852">
        <v>-5993067</v>
      </c>
      <c r="K3852">
        <v>-50174483</v>
      </c>
      <c r="L3852">
        <v>-20651315</v>
      </c>
      <c r="M3852">
        <v>-33939390</v>
      </c>
      <c r="N3852">
        <v>-39964812</v>
      </c>
      <c r="O3852">
        <v>-45787423</v>
      </c>
      <c r="P3852">
        <v>395</v>
      </c>
      <c r="Q3852" t="s">
        <v>7751</v>
      </c>
    </row>
    <row r="3853" spans="1:17" x14ac:dyDescent="0.3">
      <c r="A3853" t="s">
        <v>17</v>
      </c>
      <c r="B3853" t="str">
        <f>"600929"</f>
        <v>600929</v>
      </c>
      <c r="C3853" t="s">
        <v>7752</v>
      </c>
      <c r="D3853" t="s">
        <v>144</v>
      </c>
      <c r="E3853">
        <v>-225771736</v>
      </c>
      <c r="F3853">
        <v>-154215692</v>
      </c>
      <c r="G3853">
        <v>-340063</v>
      </c>
      <c r="H3853">
        <v>5032936</v>
      </c>
      <c r="I3853">
        <v>-27348491</v>
      </c>
      <c r="J3853">
        <v>-31316649</v>
      </c>
      <c r="P3853">
        <v>133</v>
      </c>
      <c r="Q3853" t="s">
        <v>7753</v>
      </c>
    </row>
    <row r="3854" spans="1:17" x14ac:dyDescent="0.3">
      <c r="A3854" t="s">
        <v>32</v>
      </c>
      <c r="B3854" t="str">
        <f>"002882"</f>
        <v>002882</v>
      </c>
      <c r="C3854" t="s">
        <v>7754</v>
      </c>
      <c r="D3854" t="s">
        <v>464</v>
      </c>
      <c r="E3854">
        <v>-226074099</v>
      </c>
      <c r="F3854">
        <v>-135982347</v>
      </c>
      <c r="G3854">
        <v>-33631654</v>
      </c>
      <c r="H3854">
        <v>-146747886</v>
      </c>
      <c r="I3854">
        <v>-93170069</v>
      </c>
      <c r="J3854">
        <v>-49473640</v>
      </c>
      <c r="K3854">
        <v>75773093</v>
      </c>
      <c r="P3854">
        <v>118</v>
      </c>
      <c r="Q3854" t="s">
        <v>7755</v>
      </c>
    </row>
    <row r="3855" spans="1:17" x14ac:dyDescent="0.3">
      <c r="A3855" t="s">
        <v>32</v>
      </c>
      <c r="B3855" t="str">
        <f>"300324"</f>
        <v>300324</v>
      </c>
      <c r="C3855" t="s">
        <v>7756</v>
      </c>
      <c r="D3855" t="s">
        <v>342</v>
      </c>
      <c r="E3855">
        <v>-226515222</v>
      </c>
      <c r="F3855">
        <v>-345400775</v>
      </c>
      <c r="G3855">
        <v>-193991471</v>
      </c>
      <c r="H3855">
        <v>-239630303</v>
      </c>
      <c r="I3855">
        <v>-298651444</v>
      </c>
      <c r="J3855">
        <v>-119143133</v>
      </c>
      <c r="K3855">
        <v>-47880995</v>
      </c>
      <c r="L3855">
        <v>-66476971</v>
      </c>
      <c r="M3855">
        <v>-21252554</v>
      </c>
      <c r="N3855">
        <v>-33626201</v>
      </c>
      <c r="O3855">
        <v>-41631664</v>
      </c>
      <c r="P3855">
        <v>235</v>
      </c>
      <c r="Q3855" t="s">
        <v>7757</v>
      </c>
    </row>
    <row r="3856" spans="1:17" x14ac:dyDescent="0.3">
      <c r="A3856" t="s">
        <v>32</v>
      </c>
      <c r="B3856" t="str">
        <f>"002518"</f>
        <v>002518</v>
      </c>
      <c r="C3856" t="s">
        <v>7758</v>
      </c>
      <c r="D3856" t="s">
        <v>464</v>
      </c>
      <c r="E3856">
        <v>-226576485</v>
      </c>
      <c r="F3856">
        <v>-6372453</v>
      </c>
      <c r="G3856">
        <v>-117260128</v>
      </c>
      <c r="H3856">
        <v>163170176</v>
      </c>
      <c r="I3856">
        <v>-331339477</v>
      </c>
      <c r="J3856">
        <v>-55140473</v>
      </c>
      <c r="K3856">
        <v>-118620693</v>
      </c>
      <c r="L3856">
        <v>-27496082</v>
      </c>
      <c r="M3856">
        <v>-142669882</v>
      </c>
      <c r="N3856">
        <v>-67270918</v>
      </c>
      <c r="O3856">
        <v>-108023180</v>
      </c>
      <c r="P3856">
        <v>401</v>
      </c>
      <c r="Q3856" t="s">
        <v>7759</v>
      </c>
    </row>
    <row r="3857" spans="1:17" x14ac:dyDescent="0.3">
      <c r="A3857" t="s">
        <v>17</v>
      </c>
      <c r="B3857" t="str">
        <f>"600802"</f>
        <v>600802</v>
      </c>
      <c r="C3857" t="s">
        <v>7760</v>
      </c>
      <c r="D3857" t="s">
        <v>400</v>
      </c>
      <c r="E3857">
        <v>-226732562</v>
      </c>
      <c r="F3857">
        <v>-74157518</v>
      </c>
      <c r="G3857">
        <v>-293662911</v>
      </c>
      <c r="H3857">
        <v>28779014</v>
      </c>
      <c r="I3857">
        <v>77437967</v>
      </c>
      <c r="J3857">
        <v>-111114524</v>
      </c>
      <c r="K3857">
        <v>-101646308</v>
      </c>
      <c r="L3857">
        <v>-195314783</v>
      </c>
      <c r="M3857">
        <v>-39332615</v>
      </c>
      <c r="N3857">
        <v>-127646810</v>
      </c>
      <c r="O3857">
        <v>-136241692</v>
      </c>
      <c r="P3857">
        <v>249</v>
      </c>
      <c r="Q3857" t="s">
        <v>7761</v>
      </c>
    </row>
    <row r="3858" spans="1:17" x14ac:dyDescent="0.3">
      <c r="A3858" t="s">
        <v>17</v>
      </c>
      <c r="B3858" t="str">
        <f>"601368"</f>
        <v>601368</v>
      </c>
      <c r="C3858" t="s">
        <v>7762</v>
      </c>
      <c r="D3858" t="s">
        <v>1334</v>
      </c>
      <c r="E3858">
        <v>-228190998</v>
      </c>
      <c r="F3858">
        <v>-608227806</v>
      </c>
      <c r="G3858">
        <v>-492937117</v>
      </c>
      <c r="H3858">
        <v>-288380361</v>
      </c>
      <c r="I3858">
        <v>-205541153</v>
      </c>
      <c r="J3858">
        <v>-64035771</v>
      </c>
      <c r="K3858">
        <v>-45823484</v>
      </c>
      <c r="L3858">
        <v>-64853719</v>
      </c>
      <c r="M3858">
        <v>-37769397</v>
      </c>
      <c r="P3858">
        <v>109</v>
      </c>
      <c r="Q3858" t="s">
        <v>7763</v>
      </c>
    </row>
    <row r="3859" spans="1:17" x14ac:dyDescent="0.3">
      <c r="A3859" t="s">
        <v>32</v>
      </c>
      <c r="B3859" t="str">
        <f>"002456"</f>
        <v>002456</v>
      </c>
      <c r="C3859" t="s">
        <v>7764</v>
      </c>
      <c r="D3859" t="s">
        <v>124</v>
      </c>
      <c r="E3859">
        <v>-228849960</v>
      </c>
      <c r="F3859">
        <v>1138175456</v>
      </c>
      <c r="G3859">
        <v>77525691</v>
      </c>
      <c r="H3859">
        <v>-550908051</v>
      </c>
      <c r="I3859">
        <v>-2317968684</v>
      </c>
      <c r="J3859">
        <v>-1136765423</v>
      </c>
      <c r="K3859">
        <v>327908950</v>
      </c>
      <c r="L3859">
        <v>-329658564</v>
      </c>
      <c r="M3859">
        <v>-571649822</v>
      </c>
      <c r="N3859">
        <v>122752822</v>
      </c>
      <c r="O3859">
        <v>-205818797</v>
      </c>
      <c r="P3859">
        <v>1607</v>
      </c>
      <c r="Q3859" t="s">
        <v>7765</v>
      </c>
    </row>
    <row r="3860" spans="1:17" x14ac:dyDescent="0.3">
      <c r="A3860" t="s">
        <v>17</v>
      </c>
      <c r="B3860" t="str">
        <f>"603520"</f>
        <v>603520</v>
      </c>
      <c r="C3860" t="s">
        <v>7766</v>
      </c>
      <c r="D3860" t="s">
        <v>98</v>
      </c>
      <c r="E3860">
        <v>-228919388</v>
      </c>
      <c r="F3860">
        <v>-55569863</v>
      </c>
      <c r="G3860">
        <v>-26817244</v>
      </c>
      <c r="H3860">
        <v>3093890</v>
      </c>
      <c r="I3860">
        <v>-34356206</v>
      </c>
      <c r="J3860">
        <v>-75461196</v>
      </c>
      <c r="K3860">
        <v>-64321000</v>
      </c>
      <c r="L3860">
        <v>-21520234</v>
      </c>
      <c r="P3860">
        <v>383</v>
      </c>
      <c r="Q3860" t="s">
        <v>7767</v>
      </c>
    </row>
    <row r="3861" spans="1:17" x14ac:dyDescent="0.3">
      <c r="A3861" t="s">
        <v>17</v>
      </c>
      <c r="B3861" t="str">
        <f>"688234"</f>
        <v>688234</v>
      </c>
      <c r="C3861" t="s">
        <v>7768</v>
      </c>
      <c r="D3861" t="s">
        <v>124</v>
      </c>
      <c r="E3861">
        <v>-228977268</v>
      </c>
      <c r="P3861">
        <v>32</v>
      </c>
      <c r="Q3861" t="s">
        <v>7769</v>
      </c>
    </row>
    <row r="3862" spans="1:17" x14ac:dyDescent="0.3">
      <c r="A3862" t="s">
        <v>17</v>
      </c>
      <c r="B3862" t="str">
        <f>"603267"</f>
        <v>603267</v>
      </c>
      <c r="C3862" t="s">
        <v>7770</v>
      </c>
      <c r="D3862" t="s">
        <v>188</v>
      </c>
      <c r="E3862">
        <v>-229329124</v>
      </c>
      <c r="F3862">
        <v>-225865088</v>
      </c>
      <c r="G3862">
        <v>-80894538</v>
      </c>
      <c r="H3862">
        <v>-79716256</v>
      </c>
      <c r="I3862">
        <v>-86622660</v>
      </c>
      <c r="P3862">
        <v>471</v>
      </c>
      <c r="Q3862" t="s">
        <v>7771</v>
      </c>
    </row>
    <row r="3863" spans="1:17" x14ac:dyDescent="0.3">
      <c r="A3863" t="s">
        <v>32</v>
      </c>
      <c r="B3863" t="str">
        <f>"200541"</f>
        <v>200541</v>
      </c>
      <c r="C3863" t="s">
        <v>7772</v>
      </c>
      <c r="E3863">
        <v>-229610653.94800001</v>
      </c>
      <c r="F3863">
        <v>37811681.254500002</v>
      </c>
      <c r="G3863">
        <v>-43127289.742799997</v>
      </c>
      <c r="H3863">
        <v>20081262.433499999</v>
      </c>
      <c r="I3863">
        <v>62208857.343500003</v>
      </c>
      <c r="J3863">
        <v>-101568943.14139999</v>
      </c>
      <c r="K3863">
        <v>205967337.0178</v>
      </c>
      <c r="L3863">
        <v>63682305</v>
      </c>
      <c r="M3863">
        <v>85065864.892399997</v>
      </c>
      <c r="N3863">
        <v>48316116.934199996</v>
      </c>
      <c r="O3863">
        <v>179561568.06</v>
      </c>
      <c r="P3863">
        <v>119</v>
      </c>
      <c r="Q3863" t="s">
        <v>7773</v>
      </c>
    </row>
    <row r="3864" spans="1:17" x14ac:dyDescent="0.3">
      <c r="A3864" t="s">
        <v>32</v>
      </c>
      <c r="B3864" t="str">
        <f>"000889"</f>
        <v>000889</v>
      </c>
      <c r="C3864" t="s">
        <v>7774</v>
      </c>
      <c r="D3864" t="s">
        <v>57</v>
      </c>
      <c r="E3864">
        <v>-229778670</v>
      </c>
      <c r="F3864">
        <v>-235822781</v>
      </c>
      <c r="G3864">
        <v>-137216675</v>
      </c>
      <c r="H3864">
        <v>-82968603</v>
      </c>
      <c r="I3864">
        <v>-167535443</v>
      </c>
      <c r="J3864">
        <v>-111325774</v>
      </c>
      <c r="K3864">
        <v>-151025281</v>
      </c>
      <c r="L3864">
        <v>159294871</v>
      </c>
      <c r="M3864">
        <v>-9212129</v>
      </c>
      <c r="N3864">
        <v>43358740</v>
      </c>
      <c r="O3864">
        <v>47965613</v>
      </c>
      <c r="P3864">
        <v>157</v>
      </c>
      <c r="Q3864" t="s">
        <v>7775</v>
      </c>
    </row>
    <row r="3865" spans="1:17" x14ac:dyDescent="0.3">
      <c r="A3865" t="s">
        <v>32</v>
      </c>
      <c r="B3865" t="str">
        <f>"301193"</f>
        <v>301193</v>
      </c>
      <c r="C3865" t="s">
        <v>7776</v>
      </c>
      <c r="D3865" t="s">
        <v>455</v>
      </c>
      <c r="E3865">
        <v>-230120127</v>
      </c>
      <c r="P3865">
        <v>15</v>
      </c>
      <c r="Q3865" t="s">
        <v>7777</v>
      </c>
    </row>
    <row r="3866" spans="1:17" x14ac:dyDescent="0.3">
      <c r="A3866" t="s">
        <v>32</v>
      </c>
      <c r="B3866" t="str">
        <f>"002488"</f>
        <v>002488</v>
      </c>
      <c r="C3866" t="s">
        <v>7778</v>
      </c>
      <c r="D3866" t="s">
        <v>199</v>
      </c>
      <c r="E3866">
        <v>-230135377</v>
      </c>
      <c r="F3866">
        <v>-118249028</v>
      </c>
      <c r="G3866">
        <v>-45442946</v>
      </c>
      <c r="H3866">
        <v>-295660184</v>
      </c>
      <c r="I3866">
        <v>-303499662</v>
      </c>
      <c r="J3866">
        <v>-51808977</v>
      </c>
      <c r="K3866">
        <v>1414686</v>
      </c>
      <c r="L3866">
        <v>-94929350</v>
      </c>
      <c r="M3866">
        <v>-62863550</v>
      </c>
      <c r="N3866">
        <v>-134229822</v>
      </c>
      <c r="O3866">
        <v>-111600326</v>
      </c>
      <c r="P3866">
        <v>152</v>
      </c>
      <c r="Q3866" t="s">
        <v>7779</v>
      </c>
    </row>
    <row r="3867" spans="1:17" x14ac:dyDescent="0.3">
      <c r="A3867" t="s">
        <v>17</v>
      </c>
      <c r="B3867" t="str">
        <f>"601107"</f>
        <v>601107</v>
      </c>
      <c r="C3867" t="s">
        <v>7780</v>
      </c>
      <c r="D3867" t="s">
        <v>46</v>
      </c>
      <c r="E3867">
        <v>-230940437</v>
      </c>
      <c r="F3867">
        <v>-350660250</v>
      </c>
      <c r="G3867">
        <v>-402919841</v>
      </c>
      <c r="H3867">
        <v>280140830</v>
      </c>
      <c r="I3867">
        <v>244998148</v>
      </c>
      <c r="J3867">
        <v>-426323703</v>
      </c>
      <c r="K3867">
        <v>-604691572</v>
      </c>
      <c r="L3867">
        <v>-949141820</v>
      </c>
      <c r="M3867">
        <v>-499050559</v>
      </c>
      <c r="N3867">
        <v>-476363302</v>
      </c>
      <c r="O3867">
        <v>-379776461</v>
      </c>
      <c r="P3867">
        <v>231</v>
      </c>
      <c r="Q3867" t="s">
        <v>7781</v>
      </c>
    </row>
    <row r="3868" spans="1:17" x14ac:dyDescent="0.3">
      <c r="A3868" t="s">
        <v>17</v>
      </c>
      <c r="B3868" t="str">
        <f>"603636"</f>
        <v>603636</v>
      </c>
      <c r="C3868" t="s">
        <v>7782</v>
      </c>
      <c r="D3868" t="s">
        <v>342</v>
      </c>
      <c r="E3868">
        <v>-230953991</v>
      </c>
      <c r="F3868">
        <v>-390159168</v>
      </c>
      <c r="G3868">
        <v>-209306541</v>
      </c>
      <c r="H3868">
        <v>-278204959</v>
      </c>
      <c r="I3868">
        <v>-179570470</v>
      </c>
      <c r="J3868">
        <v>-74557048</v>
      </c>
      <c r="K3868">
        <v>-46988474</v>
      </c>
      <c r="L3868">
        <v>-86503702</v>
      </c>
      <c r="M3868">
        <v>-13621840</v>
      </c>
      <c r="P3868">
        <v>202</v>
      </c>
      <c r="Q3868" t="s">
        <v>7783</v>
      </c>
    </row>
    <row r="3869" spans="1:17" x14ac:dyDescent="0.3">
      <c r="A3869" t="s">
        <v>32</v>
      </c>
      <c r="B3869" t="str">
        <f>"000665"</f>
        <v>000665</v>
      </c>
      <c r="C3869" t="s">
        <v>7784</v>
      </c>
      <c r="D3869" t="s">
        <v>245</v>
      </c>
      <c r="E3869">
        <v>-232003034</v>
      </c>
      <c r="F3869">
        <v>-300749360</v>
      </c>
      <c r="G3869">
        <v>-259020962</v>
      </c>
      <c r="H3869">
        <v>-418675640</v>
      </c>
      <c r="I3869">
        <v>-281171867</v>
      </c>
      <c r="J3869">
        <v>-134651062</v>
      </c>
      <c r="K3869">
        <v>-15383943</v>
      </c>
      <c r="L3869">
        <v>-61571987</v>
      </c>
      <c r="M3869">
        <v>-113052927</v>
      </c>
      <c r="N3869">
        <v>-54984785</v>
      </c>
      <c r="O3869">
        <v>47081938</v>
      </c>
      <c r="P3869">
        <v>221</v>
      </c>
      <c r="Q3869" t="s">
        <v>7785</v>
      </c>
    </row>
    <row r="3870" spans="1:17" x14ac:dyDescent="0.3">
      <c r="A3870" t="s">
        <v>32</v>
      </c>
      <c r="B3870" t="str">
        <f>"000516"</f>
        <v>000516</v>
      </c>
      <c r="C3870" t="s">
        <v>7786</v>
      </c>
      <c r="D3870" t="s">
        <v>98</v>
      </c>
      <c r="E3870">
        <v>-232261824</v>
      </c>
      <c r="F3870">
        <v>-603590015</v>
      </c>
      <c r="G3870">
        <v>-499158651</v>
      </c>
      <c r="H3870">
        <v>-768088566</v>
      </c>
      <c r="I3870">
        <v>-229875823</v>
      </c>
      <c r="J3870">
        <v>-118391304</v>
      </c>
      <c r="K3870">
        <v>-64956466</v>
      </c>
      <c r="L3870">
        <v>-45709039</v>
      </c>
      <c r="M3870">
        <v>-72009350</v>
      </c>
      <c r="N3870">
        <v>24683996</v>
      </c>
      <c r="O3870">
        <v>11890736</v>
      </c>
      <c r="P3870">
        <v>405</v>
      </c>
      <c r="Q3870" t="s">
        <v>7787</v>
      </c>
    </row>
    <row r="3871" spans="1:17" x14ac:dyDescent="0.3">
      <c r="A3871" t="s">
        <v>17</v>
      </c>
      <c r="B3871" t="str">
        <f>"600562"</f>
        <v>600562</v>
      </c>
      <c r="C3871" t="s">
        <v>7788</v>
      </c>
      <c r="D3871" t="s">
        <v>188</v>
      </c>
      <c r="E3871">
        <v>-232990225</v>
      </c>
      <c r="F3871">
        <v>-15294577</v>
      </c>
      <c r="G3871">
        <v>143715257</v>
      </c>
      <c r="H3871">
        <v>-86309945</v>
      </c>
      <c r="I3871">
        <v>-115753548</v>
      </c>
      <c r="J3871">
        <v>-102415891</v>
      </c>
      <c r="K3871">
        <v>-35912227</v>
      </c>
      <c r="L3871">
        <v>-44200325</v>
      </c>
      <c r="M3871">
        <v>-74943560</v>
      </c>
      <c r="N3871">
        <v>-13792230</v>
      </c>
      <c r="O3871">
        <v>-14655746</v>
      </c>
      <c r="P3871">
        <v>283</v>
      </c>
      <c r="Q3871" t="s">
        <v>7789</v>
      </c>
    </row>
    <row r="3872" spans="1:17" x14ac:dyDescent="0.3">
      <c r="A3872" t="s">
        <v>32</v>
      </c>
      <c r="B3872" t="str">
        <f>"300513"</f>
        <v>300513</v>
      </c>
      <c r="C3872" t="s">
        <v>7790</v>
      </c>
      <c r="D3872" t="s">
        <v>57</v>
      </c>
      <c r="E3872">
        <v>-233267650</v>
      </c>
      <c r="F3872">
        <v>-136031546</v>
      </c>
      <c r="G3872">
        <v>-178202854</v>
      </c>
      <c r="H3872">
        <v>-101706889</v>
      </c>
      <c r="I3872">
        <v>-62359450</v>
      </c>
      <c r="J3872">
        <v>-42965476</v>
      </c>
      <c r="K3872">
        <v>-10874390</v>
      </c>
      <c r="P3872">
        <v>160</v>
      </c>
      <c r="Q3872" t="s">
        <v>7791</v>
      </c>
    </row>
    <row r="3873" spans="1:17" x14ac:dyDescent="0.3">
      <c r="A3873" t="s">
        <v>17</v>
      </c>
      <c r="B3873" t="str">
        <f>"603828"</f>
        <v>603828</v>
      </c>
      <c r="C3873" t="s">
        <v>7792</v>
      </c>
      <c r="D3873" t="s">
        <v>645</v>
      </c>
      <c r="E3873">
        <v>-233749674</v>
      </c>
      <c r="F3873">
        <v>-232263894</v>
      </c>
      <c r="G3873">
        <v>-216556810</v>
      </c>
      <c r="H3873">
        <v>-163727053</v>
      </c>
      <c r="I3873">
        <v>-161357053</v>
      </c>
      <c r="J3873">
        <v>-136477463</v>
      </c>
      <c r="K3873">
        <v>-116792896</v>
      </c>
      <c r="L3873">
        <v>-215460741</v>
      </c>
      <c r="M3873">
        <v>-211604944</v>
      </c>
      <c r="P3873">
        <v>66</v>
      </c>
      <c r="Q3873" t="s">
        <v>7793</v>
      </c>
    </row>
    <row r="3874" spans="1:17" x14ac:dyDescent="0.3">
      <c r="A3874" t="s">
        <v>32</v>
      </c>
      <c r="B3874" t="str">
        <f>"002273"</f>
        <v>002273</v>
      </c>
      <c r="C3874" t="s">
        <v>7794</v>
      </c>
      <c r="D3874" t="s">
        <v>124</v>
      </c>
      <c r="E3874">
        <v>-233782909</v>
      </c>
      <c r="F3874">
        <v>-8946522</v>
      </c>
      <c r="G3874">
        <v>-8484093</v>
      </c>
      <c r="H3874">
        <v>-95522971</v>
      </c>
      <c r="I3874">
        <v>-82144989</v>
      </c>
      <c r="J3874">
        <v>-111077567</v>
      </c>
      <c r="K3874">
        <v>-40384569</v>
      </c>
      <c r="L3874">
        <v>-23845340</v>
      </c>
      <c r="M3874">
        <v>-30166033</v>
      </c>
      <c r="N3874">
        <v>-10328896</v>
      </c>
      <c r="O3874">
        <v>-13468609</v>
      </c>
      <c r="P3874">
        <v>949</v>
      </c>
      <c r="Q3874" t="s">
        <v>7795</v>
      </c>
    </row>
    <row r="3875" spans="1:17" x14ac:dyDescent="0.3">
      <c r="A3875" t="s">
        <v>17</v>
      </c>
      <c r="B3875" t="str">
        <f>"600622"</f>
        <v>600622</v>
      </c>
      <c r="C3875" t="s">
        <v>7796</v>
      </c>
      <c r="D3875" t="s">
        <v>151</v>
      </c>
      <c r="E3875">
        <v>-234115346</v>
      </c>
      <c r="F3875">
        <v>601608416</v>
      </c>
      <c r="G3875">
        <v>-94959104</v>
      </c>
      <c r="H3875">
        <v>41821410</v>
      </c>
      <c r="I3875">
        <v>179537029</v>
      </c>
      <c r="J3875">
        <v>-485058000</v>
      </c>
      <c r="K3875">
        <v>420907894</v>
      </c>
      <c r="L3875">
        <v>-119089943</v>
      </c>
      <c r="M3875">
        <v>-1254890683</v>
      </c>
      <c r="N3875">
        <v>-178383971</v>
      </c>
      <c r="O3875">
        <v>-325421418</v>
      </c>
      <c r="P3875">
        <v>246</v>
      </c>
      <c r="Q3875" t="s">
        <v>7797</v>
      </c>
    </row>
    <row r="3876" spans="1:17" x14ac:dyDescent="0.3">
      <c r="A3876" t="s">
        <v>32</v>
      </c>
      <c r="B3876" t="str">
        <f>"002967"</f>
        <v>002967</v>
      </c>
      <c r="C3876" t="s">
        <v>7798</v>
      </c>
      <c r="D3876" t="s">
        <v>497</v>
      </c>
      <c r="E3876">
        <v>-234330486</v>
      </c>
      <c r="F3876">
        <v>-135906687</v>
      </c>
      <c r="G3876">
        <v>-174019235</v>
      </c>
      <c r="H3876">
        <v>-179339799</v>
      </c>
      <c r="I3876">
        <v>-110929035</v>
      </c>
      <c r="P3876">
        <v>238</v>
      </c>
      <c r="Q3876" t="s">
        <v>7799</v>
      </c>
    </row>
    <row r="3877" spans="1:17" x14ac:dyDescent="0.3">
      <c r="A3877" t="s">
        <v>17</v>
      </c>
      <c r="B3877" t="str">
        <f>"600797"</f>
        <v>600797</v>
      </c>
      <c r="C3877" t="s">
        <v>7800</v>
      </c>
      <c r="D3877" t="s">
        <v>342</v>
      </c>
      <c r="E3877">
        <v>-234339395</v>
      </c>
      <c r="F3877">
        <v>-392558093</v>
      </c>
      <c r="G3877">
        <v>-387375233</v>
      </c>
      <c r="H3877">
        <v>-223357063</v>
      </c>
      <c r="I3877">
        <v>-241909243</v>
      </c>
      <c r="J3877">
        <v>-330159300</v>
      </c>
      <c r="K3877">
        <v>-290667736</v>
      </c>
      <c r="L3877">
        <v>-257154075</v>
      </c>
      <c r="M3877">
        <v>-250070599</v>
      </c>
      <c r="N3877">
        <v>-198970009</v>
      </c>
      <c r="O3877">
        <v>-300091688</v>
      </c>
      <c r="P3877">
        <v>221</v>
      </c>
      <c r="Q3877" t="s">
        <v>7801</v>
      </c>
    </row>
    <row r="3878" spans="1:17" x14ac:dyDescent="0.3">
      <c r="A3878" t="s">
        <v>32</v>
      </c>
      <c r="B3878" t="str">
        <f>"000777"</f>
        <v>000777</v>
      </c>
      <c r="C3878" t="s">
        <v>7802</v>
      </c>
      <c r="D3878" t="s">
        <v>135</v>
      </c>
      <c r="E3878">
        <v>-234456447</v>
      </c>
      <c r="F3878">
        <v>-15879768</v>
      </c>
      <c r="G3878">
        <v>-57268541</v>
      </c>
      <c r="H3878">
        <v>-131527398</v>
      </c>
      <c r="I3878">
        <v>-117617351</v>
      </c>
      <c r="J3878">
        <v>-35982335</v>
      </c>
      <c r="K3878">
        <v>-71908454</v>
      </c>
      <c r="L3878">
        <v>-106922613</v>
      </c>
      <c r="M3878">
        <v>-118463254</v>
      </c>
      <c r="N3878">
        <v>-28327021</v>
      </c>
      <c r="O3878">
        <v>-83708550</v>
      </c>
      <c r="P3878">
        <v>131</v>
      </c>
      <c r="Q3878" t="s">
        <v>7803</v>
      </c>
    </row>
    <row r="3879" spans="1:17" x14ac:dyDescent="0.3">
      <c r="A3879" t="s">
        <v>32</v>
      </c>
      <c r="B3879" t="str">
        <f>"300497"</f>
        <v>300497</v>
      </c>
      <c r="C3879" t="s">
        <v>7804</v>
      </c>
      <c r="D3879" t="s">
        <v>98</v>
      </c>
      <c r="E3879">
        <v>-234605008</v>
      </c>
      <c r="F3879">
        <v>-118558024</v>
      </c>
      <c r="G3879">
        <v>25963737</v>
      </c>
      <c r="H3879">
        <v>-112299965</v>
      </c>
      <c r="I3879">
        <v>-21213078</v>
      </c>
      <c r="J3879">
        <v>21026399</v>
      </c>
      <c r="K3879">
        <v>17822816</v>
      </c>
      <c r="L3879">
        <v>-12069669</v>
      </c>
      <c r="M3879">
        <v>-18575665</v>
      </c>
      <c r="P3879">
        <v>4722</v>
      </c>
      <c r="Q3879" t="s">
        <v>7805</v>
      </c>
    </row>
    <row r="3880" spans="1:17" x14ac:dyDescent="0.3">
      <c r="A3880" t="s">
        <v>17</v>
      </c>
      <c r="B3880" t="str">
        <f>"688315"</f>
        <v>688315</v>
      </c>
      <c r="C3880" t="s">
        <v>7806</v>
      </c>
      <c r="D3880" t="s">
        <v>98</v>
      </c>
      <c r="E3880">
        <v>-234819401</v>
      </c>
      <c r="F3880">
        <v>-175478709</v>
      </c>
      <c r="G3880">
        <v>-331944725</v>
      </c>
      <c r="P3880">
        <v>46</v>
      </c>
      <c r="Q3880" t="s">
        <v>7807</v>
      </c>
    </row>
    <row r="3881" spans="1:17" x14ac:dyDescent="0.3">
      <c r="A3881" t="s">
        <v>17</v>
      </c>
      <c r="B3881" t="str">
        <f>"603871"</f>
        <v>603871</v>
      </c>
      <c r="C3881" t="s">
        <v>7808</v>
      </c>
      <c r="D3881" t="s">
        <v>46</v>
      </c>
      <c r="E3881">
        <v>-235143387</v>
      </c>
      <c r="F3881">
        <v>-224855244</v>
      </c>
      <c r="G3881">
        <v>-36939816</v>
      </c>
      <c r="H3881">
        <v>129470287</v>
      </c>
      <c r="I3881">
        <v>6126404</v>
      </c>
      <c r="J3881">
        <v>-23841748</v>
      </c>
      <c r="P3881">
        <v>324</v>
      </c>
      <c r="Q3881" t="s">
        <v>7809</v>
      </c>
    </row>
    <row r="3882" spans="1:17" x14ac:dyDescent="0.3">
      <c r="A3882" t="s">
        <v>17</v>
      </c>
      <c r="B3882" t="str">
        <f>"688052"</f>
        <v>688052</v>
      </c>
      <c r="C3882" t="s">
        <v>7810</v>
      </c>
      <c r="E3882">
        <v>-236492437</v>
      </c>
      <c r="F3882">
        <v>-70756529</v>
      </c>
      <c r="P3882">
        <v>11</v>
      </c>
      <c r="Q3882" t="s">
        <v>7811</v>
      </c>
    </row>
    <row r="3883" spans="1:17" x14ac:dyDescent="0.3">
      <c r="A3883" t="s">
        <v>17</v>
      </c>
      <c r="B3883" t="str">
        <f>"603897"</f>
        <v>603897</v>
      </c>
      <c r="C3883" t="s">
        <v>7812</v>
      </c>
      <c r="D3883" t="s">
        <v>464</v>
      </c>
      <c r="E3883">
        <v>-236787511</v>
      </c>
      <c r="F3883">
        <v>-164405062</v>
      </c>
      <c r="G3883">
        <v>259426604</v>
      </c>
      <c r="H3883">
        <v>-12598978</v>
      </c>
      <c r="I3883">
        <v>-563767158</v>
      </c>
      <c r="J3883">
        <v>-227260174</v>
      </c>
      <c r="P3883">
        <v>138</v>
      </c>
      <c r="Q3883" t="s">
        <v>7813</v>
      </c>
    </row>
    <row r="3884" spans="1:17" x14ac:dyDescent="0.3">
      <c r="A3884" t="s">
        <v>17</v>
      </c>
      <c r="B3884" t="str">
        <f>"603100"</f>
        <v>603100</v>
      </c>
      <c r="C3884" t="s">
        <v>7814</v>
      </c>
      <c r="D3884" t="s">
        <v>135</v>
      </c>
      <c r="E3884">
        <v>-236802863</v>
      </c>
      <c r="F3884">
        <v>-119622038</v>
      </c>
      <c r="G3884">
        <v>-77933384</v>
      </c>
      <c r="H3884">
        <v>-154481426</v>
      </c>
      <c r="I3884">
        <v>-231704886</v>
      </c>
      <c r="J3884">
        <v>-171915224</v>
      </c>
      <c r="K3884">
        <v>-12358836</v>
      </c>
      <c r="L3884">
        <v>-101292685</v>
      </c>
      <c r="M3884">
        <v>-126539178</v>
      </c>
      <c r="N3884">
        <v>-220010473</v>
      </c>
      <c r="P3884">
        <v>194</v>
      </c>
      <c r="Q3884" t="s">
        <v>7815</v>
      </c>
    </row>
    <row r="3885" spans="1:17" x14ac:dyDescent="0.3">
      <c r="A3885" t="s">
        <v>17</v>
      </c>
      <c r="B3885" t="str">
        <f>"688225"</f>
        <v>688225</v>
      </c>
      <c r="C3885" t="s">
        <v>7816</v>
      </c>
      <c r="E3885">
        <v>-237161240</v>
      </c>
      <c r="P3885">
        <v>10</v>
      </c>
      <c r="Q3885" t="s">
        <v>7817</v>
      </c>
    </row>
    <row r="3886" spans="1:17" x14ac:dyDescent="0.3">
      <c r="A3886" t="s">
        <v>17</v>
      </c>
      <c r="B3886" t="str">
        <f>"600225"</f>
        <v>600225</v>
      </c>
      <c r="C3886" t="s">
        <v>7818</v>
      </c>
      <c r="D3886" t="s">
        <v>151</v>
      </c>
      <c r="E3886">
        <v>-237668290</v>
      </c>
      <c r="F3886">
        <v>-1155828911</v>
      </c>
      <c r="G3886">
        <v>55053993</v>
      </c>
      <c r="H3886">
        <v>-165138583</v>
      </c>
      <c r="I3886">
        <v>-84158344</v>
      </c>
      <c r="J3886">
        <v>377763284</v>
      </c>
      <c r="K3886">
        <v>-414597936</v>
      </c>
      <c r="L3886">
        <v>-76861433</v>
      </c>
      <c r="M3886">
        <v>-931043501</v>
      </c>
      <c r="N3886">
        <v>-1371223717</v>
      </c>
      <c r="O3886">
        <v>-207637601</v>
      </c>
      <c r="P3886">
        <v>110</v>
      </c>
      <c r="Q3886" t="s">
        <v>7819</v>
      </c>
    </row>
    <row r="3887" spans="1:17" x14ac:dyDescent="0.3">
      <c r="A3887" t="s">
        <v>17</v>
      </c>
      <c r="B3887" t="str">
        <f>"601908"</f>
        <v>601908</v>
      </c>
      <c r="C3887" t="s">
        <v>7820</v>
      </c>
      <c r="D3887" t="s">
        <v>158</v>
      </c>
      <c r="E3887">
        <v>-237730500</v>
      </c>
      <c r="F3887">
        <v>-29539027</v>
      </c>
      <c r="G3887">
        <v>-207375923</v>
      </c>
      <c r="H3887">
        <v>-575982279</v>
      </c>
      <c r="I3887">
        <v>-684079181</v>
      </c>
      <c r="J3887">
        <v>-306705714</v>
      </c>
      <c r="K3887">
        <v>-406984195</v>
      </c>
      <c r="L3887">
        <v>-562516608</v>
      </c>
      <c r="M3887">
        <v>-62796382</v>
      </c>
      <c r="N3887">
        <v>-77441539</v>
      </c>
      <c r="O3887">
        <v>-113932615</v>
      </c>
      <c r="P3887">
        <v>318</v>
      </c>
      <c r="Q3887" t="s">
        <v>7821</v>
      </c>
    </row>
    <row r="3888" spans="1:17" x14ac:dyDescent="0.3">
      <c r="A3888" t="s">
        <v>32</v>
      </c>
      <c r="B3888" t="str">
        <f>"300477"</f>
        <v>300477</v>
      </c>
      <c r="C3888" t="s">
        <v>7822</v>
      </c>
      <c r="D3888" t="s">
        <v>464</v>
      </c>
      <c r="E3888">
        <v>-238080912</v>
      </c>
      <c r="F3888">
        <v>-40274185</v>
      </c>
      <c r="G3888">
        <v>-164394932</v>
      </c>
      <c r="H3888">
        <v>-139150556</v>
      </c>
      <c r="I3888">
        <v>-228421995</v>
      </c>
      <c r="J3888">
        <v>-93923699</v>
      </c>
      <c r="K3888">
        <v>-31989442</v>
      </c>
      <c r="L3888">
        <v>-101709866</v>
      </c>
      <c r="M3888">
        <v>-82115408</v>
      </c>
      <c r="P3888">
        <v>100</v>
      </c>
      <c r="Q3888" t="s">
        <v>7823</v>
      </c>
    </row>
    <row r="3889" spans="1:17" x14ac:dyDescent="0.3">
      <c r="A3889" t="s">
        <v>17</v>
      </c>
      <c r="B3889" t="str">
        <f>"600800"</f>
        <v>600800</v>
      </c>
      <c r="C3889" t="s">
        <v>7824</v>
      </c>
      <c r="D3889" t="s">
        <v>64</v>
      </c>
      <c r="E3889">
        <v>-238345997</v>
      </c>
      <c r="F3889">
        <v>240988702</v>
      </c>
      <c r="G3889">
        <v>25292470</v>
      </c>
      <c r="H3889">
        <v>-26709248</v>
      </c>
      <c r="I3889">
        <v>-4409177</v>
      </c>
      <c r="J3889">
        <v>-18740880</v>
      </c>
      <c r="K3889">
        <v>-23925248</v>
      </c>
      <c r="L3889">
        <v>96293538</v>
      </c>
      <c r="M3889">
        <v>-18978982</v>
      </c>
      <c r="N3889">
        <v>-84287182</v>
      </c>
      <c r="O3889">
        <v>-50612294</v>
      </c>
      <c r="P3889">
        <v>147</v>
      </c>
      <c r="Q3889" t="s">
        <v>7825</v>
      </c>
    </row>
    <row r="3890" spans="1:17" x14ac:dyDescent="0.3">
      <c r="A3890" t="s">
        <v>32</v>
      </c>
      <c r="B3890" t="str">
        <f>"301150"</f>
        <v>301150</v>
      </c>
      <c r="C3890" t="s">
        <v>7826</v>
      </c>
      <c r="E3890">
        <v>-238754135</v>
      </c>
      <c r="P3890">
        <v>7</v>
      </c>
      <c r="Q3890" t="s">
        <v>7827</v>
      </c>
    </row>
    <row r="3891" spans="1:17" x14ac:dyDescent="0.3">
      <c r="A3891" t="s">
        <v>32</v>
      </c>
      <c r="B3891" t="str">
        <f>"300082"</f>
        <v>300082</v>
      </c>
      <c r="C3891" t="s">
        <v>7828</v>
      </c>
      <c r="D3891" t="s">
        <v>144</v>
      </c>
      <c r="E3891">
        <v>-239058463</v>
      </c>
      <c r="F3891">
        <v>-559874158</v>
      </c>
      <c r="G3891">
        <v>-140038628</v>
      </c>
      <c r="H3891">
        <v>332491502</v>
      </c>
      <c r="I3891">
        <v>-273418802</v>
      </c>
      <c r="J3891">
        <v>-272754289</v>
      </c>
      <c r="K3891">
        <v>-31199963</v>
      </c>
      <c r="L3891">
        <v>-165550372</v>
      </c>
      <c r="M3891">
        <v>-505700725</v>
      </c>
      <c r="N3891">
        <v>-228943103</v>
      </c>
      <c r="O3891">
        <v>-114816626</v>
      </c>
      <c r="P3891">
        <v>176</v>
      </c>
      <c r="Q3891" t="s">
        <v>7829</v>
      </c>
    </row>
    <row r="3892" spans="1:17" x14ac:dyDescent="0.3">
      <c r="A3892" t="s">
        <v>17</v>
      </c>
      <c r="B3892" t="str">
        <f>"600363"</f>
        <v>600363</v>
      </c>
      <c r="C3892" t="s">
        <v>7830</v>
      </c>
      <c r="D3892" t="s">
        <v>124</v>
      </c>
      <c r="E3892">
        <v>-239139925</v>
      </c>
      <c r="F3892">
        <v>-341889287</v>
      </c>
      <c r="G3892">
        <v>-117872475</v>
      </c>
      <c r="H3892">
        <v>-44966785</v>
      </c>
      <c r="I3892">
        <v>-32986564</v>
      </c>
      <c r="J3892">
        <v>-92332275</v>
      </c>
      <c r="K3892">
        <v>-55242951</v>
      </c>
      <c r="L3892">
        <v>-53495041</v>
      </c>
      <c r="M3892">
        <v>-71734378</v>
      </c>
      <c r="N3892">
        <v>-47246976</v>
      </c>
      <c r="O3892">
        <v>-4277634</v>
      </c>
      <c r="P3892">
        <v>202</v>
      </c>
      <c r="Q3892" t="s">
        <v>7831</v>
      </c>
    </row>
    <row r="3893" spans="1:17" x14ac:dyDescent="0.3">
      <c r="A3893" t="s">
        <v>32</v>
      </c>
      <c r="B3893" t="str">
        <f>"002664"</f>
        <v>002664</v>
      </c>
      <c r="C3893" t="s">
        <v>7832</v>
      </c>
      <c r="D3893" t="s">
        <v>199</v>
      </c>
      <c r="E3893">
        <v>-239312223</v>
      </c>
      <c r="F3893">
        <v>-19936116</v>
      </c>
      <c r="G3893">
        <v>-77554087</v>
      </c>
      <c r="H3893">
        <v>24130199</v>
      </c>
      <c r="I3893">
        <v>-161983307</v>
      </c>
      <c r="J3893">
        <v>-105117748</v>
      </c>
      <c r="K3893">
        <v>33069268</v>
      </c>
      <c r="L3893">
        <v>-36938311</v>
      </c>
      <c r="M3893">
        <v>-61899453</v>
      </c>
      <c r="N3893">
        <v>-68335160</v>
      </c>
      <c r="O3893">
        <v>-21396286</v>
      </c>
      <c r="P3893">
        <v>232</v>
      </c>
      <c r="Q3893" t="s">
        <v>7833</v>
      </c>
    </row>
    <row r="3894" spans="1:17" x14ac:dyDescent="0.3">
      <c r="A3894" t="s">
        <v>17</v>
      </c>
      <c r="B3894" t="str">
        <f>"688519"</f>
        <v>688519</v>
      </c>
      <c r="C3894" t="s">
        <v>7834</v>
      </c>
      <c r="D3894" t="s">
        <v>124</v>
      </c>
      <c r="E3894">
        <v>-239330818</v>
      </c>
      <c r="F3894">
        <v>-189177603</v>
      </c>
      <c r="G3894">
        <v>-29458949</v>
      </c>
      <c r="H3894">
        <v>15114621</v>
      </c>
      <c r="P3894">
        <v>80</v>
      </c>
      <c r="Q3894" t="s">
        <v>7835</v>
      </c>
    </row>
    <row r="3895" spans="1:17" x14ac:dyDescent="0.3">
      <c r="A3895" t="s">
        <v>32</v>
      </c>
      <c r="B3895" t="str">
        <f>"002819"</f>
        <v>002819</v>
      </c>
      <c r="C3895" t="s">
        <v>7836</v>
      </c>
      <c r="D3895" t="s">
        <v>135</v>
      </c>
      <c r="E3895">
        <v>-240057767</v>
      </c>
      <c r="F3895">
        <v>-70888015</v>
      </c>
      <c r="G3895">
        <v>-22096173</v>
      </c>
      <c r="H3895">
        <v>-47437452</v>
      </c>
      <c r="I3895">
        <v>-109535392</v>
      </c>
      <c r="J3895">
        <v>-22868353</v>
      </c>
      <c r="K3895">
        <v>-30258567</v>
      </c>
      <c r="P3895">
        <v>139</v>
      </c>
      <c r="Q3895" t="s">
        <v>7837</v>
      </c>
    </row>
    <row r="3896" spans="1:17" x14ac:dyDescent="0.3">
      <c r="A3896" t="s">
        <v>32</v>
      </c>
      <c r="B3896" t="str">
        <f>"000514"</f>
        <v>000514</v>
      </c>
      <c r="C3896" t="s">
        <v>7838</v>
      </c>
      <c r="D3896" t="s">
        <v>151</v>
      </c>
      <c r="E3896">
        <v>-241148985</v>
      </c>
      <c r="F3896">
        <v>69057033</v>
      </c>
      <c r="G3896">
        <v>-1514627763</v>
      </c>
      <c r="H3896">
        <v>-19586076</v>
      </c>
      <c r="I3896">
        <v>13946630</v>
      </c>
      <c r="J3896">
        <v>184054497</v>
      </c>
      <c r="K3896">
        <v>-91644496</v>
      </c>
      <c r="L3896">
        <v>-132374708</v>
      </c>
      <c r="M3896">
        <v>70741613</v>
      </c>
      <c r="N3896">
        <v>455622536</v>
      </c>
      <c r="O3896">
        <v>-138512219</v>
      </c>
      <c r="P3896">
        <v>113</v>
      </c>
      <c r="Q3896" t="s">
        <v>7839</v>
      </c>
    </row>
    <row r="3897" spans="1:17" x14ac:dyDescent="0.3">
      <c r="A3897" t="s">
        <v>17</v>
      </c>
      <c r="B3897" t="str">
        <f>"605117"</f>
        <v>605117</v>
      </c>
      <c r="C3897" t="s">
        <v>7840</v>
      </c>
      <c r="D3897" t="s">
        <v>127</v>
      </c>
      <c r="E3897">
        <v>-241219132</v>
      </c>
      <c r="F3897">
        <v>19369654</v>
      </c>
      <c r="G3897">
        <v>-18270225</v>
      </c>
      <c r="P3897">
        <v>141</v>
      </c>
      <c r="Q3897" t="s">
        <v>7841</v>
      </c>
    </row>
    <row r="3898" spans="1:17" x14ac:dyDescent="0.3">
      <c r="A3898" t="s">
        <v>32</v>
      </c>
      <c r="B3898" t="str">
        <f>"002998"</f>
        <v>002998</v>
      </c>
      <c r="C3898" t="s">
        <v>7842</v>
      </c>
      <c r="D3898" t="s">
        <v>144</v>
      </c>
      <c r="E3898">
        <v>-241353510</v>
      </c>
      <c r="F3898">
        <v>-165170897</v>
      </c>
      <c r="G3898">
        <v>-179303213</v>
      </c>
      <c r="P3898">
        <v>36</v>
      </c>
      <c r="Q3898" t="s">
        <v>7843</v>
      </c>
    </row>
    <row r="3899" spans="1:17" x14ac:dyDescent="0.3">
      <c r="A3899" t="s">
        <v>32</v>
      </c>
      <c r="B3899" t="str">
        <f>"002443"</f>
        <v>002443</v>
      </c>
      <c r="C3899" t="s">
        <v>7844</v>
      </c>
      <c r="D3899" t="s">
        <v>163</v>
      </c>
      <c r="E3899">
        <v>-241907584</v>
      </c>
      <c r="F3899">
        <v>-184827228</v>
      </c>
      <c r="G3899">
        <v>-65850790</v>
      </c>
      <c r="H3899">
        <v>-169933074</v>
      </c>
      <c r="I3899">
        <v>-300740271</v>
      </c>
      <c r="J3899">
        <v>-212356498</v>
      </c>
      <c r="K3899">
        <v>-27381128</v>
      </c>
      <c r="L3899">
        <v>-13684680</v>
      </c>
      <c r="M3899">
        <v>-131521164</v>
      </c>
      <c r="N3899">
        <v>-387594994</v>
      </c>
      <c r="O3899">
        <v>-185077995</v>
      </c>
      <c r="P3899">
        <v>257</v>
      </c>
      <c r="Q3899" t="s">
        <v>7845</v>
      </c>
    </row>
    <row r="3900" spans="1:17" x14ac:dyDescent="0.3">
      <c r="A3900" t="s">
        <v>17</v>
      </c>
      <c r="B3900" t="str">
        <f>"603208"</f>
        <v>603208</v>
      </c>
      <c r="C3900" t="s">
        <v>7846</v>
      </c>
      <c r="D3900" t="s">
        <v>455</v>
      </c>
      <c r="E3900">
        <v>-241924422</v>
      </c>
      <c r="F3900">
        <v>-438241339</v>
      </c>
      <c r="G3900">
        <v>-297284028</v>
      </c>
      <c r="H3900">
        <v>-171300699</v>
      </c>
      <c r="I3900">
        <v>-119974888</v>
      </c>
      <c r="J3900">
        <v>-75529947</v>
      </c>
      <c r="K3900">
        <v>-10896342</v>
      </c>
      <c r="P3900">
        <v>494</v>
      </c>
      <c r="Q3900" t="s">
        <v>7847</v>
      </c>
    </row>
    <row r="3901" spans="1:17" x14ac:dyDescent="0.3">
      <c r="A3901" t="s">
        <v>32</v>
      </c>
      <c r="B3901" t="str">
        <f>"301051"</f>
        <v>301051</v>
      </c>
      <c r="C3901" t="s">
        <v>7848</v>
      </c>
      <c r="D3901" t="s">
        <v>124</v>
      </c>
      <c r="E3901">
        <v>-242760670</v>
      </c>
      <c r="P3901">
        <v>18</v>
      </c>
      <c r="Q3901" t="s">
        <v>7849</v>
      </c>
    </row>
    <row r="3902" spans="1:17" x14ac:dyDescent="0.3">
      <c r="A3902" t="s">
        <v>32</v>
      </c>
      <c r="B3902" t="str">
        <f>"000603"</f>
        <v>000603</v>
      </c>
      <c r="C3902" t="s">
        <v>7850</v>
      </c>
      <c r="D3902" t="s">
        <v>121</v>
      </c>
      <c r="E3902">
        <v>-243256267</v>
      </c>
      <c r="F3902">
        <v>-218236018</v>
      </c>
      <c r="G3902">
        <v>-196712323</v>
      </c>
      <c r="H3902">
        <v>-266444463</v>
      </c>
      <c r="I3902">
        <v>-179942550</v>
      </c>
      <c r="J3902">
        <v>-89219798</v>
      </c>
      <c r="K3902">
        <v>-919970</v>
      </c>
      <c r="L3902">
        <v>-82836923</v>
      </c>
      <c r="M3902">
        <v>-11341509</v>
      </c>
      <c r="N3902">
        <v>149995771</v>
      </c>
      <c r="O3902">
        <v>122871125</v>
      </c>
      <c r="P3902">
        <v>351</v>
      </c>
      <c r="Q3902" t="s">
        <v>7851</v>
      </c>
    </row>
    <row r="3903" spans="1:17" x14ac:dyDescent="0.3">
      <c r="A3903" t="s">
        <v>17</v>
      </c>
      <c r="B3903" t="str">
        <f>"688733"</f>
        <v>688733</v>
      </c>
      <c r="C3903" t="s">
        <v>7852</v>
      </c>
      <c r="D3903" t="s">
        <v>464</v>
      </c>
      <c r="E3903">
        <v>-243297067</v>
      </c>
      <c r="F3903">
        <v>-36356818</v>
      </c>
      <c r="P3903">
        <v>47</v>
      </c>
      <c r="Q3903" t="s">
        <v>7853</v>
      </c>
    </row>
    <row r="3904" spans="1:17" x14ac:dyDescent="0.3">
      <c r="A3904" t="s">
        <v>17</v>
      </c>
      <c r="B3904" t="str">
        <f>"600757"</f>
        <v>600757</v>
      </c>
      <c r="C3904" t="s">
        <v>7854</v>
      </c>
      <c r="D3904" t="s">
        <v>245</v>
      </c>
      <c r="E3904">
        <v>-244373302</v>
      </c>
      <c r="F3904">
        <v>-277891267</v>
      </c>
      <c r="G3904">
        <v>-232979543</v>
      </c>
      <c r="H3904">
        <v>-368335879</v>
      </c>
      <c r="I3904">
        <v>-479593459</v>
      </c>
      <c r="J3904">
        <v>-610989604</v>
      </c>
      <c r="K3904">
        <v>-515533603</v>
      </c>
      <c r="L3904">
        <v>-254829731</v>
      </c>
      <c r="M3904">
        <v>-177075625</v>
      </c>
      <c r="N3904">
        <v>-144273646</v>
      </c>
      <c r="O3904">
        <v>-224604266</v>
      </c>
      <c r="P3904">
        <v>437</v>
      </c>
      <c r="Q3904" t="s">
        <v>7855</v>
      </c>
    </row>
    <row r="3905" spans="1:17" x14ac:dyDescent="0.3">
      <c r="A3905" t="s">
        <v>17</v>
      </c>
      <c r="B3905" t="str">
        <f>"603700"</f>
        <v>603700</v>
      </c>
      <c r="C3905" t="s">
        <v>7856</v>
      </c>
      <c r="D3905" t="s">
        <v>135</v>
      </c>
      <c r="E3905">
        <v>-244973062</v>
      </c>
      <c r="F3905">
        <v>-200755873</v>
      </c>
      <c r="G3905">
        <v>-181800920</v>
      </c>
      <c r="H3905">
        <v>-142074765</v>
      </c>
      <c r="I3905">
        <v>-69972437</v>
      </c>
      <c r="P3905">
        <v>395</v>
      </c>
      <c r="Q3905" t="s">
        <v>7857</v>
      </c>
    </row>
    <row r="3906" spans="1:17" x14ac:dyDescent="0.3">
      <c r="A3906" t="s">
        <v>17</v>
      </c>
      <c r="B3906" t="str">
        <f>"603681"</f>
        <v>603681</v>
      </c>
      <c r="C3906" t="s">
        <v>7858</v>
      </c>
      <c r="D3906" t="s">
        <v>144</v>
      </c>
      <c r="E3906">
        <v>-245411949</v>
      </c>
      <c r="F3906">
        <v>-233987666</v>
      </c>
      <c r="G3906">
        <v>-41836348</v>
      </c>
      <c r="H3906">
        <v>19397081</v>
      </c>
      <c r="I3906">
        <v>-12686899</v>
      </c>
      <c r="P3906">
        <v>114</v>
      </c>
      <c r="Q3906" t="s">
        <v>7859</v>
      </c>
    </row>
    <row r="3907" spans="1:17" x14ac:dyDescent="0.3">
      <c r="A3907" t="s">
        <v>17</v>
      </c>
      <c r="B3907" t="str">
        <f>"600661"</f>
        <v>600661</v>
      </c>
      <c r="C3907" t="s">
        <v>7860</v>
      </c>
      <c r="D3907" t="s">
        <v>497</v>
      </c>
      <c r="E3907">
        <v>-245419567</v>
      </c>
      <c r="F3907">
        <v>-39630354</v>
      </c>
      <c r="G3907">
        <v>-155665402</v>
      </c>
      <c r="H3907">
        <v>-293592665</v>
      </c>
      <c r="I3907">
        <v>-32962219</v>
      </c>
      <c r="J3907">
        <v>-34695790</v>
      </c>
      <c r="K3907">
        <v>23950305</v>
      </c>
      <c r="L3907">
        <v>-43308541</v>
      </c>
      <c r="M3907">
        <v>-19780614</v>
      </c>
      <c r="N3907">
        <v>-23299798</v>
      </c>
      <c r="O3907">
        <v>-32983071</v>
      </c>
      <c r="P3907">
        <v>147</v>
      </c>
      <c r="Q3907" t="s">
        <v>7861</v>
      </c>
    </row>
    <row r="3908" spans="1:17" x14ac:dyDescent="0.3">
      <c r="A3908" t="s">
        <v>32</v>
      </c>
      <c r="B3908" t="str">
        <f>"301091"</f>
        <v>301091</v>
      </c>
      <c r="C3908" t="s">
        <v>7862</v>
      </c>
      <c r="D3908" t="s">
        <v>645</v>
      </c>
      <c r="E3908">
        <v>-246039803</v>
      </c>
      <c r="F3908">
        <v>-408080471</v>
      </c>
      <c r="P3908">
        <v>25</v>
      </c>
      <c r="Q3908" t="s">
        <v>7863</v>
      </c>
    </row>
    <row r="3909" spans="1:17" x14ac:dyDescent="0.3">
      <c r="A3909" t="s">
        <v>17</v>
      </c>
      <c r="B3909" t="str">
        <f>"900928"</f>
        <v>900928</v>
      </c>
      <c r="C3909" t="s">
        <v>7864</v>
      </c>
      <c r="E3909">
        <v>-247046543.8046</v>
      </c>
      <c r="F3909">
        <v>-109702571.14560001</v>
      </c>
      <c r="G3909">
        <v>-123966968.18700001</v>
      </c>
      <c r="H3909">
        <v>-62859674.192000002</v>
      </c>
      <c r="I3909">
        <v>-176223230.9368</v>
      </c>
      <c r="J3909">
        <v>-15268815.7116</v>
      </c>
      <c r="K3909">
        <v>-26745928.3926</v>
      </c>
      <c r="L3909">
        <v>-16858128.523800001</v>
      </c>
      <c r="M3909">
        <v>-15625540.125600001</v>
      </c>
      <c r="N3909">
        <v>-11482851.499</v>
      </c>
      <c r="O3909">
        <v>-10526637.461200001</v>
      </c>
      <c r="P3909">
        <v>14</v>
      </c>
      <c r="Q3909" t="s">
        <v>7865</v>
      </c>
    </row>
    <row r="3910" spans="1:17" x14ac:dyDescent="0.3">
      <c r="A3910" t="s">
        <v>32</v>
      </c>
      <c r="B3910" t="str">
        <f>"200505"</f>
        <v>200505</v>
      </c>
      <c r="C3910" t="s">
        <v>7866</v>
      </c>
      <c r="E3910">
        <v>-248150484.664</v>
      </c>
      <c r="F3910">
        <v>305416395.67500001</v>
      </c>
      <c r="G3910">
        <v>354211639.73640001</v>
      </c>
      <c r="H3910">
        <v>182134659.52079999</v>
      </c>
      <c r="I3910">
        <v>823690854.60399997</v>
      </c>
      <c r="J3910">
        <v>-37651192.960000001</v>
      </c>
      <c r="K3910">
        <v>150709566.01350001</v>
      </c>
      <c r="L3910">
        <v>-64301116.25</v>
      </c>
      <c r="M3910">
        <v>-121326069.8452</v>
      </c>
      <c r="N3910">
        <v>-53582357.950800002</v>
      </c>
      <c r="O3910">
        <v>-108757390.131</v>
      </c>
      <c r="P3910">
        <v>16</v>
      </c>
      <c r="Q3910" t="s">
        <v>7867</v>
      </c>
    </row>
    <row r="3911" spans="1:17" x14ac:dyDescent="0.3">
      <c r="A3911" t="s">
        <v>32</v>
      </c>
      <c r="B3911" t="str">
        <f>"300558"</f>
        <v>300558</v>
      </c>
      <c r="C3911" t="s">
        <v>7868</v>
      </c>
      <c r="D3911" t="s">
        <v>98</v>
      </c>
      <c r="E3911">
        <v>-248390931</v>
      </c>
      <c r="F3911">
        <v>-106854106</v>
      </c>
      <c r="G3911">
        <v>170009746</v>
      </c>
      <c r="H3911">
        <v>-114752859</v>
      </c>
      <c r="I3911">
        <v>-75137501</v>
      </c>
      <c r="J3911">
        <v>-38154036</v>
      </c>
      <c r="K3911">
        <v>51234849</v>
      </c>
      <c r="P3911">
        <v>757</v>
      </c>
      <c r="Q3911" t="s">
        <v>7869</v>
      </c>
    </row>
    <row r="3912" spans="1:17" x14ac:dyDescent="0.3">
      <c r="A3912" t="s">
        <v>32</v>
      </c>
      <c r="B3912" t="str">
        <f>"300677"</f>
        <v>300677</v>
      </c>
      <c r="C3912" t="s">
        <v>7870</v>
      </c>
      <c r="D3912" t="s">
        <v>98</v>
      </c>
      <c r="E3912">
        <v>-248860275</v>
      </c>
      <c r="F3912">
        <v>1243086629</v>
      </c>
      <c r="G3912">
        <v>122961259</v>
      </c>
      <c r="H3912">
        <v>-37897805</v>
      </c>
      <c r="I3912">
        <v>-28492799</v>
      </c>
      <c r="J3912">
        <v>-33525053</v>
      </c>
      <c r="K3912">
        <v>28360988</v>
      </c>
      <c r="P3912">
        <v>1819</v>
      </c>
      <c r="Q3912" t="s">
        <v>7871</v>
      </c>
    </row>
    <row r="3913" spans="1:17" x14ac:dyDescent="0.3">
      <c r="A3913" t="s">
        <v>32</v>
      </c>
      <c r="B3913" t="str">
        <f>"301155"</f>
        <v>301155</v>
      </c>
      <c r="C3913" t="s">
        <v>7872</v>
      </c>
      <c r="D3913" t="s">
        <v>464</v>
      </c>
      <c r="E3913">
        <v>-249141872</v>
      </c>
      <c r="P3913">
        <v>40</v>
      </c>
      <c r="Q3913" t="s">
        <v>7873</v>
      </c>
    </row>
    <row r="3914" spans="1:17" x14ac:dyDescent="0.3">
      <c r="A3914" t="s">
        <v>32</v>
      </c>
      <c r="B3914" t="str">
        <f>"300659"</f>
        <v>300659</v>
      </c>
      <c r="C3914" t="s">
        <v>7874</v>
      </c>
      <c r="D3914" t="s">
        <v>342</v>
      </c>
      <c r="E3914">
        <v>-249171760</v>
      </c>
      <c r="F3914">
        <v>-127245985</v>
      </c>
      <c r="G3914">
        <v>-102641265</v>
      </c>
      <c r="H3914">
        <v>-97632498</v>
      </c>
      <c r="I3914">
        <v>-69031940</v>
      </c>
      <c r="J3914">
        <v>-39041191</v>
      </c>
      <c r="K3914">
        <v>-54708340</v>
      </c>
      <c r="P3914">
        <v>273</v>
      </c>
      <c r="Q3914" t="s">
        <v>7875</v>
      </c>
    </row>
    <row r="3915" spans="1:17" x14ac:dyDescent="0.3">
      <c r="A3915" t="s">
        <v>32</v>
      </c>
      <c r="B3915" t="str">
        <f>"000049"</f>
        <v>000049</v>
      </c>
      <c r="C3915" t="s">
        <v>7876</v>
      </c>
      <c r="D3915" t="s">
        <v>464</v>
      </c>
      <c r="E3915">
        <v>-249262494</v>
      </c>
      <c r="F3915">
        <v>-12371668</v>
      </c>
      <c r="G3915">
        <v>132948270</v>
      </c>
      <c r="H3915">
        <v>205121634</v>
      </c>
      <c r="I3915">
        <v>213429046</v>
      </c>
      <c r="J3915">
        <v>212629951</v>
      </c>
      <c r="K3915">
        <v>-200639369</v>
      </c>
      <c r="L3915">
        <v>135830440</v>
      </c>
      <c r="M3915">
        <v>264627761</v>
      </c>
      <c r="N3915">
        <v>402687109</v>
      </c>
      <c r="O3915">
        <v>210921327</v>
      </c>
      <c r="P3915">
        <v>41592</v>
      </c>
      <c r="Q3915" t="s">
        <v>7877</v>
      </c>
    </row>
    <row r="3916" spans="1:17" x14ac:dyDescent="0.3">
      <c r="A3916" t="s">
        <v>32</v>
      </c>
      <c r="B3916" t="str">
        <f>"300699"</f>
        <v>300699</v>
      </c>
      <c r="C3916" t="s">
        <v>7878</v>
      </c>
      <c r="D3916" t="s">
        <v>188</v>
      </c>
      <c r="E3916">
        <v>-249410032</v>
      </c>
      <c r="F3916">
        <v>-316019265</v>
      </c>
      <c r="G3916">
        <v>-164632808</v>
      </c>
      <c r="H3916">
        <v>53699260</v>
      </c>
      <c r="I3916">
        <v>-41472017</v>
      </c>
      <c r="J3916">
        <v>76612648</v>
      </c>
      <c r="P3916">
        <v>917</v>
      </c>
      <c r="Q3916" t="s">
        <v>7879</v>
      </c>
    </row>
    <row r="3917" spans="1:17" x14ac:dyDescent="0.3">
      <c r="A3917" t="s">
        <v>17</v>
      </c>
      <c r="B3917" t="str">
        <f>"601005"</f>
        <v>601005</v>
      </c>
      <c r="C3917" t="s">
        <v>7880</v>
      </c>
      <c r="D3917" t="s">
        <v>163</v>
      </c>
      <c r="E3917">
        <v>-250803000</v>
      </c>
      <c r="F3917">
        <v>-1120436000</v>
      </c>
      <c r="G3917">
        <v>-213075000</v>
      </c>
      <c r="H3917">
        <v>-138559000</v>
      </c>
      <c r="I3917">
        <v>-304134000</v>
      </c>
      <c r="J3917">
        <v>-151469000</v>
      </c>
      <c r="K3917">
        <v>-52516000</v>
      </c>
      <c r="L3917">
        <v>-344829000</v>
      </c>
      <c r="M3917">
        <v>-155192000</v>
      </c>
      <c r="N3917">
        <v>-1775340000</v>
      </c>
      <c r="O3917">
        <v>382233000</v>
      </c>
      <c r="P3917">
        <v>249</v>
      </c>
      <c r="Q3917" t="s">
        <v>7881</v>
      </c>
    </row>
    <row r="3918" spans="1:17" x14ac:dyDescent="0.3">
      <c r="A3918" t="s">
        <v>32</v>
      </c>
      <c r="B3918" t="str">
        <f>"300134"</f>
        <v>300134</v>
      </c>
      <c r="C3918" t="s">
        <v>7882</v>
      </c>
      <c r="D3918" t="s">
        <v>57</v>
      </c>
      <c r="E3918">
        <v>-250803295</v>
      </c>
      <c r="F3918">
        <v>-79929812</v>
      </c>
      <c r="G3918">
        <v>40854094</v>
      </c>
      <c r="H3918">
        <v>220110746</v>
      </c>
      <c r="I3918">
        <v>-123750244</v>
      </c>
      <c r="J3918">
        <v>-49106163</v>
      </c>
      <c r="K3918">
        <v>-102465487</v>
      </c>
      <c r="L3918">
        <v>-29870736</v>
      </c>
      <c r="M3918">
        <v>1976663</v>
      </c>
      <c r="N3918">
        <v>40050190</v>
      </c>
      <c r="O3918">
        <v>-98621956</v>
      </c>
      <c r="P3918">
        <v>342</v>
      </c>
      <c r="Q3918" t="s">
        <v>7883</v>
      </c>
    </row>
    <row r="3919" spans="1:17" x14ac:dyDescent="0.3">
      <c r="A3919" t="s">
        <v>32</v>
      </c>
      <c r="B3919" t="str">
        <f>"300747"</f>
        <v>300747</v>
      </c>
      <c r="C3919" t="s">
        <v>7884</v>
      </c>
      <c r="D3919" t="s">
        <v>135</v>
      </c>
      <c r="E3919">
        <v>-250905386</v>
      </c>
      <c r="F3919">
        <v>-191226767</v>
      </c>
      <c r="G3919">
        <v>-70473277</v>
      </c>
      <c r="H3919">
        <v>-135936764</v>
      </c>
      <c r="I3919">
        <v>-6045200</v>
      </c>
      <c r="J3919">
        <v>4592400</v>
      </c>
      <c r="P3919">
        <v>3348</v>
      </c>
      <c r="Q3919" t="s">
        <v>7885</v>
      </c>
    </row>
    <row r="3920" spans="1:17" x14ac:dyDescent="0.3">
      <c r="A3920" t="s">
        <v>32</v>
      </c>
      <c r="B3920" t="str">
        <f>"300957"</f>
        <v>300957</v>
      </c>
      <c r="C3920" t="s">
        <v>7886</v>
      </c>
      <c r="D3920" t="s">
        <v>544</v>
      </c>
      <c r="E3920">
        <v>-251873138</v>
      </c>
      <c r="F3920">
        <v>28793704</v>
      </c>
      <c r="G3920">
        <v>-67907097</v>
      </c>
      <c r="P3920">
        <v>350</v>
      </c>
      <c r="Q3920" t="s">
        <v>7887</v>
      </c>
    </row>
    <row r="3921" spans="1:17" x14ac:dyDescent="0.3">
      <c r="A3921" t="s">
        <v>17</v>
      </c>
      <c r="B3921" t="str">
        <f>"603348"</f>
        <v>603348</v>
      </c>
      <c r="C3921" t="s">
        <v>7888</v>
      </c>
      <c r="D3921" t="s">
        <v>199</v>
      </c>
      <c r="E3921">
        <v>-252203664</v>
      </c>
      <c r="F3921">
        <v>74799610</v>
      </c>
      <c r="G3921">
        <v>83689132</v>
      </c>
      <c r="H3921">
        <v>25022677</v>
      </c>
      <c r="I3921">
        <v>-36704674</v>
      </c>
      <c r="J3921">
        <v>-51023812</v>
      </c>
      <c r="P3921">
        <v>193</v>
      </c>
      <c r="Q3921" t="s">
        <v>7889</v>
      </c>
    </row>
    <row r="3922" spans="1:17" x14ac:dyDescent="0.3">
      <c r="A3922" t="s">
        <v>17</v>
      </c>
      <c r="B3922" t="str">
        <f>"603920"</f>
        <v>603920</v>
      </c>
      <c r="C3922" t="s">
        <v>7890</v>
      </c>
      <c r="D3922" t="s">
        <v>124</v>
      </c>
      <c r="E3922">
        <v>-252355407</v>
      </c>
      <c r="F3922">
        <v>16754835</v>
      </c>
      <c r="G3922">
        <v>17072669</v>
      </c>
      <c r="H3922">
        <v>22220466</v>
      </c>
      <c r="I3922">
        <v>-30652285</v>
      </c>
      <c r="J3922">
        <v>52404483</v>
      </c>
      <c r="K3922">
        <v>43056172</v>
      </c>
      <c r="P3922">
        <v>267</v>
      </c>
      <c r="Q3922" t="s">
        <v>7891</v>
      </c>
    </row>
    <row r="3923" spans="1:17" x14ac:dyDescent="0.3">
      <c r="A3923" t="s">
        <v>32</v>
      </c>
      <c r="B3923" t="str">
        <f>"003035"</f>
        <v>003035</v>
      </c>
      <c r="C3923" t="s">
        <v>7892</v>
      </c>
      <c r="D3923" t="s">
        <v>158</v>
      </c>
      <c r="E3923">
        <v>-253425699</v>
      </c>
      <c r="F3923">
        <v>-368207388</v>
      </c>
      <c r="G3923">
        <v>-215403470</v>
      </c>
      <c r="P3923">
        <v>279</v>
      </c>
      <c r="Q3923" t="s">
        <v>7893</v>
      </c>
    </row>
    <row r="3924" spans="1:17" x14ac:dyDescent="0.3">
      <c r="A3924" t="s">
        <v>17</v>
      </c>
      <c r="B3924" t="str">
        <f>"603596"</f>
        <v>603596</v>
      </c>
      <c r="C3924" t="s">
        <v>7894</v>
      </c>
      <c r="D3924" t="s">
        <v>199</v>
      </c>
      <c r="E3924">
        <v>-253768481</v>
      </c>
      <c r="F3924">
        <v>-145714681</v>
      </c>
      <c r="G3924">
        <v>153555598</v>
      </c>
      <c r="H3924">
        <v>120043890</v>
      </c>
      <c r="I3924">
        <v>-133359155</v>
      </c>
      <c r="J3924">
        <v>11907966</v>
      </c>
      <c r="P3924">
        <v>370</v>
      </c>
      <c r="Q3924" t="s">
        <v>7895</v>
      </c>
    </row>
    <row r="3925" spans="1:17" x14ac:dyDescent="0.3">
      <c r="A3925" t="s">
        <v>32</v>
      </c>
      <c r="B3925" t="str">
        <f>"002457"</f>
        <v>002457</v>
      </c>
      <c r="C3925" t="s">
        <v>7896</v>
      </c>
      <c r="D3925" t="s">
        <v>400</v>
      </c>
      <c r="E3925">
        <v>-254087221</v>
      </c>
      <c r="F3925">
        <v>-341325059</v>
      </c>
      <c r="G3925">
        <v>-120046380</v>
      </c>
      <c r="H3925">
        <v>-101556371</v>
      </c>
      <c r="I3925">
        <v>-225125762</v>
      </c>
      <c r="J3925">
        <v>-46190603</v>
      </c>
      <c r="K3925">
        <v>-16234814</v>
      </c>
      <c r="L3925">
        <v>48003279</v>
      </c>
      <c r="M3925">
        <v>-43109996</v>
      </c>
      <c r="N3925">
        <v>-65687744</v>
      </c>
      <c r="O3925">
        <v>-64721990</v>
      </c>
      <c r="P3925">
        <v>132</v>
      </c>
      <c r="Q3925" t="s">
        <v>7897</v>
      </c>
    </row>
    <row r="3926" spans="1:17" x14ac:dyDescent="0.3">
      <c r="A3926" t="s">
        <v>32</v>
      </c>
      <c r="B3926" t="str">
        <f>"002151"</f>
        <v>002151</v>
      </c>
      <c r="C3926" t="s">
        <v>7898</v>
      </c>
      <c r="D3926" t="s">
        <v>188</v>
      </c>
      <c r="E3926">
        <v>-254100783</v>
      </c>
      <c r="F3926">
        <v>-186093263</v>
      </c>
      <c r="G3926">
        <v>-199121344</v>
      </c>
      <c r="H3926">
        <v>-111722508</v>
      </c>
      <c r="I3926">
        <v>-141941937</v>
      </c>
      <c r="J3926">
        <v>-107663322</v>
      </c>
      <c r="K3926">
        <v>-145718225</v>
      </c>
      <c r="L3926">
        <v>-119713376</v>
      </c>
      <c r="M3926">
        <v>-70711661</v>
      </c>
      <c r="N3926">
        <v>-102037616</v>
      </c>
      <c r="O3926">
        <v>-90969464</v>
      </c>
      <c r="P3926">
        <v>3423</v>
      </c>
      <c r="Q3926" t="s">
        <v>7899</v>
      </c>
    </row>
    <row r="3927" spans="1:17" x14ac:dyDescent="0.3">
      <c r="A3927" t="s">
        <v>32</v>
      </c>
      <c r="B3927" t="str">
        <f>"300892"</f>
        <v>300892</v>
      </c>
      <c r="C3927" t="s">
        <v>7900</v>
      </c>
      <c r="D3927" t="s">
        <v>218</v>
      </c>
      <c r="E3927">
        <v>-254238309</v>
      </c>
      <c r="F3927">
        <v>-15513935</v>
      </c>
      <c r="G3927">
        <v>-76884092</v>
      </c>
      <c r="P3927">
        <v>99</v>
      </c>
      <c r="Q3927" t="s">
        <v>7901</v>
      </c>
    </row>
    <row r="3928" spans="1:17" x14ac:dyDescent="0.3">
      <c r="A3928" t="s">
        <v>32</v>
      </c>
      <c r="B3928" t="str">
        <f>"300057"</f>
        <v>300057</v>
      </c>
      <c r="C3928" t="s">
        <v>7902</v>
      </c>
      <c r="D3928" t="s">
        <v>121</v>
      </c>
      <c r="E3928">
        <v>-254258638</v>
      </c>
      <c r="F3928">
        <v>-204710159</v>
      </c>
      <c r="G3928">
        <v>-51267244</v>
      </c>
      <c r="H3928">
        <v>-64727901</v>
      </c>
      <c r="I3928">
        <v>-13251366</v>
      </c>
      <c r="J3928">
        <v>49576579</v>
      </c>
      <c r="K3928">
        <v>-80185144</v>
      </c>
      <c r="L3928">
        <v>87126684</v>
      </c>
      <c r="M3928">
        <v>-70669126</v>
      </c>
      <c r="N3928">
        <v>-180387983</v>
      </c>
      <c r="O3928">
        <v>18401175</v>
      </c>
      <c r="P3928">
        <v>438</v>
      </c>
      <c r="Q3928" t="s">
        <v>7903</v>
      </c>
    </row>
    <row r="3929" spans="1:17" x14ac:dyDescent="0.3">
      <c r="A3929" t="s">
        <v>32</v>
      </c>
      <c r="B3929" t="str">
        <f>"300759"</f>
        <v>300759</v>
      </c>
      <c r="C3929" t="s">
        <v>7904</v>
      </c>
      <c r="D3929" t="s">
        <v>98</v>
      </c>
      <c r="E3929">
        <v>-254672882</v>
      </c>
      <c r="F3929">
        <v>-48450872</v>
      </c>
      <c r="G3929">
        <v>162313320</v>
      </c>
      <c r="H3929">
        <v>-48232428</v>
      </c>
      <c r="I3929">
        <v>-107275258</v>
      </c>
      <c r="P3929">
        <v>1082</v>
      </c>
      <c r="Q3929" t="s">
        <v>7905</v>
      </c>
    </row>
    <row r="3930" spans="1:17" x14ac:dyDescent="0.3">
      <c r="A3930" t="s">
        <v>17</v>
      </c>
      <c r="B3930" t="str">
        <f>"600831"</f>
        <v>600831</v>
      </c>
      <c r="C3930" t="s">
        <v>7906</v>
      </c>
      <c r="D3930" t="s">
        <v>245</v>
      </c>
      <c r="E3930">
        <v>-255099623</v>
      </c>
      <c r="F3930">
        <v>-320257514</v>
      </c>
      <c r="G3930">
        <v>-114709721</v>
      </c>
      <c r="H3930">
        <v>-263273396</v>
      </c>
      <c r="I3930">
        <v>-282503114</v>
      </c>
      <c r="J3930">
        <v>-2504990</v>
      </c>
      <c r="K3930">
        <v>-133564552</v>
      </c>
      <c r="L3930">
        <v>-130157533</v>
      </c>
      <c r="M3930">
        <v>-42399593</v>
      </c>
      <c r="N3930">
        <v>-54058779</v>
      </c>
      <c r="O3930">
        <v>32395702</v>
      </c>
      <c r="P3930">
        <v>199</v>
      </c>
      <c r="Q3930" t="s">
        <v>7907</v>
      </c>
    </row>
    <row r="3931" spans="1:17" x14ac:dyDescent="0.3">
      <c r="A3931" t="s">
        <v>17</v>
      </c>
      <c r="B3931" t="str">
        <f>"601778"</f>
        <v>601778</v>
      </c>
      <c r="C3931" t="s">
        <v>7908</v>
      </c>
      <c r="D3931" t="s">
        <v>158</v>
      </c>
      <c r="E3931">
        <v>-255313316</v>
      </c>
      <c r="F3931">
        <v>-330576112</v>
      </c>
      <c r="G3931">
        <v>-612991036</v>
      </c>
      <c r="H3931">
        <v>-395236185</v>
      </c>
      <c r="P3931">
        <v>221</v>
      </c>
      <c r="Q3931" t="s">
        <v>7909</v>
      </c>
    </row>
    <row r="3932" spans="1:17" x14ac:dyDescent="0.3">
      <c r="A3932" t="s">
        <v>17</v>
      </c>
      <c r="B3932" t="str">
        <f>"603458"</f>
        <v>603458</v>
      </c>
      <c r="C3932" t="s">
        <v>7910</v>
      </c>
      <c r="D3932" t="s">
        <v>645</v>
      </c>
      <c r="E3932">
        <v>-256137429</v>
      </c>
      <c r="F3932">
        <v>-261059376</v>
      </c>
      <c r="G3932">
        <v>-88121351</v>
      </c>
      <c r="H3932">
        <v>-400976607</v>
      </c>
      <c r="I3932">
        <v>-269313711</v>
      </c>
      <c r="J3932">
        <v>-140715300</v>
      </c>
      <c r="K3932">
        <v>77556300</v>
      </c>
      <c r="P3932">
        <v>474</v>
      </c>
      <c r="Q3932" t="s">
        <v>7911</v>
      </c>
    </row>
    <row r="3933" spans="1:17" x14ac:dyDescent="0.3">
      <c r="A3933" t="s">
        <v>32</v>
      </c>
      <c r="B3933" t="str">
        <f>"300161"</f>
        <v>300161</v>
      </c>
      <c r="C3933" t="s">
        <v>7912</v>
      </c>
      <c r="D3933" t="s">
        <v>135</v>
      </c>
      <c r="E3933">
        <v>-256223101</v>
      </c>
      <c r="F3933">
        <v>-100784202</v>
      </c>
      <c r="G3933">
        <v>-91342504</v>
      </c>
      <c r="H3933">
        <v>-123994511</v>
      </c>
      <c r="I3933">
        <v>-83030045</v>
      </c>
      <c r="J3933">
        <v>-141053471</v>
      </c>
      <c r="K3933">
        <v>-80285077</v>
      </c>
      <c r="L3933">
        <v>-69120497</v>
      </c>
      <c r="M3933">
        <v>-6311116</v>
      </c>
      <c r="N3933">
        <v>-41490047</v>
      </c>
      <c r="O3933">
        <v>-33786035</v>
      </c>
      <c r="P3933">
        <v>159</v>
      </c>
      <c r="Q3933" t="s">
        <v>7913</v>
      </c>
    </row>
    <row r="3934" spans="1:17" x14ac:dyDescent="0.3">
      <c r="A3934" t="s">
        <v>17</v>
      </c>
      <c r="B3934" t="str">
        <f>"601011"</f>
        <v>601011</v>
      </c>
      <c r="C3934" t="s">
        <v>7914</v>
      </c>
      <c r="D3934" t="s">
        <v>73</v>
      </c>
      <c r="E3934">
        <v>-257032304</v>
      </c>
      <c r="F3934">
        <v>54879726</v>
      </c>
      <c r="G3934">
        <v>158782159</v>
      </c>
      <c r="H3934">
        <v>85913291</v>
      </c>
      <c r="I3934">
        <v>110158384</v>
      </c>
      <c r="J3934">
        <v>-40749067</v>
      </c>
      <c r="K3934">
        <v>-62354031</v>
      </c>
      <c r="L3934">
        <v>-7326654</v>
      </c>
      <c r="M3934">
        <v>-14018415</v>
      </c>
      <c r="N3934">
        <v>-32279220</v>
      </c>
      <c r="O3934">
        <v>-52402992</v>
      </c>
      <c r="P3934">
        <v>134</v>
      </c>
      <c r="Q3934" t="s">
        <v>7915</v>
      </c>
    </row>
    <row r="3935" spans="1:17" x14ac:dyDescent="0.3">
      <c r="A3935" t="s">
        <v>32</v>
      </c>
      <c r="B3935" t="str">
        <f>"002609"</f>
        <v>002609</v>
      </c>
      <c r="C3935" t="s">
        <v>7916</v>
      </c>
      <c r="D3935" t="s">
        <v>342</v>
      </c>
      <c r="E3935">
        <v>-257420086</v>
      </c>
      <c r="F3935">
        <v>-211490781</v>
      </c>
      <c r="G3935">
        <v>-249568504</v>
      </c>
      <c r="H3935">
        <v>-174183787</v>
      </c>
      <c r="I3935">
        <v>-183450796</v>
      </c>
      <c r="J3935">
        <v>-113922172</v>
      </c>
      <c r="K3935">
        <v>-84331415</v>
      </c>
      <c r="L3935">
        <v>-305827412</v>
      </c>
      <c r="M3935">
        <v>-46490427</v>
      </c>
      <c r="N3935">
        <v>-62775380</v>
      </c>
      <c r="O3935">
        <v>-74192980</v>
      </c>
      <c r="P3935">
        <v>213</v>
      </c>
      <c r="Q3935" t="s">
        <v>7917</v>
      </c>
    </row>
    <row r="3936" spans="1:17" x14ac:dyDescent="0.3">
      <c r="A3936" t="s">
        <v>17</v>
      </c>
      <c r="B3936" t="str">
        <f>"600517"</f>
        <v>600517</v>
      </c>
      <c r="C3936" t="s">
        <v>7918</v>
      </c>
      <c r="D3936" t="s">
        <v>464</v>
      </c>
      <c r="E3936">
        <v>-257492949</v>
      </c>
      <c r="F3936">
        <v>661258351</v>
      </c>
      <c r="G3936">
        <v>1392447667</v>
      </c>
      <c r="H3936">
        <v>-400517741</v>
      </c>
      <c r="I3936">
        <v>-705785206</v>
      </c>
      <c r="J3936">
        <v>-419900052</v>
      </c>
      <c r="K3936">
        <v>-607173545</v>
      </c>
      <c r="L3936">
        <v>-366054023</v>
      </c>
      <c r="M3936">
        <v>-265951897</v>
      </c>
      <c r="N3936">
        <v>-204416454</v>
      </c>
      <c r="O3936">
        <v>-24512296</v>
      </c>
      <c r="P3936">
        <v>246</v>
      </c>
      <c r="Q3936" t="s">
        <v>7919</v>
      </c>
    </row>
    <row r="3937" spans="1:17" x14ac:dyDescent="0.3">
      <c r="A3937" t="s">
        <v>17</v>
      </c>
      <c r="B3937" t="str">
        <f>"600983"</f>
        <v>600983</v>
      </c>
      <c r="C3937" t="s">
        <v>7920</v>
      </c>
      <c r="D3937" t="s">
        <v>127</v>
      </c>
      <c r="E3937">
        <v>-257527535</v>
      </c>
      <c r="F3937">
        <v>-91493548</v>
      </c>
      <c r="G3937">
        <v>-629274597</v>
      </c>
      <c r="H3937">
        <v>-379204667</v>
      </c>
      <c r="I3937">
        <v>-713790850</v>
      </c>
      <c r="J3937">
        <v>-169534931</v>
      </c>
      <c r="K3937">
        <v>-56904176</v>
      </c>
      <c r="L3937">
        <v>83499373</v>
      </c>
      <c r="M3937">
        <v>79933910</v>
      </c>
      <c r="N3937">
        <v>132026510</v>
      </c>
      <c r="O3937">
        <v>-30286579</v>
      </c>
      <c r="P3937">
        <v>128</v>
      </c>
      <c r="Q3937" t="s">
        <v>7921</v>
      </c>
    </row>
    <row r="3938" spans="1:17" x14ac:dyDescent="0.3">
      <c r="A3938" t="s">
        <v>17</v>
      </c>
      <c r="B3938" t="str">
        <f>"688590"</f>
        <v>688590</v>
      </c>
      <c r="C3938" t="s">
        <v>7922</v>
      </c>
      <c r="D3938" t="s">
        <v>342</v>
      </c>
      <c r="E3938">
        <v>-257561397</v>
      </c>
      <c r="F3938">
        <v>-202800603</v>
      </c>
      <c r="G3938">
        <v>-179183443</v>
      </c>
      <c r="H3938">
        <v>-180061600</v>
      </c>
      <c r="P3938">
        <v>29</v>
      </c>
      <c r="Q3938" t="s">
        <v>7923</v>
      </c>
    </row>
    <row r="3939" spans="1:17" x14ac:dyDescent="0.3">
      <c r="A3939" t="s">
        <v>17</v>
      </c>
      <c r="B3939" t="str">
        <f>"601608"</f>
        <v>601608</v>
      </c>
      <c r="C3939" t="s">
        <v>7924</v>
      </c>
      <c r="D3939" t="s">
        <v>135</v>
      </c>
      <c r="E3939">
        <v>-257935105</v>
      </c>
      <c r="F3939">
        <v>-446938380</v>
      </c>
      <c r="G3939">
        <v>-286425843</v>
      </c>
      <c r="H3939">
        <v>-290996189</v>
      </c>
      <c r="I3939">
        <v>-276672549</v>
      </c>
      <c r="J3939">
        <v>142804721</v>
      </c>
      <c r="K3939">
        <v>-265629339</v>
      </c>
      <c r="L3939">
        <v>-513147436</v>
      </c>
      <c r="M3939">
        <v>-318754037</v>
      </c>
      <c r="N3939">
        <v>-452374337</v>
      </c>
      <c r="O3939">
        <v>-217840880</v>
      </c>
      <c r="P3939">
        <v>178</v>
      </c>
      <c r="Q3939" t="s">
        <v>7925</v>
      </c>
    </row>
    <row r="3940" spans="1:17" x14ac:dyDescent="0.3">
      <c r="A3940" t="s">
        <v>32</v>
      </c>
      <c r="B3940" t="str">
        <f>"002436"</f>
        <v>002436</v>
      </c>
      <c r="C3940" t="s">
        <v>7926</v>
      </c>
      <c r="D3940" t="s">
        <v>124</v>
      </c>
      <c r="E3940">
        <v>-258237351</v>
      </c>
      <c r="F3940">
        <v>-101077772</v>
      </c>
      <c r="G3940">
        <v>83659091</v>
      </c>
      <c r="H3940">
        <v>12600562</v>
      </c>
      <c r="I3940">
        <v>-79435421</v>
      </c>
      <c r="J3940">
        <v>-8597893</v>
      </c>
      <c r="K3940">
        <v>-67913282</v>
      </c>
      <c r="L3940">
        <v>-39753477</v>
      </c>
      <c r="M3940">
        <v>-49047360</v>
      </c>
      <c r="N3940">
        <v>-75134934</v>
      </c>
      <c r="O3940">
        <v>-79137275</v>
      </c>
      <c r="P3940">
        <v>563</v>
      </c>
      <c r="Q3940" t="s">
        <v>7927</v>
      </c>
    </row>
    <row r="3941" spans="1:17" x14ac:dyDescent="0.3">
      <c r="A3941" t="s">
        <v>17</v>
      </c>
      <c r="B3941" t="str">
        <f>"688568"</f>
        <v>688568</v>
      </c>
      <c r="C3941" t="s">
        <v>7928</v>
      </c>
      <c r="D3941" t="s">
        <v>342</v>
      </c>
      <c r="E3941">
        <v>-258685604</v>
      </c>
      <c r="F3941">
        <v>-152666089</v>
      </c>
      <c r="G3941">
        <v>-95181885</v>
      </c>
      <c r="H3941">
        <v>9592183</v>
      </c>
      <c r="P3941">
        <v>98</v>
      </c>
      <c r="Q3941" t="s">
        <v>7929</v>
      </c>
    </row>
    <row r="3942" spans="1:17" x14ac:dyDescent="0.3">
      <c r="A3942" t="s">
        <v>32</v>
      </c>
      <c r="B3942" t="str">
        <f>"300296"</f>
        <v>300296</v>
      </c>
      <c r="C3942" t="s">
        <v>7930</v>
      </c>
      <c r="D3942" t="s">
        <v>124</v>
      </c>
      <c r="E3942">
        <v>-258690283</v>
      </c>
      <c r="F3942">
        <v>-64354459</v>
      </c>
      <c r="G3942">
        <v>-224352066</v>
      </c>
      <c r="H3942">
        <v>-343599527</v>
      </c>
      <c r="I3942">
        <v>32630870</v>
      </c>
      <c r="J3942">
        <v>-164389817</v>
      </c>
      <c r="K3942">
        <v>-124330112</v>
      </c>
      <c r="L3942">
        <v>-10280652</v>
      </c>
      <c r="M3942">
        <v>-77358968</v>
      </c>
      <c r="N3942">
        <v>-89561414</v>
      </c>
      <c r="O3942">
        <v>-65159736</v>
      </c>
      <c r="P3942">
        <v>1700</v>
      </c>
      <c r="Q3942" t="s">
        <v>7931</v>
      </c>
    </row>
    <row r="3943" spans="1:17" x14ac:dyDescent="0.3">
      <c r="A3943" t="s">
        <v>32</v>
      </c>
      <c r="B3943" t="str">
        <f>"300339"</f>
        <v>300339</v>
      </c>
      <c r="C3943" t="s">
        <v>7932</v>
      </c>
      <c r="D3943" t="s">
        <v>342</v>
      </c>
      <c r="E3943">
        <v>-259151087</v>
      </c>
      <c r="F3943">
        <v>-332169131</v>
      </c>
      <c r="G3943">
        <v>-334248489</v>
      </c>
      <c r="H3943">
        <v>-241398460</v>
      </c>
      <c r="I3943">
        <v>-417450021</v>
      </c>
      <c r="J3943">
        <v>-222560516</v>
      </c>
      <c r="K3943">
        <v>-150397857</v>
      </c>
      <c r="L3943">
        <v>-691108</v>
      </c>
      <c r="M3943">
        <v>-152841354</v>
      </c>
      <c r="N3943">
        <v>-60191337</v>
      </c>
      <c r="O3943">
        <v>-398808</v>
      </c>
      <c r="P3943">
        <v>332</v>
      </c>
      <c r="Q3943" t="s">
        <v>7933</v>
      </c>
    </row>
    <row r="3944" spans="1:17" x14ac:dyDescent="0.3">
      <c r="A3944" t="s">
        <v>32</v>
      </c>
      <c r="B3944" t="str">
        <f>"000789"</f>
        <v>000789</v>
      </c>
      <c r="C3944" t="s">
        <v>7934</v>
      </c>
      <c r="D3944" t="s">
        <v>400</v>
      </c>
      <c r="E3944">
        <v>-259178742</v>
      </c>
      <c r="F3944">
        <v>-509576538</v>
      </c>
      <c r="G3944">
        <v>-502733023</v>
      </c>
      <c r="H3944">
        <v>-58762194</v>
      </c>
      <c r="I3944">
        <v>225282646</v>
      </c>
      <c r="J3944">
        <v>-124814083</v>
      </c>
      <c r="K3944">
        <v>-83079110</v>
      </c>
      <c r="L3944">
        <v>-56790200</v>
      </c>
      <c r="M3944">
        <v>-45317663</v>
      </c>
      <c r="N3944">
        <v>-14212695</v>
      </c>
      <c r="O3944">
        <v>8821039</v>
      </c>
      <c r="P3944">
        <v>1140</v>
      </c>
      <c r="Q3944" t="s">
        <v>7935</v>
      </c>
    </row>
    <row r="3945" spans="1:17" x14ac:dyDescent="0.3">
      <c r="A3945" t="s">
        <v>32</v>
      </c>
      <c r="B3945" t="str">
        <f>"300171"</f>
        <v>300171</v>
      </c>
      <c r="C3945" t="s">
        <v>7936</v>
      </c>
      <c r="D3945" t="s">
        <v>98</v>
      </c>
      <c r="E3945">
        <v>-259222208</v>
      </c>
      <c r="F3945">
        <v>229036256</v>
      </c>
      <c r="G3945">
        <v>92825525</v>
      </c>
      <c r="H3945">
        <v>13851497</v>
      </c>
      <c r="I3945">
        <v>-80316730</v>
      </c>
      <c r="J3945">
        <v>-106076190</v>
      </c>
      <c r="K3945">
        <v>-22297087</v>
      </c>
      <c r="L3945">
        <v>19227404</v>
      </c>
      <c r="M3945">
        <v>-11590648</v>
      </c>
      <c r="N3945">
        <v>-25653683</v>
      </c>
      <c r="O3945">
        <v>55745144</v>
      </c>
      <c r="P3945">
        <v>250</v>
      </c>
      <c r="Q3945" t="s">
        <v>7937</v>
      </c>
    </row>
    <row r="3946" spans="1:17" x14ac:dyDescent="0.3">
      <c r="A3946" t="s">
        <v>17</v>
      </c>
      <c r="B3946" t="str">
        <f>"688520"</f>
        <v>688520</v>
      </c>
      <c r="C3946" t="s">
        <v>7938</v>
      </c>
      <c r="D3946" t="s">
        <v>98</v>
      </c>
      <c r="E3946">
        <v>-259320622</v>
      </c>
      <c r="F3946">
        <v>-205872730</v>
      </c>
      <c r="G3946">
        <v>-103077232</v>
      </c>
      <c r="H3946">
        <v>-87623522</v>
      </c>
      <c r="P3946">
        <v>90</v>
      </c>
      <c r="Q3946" t="s">
        <v>7939</v>
      </c>
    </row>
    <row r="3947" spans="1:17" x14ac:dyDescent="0.3">
      <c r="A3947" t="s">
        <v>32</v>
      </c>
      <c r="B3947" t="str">
        <f>"000680"</f>
        <v>000680</v>
      </c>
      <c r="C3947" t="s">
        <v>7940</v>
      </c>
      <c r="D3947" t="s">
        <v>135</v>
      </c>
      <c r="E3947">
        <v>-259683146</v>
      </c>
      <c r="F3947">
        <v>309507815</v>
      </c>
      <c r="G3947">
        <v>-2758358</v>
      </c>
      <c r="H3947">
        <v>-44944302</v>
      </c>
      <c r="I3947">
        <v>-89796181</v>
      </c>
      <c r="J3947">
        <v>35248669</v>
      </c>
      <c r="K3947">
        <v>-97160971</v>
      </c>
      <c r="L3947">
        <v>-96474546</v>
      </c>
      <c r="M3947">
        <v>-2194421</v>
      </c>
      <c r="N3947">
        <v>-112230932</v>
      </c>
      <c r="O3947">
        <v>134089202</v>
      </c>
      <c r="P3947">
        <v>120</v>
      </c>
      <c r="Q3947" t="s">
        <v>7941</v>
      </c>
    </row>
    <row r="3948" spans="1:17" x14ac:dyDescent="0.3">
      <c r="A3948" t="s">
        <v>32</v>
      </c>
      <c r="B3948" t="str">
        <f>"002026"</f>
        <v>002026</v>
      </c>
      <c r="C3948" t="s">
        <v>7942</v>
      </c>
      <c r="D3948" t="s">
        <v>135</v>
      </c>
      <c r="E3948">
        <v>-259762281</v>
      </c>
      <c r="F3948">
        <v>56126461</v>
      </c>
      <c r="G3948">
        <v>76481197</v>
      </c>
      <c r="H3948">
        <v>17396293</v>
      </c>
      <c r="I3948">
        <v>35567224</v>
      </c>
      <c r="J3948">
        <v>16895005</v>
      </c>
      <c r="K3948">
        <v>-24502919</v>
      </c>
      <c r="L3948">
        <v>-54720379</v>
      </c>
      <c r="M3948">
        <v>55946043</v>
      </c>
      <c r="N3948">
        <v>-9502712</v>
      </c>
      <c r="O3948">
        <v>12087254</v>
      </c>
      <c r="P3948">
        <v>208</v>
      </c>
      <c r="Q3948" t="s">
        <v>7943</v>
      </c>
    </row>
    <row r="3949" spans="1:17" x14ac:dyDescent="0.3">
      <c r="A3949" t="s">
        <v>17</v>
      </c>
      <c r="B3949" t="str">
        <f>"688131"</f>
        <v>688131</v>
      </c>
      <c r="C3949" t="s">
        <v>7944</v>
      </c>
      <c r="D3949" t="s">
        <v>98</v>
      </c>
      <c r="E3949">
        <v>-260325103</v>
      </c>
      <c r="F3949">
        <v>24580474</v>
      </c>
      <c r="G3949">
        <v>-21431029</v>
      </c>
      <c r="P3949">
        <v>88</v>
      </c>
      <c r="Q3949" t="s">
        <v>7945</v>
      </c>
    </row>
    <row r="3950" spans="1:17" x14ac:dyDescent="0.3">
      <c r="A3950" t="s">
        <v>32</v>
      </c>
      <c r="B3950" t="str">
        <f>"000038"</f>
        <v>000038</v>
      </c>
      <c r="C3950" t="s">
        <v>7946</v>
      </c>
      <c r="D3950" t="s">
        <v>345</v>
      </c>
      <c r="E3950">
        <v>-260714648</v>
      </c>
      <c r="F3950">
        <v>-175280418</v>
      </c>
      <c r="G3950">
        <v>31774722</v>
      </c>
      <c r="H3950">
        <v>-60171699</v>
      </c>
      <c r="I3950">
        <v>10981589</v>
      </c>
      <c r="J3950">
        <v>-2953738</v>
      </c>
      <c r="K3950">
        <v>94639027</v>
      </c>
      <c r="L3950">
        <v>4636967</v>
      </c>
      <c r="M3950">
        <v>9172636</v>
      </c>
      <c r="N3950">
        <v>-2028759</v>
      </c>
      <c r="O3950">
        <v>-1847158</v>
      </c>
      <c r="P3950">
        <v>113</v>
      </c>
      <c r="Q3950" t="s">
        <v>7947</v>
      </c>
    </row>
    <row r="3951" spans="1:17" x14ac:dyDescent="0.3">
      <c r="A3951" t="s">
        <v>17</v>
      </c>
      <c r="B3951" t="str">
        <f>"603186"</f>
        <v>603186</v>
      </c>
      <c r="C3951" t="s">
        <v>7948</v>
      </c>
      <c r="D3951" t="s">
        <v>124</v>
      </c>
      <c r="E3951">
        <v>-260903567</v>
      </c>
      <c r="F3951">
        <v>-210124659</v>
      </c>
      <c r="G3951">
        <v>-30573392</v>
      </c>
      <c r="H3951">
        <v>-35324168</v>
      </c>
      <c r="I3951">
        <v>-104700106</v>
      </c>
      <c r="J3951">
        <v>-38802650</v>
      </c>
      <c r="K3951">
        <v>-48890978</v>
      </c>
      <c r="P3951">
        <v>328</v>
      </c>
      <c r="Q3951" t="s">
        <v>7949</v>
      </c>
    </row>
    <row r="3952" spans="1:17" x14ac:dyDescent="0.3">
      <c r="A3952" t="s">
        <v>17</v>
      </c>
      <c r="B3952" t="str">
        <f>"601965"</f>
        <v>601965</v>
      </c>
      <c r="C3952" t="s">
        <v>7950</v>
      </c>
      <c r="D3952" t="s">
        <v>199</v>
      </c>
      <c r="E3952">
        <v>-260924287</v>
      </c>
      <c r="F3952">
        <v>-251613639</v>
      </c>
      <c r="G3952">
        <v>-182495333</v>
      </c>
      <c r="H3952">
        <v>-160180539</v>
      </c>
      <c r="I3952">
        <v>-106008070</v>
      </c>
      <c r="J3952">
        <v>-128452963</v>
      </c>
      <c r="K3952">
        <v>-128831300</v>
      </c>
      <c r="L3952">
        <v>-47676860</v>
      </c>
      <c r="M3952">
        <v>1070558</v>
      </c>
      <c r="N3952">
        <v>-86863462</v>
      </c>
      <c r="O3952">
        <v>-92871951</v>
      </c>
      <c r="P3952">
        <v>307</v>
      </c>
      <c r="Q3952" t="s">
        <v>7951</v>
      </c>
    </row>
    <row r="3953" spans="1:17" x14ac:dyDescent="0.3">
      <c r="A3953" t="s">
        <v>32</v>
      </c>
      <c r="B3953" t="str">
        <f>"002286"</f>
        <v>002286</v>
      </c>
      <c r="C3953" t="s">
        <v>7952</v>
      </c>
      <c r="D3953" t="s">
        <v>175</v>
      </c>
      <c r="E3953">
        <v>-261751311</v>
      </c>
      <c r="F3953">
        <v>808361</v>
      </c>
      <c r="G3953">
        <v>158131955</v>
      </c>
      <c r="H3953">
        <v>-101132219</v>
      </c>
      <c r="I3953">
        <v>-23490817</v>
      </c>
      <c r="J3953">
        <v>-36524987</v>
      </c>
      <c r="K3953">
        <v>-66457996</v>
      </c>
      <c r="L3953">
        <v>-125814040</v>
      </c>
      <c r="M3953">
        <v>-40280740</v>
      </c>
      <c r="N3953">
        <v>-22624818</v>
      </c>
      <c r="O3953">
        <v>20160344</v>
      </c>
      <c r="P3953">
        <v>179</v>
      </c>
      <c r="Q3953" t="s">
        <v>7953</v>
      </c>
    </row>
    <row r="3954" spans="1:17" x14ac:dyDescent="0.3">
      <c r="A3954" t="s">
        <v>17</v>
      </c>
      <c r="B3954" t="str">
        <f>"603308"</f>
        <v>603308</v>
      </c>
      <c r="C3954" t="s">
        <v>7954</v>
      </c>
      <c r="D3954" t="s">
        <v>135</v>
      </c>
      <c r="E3954">
        <v>-262137347</v>
      </c>
      <c r="F3954">
        <v>-228054933</v>
      </c>
      <c r="G3954">
        <v>-243175076</v>
      </c>
      <c r="H3954">
        <v>-103387426</v>
      </c>
      <c r="I3954">
        <v>-109581468</v>
      </c>
      <c r="J3954">
        <v>-84274905</v>
      </c>
      <c r="K3954">
        <v>-8974600</v>
      </c>
      <c r="L3954">
        <v>27372635</v>
      </c>
      <c r="M3954">
        <v>-178078594</v>
      </c>
      <c r="N3954">
        <v>-43872151</v>
      </c>
      <c r="P3954">
        <v>233</v>
      </c>
      <c r="Q3954" t="s">
        <v>7955</v>
      </c>
    </row>
    <row r="3955" spans="1:17" x14ac:dyDescent="0.3">
      <c r="A3955" t="s">
        <v>32</v>
      </c>
      <c r="B3955" t="str">
        <f>"002986"</f>
        <v>002986</v>
      </c>
      <c r="C3955" t="s">
        <v>7956</v>
      </c>
      <c r="D3955" t="s">
        <v>64</v>
      </c>
      <c r="E3955">
        <v>-262690977</v>
      </c>
      <c r="F3955">
        <v>-191934557</v>
      </c>
      <c r="G3955">
        <v>-139067460</v>
      </c>
      <c r="H3955">
        <v>-36134458</v>
      </c>
      <c r="P3955">
        <v>58</v>
      </c>
      <c r="Q3955" t="s">
        <v>7957</v>
      </c>
    </row>
    <row r="3956" spans="1:17" x14ac:dyDescent="0.3">
      <c r="A3956" t="s">
        <v>32</v>
      </c>
      <c r="B3956" t="str">
        <f>"300738"</f>
        <v>300738</v>
      </c>
      <c r="C3956" t="s">
        <v>7958</v>
      </c>
      <c r="D3956" t="s">
        <v>342</v>
      </c>
      <c r="E3956">
        <v>-263400998</v>
      </c>
      <c r="F3956">
        <v>-121160947</v>
      </c>
      <c r="G3956">
        <v>-22359419</v>
      </c>
      <c r="H3956">
        <v>-106242598</v>
      </c>
      <c r="I3956">
        <v>6895227</v>
      </c>
      <c r="J3956">
        <v>3894509</v>
      </c>
      <c r="P3956">
        <v>301</v>
      </c>
      <c r="Q3956" t="s">
        <v>7959</v>
      </c>
    </row>
    <row r="3957" spans="1:17" x14ac:dyDescent="0.3">
      <c r="A3957" t="s">
        <v>17</v>
      </c>
      <c r="B3957" t="str">
        <f>"603686"</f>
        <v>603686</v>
      </c>
      <c r="C3957" t="s">
        <v>7960</v>
      </c>
      <c r="D3957" t="s">
        <v>1334</v>
      </c>
      <c r="E3957">
        <v>-263892640</v>
      </c>
      <c r="F3957">
        <v>-366067451</v>
      </c>
      <c r="G3957">
        <v>-364553050</v>
      </c>
      <c r="H3957">
        <v>-329354002</v>
      </c>
      <c r="I3957">
        <v>-418959584</v>
      </c>
      <c r="J3957">
        <v>-418921474</v>
      </c>
      <c r="K3957">
        <v>-250347606</v>
      </c>
      <c r="L3957">
        <v>-177844712</v>
      </c>
      <c r="M3957">
        <v>-162483594</v>
      </c>
      <c r="P3957">
        <v>762</v>
      </c>
      <c r="Q3957" t="s">
        <v>7961</v>
      </c>
    </row>
    <row r="3958" spans="1:17" x14ac:dyDescent="0.3">
      <c r="A3958" t="s">
        <v>32</v>
      </c>
      <c r="B3958" t="str">
        <f>"300489"</f>
        <v>300489</v>
      </c>
      <c r="C3958" t="s">
        <v>7962</v>
      </c>
      <c r="D3958" t="s">
        <v>121</v>
      </c>
      <c r="E3958">
        <v>-264189743</v>
      </c>
      <c r="F3958">
        <v>-403154524</v>
      </c>
      <c r="G3958">
        <v>-14427709</v>
      </c>
      <c r="H3958">
        <v>16305553</v>
      </c>
      <c r="I3958">
        <v>-18375524</v>
      </c>
      <c r="J3958">
        <v>-17113341</v>
      </c>
      <c r="K3958">
        <v>-38611472</v>
      </c>
      <c r="L3958">
        <v>-11194593</v>
      </c>
      <c r="M3958">
        <v>-13925682</v>
      </c>
      <c r="P3958">
        <v>71</v>
      </c>
      <c r="Q3958" t="s">
        <v>7963</v>
      </c>
    </row>
    <row r="3959" spans="1:17" x14ac:dyDescent="0.3">
      <c r="A3959" t="s">
        <v>17</v>
      </c>
      <c r="B3959" t="str">
        <f>"688153"</f>
        <v>688153</v>
      </c>
      <c r="C3959" t="s">
        <v>7964</v>
      </c>
      <c r="E3959">
        <v>-264879812</v>
      </c>
      <c r="F3959">
        <v>-82372042</v>
      </c>
      <c r="P3959">
        <v>8</v>
      </c>
      <c r="Q3959" t="s">
        <v>7965</v>
      </c>
    </row>
    <row r="3960" spans="1:17" x14ac:dyDescent="0.3">
      <c r="A3960" t="s">
        <v>17</v>
      </c>
      <c r="B3960" t="str">
        <f>"688311"</f>
        <v>688311</v>
      </c>
      <c r="C3960" t="s">
        <v>7966</v>
      </c>
      <c r="D3960" t="s">
        <v>188</v>
      </c>
      <c r="E3960">
        <v>-265079901</v>
      </c>
      <c r="F3960">
        <v>-54927822</v>
      </c>
      <c r="G3960">
        <v>-44423160</v>
      </c>
      <c r="H3960">
        <v>-51343332</v>
      </c>
      <c r="P3960">
        <v>74</v>
      </c>
      <c r="Q3960" t="s">
        <v>7967</v>
      </c>
    </row>
    <row r="3961" spans="1:17" x14ac:dyDescent="0.3">
      <c r="A3961" t="s">
        <v>32</v>
      </c>
      <c r="B3961" t="str">
        <f>"002376"</f>
        <v>002376</v>
      </c>
      <c r="C3961" t="s">
        <v>7968</v>
      </c>
      <c r="D3961" t="s">
        <v>342</v>
      </c>
      <c r="E3961">
        <v>-265187773</v>
      </c>
      <c r="F3961">
        <v>-159464023</v>
      </c>
      <c r="G3961">
        <v>-116524295</v>
      </c>
      <c r="H3961">
        <v>-108442696</v>
      </c>
      <c r="I3961">
        <v>-56338299</v>
      </c>
      <c r="J3961">
        <v>15470413</v>
      </c>
      <c r="K3961">
        <v>-64757636</v>
      </c>
      <c r="L3961">
        <v>23967065</v>
      </c>
      <c r="M3961">
        <v>-67292251</v>
      </c>
      <c r="N3961">
        <v>-92148201</v>
      </c>
      <c r="O3961">
        <v>-57295418</v>
      </c>
      <c r="P3961">
        <v>298</v>
      </c>
      <c r="Q3961" t="s">
        <v>7969</v>
      </c>
    </row>
    <row r="3962" spans="1:17" x14ac:dyDescent="0.3">
      <c r="A3962" t="s">
        <v>17</v>
      </c>
      <c r="B3962" t="str">
        <f>"603313"</f>
        <v>603313</v>
      </c>
      <c r="C3962" t="s">
        <v>7970</v>
      </c>
      <c r="D3962" t="s">
        <v>455</v>
      </c>
      <c r="E3962">
        <v>-265371684</v>
      </c>
      <c r="F3962">
        <v>-257799315</v>
      </c>
      <c r="G3962">
        <v>-79536400</v>
      </c>
      <c r="H3962">
        <v>25342726</v>
      </c>
      <c r="I3962">
        <v>-76340412</v>
      </c>
      <c r="J3962">
        <v>-32868055</v>
      </c>
      <c r="K3962">
        <v>13960622</v>
      </c>
      <c r="P3962">
        <v>580</v>
      </c>
      <c r="Q3962" t="s">
        <v>7971</v>
      </c>
    </row>
    <row r="3963" spans="1:17" x14ac:dyDescent="0.3">
      <c r="A3963" t="s">
        <v>17</v>
      </c>
      <c r="B3963" t="str">
        <f>"600446"</f>
        <v>600446</v>
      </c>
      <c r="C3963" t="s">
        <v>7972</v>
      </c>
      <c r="D3963" t="s">
        <v>342</v>
      </c>
      <c r="E3963">
        <v>-265461792</v>
      </c>
      <c r="F3963">
        <v>13120456</v>
      </c>
      <c r="G3963">
        <v>-83573510</v>
      </c>
      <c r="H3963">
        <v>-265775126</v>
      </c>
      <c r="I3963">
        <v>-177391287</v>
      </c>
      <c r="J3963">
        <v>-251131135</v>
      </c>
      <c r="K3963">
        <v>-38453732</v>
      </c>
      <c r="L3963">
        <v>-25188223</v>
      </c>
      <c r="M3963">
        <v>-68655128</v>
      </c>
      <c r="N3963">
        <v>-56331395</v>
      </c>
      <c r="O3963">
        <v>-49436056</v>
      </c>
      <c r="P3963">
        <v>335</v>
      </c>
      <c r="Q3963" t="s">
        <v>7973</v>
      </c>
    </row>
    <row r="3964" spans="1:17" x14ac:dyDescent="0.3">
      <c r="A3964" t="s">
        <v>32</v>
      </c>
      <c r="B3964" t="str">
        <f>"000561"</f>
        <v>000561</v>
      </c>
      <c r="C3964" t="s">
        <v>7974</v>
      </c>
      <c r="D3964" t="s">
        <v>188</v>
      </c>
      <c r="E3964">
        <v>-265585849</v>
      </c>
      <c r="F3964">
        <v>-67807407</v>
      </c>
      <c r="G3964">
        <v>-76870944</v>
      </c>
      <c r="H3964">
        <v>-126758570</v>
      </c>
      <c r="I3964">
        <v>-72823137</v>
      </c>
      <c r="J3964">
        <v>-66675710</v>
      </c>
      <c r="K3964">
        <v>-51894931</v>
      </c>
      <c r="L3964">
        <v>-82427763</v>
      </c>
      <c r="M3964">
        <v>-115472947</v>
      </c>
      <c r="N3964">
        <v>-17971109</v>
      </c>
      <c r="O3964">
        <v>-124222896</v>
      </c>
      <c r="P3964">
        <v>134</v>
      </c>
      <c r="Q3964" t="s">
        <v>7975</v>
      </c>
    </row>
    <row r="3965" spans="1:17" x14ac:dyDescent="0.3">
      <c r="A3965" t="s">
        <v>32</v>
      </c>
      <c r="B3965" t="str">
        <f>"002057"</f>
        <v>002057</v>
      </c>
      <c r="C3965" t="s">
        <v>7976</v>
      </c>
      <c r="D3965" t="s">
        <v>121</v>
      </c>
      <c r="E3965">
        <v>-265695222</v>
      </c>
      <c r="F3965">
        <v>-84613603</v>
      </c>
      <c r="G3965">
        <v>-119654371</v>
      </c>
      <c r="H3965">
        <v>-94416503</v>
      </c>
      <c r="I3965">
        <v>-78248771</v>
      </c>
      <c r="J3965">
        <v>-25984181</v>
      </c>
      <c r="K3965">
        <v>-16004710</v>
      </c>
      <c r="L3965">
        <v>-11986421</v>
      </c>
      <c r="M3965">
        <v>-29371588</v>
      </c>
      <c r="N3965">
        <v>-24682534</v>
      </c>
      <c r="O3965">
        <v>-19207555</v>
      </c>
      <c r="P3965">
        <v>127</v>
      </c>
      <c r="Q3965" t="s">
        <v>7977</v>
      </c>
    </row>
    <row r="3966" spans="1:17" x14ac:dyDescent="0.3">
      <c r="A3966" t="s">
        <v>32</v>
      </c>
      <c r="B3966" t="str">
        <f>"002116"</f>
        <v>002116</v>
      </c>
      <c r="C3966" t="s">
        <v>7978</v>
      </c>
      <c r="D3966" t="s">
        <v>645</v>
      </c>
      <c r="E3966">
        <v>-265958734</v>
      </c>
      <c r="F3966">
        <v>-244676516</v>
      </c>
      <c r="G3966">
        <v>116312793</v>
      </c>
      <c r="H3966">
        <v>42612967</v>
      </c>
      <c r="I3966">
        <v>-106426554</v>
      </c>
      <c r="J3966">
        <v>-132898598</v>
      </c>
      <c r="K3966">
        <v>-118948861</v>
      </c>
      <c r="L3966">
        <v>-117352644</v>
      </c>
      <c r="M3966">
        <v>-47368255</v>
      </c>
      <c r="N3966">
        <v>-143331698</v>
      </c>
      <c r="O3966">
        <v>-180050160</v>
      </c>
      <c r="P3966">
        <v>176</v>
      </c>
      <c r="Q3966" t="s">
        <v>7979</v>
      </c>
    </row>
    <row r="3967" spans="1:17" x14ac:dyDescent="0.3">
      <c r="A3967" t="s">
        <v>32</v>
      </c>
      <c r="B3967" t="str">
        <f>"300821"</f>
        <v>300821</v>
      </c>
      <c r="C3967" t="s">
        <v>7980</v>
      </c>
      <c r="D3967" t="s">
        <v>144</v>
      </c>
      <c r="E3967">
        <v>-265963083</v>
      </c>
      <c r="F3967">
        <v>-67118278</v>
      </c>
      <c r="G3967">
        <v>9652007</v>
      </c>
      <c r="H3967">
        <v>107039807</v>
      </c>
      <c r="P3967">
        <v>159</v>
      </c>
      <c r="Q3967" t="s">
        <v>7981</v>
      </c>
    </row>
    <row r="3968" spans="1:17" x14ac:dyDescent="0.3">
      <c r="A3968" t="s">
        <v>17</v>
      </c>
      <c r="B3968" t="str">
        <f>"600579"</f>
        <v>600579</v>
      </c>
      <c r="C3968" t="s">
        <v>7982</v>
      </c>
      <c r="D3968" t="s">
        <v>135</v>
      </c>
      <c r="E3968">
        <v>-266288008</v>
      </c>
      <c r="F3968">
        <v>84834826</v>
      </c>
      <c r="G3968">
        <v>-323487505</v>
      </c>
      <c r="H3968">
        <v>-128635020</v>
      </c>
      <c r="I3968">
        <v>-60097529</v>
      </c>
      <c r="J3968">
        <v>-61373850</v>
      </c>
      <c r="K3968">
        <v>-36186527</v>
      </c>
      <c r="L3968">
        <v>-50967208</v>
      </c>
      <c r="M3968">
        <v>-52774652</v>
      </c>
      <c r="N3968">
        <v>28781782</v>
      </c>
      <c r="O3968">
        <v>16070427</v>
      </c>
      <c r="P3968">
        <v>72</v>
      </c>
      <c r="Q3968" t="s">
        <v>7983</v>
      </c>
    </row>
    <row r="3969" spans="1:17" x14ac:dyDescent="0.3">
      <c r="A3969" t="s">
        <v>17</v>
      </c>
      <c r="B3969" t="str">
        <f>"603118"</f>
        <v>603118</v>
      </c>
      <c r="C3969" t="s">
        <v>7984</v>
      </c>
      <c r="D3969" t="s">
        <v>57</v>
      </c>
      <c r="E3969">
        <v>-267133098</v>
      </c>
      <c r="F3969">
        <v>-103126900</v>
      </c>
      <c r="G3969">
        <v>43354052</v>
      </c>
      <c r="H3969">
        <v>55248771</v>
      </c>
      <c r="I3969">
        <v>37714650</v>
      </c>
      <c r="J3969">
        <v>-5978075</v>
      </c>
      <c r="K3969">
        <v>154636338</v>
      </c>
      <c r="L3969">
        <v>-405877619</v>
      </c>
      <c r="M3969">
        <v>19478591</v>
      </c>
      <c r="P3969">
        <v>243</v>
      </c>
      <c r="Q3969" t="s">
        <v>7985</v>
      </c>
    </row>
    <row r="3970" spans="1:17" x14ac:dyDescent="0.3">
      <c r="A3970" t="s">
        <v>32</v>
      </c>
      <c r="B3970" t="str">
        <f>"000930"</f>
        <v>000930</v>
      </c>
      <c r="C3970" t="s">
        <v>7986</v>
      </c>
      <c r="D3970" t="s">
        <v>175</v>
      </c>
      <c r="E3970">
        <v>-267562019</v>
      </c>
      <c r="F3970">
        <v>285842935</v>
      </c>
      <c r="G3970">
        <v>-1156517086</v>
      </c>
      <c r="H3970">
        <v>391242575</v>
      </c>
      <c r="I3970">
        <v>-5355853</v>
      </c>
      <c r="J3970">
        <v>191376587</v>
      </c>
      <c r="K3970">
        <v>101308514</v>
      </c>
      <c r="L3970">
        <v>-418373457</v>
      </c>
      <c r="M3970">
        <v>-64155608</v>
      </c>
      <c r="N3970">
        <v>-208930340</v>
      </c>
      <c r="O3970">
        <v>-266376260</v>
      </c>
      <c r="P3970">
        <v>378</v>
      </c>
      <c r="Q3970" t="s">
        <v>7987</v>
      </c>
    </row>
    <row r="3971" spans="1:17" x14ac:dyDescent="0.3">
      <c r="A3971" t="s">
        <v>32</v>
      </c>
      <c r="B3971" t="str">
        <f>"002325"</f>
        <v>002325</v>
      </c>
      <c r="C3971" t="s">
        <v>7988</v>
      </c>
      <c r="D3971" t="s">
        <v>645</v>
      </c>
      <c r="E3971">
        <v>-267695516</v>
      </c>
      <c r="F3971">
        <v>-353508627</v>
      </c>
      <c r="G3971">
        <v>-59836380</v>
      </c>
      <c r="H3971">
        <v>79479226</v>
      </c>
      <c r="I3971">
        <v>270351444</v>
      </c>
      <c r="J3971">
        <v>-297507526</v>
      </c>
      <c r="K3971">
        <v>-271730285</v>
      </c>
      <c r="L3971">
        <v>6332559</v>
      </c>
      <c r="M3971">
        <v>-104366683</v>
      </c>
      <c r="N3971">
        <v>-166067691</v>
      </c>
      <c r="O3971">
        <v>-141471638</v>
      </c>
      <c r="P3971">
        <v>171</v>
      </c>
      <c r="Q3971" t="s">
        <v>7989</v>
      </c>
    </row>
    <row r="3972" spans="1:17" x14ac:dyDescent="0.3">
      <c r="A3972" t="s">
        <v>32</v>
      </c>
      <c r="B3972" t="str">
        <f>"002126"</f>
        <v>002126</v>
      </c>
      <c r="C3972" t="s">
        <v>7990</v>
      </c>
      <c r="D3972" t="s">
        <v>199</v>
      </c>
      <c r="E3972">
        <v>-267787642</v>
      </c>
      <c r="F3972">
        <v>-198522021</v>
      </c>
      <c r="G3972">
        <v>-178911436</v>
      </c>
      <c r="H3972">
        <v>-107468599</v>
      </c>
      <c r="I3972">
        <v>-44758644</v>
      </c>
      <c r="J3972">
        <v>-64593813</v>
      </c>
      <c r="K3972">
        <v>-46359386</v>
      </c>
      <c r="L3972">
        <v>-89143722</v>
      </c>
      <c r="M3972">
        <v>-73479110</v>
      </c>
      <c r="N3972">
        <v>-53133058</v>
      </c>
      <c r="O3972">
        <v>-54064738</v>
      </c>
      <c r="P3972">
        <v>450</v>
      </c>
      <c r="Q3972" t="s">
        <v>7991</v>
      </c>
    </row>
    <row r="3973" spans="1:17" x14ac:dyDescent="0.3">
      <c r="A3973" t="s">
        <v>17</v>
      </c>
      <c r="B3973" t="str">
        <f>"603877"</f>
        <v>603877</v>
      </c>
      <c r="C3973" t="s">
        <v>7992</v>
      </c>
      <c r="D3973" t="s">
        <v>130</v>
      </c>
      <c r="E3973">
        <v>-268083537</v>
      </c>
      <c r="F3973">
        <v>-249807951</v>
      </c>
      <c r="G3973">
        <v>-355925920</v>
      </c>
      <c r="H3973">
        <v>-360320553</v>
      </c>
      <c r="I3973">
        <v>-169670950</v>
      </c>
      <c r="J3973">
        <v>-62190789</v>
      </c>
      <c r="K3973">
        <v>-111961401</v>
      </c>
      <c r="P3973">
        <v>364</v>
      </c>
      <c r="Q3973" t="s">
        <v>7993</v>
      </c>
    </row>
    <row r="3974" spans="1:17" x14ac:dyDescent="0.3">
      <c r="A3974" t="s">
        <v>17</v>
      </c>
      <c r="B3974" t="str">
        <f>"600662"</f>
        <v>600662</v>
      </c>
      <c r="C3974" t="s">
        <v>7994</v>
      </c>
      <c r="D3974" t="s">
        <v>46</v>
      </c>
      <c r="E3974">
        <v>-269959955</v>
      </c>
      <c r="F3974">
        <v>19564517</v>
      </c>
      <c r="G3974">
        <v>-19825264</v>
      </c>
      <c r="H3974">
        <v>-14128828</v>
      </c>
      <c r="I3974">
        <v>-38382930</v>
      </c>
      <c r="J3974">
        <v>-80812784</v>
      </c>
      <c r="K3974">
        <v>-8956336</v>
      </c>
      <c r="L3974">
        <v>-87430343</v>
      </c>
      <c r="M3974">
        <v>-73076597</v>
      </c>
      <c r="N3974">
        <v>-56414287</v>
      </c>
      <c r="O3974">
        <v>-81018223</v>
      </c>
      <c r="P3974">
        <v>131</v>
      </c>
      <c r="Q3974" t="s">
        <v>7995</v>
      </c>
    </row>
    <row r="3975" spans="1:17" x14ac:dyDescent="0.3">
      <c r="A3975" t="s">
        <v>32</v>
      </c>
      <c r="B3975" t="str">
        <f>"300541"</f>
        <v>300541</v>
      </c>
      <c r="C3975" t="s">
        <v>7996</v>
      </c>
      <c r="D3975" t="s">
        <v>342</v>
      </c>
      <c r="E3975">
        <v>-270070937</v>
      </c>
      <c r="F3975">
        <v>-518001947</v>
      </c>
      <c r="G3975">
        <v>170457271</v>
      </c>
      <c r="H3975">
        <v>-304842882</v>
      </c>
      <c r="I3975">
        <v>-160982835</v>
      </c>
      <c r="J3975">
        <v>-220254087</v>
      </c>
      <c r="K3975">
        <v>-315911555</v>
      </c>
      <c r="P3975">
        <v>177</v>
      </c>
      <c r="Q3975" t="s">
        <v>7997</v>
      </c>
    </row>
    <row r="3976" spans="1:17" x14ac:dyDescent="0.3">
      <c r="A3976" t="s">
        <v>17</v>
      </c>
      <c r="B3976" t="str">
        <f>"600717"</f>
        <v>600717</v>
      </c>
      <c r="C3976" t="s">
        <v>7998</v>
      </c>
      <c r="D3976" t="s">
        <v>46</v>
      </c>
      <c r="E3976">
        <v>-270331274</v>
      </c>
      <c r="F3976">
        <v>-28811374</v>
      </c>
      <c r="G3976">
        <v>584960780</v>
      </c>
      <c r="H3976">
        <v>391078902</v>
      </c>
      <c r="I3976">
        <v>525371816</v>
      </c>
      <c r="J3976">
        <v>177250049</v>
      </c>
      <c r="K3976">
        <v>699077112</v>
      </c>
      <c r="L3976">
        <v>572573000</v>
      </c>
      <c r="M3976">
        <v>17164399</v>
      </c>
      <c r="N3976">
        <v>-93647804</v>
      </c>
      <c r="O3976">
        <v>216529908</v>
      </c>
      <c r="P3976">
        <v>262</v>
      </c>
      <c r="Q3976" t="s">
        <v>7999</v>
      </c>
    </row>
    <row r="3977" spans="1:17" x14ac:dyDescent="0.3">
      <c r="A3977" t="s">
        <v>17</v>
      </c>
      <c r="B3977" t="str">
        <f>"603363"</f>
        <v>603363</v>
      </c>
      <c r="C3977" t="s">
        <v>8000</v>
      </c>
      <c r="D3977" t="s">
        <v>175</v>
      </c>
      <c r="E3977">
        <v>-271217545</v>
      </c>
      <c r="F3977">
        <v>-1109596811</v>
      </c>
      <c r="G3977">
        <v>-278501485</v>
      </c>
      <c r="H3977">
        <v>-10523960</v>
      </c>
      <c r="I3977">
        <v>-400031401</v>
      </c>
      <c r="J3977">
        <v>-114048090</v>
      </c>
      <c r="P3977">
        <v>310</v>
      </c>
      <c r="Q3977" t="s">
        <v>8001</v>
      </c>
    </row>
    <row r="3978" spans="1:17" x14ac:dyDescent="0.3">
      <c r="A3978" t="s">
        <v>32</v>
      </c>
      <c r="B3978" t="str">
        <f>"300091"</f>
        <v>300091</v>
      </c>
      <c r="C3978" t="s">
        <v>8002</v>
      </c>
      <c r="D3978" t="s">
        <v>135</v>
      </c>
      <c r="E3978">
        <v>-271253564</v>
      </c>
      <c r="F3978">
        <v>-158770703</v>
      </c>
      <c r="G3978">
        <v>-130853852</v>
      </c>
      <c r="H3978">
        <v>-65487297</v>
      </c>
      <c r="I3978">
        <v>-62915279</v>
      </c>
      <c r="J3978">
        <v>-128073669</v>
      </c>
      <c r="K3978">
        <v>18996886</v>
      </c>
      <c r="L3978">
        <v>-41985253</v>
      </c>
      <c r="M3978">
        <v>-60741911</v>
      </c>
      <c r="N3978">
        <v>-95966125</v>
      </c>
      <c r="O3978">
        <v>-96397617</v>
      </c>
      <c r="P3978">
        <v>101</v>
      </c>
      <c r="Q3978" t="s">
        <v>8003</v>
      </c>
    </row>
    <row r="3979" spans="1:17" x14ac:dyDescent="0.3">
      <c r="A3979" t="s">
        <v>17</v>
      </c>
      <c r="B3979" t="str">
        <f>"603711"</f>
        <v>603711</v>
      </c>
      <c r="C3979" t="s">
        <v>8004</v>
      </c>
      <c r="D3979" t="s">
        <v>172</v>
      </c>
      <c r="E3979">
        <v>-271955177</v>
      </c>
      <c r="F3979">
        <v>-346875337</v>
      </c>
      <c r="G3979">
        <v>-607893626</v>
      </c>
      <c r="H3979">
        <v>-128744661</v>
      </c>
      <c r="I3979">
        <v>-279589021</v>
      </c>
      <c r="J3979">
        <v>-542125896</v>
      </c>
      <c r="P3979">
        <v>392</v>
      </c>
      <c r="Q3979" t="s">
        <v>8005</v>
      </c>
    </row>
    <row r="3980" spans="1:17" x14ac:dyDescent="0.3">
      <c r="A3980" t="s">
        <v>17</v>
      </c>
      <c r="B3980" t="str">
        <f>"600105"</f>
        <v>600105</v>
      </c>
      <c r="C3980" t="s">
        <v>8006</v>
      </c>
      <c r="D3980" t="s">
        <v>57</v>
      </c>
      <c r="E3980">
        <v>-272337713</v>
      </c>
      <c r="F3980">
        <v>-295445349</v>
      </c>
      <c r="G3980">
        <v>-106050785</v>
      </c>
      <c r="H3980">
        <v>-56976470</v>
      </c>
      <c r="I3980">
        <v>-71448983</v>
      </c>
      <c r="J3980">
        <v>46002655</v>
      </c>
      <c r="K3980">
        <v>-148705202</v>
      </c>
      <c r="L3980">
        <v>-96046434</v>
      </c>
      <c r="M3980">
        <v>-38255454</v>
      </c>
      <c r="N3980">
        <v>-59997094</v>
      </c>
      <c r="O3980">
        <v>-105944993</v>
      </c>
      <c r="P3980">
        <v>274</v>
      </c>
      <c r="Q3980" t="s">
        <v>8007</v>
      </c>
    </row>
    <row r="3981" spans="1:17" x14ac:dyDescent="0.3">
      <c r="A3981" t="s">
        <v>32</v>
      </c>
      <c r="B3981" t="str">
        <f>"300024"</f>
        <v>300024</v>
      </c>
      <c r="C3981" t="s">
        <v>8008</v>
      </c>
      <c r="D3981" t="s">
        <v>135</v>
      </c>
      <c r="E3981">
        <v>-273920736</v>
      </c>
      <c r="F3981">
        <v>-412930196</v>
      </c>
      <c r="G3981">
        <v>-147818189</v>
      </c>
      <c r="H3981">
        <v>-394054083</v>
      </c>
      <c r="I3981">
        <v>-503279429</v>
      </c>
      <c r="J3981">
        <v>-354368371</v>
      </c>
      <c r="K3981">
        <v>-186714617</v>
      </c>
      <c r="L3981">
        <v>-296680565</v>
      </c>
      <c r="M3981">
        <v>-156360893</v>
      </c>
      <c r="N3981">
        <v>-136977275</v>
      </c>
      <c r="O3981">
        <v>-95304024</v>
      </c>
      <c r="P3981">
        <v>547</v>
      </c>
      <c r="Q3981" t="s">
        <v>8009</v>
      </c>
    </row>
    <row r="3982" spans="1:17" x14ac:dyDescent="0.3">
      <c r="A3982" t="s">
        <v>17</v>
      </c>
      <c r="B3982" t="str">
        <f>"603660"</f>
        <v>603660</v>
      </c>
      <c r="C3982" t="s">
        <v>8010</v>
      </c>
      <c r="D3982" t="s">
        <v>342</v>
      </c>
      <c r="E3982">
        <v>-274161842</v>
      </c>
      <c r="F3982">
        <v>-162883283</v>
      </c>
      <c r="G3982">
        <v>-133560422</v>
      </c>
      <c r="H3982">
        <v>-62181862</v>
      </c>
      <c r="I3982">
        <v>-83736815</v>
      </c>
      <c r="J3982">
        <v>49498524</v>
      </c>
      <c r="K3982">
        <v>-67054357</v>
      </c>
      <c r="P3982">
        <v>291</v>
      </c>
      <c r="Q3982" t="s">
        <v>8011</v>
      </c>
    </row>
    <row r="3983" spans="1:17" x14ac:dyDescent="0.3">
      <c r="A3983" t="s">
        <v>32</v>
      </c>
      <c r="B3983" t="str">
        <f>"002422"</f>
        <v>002422</v>
      </c>
      <c r="C3983" t="s">
        <v>8012</v>
      </c>
      <c r="D3983" t="s">
        <v>98</v>
      </c>
      <c r="E3983">
        <v>-274410781</v>
      </c>
      <c r="F3983">
        <v>-412587550</v>
      </c>
      <c r="G3983">
        <v>-454805423</v>
      </c>
      <c r="H3983">
        <v>195434808</v>
      </c>
      <c r="I3983">
        <v>390397794</v>
      </c>
      <c r="J3983">
        <v>-212169049</v>
      </c>
      <c r="K3983">
        <v>142477814</v>
      </c>
      <c r="L3983">
        <v>-566023268</v>
      </c>
      <c r="M3983">
        <v>-407424617</v>
      </c>
      <c r="N3983">
        <v>-525123531</v>
      </c>
      <c r="O3983">
        <v>-578863966</v>
      </c>
      <c r="P3983">
        <v>927</v>
      </c>
      <c r="Q3983" t="s">
        <v>8013</v>
      </c>
    </row>
    <row r="3984" spans="1:17" x14ac:dyDescent="0.3">
      <c r="A3984" t="s">
        <v>17</v>
      </c>
      <c r="B3984" t="str">
        <f>"603693"</f>
        <v>603693</v>
      </c>
      <c r="C3984" t="s">
        <v>8014</v>
      </c>
      <c r="D3984" t="s">
        <v>158</v>
      </c>
      <c r="E3984">
        <v>-274515896</v>
      </c>
      <c r="F3984">
        <v>-375587666</v>
      </c>
      <c r="G3984">
        <v>-76051729</v>
      </c>
      <c r="H3984">
        <v>-59153129</v>
      </c>
      <c r="I3984">
        <v>-9259354</v>
      </c>
      <c r="J3984">
        <v>99208114</v>
      </c>
      <c r="P3984">
        <v>160</v>
      </c>
      <c r="Q3984" t="s">
        <v>8015</v>
      </c>
    </row>
    <row r="3985" spans="1:17" x14ac:dyDescent="0.3">
      <c r="A3985" t="s">
        <v>32</v>
      </c>
      <c r="B3985" t="str">
        <f>"300447"</f>
        <v>300447</v>
      </c>
      <c r="C3985" t="s">
        <v>8016</v>
      </c>
      <c r="D3985" t="s">
        <v>188</v>
      </c>
      <c r="E3985">
        <v>-275344361</v>
      </c>
      <c r="F3985">
        <v>-195005010</v>
      </c>
      <c r="G3985">
        <v>-50444061</v>
      </c>
      <c r="H3985">
        <v>5327718</v>
      </c>
      <c r="I3985">
        <v>-72423855</v>
      </c>
      <c r="J3985">
        <v>-80823281</v>
      </c>
      <c r="K3985">
        <v>-36650353</v>
      </c>
      <c r="L3985">
        <v>-2651369</v>
      </c>
      <c r="P3985">
        <v>120</v>
      </c>
      <c r="Q3985" t="s">
        <v>8017</v>
      </c>
    </row>
    <row r="3986" spans="1:17" x14ac:dyDescent="0.3">
      <c r="A3986" t="s">
        <v>32</v>
      </c>
      <c r="B3986" t="str">
        <f>"002063"</f>
        <v>002063</v>
      </c>
      <c r="C3986" t="s">
        <v>8018</v>
      </c>
      <c r="D3986" t="s">
        <v>342</v>
      </c>
      <c r="E3986">
        <v>-275606525</v>
      </c>
      <c r="F3986">
        <v>-271641432</v>
      </c>
      <c r="G3986">
        <v>-210257039</v>
      </c>
      <c r="H3986">
        <v>-314678814</v>
      </c>
      <c r="I3986">
        <v>-269931464</v>
      </c>
      <c r="J3986">
        <v>-228669372</v>
      </c>
      <c r="K3986">
        <v>-222371811</v>
      </c>
      <c r="L3986">
        <v>-112646596</v>
      </c>
      <c r="M3986">
        <v>-113633448</v>
      </c>
      <c r="N3986">
        <v>-114068855</v>
      </c>
      <c r="O3986">
        <v>-86523548</v>
      </c>
      <c r="P3986">
        <v>489</v>
      </c>
      <c r="Q3986" t="s">
        <v>8019</v>
      </c>
    </row>
    <row r="3987" spans="1:17" x14ac:dyDescent="0.3">
      <c r="A3987" t="s">
        <v>32</v>
      </c>
      <c r="B3987" t="str">
        <f>"300348"</f>
        <v>300348</v>
      </c>
      <c r="C3987" t="s">
        <v>8020</v>
      </c>
      <c r="D3987" t="s">
        <v>342</v>
      </c>
      <c r="E3987">
        <v>-275831429</v>
      </c>
      <c r="F3987">
        <v>-129867222</v>
      </c>
      <c r="G3987">
        <v>-202680181</v>
      </c>
      <c r="H3987">
        <v>-144756424</v>
      </c>
      <c r="I3987">
        <v>-118038799</v>
      </c>
      <c r="J3987">
        <v>-105453840</v>
      </c>
      <c r="K3987">
        <v>-88527179</v>
      </c>
      <c r="L3987">
        <v>-39989831</v>
      </c>
      <c r="M3987">
        <v>-33253442</v>
      </c>
      <c r="N3987">
        <v>-38678908</v>
      </c>
      <c r="O3987">
        <v>-31267429</v>
      </c>
      <c r="P3987">
        <v>365</v>
      </c>
      <c r="Q3987" t="s">
        <v>8021</v>
      </c>
    </row>
    <row r="3988" spans="1:17" x14ac:dyDescent="0.3">
      <c r="A3988" t="s">
        <v>17</v>
      </c>
      <c r="B3988" t="str">
        <f>"601858"</f>
        <v>601858</v>
      </c>
      <c r="C3988" t="s">
        <v>8022</v>
      </c>
      <c r="D3988" t="s">
        <v>245</v>
      </c>
      <c r="E3988">
        <v>-275938966</v>
      </c>
      <c r="F3988">
        <v>-281964642</v>
      </c>
      <c r="G3988">
        <v>-922953653</v>
      </c>
      <c r="H3988">
        <v>-1903616276</v>
      </c>
      <c r="I3988">
        <v>-1397692332</v>
      </c>
      <c r="J3988">
        <v>-183592097</v>
      </c>
      <c r="K3988">
        <v>-183134193</v>
      </c>
      <c r="P3988">
        <v>178</v>
      </c>
      <c r="Q3988" t="s">
        <v>8023</v>
      </c>
    </row>
    <row r="3989" spans="1:17" x14ac:dyDescent="0.3">
      <c r="A3989" t="s">
        <v>17</v>
      </c>
      <c r="B3989" t="str">
        <f>"600996"</f>
        <v>600996</v>
      </c>
      <c r="C3989" t="s">
        <v>8024</v>
      </c>
      <c r="D3989" t="s">
        <v>245</v>
      </c>
      <c r="E3989">
        <v>-276490753</v>
      </c>
      <c r="F3989">
        <v>-340030436</v>
      </c>
      <c r="G3989">
        <v>-404856706</v>
      </c>
      <c r="H3989">
        <v>-1011370220</v>
      </c>
      <c r="I3989">
        <v>-603906103</v>
      </c>
      <c r="J3989">
        <v>-244054514</v>
      </c>
      <c r="K3989">
        <v>-18393651</v>
      </c>
      <c r="P3989">
        <v>244</v>
      </c>
      <c r="Q3989" t="s">
        <v>8025</v>
      </c>
    </row>
    <row r="3990" spans="1:17" x14ac:dyDescent="0.3">
      <c r="A3990" t="s">
        <v>32</v>
      </c>
      <c r="B3990" t="str">
        <f>"000657"</f>
        <v>000657</v>
      </c>
      <c r="C3990" t="s">
        <v>8026</v>
      </c>
      <c r="D3990" t="s">
        <v>121</v>
      </c>
      <c r="E3990">
        <v>-277323413</v>
      </c>
      <c r="F3990">
        <v>-134386214</v>
      </c>
      <c r="G3990">
        <v>-273605985</v>
      </c>
      <c r="H3990">
        <v>-175682714</v>
      </c>
      <c r="I3990">
        <v>-164215272</v>
      </c>
      <c r="J3990">
        <v>-52102018</v>
      </c>
      <c r="K3990">
        <v>-112863880</v>
      </c>
      <c r="L3990">
        <v>61815664</v>
      </c>
      <c r="M3990">
        <v>-121426768</v>
      </c>
      <c r="N3990">
        <v>-2951557</v>
      </c>
      <c r="O3990">
        <v>19830266</v>
      </c>
      <c r="P3990">
        <v>178</v>
      </c>
      <c r="Q3990" t="s">
        <v>8027</v>
      </c>
    </row>
    <row r="3991" spans="1:17" x14ac:dyDescent="0.3">
      <c r="A3991" t="s">
        <v>32</v>
      </c>
      <c r="B3991" t="str">
        <f>"002916"</f>
        <v>002916</v>
      </c>
      <c r="C3991" t="s">
        <v>8028</v>
      </c>
      <c r="D3991" t="s">
        <v>124</v>
      </c>
      <c r="E3991">
        <v>-277383097</v>
      </c>
      <c r="F3991">
        <v>-201733737</v>
      </c>
      <c r="G3991">
        <v>-138517306</v>
      </c>
      <c r="H3991">
        <v>-335625050</v>
      </c>
      <c r="I3991">
        <v>-352667486</v>
      </c>
      <c r="J3991">
        <v>-104407811</v>
      </c>
      <c r="P3991">
        <v>2555</v>
      </c>
      <c r="Q3991" t="s">
        <v>8029</v>
      </c>
    </row>
    <row r="3992" spans="1:17" x14ac:dyDescent="0.3">
      <c r="A3992" t="s">
        <v>17</v>
      </c>
      <c r="B3992" t="str">
        <f>"600651"</f>
        <v>600651</v>
      </c>
      <c r="C3992" t="s">
        <v>8030</v>
      </c>
      <c r="D3992" t="s">
        <v>124</v>
      </c>
      <c r="E3992">
        <v>-277466328</v>
      </c>
      <c r="F3992">
        <v>-91313452</v>
      </c>
      <c r="G3992">
        <v>-37680554</v>
      </c>
      <c r="H3992">
        <v>-54472396</v>
      </c>
      <c r="I3992">
        <v>-133237247</v>
      </c>
      <c r="J3992">
        <v>-573891234</v>
      </c>
      <c r="K3992">
        <v>-588887578</v>
      </c>
      <c r="L3992">
        <v>-293394170</v>
      </c>
      <c r="M3992">
        <v>-34356099</v>
      </c>
      <c r="N3992">
        <v>-102914490</v>
      </c>
      <c r="O3992">
        <v>-83511018</v>
      </c>
      <c r="P3992">
        <v>112</v>
      </c>
      <c r="Q3992" t="s">
        <v>8031</v>
      </c>
    </row>
    <row r="3993" spans="1:17" x14ac:dyDescent="0.3">
      <c r="A3993" t="s">
        <v>17</v>
      </c>
      <c r="B3993" t="str">
        <f>"600545"</f>
        <v>600545</v>
      </c>
      <c r="C3993" t="s">
        <v>8032</v>
      </c>
      <c r="D3993" t="s">
        <v>135</v>
      </c>
      <c r="E3993">
        <v>-277700000</v>
      </c>
      <c r="F3993">
        <v>491897000</v>
      </c>
      <c r="G3993">
        <v>-1311051000</v>
      </c>
      <c r="H3993">
        <v>-931897000</v>
      </c>
      <c r="I3993">
        <v>-1379986000</v>
      </c>
      <c r="J3993">
        <v>-221775206</v>
      </c>
      <c r="K3993">
        <v>-165954113</v>
      </c>
      <c r="L3993">
        <v>-382944932</v>
      </c>
      <c r="M3993">
        <v>402586426</v>
      </c>
      <c r="N3993">
        <v>93553452</v>
      </c>
      <c r="O3993">
        <v>-269400657</v>
      </c>
      <c r="P3993">
        <v>134</v>
      </c>
      <c r="Q3993" t="s">
        <v>8033</v>
      </c>
    </row>
    <row r="3994" spans="1:17" x14ac:dyDescent="0.3">
      <c r="A3994" t="s">
        <v>17</v>
      </c>
      <c r="B3994" t="str">
        <f>"603176"</f>
        <v>603176</v>
      </c>
      <c r="C3994" t="s">
        <v>8034</v>
      </c>
      <c r="D3994" t="s">
        <v>645</v>
      </c>
      <c r="E3994">
        <v>-277869885</v>
      </c>
      <c r="P3994">
        <v>17</v>
      </c>
      <c r="Q3994" t="s">
        <v>8035</v>
      </c>
    </row>
    <row r="3995" spans="1:17" x14ac:dyDescent="0.3">
      <c r="A3995" t="s">
        <v>32</v>
      </c>
      <c r="B3995" t="str">
        <f>"002225"</f>
        <v>002225</v>
      </c>
      <c r="C3995" t="s">
        <v>8036</v>
      </c>
      <c r="D3995" t="s">
        <v>400</v>
      </c>
      <c r="E3995">
        <v>-278505967</v>
      </c>
      <c r="F3995">
        <v>-153186762</v>
      </c>
      <c r="G3995">
        <v>36962589</v>
      </c>
      <c r="H3995">
        <v>48500017</v>
      </c>
      <c r="I3995">
        <v>50659206</v>
      </c>
      <c r="J3995">
        <v>-3422553</v>
      </c>
      <c r="K3995">
        <v>-47376103</v>
      </c>
      <c r="L3995">
        <v>6202918</v>
      </c>
      <c r="M3995">
        <v>20815936</v>
      </c>
      <c r="N3995">
        <v>22306895</v>
      </c>
      <c r="O3995">
        <v>-13340614</v>
      </c>
      <c r="P3995">
        <v>142</v>
      </c>
      <c r="Q3995" t="s">
        <v>8037</v>
      </c>
    </row>
    <row r="3996" spans="1:17" x14ac:dyDescent="0.3">
      <c r="A3996" t="s">
        <v>17</v>
      </c>
      <c r="B3996" t="str">
        <f>"605289"</f>
        <v>605289</v>
      </c>
      <c r="C3996" t="s">
        <v>8038</v>
      </c>
      <c r="D3996" t="s">
        <v>645</v>
      </c>
      <c r="E3996">
        <v>-278981990</v>
      </c>
      <c r="F3996">
        <v>-104827684</v>
      </c>
      <c r="G3996">
        <v>-20401779</v>
      </c>
      <c r="P3996">
        <v>29</v>
      </c>
      <c r="Q3996" t="s">
        <v>8039</v>
      </c>
    </row>
    <row r="3997" spans="1:17" x14ac:dyDescent="0.3">
      <c r="A3997" t="s">
        <v>17</v>
      </c>
      <c r="B3997" t="str">
        <f>"600529"</f>
        <v>600529</v>
      </c>
      <c r="C3997" t="s">
        <v>8040</v>
      </c>
      <c r="D3997" t="s">
        <v>98</v>
      </c>
      <c r="E3997">
        <v>-280465538</v>
      </c>
      <c r="F3997">
        <v>-364702162</v>
      </c>
      <c r="G3997">
        <v>-91419159</v>
      </c>
      <c r="H3997">
        <v>-31197180</v>
      </c>
      <c r="I3997">
        <v>-37201343</v>
      </c>
      <c r="J3997">
        <v>23285650</v>
      </c>
      <c r="K3997">
        <v>89351144</v>
      </c>
      <c r="L3997">
        <v>33211421</v>
      </c>
      <c r="M3997">
        <v>13738199</v>
      </c>
      <c r="N3997">
        <v>7388838</v>
      </c>
      <c r="O3997">
        <v>-110110561</v>
      </c>
      <c r="P3997">
        <v>1047</v>
      </c>
      <c r="Q3997" t="s">
        <v>8041</v>
      </c>
    </row>
    <row r="3998" spans="1:17" x14ac:dyDescent="0.3">
      <c r="A3998" t="s">
        <v>17</v>
      </c>
      <c r="B3998" t="str">
        <f>"688055"</f>
        <v>688055</v>
      </c>
      <c r="C3998" t="s">
        <v>8042</v>
      </c>
      <c r="D3998" t="s">
        <v>124</v>
      </c>
      <c r="E3998">
        <v>-280847547</v>
      </c>
      <c r="F3998">
        <v>87019720</v>
      </c>
      <c r="G3998">
        <v>-90304525</v>
      </c>
      <c r="H3998">
        <v>-141898287</v>
      </c>
      <c r="P3998">
        <v>76</v>
      </c>
      <c r="Q3998" t="s">
        <v>8043</v>
      </c>
    </row>
    <row r="3999" spans="1:17" x14ac:dyDescent="0.3">
      <c r="A3999" t="s">
        <v>32</v>
      </c>
      <c r="B3999" t="str">
        <f>"301126"</f>
        <v>301126</v>
      </c>
      <c r="C3999" t="s">
        <v>8044</v>
      </c>
      <c r="D3999" t="s">
        <v>98</v>
      </c>
      <c r="E3999">
        <v>-280876530</v>
      </c>
      <c r="P3999">
        <v>14</v>
      </c>
      <c r="Q3999" t="s">
        <v>8045</v>
      </c>
    </row>
    <row r="4000" spans="1:17" x14ac:dyDescent="0.3">
      <c r="A4000" t="s">
        <v>17</v>
      </c>
      <c r="B4000" t="str">
        <f>"601200"</f>
        <v>601200</v>
      </c>
      <c r="C4000" t="s">
        <v>8046</v>
      </c>
      <c r="D4000" t="s">
        <v>1334</v>
      </c>
      <c r="E4000">
        <v>-281471540</v>
      </c>
      <c r="F4000">
        <v>-923400013</v>
      </c>
      <c r="G4000">
        <v>-892573558</v>
      </c>
      <c r="H4000">
        <v>-446546259</v>
      </c>
      <c r="I4000">
        <v>-493019267</v>
      </c>
      <c r="J4000">
        <v>-148019268</v>
      </c>
      <c r="K4000">
        <v>-330661653</v>
      </c>
      <c r="P4000">
        <v>326</v>
      </c>
      <c r="Q4000" t="s">
        <v>8047</v>
      </c>
    </row>
    <row r="4001" spans="1:17" x14ac:dyDescent="0.3">
      <c r="A4001" t="s">
        <v>17</v>
      </c>
      <c r="B4001" t="str">
        <f>"600210"</f>
        <v>600210</v>
      </c>
      <c r="C4001" t="s">
        <v>8048</v>
      </c>
      <c r="D4001" t="s">
        <v>455</v>
      </c>
      <c r="E4001">
        <v>-281770766</v>
      </c>
      <c r="F4001">
        <v>-164771809</v>
      </c>
      <c r="G4001">
        <v>-165400408</v>
      </c>
      <c r="H4001">
        <v>-129696945</v>
      </c>
      <c r="I4001">
        <v>-7556098</v>
      </c>
      <c r="J4001">
        <v>51186124</v>
      </c>
      <c r="K4001">
        <v>15134595</v>
      </c>
      <c r="L4001">
        <v>-208463857</v>
      </c>
      <c r="M4001">
        <v>-126368513</v>
      </c>
      <c r="N4001">
        <v>64413223</v>
      </c>
      <c r="O4001">
        <v>-213097803</v>
      </c>
      <c r="P4001">
        <v>192</v>
      </c>
      <c r="Q4001" t="s">
        <v>8049</v>
      </c>
    </row>
    <row r="4002" spans="1:17" x14ac:dyDescent="0.3">
      <c r="A4002" t="s">
        <v>32</v>
      </c>
      <c r="B4002" t="str">
        <f>"002458"</f>
        <v>002458</v>
      </c>
      <c r="C4002" t="s">
        <v>8050</v>
      </c>
      <c r="D4002" t="s">
        <v>175</v>
      </c>
      <c r="E4002">
        <v>-282051023</v>
      </c>
      <c r="F4002">
        <v>-218445815</v>
      </c>
      <c r="G4002">
        <v>-6890400</v>
      </c>
      <c r="H4002">
        <v>276279716</v>
      </c>
      <c r="I4002">
        <v>-54795344</v>
      </c>
      <c r="J4002">
        <v>-83374064</v>
      </c>
      <c r="K4002">
        <v>79819372</v>
      </c>
      <c r="L4002">
        <v>-22326151</v>
      </c>
      <c r="M4002">
        <v>-50654631</v>
      </c>
      <c r="N4002">
        <v>-87189732</v>
      </c>
      <c r="O4002">
        <v>-39651372</v>
      </c>
      <c r="P4002">
        <v>815</v>
      </c>
      <c r="Q4002" t="s">
        <v>8051</v>
      </c>
    </row>
    <row r="4003" spans="1:17" x14ac:dyDescent="0.3">
      <c r="A4003" t="s">
        <v>32</v>
      </c>
      <c r="B4003" t="str">
        <f>"000632"</f>
        <v>000632</v>
      </c>
      <c r="C4003" t="s">
        <v>8052</v>
      </c>
      <c r="D4003" t="s">
        <v>345</v>
      </c>
      <c r="E4003">
        <v>-282359478</v>
      </c>
      <c r="F4003">
        <v>84737100</v>
      </c>
      <c r="G4003">
        <v>-232320024</v>
      </c>
      <c r="H4003">
        <v>473686056</v>
      </c>
      <c r="I4003">
        <v>378384249</v>
      </c>
      <c r="J4003">
        <v>-150578797</v>
      </c>
      <c r="K4003">
        <v>-284390423</v>
      </c>
      <c r="L4003">
        <v>-138629913</v>
      </c>
      <c r="M4003">
        <v>-268714966</v>
      </c>
      <c r="N4003">
        <v>-76539529</v>
      </c>
      <c r="O4003">
        <v>-80095959</v>
      </c>
      <c r="P4003">
        <v>69</v>
      </c>
      <c r="Q4003" t="s">
        <v>8053</v>
      </c>
    </row>
    <row r="4004" spans="1:17" x14ac:dyDescent="0.3">
      <c r="A4004" t="s">
        <v>32</v>
      </c>
      <c r="B4004" t="str">
        <f>"301035"</f>
        <v>301035</v>
      </c>
      <c r="C4004" t="s">
        <v>8054</v>
      </c>
      <c r="D4004" t="s">
        <v>144</v>
      </c>
      <c r="E4004">
        <v>-282498032</v>
      </c>
      <c r="F4004">
        <v>-476072071</v>
      </c>
      <c r="G4004">
        <v>-455850566</v>
      </c>
      <c r="P4004">
        <v>40</v>
      </c>
      <c r="Q4004" t="s">
        <v>8055</v>
      </c>
    </row>
    <row r="4005" spans="1:17" x14ac:dyDescent="0.3">
      <c r="A4005" t="s">
        <v>32</v>
      </c>
      <c r="B4005" t="str">
        <f>"002610"</f>
        <v>002610</v>
      </c>
      <c r="C4005" t="s">
        <v>8056</v>
      </c>
      <c r="D4005" t="s">
        <v>464</v>
      </c>
      <c r="E4005">
        <v>-283233349</v>
      </c>
      <c r="F4005">
        <v>-10211117</v>
      </c>
      <c r="G4005">
        <v>-95392450</v>
      </c>
      <c r="H4005">
        <v>-354352541</v>
      </c>
      <c r="I4005">
        <v>-172460507</v>
      </c>
      <c r="J4005">
        <v>-416528775</v>
      </c>
      <c r="K4005">
        <v>-1208210528</v>
      </c>
      <c r="L4005">
        <v>-503899688</v>
      </c>
      <c r="M4005">
        <v>31559623</v>
      </c>
      <c r="N4005">
        <v>19328526</v>
      </c>
      <c r="O4005">
        <v>-519648919</v>
      </c>
      <c r="P4005">
        <v>301</v>
      </c>
      <c r="Q4005" t="s">
        <v>8057</v>
      </c>
    </row>
    <row r="4006" spans="1:17" x14ac:dyDescent="0.3">
      <c r="A4006" t="s">
        <v>32</v>
      </c>
      <c r="B4006" t="str">
        <f>"300870"</f>
        <v>300870</v>
      </c>
      <c r="C4006" t="s">
        <v>8058</v>
      </c>
      <c r="D4006" t="s">
        <v>464</v>
      </c>
      <c r="E4006">
        <v>-284079878</v>
      </c>
      <c r="F4006">
        <v>-62866132</v>
      </c>
      <c r="G4006">
        <v>25659143</v>
      </c>
      <c r="P4006">
        <v>131</v>
      </c>
      <c r="Q4006" t="s">
        <v>8059</v>
      </c>
    </row>
    <row r="4007" spans="1:17" x14ac:dyDescent="0.3">
      <c r="A4007" t="s">
        <v>32</v>
      </c>
      <c r="B4007" t="str">
        <f>"300232"</f>
        <v>300232</v>
      </c>
      <c r="C4007" t="s">
        <v>8060</v>
      </c>
      <c r="D4007" t="s">
        <v>124</v>
      </c>
      <c r="E4007">
        <v>-284503850</v>
      </c>
      <c r="F4007">
        <v>-271413148</v>
      </c>
      <c r="G4007">
        <v>-284453493</v>
      </c>
      <c r="H4007">
        <v>-182408141</v>
      </c>
      <c r="I4007">
        <v>-19597007</v>
      </c>
      <c r="J4007">
        <v>-23159411</v>
      </c>
      <c r="K4007">
        <v>-14874512</v>
      </c>
      <c r="L4007">
        <v>-49823182</v>
      </c>
      <c r="M4007">
        <v>-38882867</v>
      </c>
      <c r="N4007">
        <v>-1333132</v>
      </c>
      <c r="O4007">
        <v>-55829850</v>
      </c>
      <c r="P4007">
        <v>922</v>
      </c>
      <c r="Q4007" t="s">
        <v>8061</v>
      </c>
    </row>
    <row r="4008" spans="1:17" x14ac:dyDescent="0.3">
      <c r="A4008" t="s">
        <v>17</v>
      </c>
      <c r="B4008" t="str">
        <f>"688077"</f>
        <v>688077</v>
      </c>
      <c r="C4008" t="s">
        <v>8062</v>
      </c>
      <c r="D4008" t="s">
        <v>121</v>
      </c>
      <c r="E4008">
        <v>-284506741</v>
      </c>
      <c r="F4008">
        <v>-34144082</v>
      </c>
      <c r="G4008">
        <v>-9088712</v>
      </c>
      <c r="H4008">
        <v>-2829553</v>
      </c>
      <c r="P4008">
        <v>78</v>
      </c>
      <c r="Q4008" t="s">
        <v>8063</v>
      </c>
    </row>
    <row r="4009" spans="1:17" x14ac:dyDescent="0.3">
      <c r="A4009" t="s">
        <v>32</v>
      </c>
      <c r="B4009" t="str">
        <f>"003040"</f>
        <v>003040</v>
      </c>
      <c r="C4009" t="s">
        <v>8064</v>
      </c>
      <c r="D4009" t="s">
        <v>57</v>
      </c>
      <c r="E4009">
        <v>-285452140</v>
      </c>
      <c r="F4009">
        <v>-165883942</v>
      </c>
      <c r="G4009">
        <v>-192373196</v>
      </c>
      <c r="P4009">
        <v>61</v>
      </c>
      <c r="Q4009" t="s">
        <v>8065</v>
      </c>
    </row>
    <row r="4010" spans="1:17" x14ac:dyDescent="0.3">
      <c r="A4010" t="s">
        <v>17</v>
      </c>
      <c r="B4010" t="str">
        <f>"688133"</f>
        <v>688133</v>
      </c>
      <c r="C4010" t="s">
        <v>8066</v>
      </c>
      <c r="D4010" t="s">
        <v>144</v>
      </c>
      <c r="E4010">
        <v>-286110519</v>
      </c>
      <c r="F4010">
        <v>-159693658</v>
      </c>
      <c r="G4010">
        <v>-176233949</v>
      </c>
      <c r="H4010">
        <v>-100828900</v>
      </c>
      <c r="P4010">
        <v>118</v>
      </c>
      <c r="Q4010" t="s">
        <v>8067</v>
      </c>
    </row>
    <row r="4011" spans="1:17" x14ac:dyDescent="0.3">
      <c r="A4011" t="s">
        <v>32</v>
      </c>
      <c r="B4011" t="str">
        <f>"000957"</f>
        <v>000957</v>
      </c>
      <c r="C4011" t="s">
        <v>8068</v>
      </c>
      <c r="D4011" t="s">
        <v>199</v>
      </c>
      <c r="E4011">
        <v>-286552295</v>
      </c>
      <c r="F4011">
        <v>-3016653</v>
      </c>
      <c r="G4011">
        <v>787241735</v>
      </c>
      <c r="H4011">
        <v>265200849</v>
      </c>
      <c r="I4011">
        <v>-668729577</v>
      </c>
      <c r="J4011">
        <v>121002015</v>
      </c>
      <c r="K4011">
        <v>46053073</v>
      </c>
      <c r="L4011">
        <v>-494465769</v>
      </c>
      <c r="M4011">
        <v>-319723716</v>
      </c>
      <c r="N4011">
        <v>-87269854</v>
      </c>
      <c r="O4011">
        <v>-24334249</v>
      </c>
      <c r="P4011">
        <v>227</v>
      </c>
      <c r="Q4011" t="s">
        <v>8069</v>
      </c>
    </row>
    <row r="4012" spans="1:17" x14ac:dyDescent="0.3">
      <c r="A4012" t="s">
        <v>32</v>
      </c>
      <c r="B4012" t="str">
        <f>"002472"</f>
        <v>002472</v>
      </c>
      <c r="C4012" t="s">
        <v>8070</v>
      </c>
      <c r="D4012" t="s">
        <v>199</v>
      </c>
      <c r="E4012">
        <v>-286905928</v>
      </c>
      <c r="F4012">
        <v>9483889</v>
      </c>
      <c r="G4012">
        <v>44763976</v>
      </c>
      <c r="H4012">
        <v>-238067583</v>
      </c>
      <c r="I4012">
        <v>-546082731</v>
      </c>
      <c r="J4012">
        <v>-220852764</v>
      </c>
      <c r="K4012">
        <v>-61075111</v>
      </c>
      <c r="L4012">
        <v>-45563860</v>
      </c>
      <c r="M4012">
        <v>-29527505</v>
      </c>
      <c r="N4012">
        <v>-65925831</v>
      </c>
      <c r="O4012">
        <v>-47746527</v>
      </c>
      <c r="P4012">
        <v>259</v>
      </c>
      <c r="Q4012" t="s">
        <v>8071</v>
      </c>
    </row>
    <row r="4013" spans="1:17" x14ac:dyDescent="0.3">
      <c r="A4013" t="s">
        <v>17</v>
      </c>
      <c r="B4013" t="str">
        <f>"603466"</f>
        <v>603466</v>
      </c>
      <c r="C4013" t="s">
        <v>8072</v>
      </c>
      <c r="D4013" t="s">
        <v>245</v>
      </c>
      <c r="E4013">
        <v>-287827168</v>
      </c>
      <c r="F4013">
        <v>-211508561</v>
      </c>
      <c r="G4013">
        <v>-198617025</v>
      </c>
      <c r="H4013">
        <v>-116798578</v>
      </c>
      <c r="I4013">
        <v>10796724</v>
      </c>
      <c r="J4013">
        <v>27817500</v>
      </c>
      <c r="P4013">
        <v>407</v>
      </c>
      <c r="Q4013" t="s">
        <v>8073</v>
      </c>
    </row>
    <row r="4014" spans="1:17" x14ac:dyDescent="0.3">
      <c r="A4014" t="s">
        <v>32</v>
      </c>
      <c r="B4014" t="str">
        <f>"002893"</f>
        <v>002893</v>
      </c>
      <c r="C4014" t="s">
        <v>8074</v>
      </c>
      <c r="D4014" t="s">
        <v>158</v>
      </c>
      <c r="E4014">
        <v>-288016841</v>
      </c>
      <c r="F4014">
        <v>-252264460</v>
      </c>
      <c r="G4014">
        <v>-241335175</v>
      </c>
      <c r="H4014">
        <v>-232454418</v>
      </c>
      <c r="I4014">
        <v>-276316999</v>
      </c>
      <c r="J4014">
        <v>-254548112</v>
      </c>
      <c r="P4014">
        <v>92</v>
      </c>
      <c r="Q4014" t="s">
        <v>8075</v>
      </c>
    </row>
    <row r="4015" spans="1:17" x14ac:dyDescent="0.3">
      <c r="A4015" t="s">
        <v>32</v>
      </c>
      <c r="B4015" t="str">
        <f>"002367"</f>
        <v>002367</v>
      </c>
      <c r="C4015" t="s">
        <v>8076</v>
      </c>
      <c r="D4015" t="s">
        <v>135</v>
      </c>
      <c r="E4015">
        <v>-289873796</v>
      </c>
      <c r="F4015">
        <v>-257797429</v>
      </c>
      <c r="G4015">
        <v>-115188127</v>
      </c>
      <c r="H4015">
        <v>-67652911</v>
      </c>
      <c r="I4015">
        <v>-154319025</v>
      </c>
      <c r="J4015">
        <v>7518557</v>
      </c>
      <c r="K4015">
        <v>21735702</v>
      </c>
      <c r="L4015">
        <v>-256033210</v>
      </c>
      <c r="M4015">
        <v>-124943471</v>
      </c>
      <c r="N4015">
        <v>-196275765</v>
      </c>
      <c r="O4015">
        <v>-161439346</v>
      </c>
      <c r="P4015">
        <v>388</v>
      </c>
      <c r="Q4015" t="s">
        <v>8077</v>
      </c>
    </row>
    <row r="4016" spans="1:17" x14ac:dyDescent="0.3">
      <c r="A4016" t="s">
        <v>32</v>
      </c>
      <c r="B4016" t="str">
        <f>"002344"</f>
        <v>002344</v>
      </c>
      <c r="C4016" t="s">
        <v>8078</v>
      </c>
      <c r="D4016" t="s">
        <v>218</v>
      </c>
      <c r="E4016">
        <v>-289935400</v>
      </c>
      <c r="F4016">
        <v>141690296</v>
      </c>
      <c r="G4016">
        <v>-82542646</v>
      </c>
      <c r="H4016">
        <v>-307446402</v>
      </c>
      <c r="I4016">
        <v>-46306613</v>
      </c>
      <c r="J4016">
        <v>-185775303</v>
      </c>
      <c r="K4016">
        <v>-444220725</v>
      </c>
      <c r="L4016">
        <v>-294465191</v>
      </c>
      <c r="M4016">
        <v>-159368031</v>
      </c>
      <c r="N4016">
        <v>321301308</v>
      </c>
      <c r="O4016">
        <v>45881498</v>
      </c>
      <c r="P4016">
        <v>145</v>
      </c>
      <c r="Q4016" t="s">
        <v>8079</v>
      </c>
    </row>
    <row r="4017" spans="1:17" x14ac:dyDescent="0.3">
      <c r="A4017" t="s">
        <v>32</v>
      </c>
      <c r="B4017" t="str">
        <f>"002254"</f>
        <v>002254</v>
      </c>
      <c r="C4017" t="s">
        <v>8080</v>
      </c>
      <c r="D4017" t="s">
        <v>144</v>
      </c>
      <c r="E4017">
        <v>-290071048</v>
      </c>
      <c r="F4017">
        <v>302719234</v>
      </c>
      <c r="G4017">
        <v>-62745492</v>
      </c>
      <c r="H4017">
        <v>-83054586</v>
      </c>
      <c r="I4017">
        <v>43581979</v>
      </c>
      <c r="J4017">
        <v>42017527</v>
      </c>
      <c r="K4017">
        <v>36855104</v>
      </c>
      <c r="L4017">
        <v>-43023171</v>
      </c>
      <c r="M4017">
        <v>86356089</v>
      </c>
      <c r="N4017">
        <v>-24487983</v>
      </c>
      <c r="O4017">
        <v>18379623</v>
      </c>
      <c r="P4017">
        <v>215</v>
      </c>
      <c r="Q4017" t="s">
        <v>8081</v>
      </c>
    </row>
    <row r="4018" spans="1:17" x14ac:dyDescent="0.3">
      <c r="A4018" t="s">
        <v>32</v>
      </c>
      <c r="B4018" t="str">
        <f>"300925"</f>
        <v>300925</v>
      </c>
      <c r="C4018" t="s">
        <v>8082</v>
      </c>
      <c r="D4018" t="s">
        <v>342</v>
      </c>
      <c r="E4018">
        <v>-290110932</v>
      </c>
      <c r="F4018">
        <v>-166716880</v>
      </c>
      <c r="G4018">
        <v>-127430107</v>
      </c>
      <c r="P4018">
        <v>72</v>
      </c>
      <c r="Q4018" t="s">
        <v>8083</v>
      </c>
    </row>
    <row r="4019" spans="1:17" x14ac:dyDescent="0.3">
      <c r="A4019" t="s">
        <v>32</v>
      </c>
      <c r="B4019" t="str">
        <f>"300872"</f>
        <v>300872</v>
      </c>
      <c r="C4019" t="s">
        <v>8084</v>
      </c>
      <c r="D4019" t="s">
        <v>342</v>
      </c>
      <c r="E4019">
        <v>-290121106</v>
      </c>
      <c r="F4019">
        <v>-282483354</v>
      </c>
      <c r="G4019">
        <v>-214349295</v>
      </c>
      <c r="P4019">
        <v>74</v>
      </c>
      <c r="Q4019" t="s">
        <v>8085</v>
      </c>
    </row>
    <row r="4020" spans="1:17" x14ac:dyDescent="0.3">
      <c r="A4020" t="s">
        <v>32</v>
      </c>
      <c r="B4020" t="str">
        <f>"300190"</f>
        <v>300190</v>
      </c>
      <c r="C4020" t="s">
        <v>8086</v>
      </c>
      <c r="D4020" t="s">
        <v>1334</v>
      </c>
      <c r="E4020">
        <v>-291015816</v>
      </c>
      <c r="F4020">
        <v>-299506005</v>
      </c>
      <c r="G4020">
        <v>-159077757</v>
      </c>
      <c r="H4020">
        <v>-200621656</v>
      </c>
      <c r="I4020">
        <v>-144793019</v>
      </c>
      <c r="J4020">
        <v>-101999909</v>
      </c>
      <c r="K4020">
        <v>-138627658</v>
      </c>
      <c r="L4020">
        <v>-104504044</v>
      </c>
      <c r="M4020">
        <v>24600318</v>
      </c>
      <c r="N4020">
        <v>5620234</v>
      </c>
      <c r="O4020">
        <v>-38400954</v>
      </c>
      <c r="P4020">
        <v>233</v>
      </c>
      <c r="Q4020" t="s">
        <v>8087</v>
      </c>
    </row>
    <row r="4021" spans="1:17" x14ac:dyDescent="0.3">
      <c r="A4021" t="s">
        <v>17</v>
      </c>
      <c r="B4021" t="str">
        <f>"603861"</f>
        <v>603861</v>
      </c>
      <c r="C4021" t="s">
        <v>8088</v>
      </c>
      <c r="D4021" t="s">
        <v>464</v>
      </c>
      <c r="E4021">
        <v>-292376289</v>
      </c>
      <c r="F4021">
        <v>-375649867</v>
      </c>
      <c r="G4021">
        <v>-270026305</v>
      </c>
      <c r="H4021">
        <v>-130110478</v>
      </c>
      <c r="I4021">
        <v>-353530011</v>
      </c>
      <c r="J4021">
        <v>-47145236</v>
      </c>
      <c r="K4021">
        <v>-191531819</v>
      </c>
      <c r="L4021">
        <v>-117060640</v>
      </c>
      <c r="P4021">
        <v>109</v>
      </c>
      <c r="Q4021" t="s">
        <v>8089</v>
      </c>
    </row>
    <row r="4022" spans="1:17" x14ac:dyDescent="0.3">
      <c r="A4022" t="s">
        <v>32</v>
      </c>
      <c r="B4022" t="str">
        <f>"000028"</f>
        <v>000028</v>
      </c>
      <c r="C4022" t="s">
        <v>8090</v>
      </c>
      <c r="D4022" t="s">
        <v>98</v>
      </c>
      <c r="E4022">
        <v>-293390795</v>
      </c>
      <c r="F4022">
        <v>-368382528</v>
      </c>
      <c r="G4022">
        <v>-738374006</v>
      </c>
      <c r="H4022">
        <v>-811697773</v>
      </c>
      <c r="I4022">
        <v>-909822317</v>
      </c>
      <c r="J4022">
        <v>-539706792</v>
      </c>
      <c r="K4022">
        <v>-130130700</v>
      </c>
      <c r="L4022">
        <v>132820210</v>
      </c>
      <c r="M4022">
        <v>-471093646</v>
      </c>
      <c r="N4022">
        <v>92855032</v>
      </c>
      <c r="O4022">
        <v>-316602519</v>
      </c>
      <c r="P4022">
        <v>1098</v>
      </c>
      <c r="Q4022" t="s">
        <v>8091</v>
      </c>
    </row>
    <row r="4023" spans="1:17" x14ac:dyDescent="0.3">
      <c r="A4023" t="s">
        <v>17</v>
      </c>
      <c r="B4023" t="str">
        <f>"600526"</f>
        <v>600526</v>
      </c>
      <c r="C4023" t="s">
        <v>8092</v>
      </c>
      <c r="D4023" t="s">
        <v>1334</v>
      </c>
      <c r="E4023">
        <v>-294453872</v>
      </c>
      <c r="F4023">
        <v>-298671745</v>
      </c>
      <c r="G4023">
        <v>-132255225</v>
      </c>
      <c r="H4023">
        <v>-216774178</v>
      </c>
      <c r="I4023">
        <v>-447161294</v>
      </c>
      <c r="J4023">
        <v>-396749179</v>
      </c>
      <c r="K4023">
        <v>-92442105</v>
      </c>
      <c r="L4023">
        <v>-122893884</v>
      </c>
      <c r="M4023">
        <v>-393180145</v>
      </c>
      <c r="N4023">
        <v>-75083982</v>
      </c>
      <c r="O4023">
        <v>-13160665</v>
      </c>
      <c r="P4023">
        <v>114</v>
      </c>
      <c r="Q4023" t="s">
        <v>8093</v>
      </c>
    </row>
    <row r="4024" spans="1:17" x14ac:dyDescent="0.3">
      <c r="A4024" t="s">
        <v>17</v>
      </c>
      <c r="B4024" t="str">
        <f>"600733"</f>
        <v>600733</v>
      </c>
      <c r="C4024" t="s">
        <v>8094</v>
      </c>
      <c r="D4024" t="s">
        <v>199</v>
      </c>
      <c r="E4024">
        <v>-294956831</v>
      </c>
      <c r="F4024">
        <v>1170519997</v>
      </c>
      <c r="G4024">
        <v>-3646602242</v>
      </c>
      <c r="H4024">
        <v>-3916716484</v>
      </c>
      <c r="I4024">
        <v>-10893673</v>
      </c>
      <c r="J4024">
        <v>-25556385</v>
      </c>
      <c r="K4024">
        <v>-33910080</v>
      </c>
      <c r="L4024">
        <v>-26266464</v>
      </c>
      <c r="M4024">
        <v>-23525131</v>
      </c>
      <c r="N4024">
        <v>10822270</v>
      </c>
      <c r="O4024">
        <v>-30063415</v>
      </c>
      <c r="P4024">
        <v>369</v>
      </c>
      <c r="Q4024" t="s">
        <v>8095</v>
      </c>
    </row>
    <row r="4025" spans="1:17" x14ac:dyDescent="0.3">
      <c r="A4025" t="s">
        <v>32</v>
      </c>
      <c r="B4025" t="str">
        <f>"002542"</f>
        <v>002542</v>
      </c>
      <c r="C4025" t="s">
        <v>8096</v>
      </c>
      <c r="D4025" t="s">
        <v>645</v>
      </c>
      <c r="E4025">
        <v>-295943612</v>
      </c>
      <c r="F4025">
        <v>-436729482</v>
      </c>
      <c r="G4025">
        <v>-105545271</v>
      </c>
      <c r="H4025">
        <v>-71165538</v>
      </c>
      <c r="I4025">
        <v>-128247113</v>
      </c>
      <c r="J4025">
        <v>-111586348</v>
      </c>
      <c r="K4025">
        <v>-198971669</v>
      </c>
      <c r="L4025">
        <v>-60531067</v>
      </c>
      <c r="M4025">
        <v>-33233451</v>
      </c>
      <c r="N4025">
        <v>-21074122</v>
      </c>
      <c r="O4025">
        <v>-15818620</v>
      </c>
      <c r="P4025">
        <v>161</v>
      </c>
      <c r="Q4025" t="s">
        <v>8097</v>
      </c>
    </row>
    <row r="4026" spans="1:17" x14ac:dyDescent="0.3">
      <c r="A4026" t="s">
        <v>17</v>
      </c>
      <c r="B4026" t="str">
        <f>"603018"</f>
        <v>603018</v>
      </c>
      <c r="C4026" t="s">
        <v>8098</v>
      </c>
      <c r="D4026" t="s">
        <v>645</v>
      </c>
      <c r="E4026">
        <v>-295949868</v>
      </c>
      <c r="F4026">
        <v>-330470847</v>
      </c>
      <c r="G4026">
        <v>-72250350</v>
      </c>
      <c r="H4026">
        <v>-131496825</v>
      </c>
      <c r="I4026">
        <v>-143383038</v>
      </c>
      <c r="J4026">
        <v>-164729032</v>
      </c>
      <c r="K4026">
        <v>-52195671</v>
      </c>
      <c r="L4026">
        <v>-142741828</v>
      </c>
      <c r="M4026">
        <v>-86010265</v>
      </c>
      <c r="P4026">
        <v>401</v>
      </c>
      <c r="Q4026" t="s">
        <v>8099</v>
      </c>
    </row>
    <row r="4027" spans="1:17" x14ac:dyDescent="0.3">
      <c r="A4027" t="s">
        <v>32</v>
      </c>
      <c r="B4027" t="str">
        <f>"002217"</f>
        <v>002217</v>
      </c>
      <c r="C4027" t="s">
        <v>8100</v>
      </c>
      <c r="D4027" t="s">
        <v>124</v>
      </c>
      <c r="E4027">
        <v>-296172854</v>
      </c>
      <c r="F4027">
        <v>-71470934</v>
      </c>
      <c r="G4027">
        <v>-955322055</v>
      </c>
      <c r="H4027">
        <v>-426533664</v>
      </c>
      <c r="I4027">
        <v>-1185402634</v>
      </c>
      <c r="J4027">
        <v>-1145856709</v>
      </c>
      <c r="K4027">
        <v>-120782193</v>
      </c>
      <c r="L4027">
        <v>892589</v>
      </c>
      <c r="M4027">
        <v>-100198405</v>
      </c>
      <c r="N4027">
        <v>-24880120</v>
      </c>
      <c r="O4027">
        <v>-38842086</v>
      </c>
      <c r="P4027">
        <v>490</v>
      </c>
      <c r="Q4027" t="s">
        <v>8101</v>
      </c>
    </row>
    <row r="4028" spans="1:17" x14ac:dyDescent="0.3">
      <c r="A4028" t="s">
        <v>32</v>
      </c>
      <c r="B4028" t="str">
        <f>"300223"</f>
        <v>300223</v>
      </c>
      <c r="C4028" t="s">
        <v>8102</v>
      </c>
      <c r="D4028" t="s">
        <v>124</v>
      </c>
      <c r="E4028">
        <v>-296208441</v>
      </c>
      <c r="F4028">
        <v>151270405</v>
      </c>
      <c r="G4028">
        <v>-49545854</v>
      </c>
      <c r="H4028">
        <v>-11881508</v>
      </c>
      <c r="I4028">
        <v>-1366364</v>
      </c>
      <c r="J4028">
        <v>-23231895</v>
      </c>
      <c r="K4028">
        <v>-35456364</v>
      </c>
      <c r="L4028">
        <v>-1875330</v>
      </c>
      <c r="M4028">
        <v>1145252</v>
      </c>
      <c r="N4028">
        <v>-6573223</v>
      </c>
      <c r="O4028">
        <v>7375954</v>
      </c>
      <c r="P4028">
        <v>612</v>
      </c>
      <c r="Q4028" t="s">
        <v>8103</v>
      </c>
    </row>
    <row r="4029" spans="1:17" x14ac:dyDescent="0.3">
      <c r="A4029" t="s">
        <v>32</v>
      </c>
      <c r="B4029" t="str">
        <f>"000538"</f>
        <v>000538</v>
      </c>
      <c r="C4029" t="s">
        <v>8104</v>
      </c>
      <c r="D4029" t="s">
        <v>98</v>
      </c>
      <c r="E4029">
        <v>-297172385</v>
      </c>
      <c r="F4029">
        <v>-263553534</v>
      </c>
      <c r="G4029">
        <v>295062052</v>
      </c>
      <c r="H4029">
        <v>-437258923</v>
      </c>
      <c r="I4029">
        <v>298698806</v>
      </c>
      <c r="J4029">
        <v>-903218325</v>
      </c>
      <c r="K4029">
        <v>906866089</v>
      </c>
      <c r="L4029">
        <v>791530764</v>
      </c>
      <c r="M4029">
        <v>649343973</v>
      </c>
      <c r="N4029">
        <v>-31442298</v>
      </c>
      <c r="O4029">
        <v>-167122103</v>
      </c>
      <c r="P4029">
        <v>30718</v>
      </c>
      <c r="Q4029" t="s">
        <v>8105</v>
      </c>
    </row>
    <row r="4030" spans="1:17" x14ac:dyDescent="0.3">
      <c r="A4030" t="s">
        <v>32</v>
      </c>
      <c r="B4030" t="str">
        <f>"002540"</f>
        <v>002540</v>
      </c>
      <c r="C4030" t="s">
        <v>8106</v>
      </c>
      <c r="D4030" t="s">
        <v>121</v>
      </c>
      <c r="E4030">
        <v>-297177159</v>
      </c>
      <c r="F4030">
        <v>-315678371</v>
      </c>
      <c r="G4030">
        <v>345613273</v>
      </c>
      <c r="H4030">
        <v>129261203</v>
      </c>
      <c r="I4030">
        <v>129474134</v>
      </c>
      <c r="J4030">
        <v>-160234829</v>
      </c>
      <c r="K4030">
        <v>689471</v>
      </c>
      <c r="L4030">
        <v>-23427102</v>
      </c>
      <c r="M4030">
        <v>-18992334</v>
      </c>
      <c r="N4030">
        <v>47921626</v>
      </c>
      <c r="O4030">
        <v>-124125696</v>
      </c>
      <c r="P4030">
        <v>162</v>
      </c>
      <c r="Q4030" t="s">
        <v>8107</v>
      </c>
    </row>
    <row r="4031" spans="1:17" x14ac:dyDescent="0.3">
      <c r="A4031" t="s">
        <v>32</v>
      </c>
      <c r="B4031" t="str">
        <f>"300630"</f>
        <v>300630</v>
      </c>
      <c r="C4031" t="s">
        <v>8108</v>
      </c>
      <c r="D4031" t="s">
        <v>98</v>
      </c>
      <c r="E4031">
        <v>-297559952</v>
      </c>
      <c r="F4031">
        <v>-255122814</v>
      </c>
      <c r="G4031">
        <v>-264547570</v>
      </c>
      <c r="H4031">
        <v>-96571314</v>
      </c>
      <c r="I4031">
        <v>-113972813</v>
      </c>
      <c r="J4031">
        <v>-26710694</v>
      </c>
      <c r="K4031">
        <v>-33242950</v>
      </c>
      <c r="P4031">
        <v>1268</v>
      </c>
      <c r="Q4031" t="s">
        <v>8109</v>
      </c>
    </row>
    <row r="4032" spans="1:17" x14ac:dyDescent="0.3">
      <c r="A4032" t="s">
        <v>32</v>
      </c>
      <c r="B4032" t="str">
        <f>"002481"</f>
        <v>002481</v>
      </c>
      <c r="C4032" t="s">
        <v>8110</v>
      </c>
      <c r="D4032" t="s">
        <v>175</v>
      </c>
      <c r="E4032">
        <v>-298495873</v>
      </c>
      <c r="F4032">
        <v>85530592</v>
      </c>
      <c r="G4032">
        <v>-72994389</v>
      </c>
      <c r="H4032">
        <v>19758935</v>
      </c>
      <c r="I4032">
        <v>-239234683</v>
      </c>
      <c r="J4032">
        <v>-111822521</v>
      </c>
      <c r="K4032">
        <v>-28863667</v>
      </c>
      <c r="L4032">
        <v>-11965799</v>
      </c>
      <c r="M4032">
        <v>37220682</v>
      </c>
      <c r="N4032">
        <v>21001368</v>
      </c>
      <c r="O4032">
        <v>5617384</v>
      </c>
      <c r="P4032">
        <v>331</v>
      </c>
      <c r="Q4032" t="s">
        <v>8111</v>
      </c>
    </row>
    <row r="4033" spans="1:17" x14ac:dyDescent="0.3">
      <c r="A4033" t="s">
        <v>32</v>
      </c>
      <c r="B4033" t="str">
        <f>"300806"</f>
        <v>300806</v>
      </c>
      <c r="C4033" t="s">
        <v>8112</v>
      </c>
      <c r="D4033" t="s">
        <v>144</v>
      </c>
      <c r="E4033">
        <v>-298567997</v>
      </c>
      <c r="F4033">
        <v>-141578688</v>
      </c>
      <c r="G4033">
        <v>-43563873</v>
      </c>
      <c r="H4033">
        <v>-37376836</v>
      </c>
      <c r="P4033">
        <v>168</v>
      </c>
      <c r="Q4033" t="s">
        <v>8113</v>
      </c>
    </row>
    <row r="4034" spans="1:17" x14ac:dyDescent="0.3">
      <c r="A4034" t="s">
        <v>32</v>
      </c>
      <c r="B4034" t="str">
        <f>"002706"</f>
        <v>002706</v>
      </c>
      <c r="C4034" t="s">
        <v>8114</v>
      </c>
      <c r="D4034" t="s">
        <v>464</v>
      </c>
      <c r="E4034">
        <v>-298828710</v>
      </c>
      <c r="F4034">
        <v>-392776076</v>
      </c>
      <c r="G4034">
        <v>-28727065</v>
      </c>
      <c r="H4034">
        <v>-19329942</v>
      </c>
      <c r="I4034">
        <v>29556710</v>
      </c>
      <c r="J4034">
        <v>-18449302</v>
      </c>
      <c r="K4034">
        <v>-42856941</v>
      </c>
      <c r="L4034">
        <v>-7333442</v>
      </c>
      <c r="M4034">
        <v>2142804</v>
      </c>
      <c r="N4034">
        <v>147033</v>
      </c>
      <c r="P4034">
        <v>764</v>
      </c>
      <c r="Q4034" t="s">
        <v>8115</v>
      </c>
    </row>
    <row r="4035" spans="1:17" x14ac:dyDescent="0.3">
      <c r="A4035" t="s">
        <v>17</v>
      </c>
      <c r="B4035" t="str">
        <f>"688619"</f>
        <v>688619</v>
      </c>
      <c r="C4035" t="s">
        <v>8116</v>
      </c>
      <c r="D4035" t="s">
        <v>342</v>
      </c>
      <c r="E4035">
        <v>-299045758</v>
      </c>
      <c r="F4035">
        <v>-127548661</v>
      </c>
      <c r="G4035">
        <v>-82213256</v>
      </c>
      <c r="H4035">
        <v>-16768600</v>
      </c>
      <c r="P4035">
        <v>31</v>
      </c>
      <c r="Q4035" t="s">
        <v>8117</v>
      </c>
    </row>
    <row r="4036" spans="1:17" x14ac:dyDescent="0.3">
      <c r="A4036" t="s">
        <v>32</v>
      </c>
      <c r="B4036" t="str">
        <f>"300525"</f>
        <v>300525</v>
      </c>
      <c r="C4036" t="s">
        <v>8118</v>
      </c>
      <c r="D4036" t="s">
        <v>342</v>
      </c>
      <c r="E4036">
        <v>-299210610</v>
      </c>
      <c r="F4036">
        <v>-229934540</v>
      </c>
      <c r="G4036">
        <v>-270651327</v>
      </c>
      <c r="H4036">
        <v>-118030908</v>
      </c>
      <c r="I4036">
        <v>-69190420</v>
      </c>
      <c r="J4036">
        <v>-35562605</v>
      </c>
      <c r="K4036">
        <v>-31256816</v>
      </c>
      <c r="P4036">
        <v>242</v>
      </c>
      <c r="Q4036" t="s">
        <v>8119</v>
      </c>
    </row>
    <row r="4037" spans="1:17" x14ac:dyDescent="0.3">
      <c r="A4037" t="s">
        <v>32</v>
      </c>
      <c r="B4037" t="str">
        <f>"300012"</f>
        <v>300012</v>
      </c>
      <c r="C4037" t="s">
        <v>8120</v>
      </c>
      <c r="D4037" t="s">
        <v>497</v>
      </c>
      <c r="E4037">
        <v>-299996370</v>
      </c>
      <c r="F4037">
        <v>-188479736</v>
      </c>
      <c r="G4037">
        <v>-243133960</v>
      </c>
      <c r="H4037">
        <v>-128150674</v>
      </c>
      <c r="I4037">
        <v>-209482798</v>
      </c>
      <c r="J4037">
        <v>-124221179</v>
      </c>
      <c r="K4037">
        <v>-115174852</v>
      </c>
      <c r="L4037">
        <v>-80126674</v>
      </c>
      <c r="M4037">
        <v>-21188429</v>
      </c>
      <c r="N4037">
        <v>-14628728</v>
      </c>
      <c r="O4037">
        <v>-31447487</v>
      </c>
      <c r="P4037">
        <v>1304</v>
      </c>
      <c r="Q4037" t="s">
        <v>8121</v>
      </c>
    </row>
    <row r="4038" spans="1:17" x14ac:dyDescent="0.3">
      <c r="A4038" t="s">
        <v>17</v>
      </c>
      <c r="B4038" t="str">
        <f>"600184"</f>
        <v>600184</v>
      </c>
      <c r="C4038" t="s">
        <v>8122</v>
      </c>
      <c r="D4038" t="s">
        <v>188</v>
      </c>
      <c r="E4038">
        <v>-301707780</v>
      </c>
      <c r="F4038">
        <v>-802922227</v>
      </c>
      <c r="G4038">
        <v>-220131398</v>
      </c>
      <c r="H4038">
        <v>-170463427</v>
      </c>
      <c r="I4038">
        <v>185125315</v>
      </c>
      <c r="J4038">
        <v>-139157427</v>
      </c>
      <c r="K4038">
        <v>-336643957</v>
      </c>
      <c r="L4038">
        <v>-389107678</v>
      </c>
      <c r="M4038">
        <v>-127722173</v>
      </c>
      <c r="N4038">
        <v>-141821136</v>
      </c>
      <c r="O4038">
        <v>-50653308</v>
      </c>
      <c r="P4038">
        <v>143</v>
      </c>
      <c r="Q4038" t="s">
        <v>8123</v>
      </c>
    </row>
    <row r="4039" spans="1:17" x14ac:dyDescent="0.3">
      <c r="A4039" t="s">
        <v>32</v>
      </c>
      <c r="B4039" t="str">
        <f>"300495"</f>
        <v>300495</v>
      </c>
      <c r="C4039" t="s">
        <v>8124</v>
      </c>
      <c r="D4039" t="s">
        <v>645</v>
      </c>
      <c r="E4039">
        <v>-301954765</v>
      </c>
      <c r="F4039">
        <v>26929109</v>
      </c>
      <c r="G4039">
        <v>-109487238</v>
      </c>
      <c r="H4039">
        <v>-40723274</v>
      </c>
      <c r="I4039">
        <v>-48423272</v>
      </c>
      <c r="J4039">
        <v>-176850795</v>
      </c>
      <c r="K4039">
        <v>-122725599</v>
      </c>
      <c r="L4039">
        <v>-60549900</v>
      </c>
      <c r="M4039">
        <v>-36861900</v>
      </c>
      <c r="P4039">
        <v>103</v>
      </c>
      <c r="Q4039" t="s">
        <v>8125</v>
      </c>
    </row>
    <row r="4040" spans="1:17" x14ac:dyDescent="0.3">
      <c r="A4040" t="s">
        <v>17</v>
      </c>
      <c r="B4040" t="str">
        <f>"600550"</f>
        <v>600550</v>
      </c>
      <c r="C4040" t="s">
        <v>8126</v>
      </c>
      <c r="D4040" t="s">
        <v>464</v>
      </c>
      <c r="E4040">
        <v>-302005566</v>
      </c>
      <c r="F4040">
        <v>-92578653</v>
      </c>
      <c r="G4040">
        <v>-297479894</v>
      </c>
      <c r="H4040">
        <v>-219946200</v>
      </c>
      <c r="I4040">
        <v>35039042</v>
      </c>
      <c r="J4040">
        <v>-69693291</v>
      </c>
      <c r="K4040">
        <v>-340140293</v>
      </c>
      <c r="L4040">
        <v>-317121079</v>
      </c>
      <c r="M4040">
        <v>-115129190</v>
      </c>
      <c r="N4040">
        <v>171666768</v>
      </c>
      <c r="O4040">
        <v>-338205190</v>
      </c>
      <c r="P4040">
        <v>183</v>
      </c>
      <c r="Q4040" t="s">
        <v>8127</v>
      </c>
    </row>
    <row r="4041" spans="1:17" x14ac:dyDescent="0.3">
      <c r="A4041" t="s">
        <v>32</v>
      </c>
      <c r="B4041" t="str">
        <f>"300388"</f>
        <v>300388</v>
      </c>
      <c r="C4041" t="s">
        <v>8128</v>
      </c>
      <c r="D4041" t="s">
        <v>1334</v>
      </c>
      <c r="E4041">
        <v>-302191284</v>
      </c>
      <c r="F4041">
        <v>-242532645</v>
      </c>
      <c r="G4041">
        <v>-496258337</v>
      </c>
      <c r="H4041">
        <v>-520136646</v>
      </c>
      <c r="I4041">
        <v>-411670978</v>
      </c>
      <c r="J4041">
        <v>-53061355</v>
      </c>
      <c r="K4041">
        <v>-385140532</v>
      </c>
      <c r="L4041">
        <v>-103632055</v>
      </c>
      <c r="M4041">
        <v>79713424</v>
      </c>
      <c r="P4041">
        <v>225</v>
      </c>
      <c r="Q4041" t="s">
        <v>8129</v>
      </c>
    </row>
    <row r="4042" spans="1:17" x14ac:dyDescent="0.3">
      <c r="A4042" t="s">
        <v>17</v>
      </c>
      <c r="B4042" t="str">
        <f>"603806"</f>
        <v>603806</v>
      </c>
      <c r="C4042" t="s">
        <v>8130</v>
      </c>
      <c r="D4042" t="s">
        <v>464</v>
      </c>
      <c r="E4042">
        <v>-302407054</v>
      </c>
      <c r="F4042">
        <v>-910846151</v>
      </c>
      <c r="G4042">
        <v>-227040892</v>
      </c>
      <c r="H4042">
        <v>-104609522</v>
      </c>
      <c r="I4042">
        <v>134331853</v>
      </c>
      <c r="J4042">
        <v>-254019581</v>
      </c>
      <c r="K4042">
        <v>-67751138</v>
      </c>
      <c r="L4042">
        <v>-213434816</v>
      </c>
      <c r="M4042">
        <v>-1211615</v>
      </c>
      <c r="P4042">
        <v>1030</v>
      </c>
      <c r="Q4042" t="s">
        <v>8131</v>
      </c>
    </row>
    <row r="4043" spans="1:17" x14ac:dyDescent="0.3">
      <c r="A4043" t="s">
        <v>32</v>
      </c>
      <c r="B4043" t="str">
        <f>"002138"</f>
        <v>002138</v>
      </c>
      <c r="C4043" t="s">
        <v>8132</v>
      </c>
      <c r="D4043" t="s">
        <v>124</v>
      </c>
      <c r="E4043">
        <v>-302914168</v>
      </c>
      <c r="F4043">
        <v>-157095909</v>
      </c>
      <c r="G4043">
        <v>-74118204</v>
      </c>
      <c r="H4043">
        <v>-190877883</v>
      </c>
      <c r="I4043">
        <v>21761619</v>
      </c>
      <c r="J4043">
        <v>3387389</v>
      </c>
      <c r="K4043">
        <v>-65891379</v>
      </c>
      <c r="L4043">
        <v>-35598709</v>
      </c>
      <c r="M4043">
        <v>-26213945</v>
      </c>
      <c r="N4043">
        <v>-43717187</v>
      </c>
      <c r="O4043">
        <v>-5514091</v>
      </c>
      <c r="P4043">
        <v>1066</v>
      </c>
      <c r="Q4043" t="s">
        <v>8133</v>
      </c>
    </row>
    <row r="4044" spans="1:17" x14ac:dyDescent="0.3">
      <c r="A4044" t="s">
        <v>32</v>
      </c>
      <c r="B4044" t="str">
        <f>"300255"</f>
        <v>300255</v>
      </c>
      <c r="C4044" t="s">
        <v>8134</v>
      </c>
      <c r="D4044" t="s">
        <v>98</v>
      </c>
      <c r="E4044">
        <v>-303058749</v>
      </c>
      <c r="F4044">
        <v>48475263</v>
      </c>
      <c r="G4044">
        <v>-327794451</v>
      </c>
      <c r="H4044">
        <v>-172779030</v>
      </c>
      <c r="I4044">
        <v>-112984790</v>
      </c>
      <c r="J4044">
        <v>-107406103</v>
      </c>
      <c r="K4044">
        <v>-22221913</v>
      </c>
      <c r="L4044">
        <v>-123952600</v>
      </c>
      <c r="M4044">
        <v>-138505290</v>
      </c>
      <c r="N4044">
        <v>-138343160</v>
      </c>
      <c r="O4044">
        <v>-52675023</v>
      </c>
      <c r="P4044">
        <v>175</v>
      </c>
      <c r="Q4044" t="s">
        <v>8135</v>
      </c>
    </row>
    <row r="4045" spans="1:17" x14ac:dyDescent="0.3">
      <c r="A4045" t="s">
        <v>17</v>
      </c>
      <c r="B4045" t="str">
        <f>"688105"</f>
        <v>688105</v>
      </c>
      <c r="C4045" t="s">
        <v>8136</v>
      </c>
      <c r="D4045" t="s">
        <v>98</v>
      </c>
      <c r="E4045">
        <v>-303237352</v>
      </c>
      <c r="P4045">
        <v>51</v>
      </c>
      <c r="Q4045" t="s">
        <v>8137</v>
      </c>
    </row>
    <row r="4046" spans="1:17" x14ac:dyDescent="0.3">
      <c r="A4046" t="s">
        <v>17</v>
      </c>
      <c r="B4046" t="str">
        <f>"600496"</f>
        <v>600496</v>
      </c>
      <c r="C4046" t="s">
        <v>8138</v>
      </c>
      <c r="D4046" t="s">
        <v>645</v>
      </c>
      <c r="E4046">
        <v>-303469199</v>
      </c>
      <c r="F4046">
        <v>-595790268</v>
      </c>
      <c r="G4046">
        <v>228751217</v>
      </c>
      <c r="H4046">
        <v>252776644</v>
      </c>
      <c r="I4046">
        <v>-347572177</v>
      </c>
      <c r="J4046">
        <v>-321868267</v>
      </c>
      <c r="K4046">
        <v>-178906736</v>
      </c>
      <c r="L4046">
        <v>74566308</v>
      </c>
      <c r="M4046">
        <v>-7101183</v>
      </c>
      <c r="N4046">
        <v>-168035035</v>
      </c>
      <c r="O4046">
        <v>-46189360</v>
      </c>
      <c r="P4046">
        <v>249</v>
      </c>
      <c r="Q4046" t="s">
        <v>8139</v>
      </c>
    </row>
    <row r="4047" spans="1:17" x14ac:dyDescent="0.3">
      <c r="A4047" t="s">
        <v>32</v>
      </c>
      <c r="B4047" t="str">
        <f>"300124"</f>
        <v>300124</v>
      </c>
      <c r="C4047" t="s">
        <v>8140</v>
      </c>
      <c r="D4047" t="s">
        <v>135</v>
      </c>
      <c r="E4047">
        <v>-304152807</v>
      </c>
      <c r="F4047">
        <v>142596733</v>
      </c>
      <c r="G4047">
        <v>76704743</v>
      </c>
      <c r="H4047">
        <v>-57547974</v>
      </c>
      <c r="I4047">
        <v>-163130365</v>
      </c>
      <c r="J4047">
        <v>-14398393</v>
      </c>
      <c r="K4047">
        <v>-37700511</v>
      </c>
      <c r="L4047">
        <v>47425792</v>
      </c>
      <c r="M4047">
        <v>-66321158</v>
      </c>
      <c r="N4047">
        <v>61851188</v>
      </c>
      <c r="O4047">
        <v>-10652216</v>
      </c>
      <c r="P4047">
        <v>2415</v>
      </c>
      <c r="Q4047" t="s">
        <v>8141</v>
      </c>
    </row>
    <row r="4048" spans="1:17" x14ac:dyDescent="0.3">
      <c r="A4048" t="s">
        <v>32</v>
      </c>
      <c r="B4048" t="str">
        <f>"002498"</f>
        <v>002498</v>
      </c>
      <c r="C4048" t="s">
        <v>8142</v>
      </c>
      <c r="D4048" t="s">
        <v>464</v>
      </c>
      <c r="E4048">
        <v>-305710543</v>
      </c>
      <c r="F4048">
        <v>84202536</v>
      </c>
      <c r="G4048">
        <v>-4823213</v>
      </c>
      <c r="H4048">
        <v>18405704</v>
      </c>
      <c r="I4048">
        <v>-120591576</v>
      </c>
      <c r="J4048">
        <v>-206122007</v>
      </c>
      <c r="K4048">
        <v>27472250</v>
      </c>
      <c r="L4048">
        <v>223438125</v>
      </c>
      <c r="M4048">
        <v>-166485590</v>
      </c>
      <c r="N4048">
        <v>-326204246</v>
      </c>
      <c r="O4048">
        <v>-155684659</v>
      </c>
      <c r="P4048">
        <v>282</v>
      </c>
      <c r="Q4048" t="s">
        <v>8143</v>
      </c>
    </row>
    <row r="4049" spans="1:17" x14ac:dyDescent="0.3">
      <c r="A4049" t="s">
        <v>17</v>
      </c>
      <c r="B4049" t="str">
        <f>"601333"</f>
        <v>601333</v>
      </c>
      <c r="C4049" t="s">
        <v>8144</v>
      </c>
      <c r="D4049" t="s">
        <v>46</v>
      </c>
      <c r="E4049">
        <v>-305853864</v>
      </c>
      <c r="F4049">
        <v>-432207603</v>
      </c>
      <c r="G4049">
        <v>40287417</v>
      </c>
      <c r="H4049">
        <v>-299312850</v>
      </c>
      <c r="I4049">
        <v>125741796</v>
      </c>
      <c r="J4049">
        <v>443072950</v>
      </c>
      <c r="K4049">
        <v>-529353995</v>
      </c>
      <c r="L4049">
        <v>292715661</v>
      </c>
      <c r="M4049">
        <v>260884278</v>
      </c>
      <c r="N4049">
        <v>201161374</v>
      </c>
      <c r="O4049">
        <v>195461973</v>
      </c>
      <c r="P4049">
        <v>318</v>
      </c>
      <c r="Q4049" t="s">
        <v>8145</v>
      </c>
    </row>
    <row r="4050" spans="1:17" x14ac:dyDescent="0.3">
      <c r="A4050" t="s">
        <v>17</v>
      </c>
      <c r="B4050" t="str">
        <f>"600167"</f>
        <v>600167</v>
      </c>
      <c r="C4050" t="s">
        <v>8146</v>
      </c>
      <c r="D4050" t="s">
        <v>158</v>
      </c>
      <c r="E4050">
        <v>-306796963</v>
      </c>
      <c r="F4050">
        <v>-432854132</v>
      </c>
      <c r="G4050">
        <v>-696803020</v>
      </c>
      <c r="H4050">
        <v>-166944213</v>
      </c>
      <c r="I4050">
        <v>-454892595</v>
      </c>
      <c r="J4050">
        <v>-378536727</v>
      </c>
      <c r="K4050">
        <v>-108804323</v>
      </c>
      <c r="L4050">
        <v>-973813942</v>
      </c>
      <c r="M4050">
        <v>-85483375</v>
      </c>
      <c r="N4050">
        <v>-53335935</v>
      </c>
      <c r="O4050">
        <v>-44306683</v>
      </c>
      <c r="P4050">
        <v>39748</v>
      </c>
      <c r="Q4050" t="s">
        <v>8147</v>
      </c>
    </row>
    <row r="4051" spans="1:17" x14ac:dyDescent="0.3">
      <c r="A4051" t="s">
        <v>17</v>
      </c>
      <c r="B4051" t="str">
        <f>"600551"</f>
        <v>600551</v>
      </c>
      <c r="C4051" t="s">
        <v>8148</v>
      </c>
      <c r="D4051" t="s">
        <v>245</v>
      </c>
      <c r="E4051">
        <v>-306958808</v>
      </c>
      <c r="F4051">
        <v>-390314015</v>
      </c>
      <c r="G4051">
        <v>-424675526</v>
      </c>
      <c r="H4051">
        <v>-325290439</v>
      </c>
      <c r="I4051">
        <v>-398448845</v>
      </c>
      <c r="J4051">
        <v>-577516497</v>
      </c>
      <c r="K4051">
        <v>-482032615</v>
      </c>
      <c r="L4051">
        <v>-374936692</v>
      </c>
      <c r="M4051">
        <v>-174777519</v>
      </c>
      <c r="N4051">
        <v>-38111601</v>
      </c>
      <c r="O4051">
        <v>-138567547</v>
      </c>
      <c r="P4051">
        <v>134</v>
      </c>
      <c r="Q4051" t="s">
        <v>8149</v>
      </c>
    </row>
    <row r="4052" spans="1:17" x14ac:dyDescent="0.3">
      <c r="A4052" t="s">
        <v>17</v>
      </c>
      <c r="B4052" t="str">
        <f>"600855"</f>
        <v>600855</v>
      </c>
      <c r="C4052" t="s">
        <v>8150</v>
      </c>
      <c r="D4052" t="s">
        <v>342</v>
      </c>
      <c r="E4052">
        <v>-307613057</v>
      </c>
      <c r="F4052">
        <v>-412762639</v>
      </c>
      <c r="G4052">
        <v>-264739296</v>
      </c>
      <c r="H4052">
        <v>-255999586</v>
      </c>
      <c r="I4052">
        <v>-205362882</v>
      </c>
      <c r="J4052">
        <v>-225324191</v>
      </c>
      <c r="K4052">
        <v>-189965826</v>
      </c>
      <c r="L4052">
        <v>-76881493</v>
      </c>
      <c r="M4052">
        <v>-94990005</v>
      </c>
      <c r="N4052">
        <v>-57731943</v>
      </c>
      <c r="O4052">
        <v>-35493064</v>
      </c>
      <c r="P4052">
        <v>139</v>
      </c>
      <c r="Q4052" t="s">
        <v>8151</v>
      </c>
    </row>
    <row r="4053" spans="1:17" x14ac:dyDescent="0.3">
      <c r="A4053" t="s">
        <v>17</v>
      </c>
      <c r="B4053" t="str">
        <f>"688390"</f>
        <v>688390</v>
      </c>
      <c r="C4053" t="s">
        <v>8152</v>
      </c>
      <c r="D4053" t="s">
        <v>464</v>
      </c>
      <c r="E4053">
        <v>-307838044</v>
      </c>
      <c r="F4053">
        <v>-64969517</v>
      </c>
      <c r="G4053">
        <v>-32786127</v>
      </c>
      <c r="P4053">
        <v>283</v>
      </c>
      <c r="Q4053" t="s">
        <v>8153</v>
      </c>
    </row>
    <row r="4054" spans="1:17" x14ac:dyDescent="0.3">
      <c r="A4054" t="s">
        <v>17</v>
      </c>
      <c r="B4054" t="str">
        <f>"600597"</f>
        <v>600597</v>
      </c>
      <c r="C4054" t="s">
        <v>8154</v>
      </c>
      <c r="D4054" t="s">
        <v>172</v>
      </c>
      <c r="E4054">
        <v>-308861292</v>
      </c>
      <c r="F4054">
        <v>-488776191</v>
      </c>
      <c r="G4054">
        <v>-1238291228</v>
      </c>
      <c r="H4054">
        <v>-112358286</v>
      </c>
      <c r="I4054">
        <v>199919879</v>
      </c>
      <c r="J4054">
        <v>-557916474</v>
      </c>
      <c r="K4054">
        <v>64319873</v>
      </c>
      <c r="L4054">
        <v>-248112597</v>
      </c>
      <c r="M4054">
        <v>-1045559669</v>
      </c>
      <c r="N4054">
        <v>-262289457</v>
      </c>
      <c r="O4054">
        <v>-54670464</v>
      </c>
      <c r="P4054">
        <v>1247</v>
      </c>
      <c r="Q4054" t="s">
        <v>8155</v>
      </c>
    </row>
    <row r="4055" spans="1:17" x14ac:dyDescent="0.3">
      <c r="A4055" t="s">
        <v>32</v>
      </c>
      <c r="B4055" t="str">
        <f>"002135"</f>
        <v>002135</v>
      </c>
      <c r="C4055" t="s">
        <v>8156</v>
      </c>
      <c r="D4055" t="s">
        <v>645</v>
      </c>
      <c r="E4055">
        <v>-308987737</v>
      </c>
      <c r="F4055">
        <v>-141757440</v>
      </c>
      <c r="G4055">
        <v>-34363033</v>
      </c>
      <c r="H4055">
        <v>377618879</v>
      </c>
      <c r="I4055">
        <v>-175365869</v>
      </c>
      <c r="J4055">
        <v>139944927</v>
      </c>
      <c r="K4055">
        <v>-32242533</v>
      </c>
      <c r="L4055">
        <v>79490389</v>
      </c>
      <c r="M4055">
        <v>71467207</v>
      </c>
      <c r="N4055">
        <v>34372383</v>
      </c>
      <c r="O4055">
        <v>-165919762</v>
      </c>
      <c r="P4055">
        <v>164</v>
      </c>
      <c r="Q4055" t="s">
        <v>8157</v>
      </c>
    </row>
    <row r="4056" spans="1:17" x14ac:dyDescent="0.3">
      <c r="A4056" t="s">
        <v>17</v>
      </c>
      <c r="B4056" t="str">
        <f>"603611"</f>
        <v>603611</v>
      </c>
      <c r="C4056" t="s">
        <v>8158</v>
      </c>
      <c r="D4056" t="s">
        <v>135</v>
      </c>
      <c r="E4056">
        <v>-310372508</v>
      </c>
      <c r="F4056">
        <v>-89679059</v>
      </c>
      <c r="G4056">
        <v>-80779622</v>
      </c>
      <c r="H4056">
        <v>-80717913</v>
      </c>
      <c r="I4056">
        <v>-103584953</v>
      </c>
      <c r="J4056">
        <v>-59796721</v>
      </c>
      <c r="K4056">
        <v>-18591726</v>
      </c>
      <c r="L4056">
        <v>-40920259</v>
      </c>
      <c r="M4056">
        <v>8844380</v>
      </c>
      <c r="P4056">
        <v>315</v>
      </c>
      <c r="Q4056" t="s">
        <v>8159</v>
      </c>
    </row>
    <row r="4057" spans="1:17" x14ac:dyDescent="0.3">
      <c r="A4057" t="s">
        <v>32</v>
      </c>
      <c r="B4057" t="str">
        <f>"002774"</f>
        <v>002774</v>
      </c>
      <c r="C4057" t="s">
        <v>8160</v>
      </c>
      <c r="D4057" t="s">
        <v>135</v>
      </c>
      <c r="E4057">
        <v>-310532255</v>
      </c>
      <c r="F4057">
        <v>-25194319</v>
      </c>
      <c r="G4057">
        <v>-165963052</v>
      </c>
      <c r="H4057">
        <v>-51183848</v>
      </c>
      <c r="I4057">
        <v>-48228656</v>
      </c>
      <c r="J4057">
        <v>21491177</v>
      </c>
      <c r="K4057">
        <v>-18739651</v>
      </c>
      <c r="P4057">
        <v>77</v>
      </c>
      <c r="Q4057" t="s">
        <v>8161</v>
      </c>
    </row>
    <row r="4058" spans="1:17" x14ac:dyDescent="0.3">
      <c r="A4058" t="s">
        <v>32</v>
      </c>
      <c r="B4058" t="str">
        <f>"002388"</f>
        <v>002388</v>
      </c>
      <c r="C4058" t="s">
        <v>8162</v>
      </c>
      <c r="D4058" t="s">
        <v>124</v>
      </c>
      <c r="E4058">
        <v>-310671163</v>
      </c>
      <c r="F4058">
        <v>-368145057</v>
      </c>
      <c r="G4058">
        <v>-144033325</v>
      </c>
      <c r="H4058">
        <v>-39710781</v>
      </c>
      <c r="I4058">
        <v>-363076485</v>
      </c>
      <c r="J4058">
        <v>3628363</v>
      </c>
      <c r="K4058">
        <v>45835261</v>
      </c>
      <c r="L4058">
        <v>48183489</v>
      </c>
      <c r="M4058">
        <v>-111435015</v>
      </c>
      <c r="N4058">
        <v>-388031</v>
      </c>
      <c r="O4058">
        <v>33259812</v>
      </c>
      <c r="P4058">
        <v>148</v>
      </c>
      <c r="Q4058" t="s">
        <v>8163</v>
      </c>
    </row>
    <row r="4059" spans="1:17" x14ac:dyDescent="0.3">
      <c r="A4059" t="s">
        <v>32</v>
      </c>
      <c r="B4059" t="str">
        <f>"300933"</f>
        <v>300933</v>
      </c>
      <c r="C4059" t="s">
        <v>8164</v>
      </c>
      <c r="D4059" t="s">
        <v>464</v>
      </c>
      <c r="E4059">
        <v>-311909727</v>
      </c>
      <c r="F4059">
        <v>-262237174</v>
      </c>
      <c r="G4059">
        <v>-212520755</v>
      </c>
      <c r="P4059">
        <v>30</v>
      </c>
      <c r="Q4059" t="s">
        <v>8165</v>
      </c>
    </row>
    <row r="4060" spans="1:17" x14ac:dyDescent="0.3">
      <c r="A4060" t="s">
        <v>32</v>
      </c>
      <c r="B4060" t="str">
        <f>"000563"</f>
        <v>000563</v>
      </c>
      <c r="C4060" t="s">
        <v>8166</v>
      </c>
      <c r="D4060" t="s">
        <v>26</v>
      </c>
      <c r="E4060">
        <v>-312315082</v>
      </c>
      <c r="F4060">
        <v>809155549</v>
      </c>
      <c r="G4060">
        <v>-231774953</v>
      </c>
      <c r="H4060">
        <v>-861054223</v>
      </c>
      <c r="I4060">
        <v>382652932</v>
      </c>
      <c r="J4060">
        <v>150476729</v>
      </c>
      <c r="K4060">
        <v>-996552567</v>
      </c>
      <c r="L4060">
        <v>3196342</v>
      </c>
      <c r="M4060">
        <v>-676910938</v>
      </c>
      <c r="N4060">
        <v>-22770216</v>
      </c>
      <c r="O4060">
        <v>81234409</v>
      </c>
      <c r="P4060">
        <v>205</v>
      </c>
      <c r="Q4060" t="s">
        <v>8167</v>
      </c>
    </row>
    <row r="4061" spans="1:17" x14ac:dyDescent="0.3">
      <c r="A4061" t="s">
        <v>32</v>
      </c>
      <c r="B4061" t="str">
        <f>"300451"</f>
        <v>300451</v>
      </c>
      <c r="C4061" t="s">
        <v>8168</v>
      </c>
      <c r="D4061" t="s">
        <v>342</v>
      </c>
      <c r="E4061">
        <v>-312357190</v>
      </c>
      <c r="F4061">
        <v>-263337384</v>
      </c>
      <c r="G4061">
        <v>-300667642</v>
      </c>
      <c r="H4061">
        <v>-205243034</v>
      </c>
      <c r="I4061">
        <v>-211497508</v>
      </c>
      <c r="J4061">
        <v>-180156545</v>
      </c>
      <c r="K4061">
        <v>-77727748</v>
      </c>
      <c r="L4061">
        <v>-76083191</v>
      </c>
      <c r="M4061">
        <v>-79530915</v>
      </c>
      <c r="P4061">
        <v>352</v>
      </c>
      <c r="Q4061" t="s">
        <v>8169</v>
      </c>
    </row>
    <row r="4062" spans="1:17" x14ac:dyDescent="0.3">
      <c r="A4062" t="s">
        <v>32</v>
      </c>
      <c r="B4062" t="str">
        <f>"000969"</f>
        <v>000969</v>
      </c>
      <c r="C4062" t="s">
        <v>8170</v>
      </c>
      <c r="D4062" t="s">
        <v>121</v>
      </c>
      <c r="E4062">
        <v>-313748264</v>
      </c>
      <c r="F4062">
        <v>-132325312</v>
      </c>
      <c r="G4062">
        <v>79283929</v>
      </c>
      <c r="H4062">
        <v>37345637</v>
      </c>
      <c r="I4062">
        <v>-111011180</v>
      </c>
      <c r="J4062">
        <v>-279784970</v>
      </c>
      <c r="K4062">
        <v>-63418848</v>
      </c>
      <c r="L4062">
        <v>-210002334</v>
      </c>
      <c r="M4062">
        <v>-233261036</v>
      </c>
      <c r="N4062">
        <v>-122153847</v>
      </c>
      <c r="O4062">
        <v>-230105736</v>
      </c>
      <c r="P4062">
        <v>224</v>
      </c>
      <c r="Q4062" t="s">
        <v>8171</v>
      </c>
    </row>
    <row r="4063" spans="1:17" x14ac:dyDescent="0.3">
      <c r="A4063" t="s">
        <v>17</v>
      </c>
      <c r="B4063" t="str">
        <f>"600456"</f>
        <v>600456</v>
      </c>
      <c r="C4063" t="s">
        <v>8172</v>
      </c>
      <c r="D4063" t="s">
        <v>121</v>
      </c>
      <c r="E4063">
        <v>-313936915</v>
      </c>
      <c r="F4063">
        <v>-670270366</v>
      </c>
      <c r="G4063">
        <v>-76409355</v>
      </c>
      <c r="H4063">
        <v>-113123135</v>
      </c>
      <c r="I4063">
        <v>-28030437</v>
      </c>
      <c r="J4063">
        <v>-210581961</v>
      </c>
      <c r="K4063">
        <v>-49503435</v>
      </c>
      <c r="L4063">
        <v>-125616149</v>
      </c>
      <c r="M4063">
        <v>96567694</v>
      </c>
      <c r="N4063">
        <v>-90571491</v>
      </c>
      <c r="O4063">
        <v>-121757368</v>
      </c>
      <c r="P4063">
        <v>331</v>
      </c>
      <c r="Q4063" t="s">
        <v>8173</v>
      </c>
    </row>
    <row r="4064" spans="1:17" x14ac:dyDescent="0.3">
      <c r="A4064" t="s">
        <v>32</v>
      </c>
      <c r="B4064" t="str">
        <f>"300953"</f>
        <v>300953</v>
      </c>
      <c r="C4064" t="s">
        <v>8174</v>
      </c>
      <c r="D4064" t="s">
        <v>135</v>
      </c>
      <c r="E4064">
        <v>-314138054</v>
      </c>
      <c r="F4064">
        <v>-98217497</v>
      </c>
      <c r="G4064">
        <v>-44133807</v>
      </c>
      <c r="P4064">
        <v>84</v>
      </c>
      <c r="Q4064" t="s">
        <v>8175</v>
      </c>
    </row>
    <row r="4065" spans="1:17" x14ac:dyDescent="0.3">
      <c r="A4065" t="s">
        <v>32</v>
      </c>
      <c r="B4065" t="str">
        <f>"000048"</f>
        <v>000048</v>
      </c>
      <c r="C4065" t="s">
        <v>8176</v>
      </c>
      <c r="D4065" t="s">
        <v>151</v>
      </c>
      <c r="E4065">
        <v>-314401028</v>
      </c>
      <c r="F4065">
        <v>-1762617343</v>
      </c>
      <c r="G4065">
        <v>186381044</v>
      </c>
      <c r="H4065">
        <v>967776882</v>
      </c>
      <c r="I4065">
        <v>-89781843</v>
      </c>
      <c r="J4065">
        <v>-161160016</v>
      </c>
      <c r="K4065">
        <v>-60979228</v>
      </c>
      <c r="L4065">
        <v>138232137</v>
      </c>
      <c r="M4065">
        <v>120908265</v>
      </c>
      <c r="N4065">
        <v>-88581692</v>
      </c>
      <c r="O4065">
        <v>-52522202</v>
      </c>
      <c r="P4065">
        <v>588</v>
      </c>
      <c r="Q4065" t="s">
        <v>8177</v>
      </c>
    </row>
    <row r="4066" spans="1:17" x14ac:dyDescent="0.3">
      <c r="A4066" t="s">
        <v>17</v>
      </c>
      <c r="B4066" t="str">
        <f>"603885"</f>
        <v>603885</v>
      </c>
      <c r="C4066" t="s">
        <v>8178</v>
      </c>
      <c r="D4066" t="s">
        <v>46</v>
      </c>
      <c r="E4066">
        <v>-315559467</v>
      </c>
      <c r="F4066">
        <v>-369403189</v>
      </c>
      <c r="G4066">
        <v>-1710746076</v>
      </c>
      <c r="H4066">
        <v>-1759397298</v>
      </c>
      <c r="I4066">
        <v>-233263446</v>
      </c>
      <c r="J4066">
        <v>-706603934</v>
      </c>
      <c r="K4066">
        <v>-486694289</v>
      </c>
      <c r="L4066">
        <v>343174400</v>
      </c>
      <c r="M4066">
        <v>112525800</v>
      </c>
      <c r="P4066">
        <v>475</v>
      </c>
      <c r="Q4066" t="s">
        <v>8179</v>
      </c>
    </row>
    <row r="4067" spans="1:17" x14ac:dyDescent="0.3">
      <c r="A4067" t="s">
        <v>32</v>
      </c>
      <c r="B4067" t="str">
        <f>"300627"</f>
        <v>300627</v>
      </c>
      <c r="C4067" t="s">
        <v>8180</v>
      </c>
      <c r="D4067" t="s">
        <v>57</v>
      </c>
      <c r="E4067">
        <v>-315941277</v>
      </c>
      <c r="F4067">
        <v>-215947931</v>
      </c>
      <c r="G4067">
        <v>-113961561</v>
      </c>
      <c r="H4067">
        <v>-205619909</v>
      </c>
      <c r="I4067">
        <v>-125750460</v>
      </c>
      <c r="J4067">
        <v>-69056259</v>
      </c>
      <c r="K4067">
        <v>-49990033</v>
      </c>
      <c r="P4067">
        <v>296</v>
      </c>
      <c r="Q4067" t="s">
        <v>8181</v>
      </c>
    </row>
    <row r="4068" spans="1:17" x14ac:dyDescent="0.3">
      <c r="A4068" t="s">
        <v>32</v>
      </c>
      <c r="B4068" t="str">
        <f>"000636"</f>
        <v>000636</v>
      </c>
      <c r="C4068" t="s">
        <v>8182</v>
      </c>
      <c r="D4068" t="s">
        <v>124</v>
      </c>
      <c r="E4068">
        <v>-315952947</v>
      </c>
      <c r="F4068">
        <v>-278564438</v>
      </c>
      <c r="G4068">
        <v>138927606</v>
      </c>
      <c r="H4068">
        <v>63977811</v>
      </c>
      <c r="I4068">
        <v>-1978290</v>
      </c>
      <c r="J4068">
        <v>-135364588</v>
      </c>
      <c r="K4068">
        <v>-15592261</v>
      </c>
      <c r="L4068">
        <v>-183546795</v>
      </c>
      <c r="M4068">
        <v>-56145648</v>
      </c>
      <c r="N4068">
        <v>-36526272</v>
      </c>
      <c r="O4068">
        <v>-10954753</v>
      </c>
      <c r="P4068">
        <v>896</v>
      </c>
      <c r="Q4068" t="s">
        <v>8183</v>
      </c>
    </row>
    <row r="4069" spans="1:17" x14ac:dyDescent="0.3">
      <c r="A4069" t="s">
        <v>32</v>
      </c>
      <c r="B4069" t="str">
        <f>"300456"</f>
        <v>300456</v>
      </c>
      <c r="C4069" t="s">
        <v>8184</v>
      </c>
      <c r="D4069" t="s">
        <v>124</v>
      </c>
      <c r="E4069">
        <v>-316050063</v>
      </c>
      <c r="F4069">
        <v>-269636075</v>
      </c>
      <c r="G4069">
        <v>-136360517</v>
      </c>
      <c r="H4069">
        <v>-53172312</v>
      </c>
      <c r="I4069">
        <v>-165440510</v>
      </c>
      <c r="J4069">
        <v>-43956738</v>
      </c>
      <c r="K4069">
        <v>-24955535</v>
      </c>
      <c r="L4069">
        <v>-25302600</v>
      </c>
      <c r="M4069">
        <v>-7585300</v>
      </c>
      <c r="P4069">
        <v>376</v>
      </c>
      <c r="Q4069" t="s">
        <v>8185</v>
      </c>
    </row>
    <row r="4070" spans="1:17" x14ac:dyDescent="0.3">
      <c r="A4070" t="s">
        <v>17</v>
      </c>
      <c r="B4070" t="str">
        <f>"601330"</f>
        <v>601330</v>
      </c>
      <c r="C4070" t="s">
        <v>8186</v>
      </c>
      <c r="D4070" t="s">
        <v>1334</v>
      </c>
      <c r="E4070">
        <v>-316587183</v>
      </c>
      <c r="F4070">
        <v>-458071814</v>
      </c>
      <c r="G4070">
        <v>-381129577</v>
      </c>
      <c r="H4070">
        <v>-623948977</v>
      </c>
      <c r="I4070">
        <v>-306941410</v>
      </c>
      <c r="J4070">
        <v>-237840414</v>
      </c>
      <c r="P4070">
        <v>234</v>
      </c>
      <c r="Q4070" t="s">
        <v>8187</v>
      </c>
    </row>
    <row r="4071" spans="1:17" x14ac:dyDescent="0.3">
      <c r="A4071" t="s">
        <v>32</v>
      </c>
      <c r="B4071" t="str">
        <f>"002918"</f>
        <v>002918</v>
      </c>
      <c r="C4071" t="s">
        <v>8188</v>
      </c>
      <c r="D4071" t="s">
        <v>455</v>
      </c>
      <c r="E4071">
        <v>-316684155</v>
      </c>
      <c r="F4071">
        <v>-543968709</v>
      </c>
      <c r="G4071">
        <v>-833502974</v>
      </c>
      <c r="H4071">
        <v>23272558</v>
      </c>
      <c r="I4071">
        <v>-107722300</v>
      </c>
      <c r="J4071">
        <v>-23719134</v>
      </c>
      <c r="P4071">
        <v>530</v>
      </c>
      <c r="Q4071" t="s">
        <v>8189</v>
      </c>
    </row>
    <row r="4072" spans="1:17" x14ac:dyDescent="0.3">
      <c r="A4072" t="s">
        <v>32</v>
      </c>
      <c r="B4072" t="str">
        <f>"300527"</f>
        <v>300527</v>
      </c>
      <c r="C4072" t="s">
        <v>8190</v>
      </c>
      <c r="D4072" t="s">
        <v>188</v>
      </c>
      <c r="E4072">
        <v>-318154662</v>
      </c>
      <c r="F4072">
        <v>-344444735</v>
      </c>
      <c r="G4072">
        <v>-181342728</v>
      </c>
      <c r="H4072">
        <v>-140671697</v>
      </c>
      <c r="I4072">
        <v>-255106054</v>
      </c>
      <c r="J4072">
        <v>-238439360</v>
      </c>
      <c r="K4072">
        <v>-433635308</v>
      </c>
      <c r="P4072">
        <v>144</v>
      </c>
      <c r="Q4072" t="s">
        <v>8191</v>
      </c>
    </row>
    <row r="4073" spans="1:17" x14ac:dyDescent="0.3">
      <c r="A4073" t="s">
        <v>32</v>
      </c>
      <c r="B4073" t="str">
        <f>"000055"</f>
        <v>000055</v>
      </c>
      <c r="C4073" t="s">
        <v>8192</v>
      </c>
      <c r="D4073" t="s">
        <v>400</v>
      </c>
      <c r="E4073">
        <v>-319548975</v>
      </c>
      <c r="F4073">
        <v>-470912431</v>
      </c>
      <c r="G4073">
        <v>-398693711</v>
      </c>
      <c r="H4073">
        <v>-332205274</v>
      </c>
      <c r="I4073">
        <v>-62110599</v>
      </c>
      <c r="J4073">
        <v>-33816187</v>
      </c>
      <c r="K4073">
        <v>-73883583</v>
      </c>
      <c r="L4073">
        <v>-253652700</v>
      </c>
      <c r="M4073">
        <v>-139489950</v>
      </c>
      <c r="N4073">
        <v>-57152421</v>
      </c>
      <c r="O4073">
        <v>-64325364</v>
      </c>
      <c r="P4073">
        <v>318</v>
      </c>
      <c r="Q4073" t="s">
        <v>8193</v>
      </c>
    </row>
    <row r="4074" spans="1:17" x14ac:dyDescent="0.3">
      <c r="A4074" t="s">
        <v>32</v>
      </c>
      <c r="B4074" t="str">
        <f>"300180"</f>
        <v>300180</v>
      </c>
      <c r="C4074" t="s">
        <v>8194</v>
      </c>
      <c r="D4074" t="s">
        <v>144</v>
      </c>
      <c r="E4074">
        <v>-320180360</v>
      </c>
      <c r="F4074">
        <v>-331274111</v>
      </c>
      <c r="G4074">
        <v>-196973022</v>
      </c>
      <c r="H4074">
        <v>-168676582</v>
      </c>
      <c r="I4074">
        <v>-291874227</v>
      </c>
      <c r="J4074">
        <v>-248660423</v>
      </c>
      <c r="K4074">
        <v>-296264046</v>
      </c>
      <c r="L4074">
        <v>-58698855</v>
      </c>
      <c r="M4074">
        <v>-147211</v>
      </c>
      <c r="N4074">
        <v>-28521531</v>
      </c>
      <c r="O4074">
        <v>-76675626</v>
      </c>
      <c r="P4074">
        <v>141</v>
      </c>
      <c r="Q4074" t="s">
        <v>8195</v>
      </c>
    </row>
    <row r="4075" spans="1:17" x14ac:dyDescent="0.3">
      <c r="A4075" t="s">
        <v>17</v>
      </c>
      <c r="B4075" t="str">
        <f>"603377"</f>
        <v>603377</v>
      </c>
      <c r="C4075" t="s">
        <v>8196</v>
      </c>
      <c r="D4075" t="s">
        <v>497</v>
      </c>
      <c r="E4075">
        <v>-320221821</v>
      </c>
      <c r="F4075">
        <v>-25321715</v>
      </c>
      <c r="G4075">
        <v>-212454254</v>
      </c>
      <c r="H4075">
        <v>-47529005</v>
      </c>
      <c r="I4075">
        <v>357246299</v>
      </c>
      <c r="J4075">
        <v>41539348</v>
      </c>
      <c r="K4075">
        <v>43037299</v>
      </c>
      <c r="L4075">
        <v>65828326</v>
      </c>
      <c r="P4075">
        <v>171</v>
      </c>
      <c r="Q4075" t="s">
        <v>8197</v>
      </c>
    </row>
    <row r="4076" spans="1:17" x14ac:dyDescent="0.3">
      <c r="A4076" t="s">
        <v>17</v>
      </c>
      <c r="B4076" t="str">
        <f>"600449"</f>
        <v>600449</v>
      </c>
      <c r="C4076" t="s">
        <v>8198</v>
      </c>
      <c r="D4076" t="s">
        <v>400</v>
      </c>
      <c r="E4076">
        <v>-321833943</v>
      </c>
      <c r="F4076">
        <v>169491470</v>
      </c>
      <c r="G4076">
        <v>108728712</v>
      </c>
      <c r="H4076">
        <v>68524512</v>
      </c>
      <c r="I4076">
        <v>57554144</v>
      </c>
      <c r="J4076">
        <v>195616358</v>
      </c>
      <c r="K4076">
        <v>28215475</v>
      </c>
      <c r="L4076">
        <v>-15626195</v>
      </c>
      <c r="M4076">
        <v>82101338</v>
      </c>
      <c r="N4076">
        <v>197758622</v>
      </c>
      <c r="O4076">
        <v>-9247066</v>
      </c>
      <c r="P4076">
        <v>558</v>
      </c>
      <c r="Q4076" t="s">
        <v>8199</v>
      </c>
    </row>
    <row r="4077" spans="1:17" x14ac:dyDescent="0.3">
      <c r="A4077" t="s">
        <v>17</v>
      </c>
      <c r="B4077" t="str">
        <f>"605365"</f>
        <v>605365</v>
      </c>
      <c r="C4077" t="s">
        <v>8200</v>
      </c>
      <c r="D4077" t="s">
        <v>127</v>
      </c>
      <c r="E4077">
        <v>-322407742</v>
      </c>
      <c r="F4077">
        <v>-153612250</v>
      </c>
      <c r="G4077">
        <v>33912717</v>
      </c>
      <c r="P4077">
        <v>28</v>
      </c>
      <c r="Q4077" t="s">
        <v>8201</v>
      </c>
    </row>
    <row r="4078" spans="1:17" x14ac:dyDescent="0.3">
      <c r="A4078" t="s">
        <v>32</v>
      </c>
      <c r="B4078" t="str">
        <f>"300231"</f>
        <v>300231</v>
      </c>
      <c r="C4078" t="s">
        <v>8202</v>
      </c>
      <c r="D4078" t="s">
        <v>342</v>
      </c>
      <c r="E4078">
        <v>-323737197</v>
      </c>
      <c r="F4078">
        <v>-276044606</v>
      </c>
      <c r="G4078">
        <v>-291293884</v>
      </c>
      <c r="H4078">
        <v>-281376748</v>
      </c>
      <c r="I4078">
        <v>-127387248</v>
      </c>
      <c r="J4078">
        <v>-40093740</v>
      </c>
      <c r="K4078">
        <v>-156256392</v>
      </c>
      <c r="L4078">
        <v>19679666</v>
      </c>
      <c r="M4078">
        <v>-115278236</v>
      </c>
      <c r="N4078">
        <v>-74506460</v>
      </c>
      <c r="O4078">
        <v>-6843093</v>
      </c>
      <c r="P4078">
        <v>264</v>
      </c>
      <c r="Q4078" t="s">
        <v>8203</v>
      </c>
    </row>
    <row r="4079" spans="1:17" x14ac:dyDescent="0.3">
      <c r="A4079" t="s">
        <v>17</v>
      </c>
      <c r="B4079" t="str">
        <f>"600509"</f>
        <v>600509</v>
      </c>
      <c r="C4079" t="s">
        <v>8204</v>
      </c>
      <c r="D4079" t="s">
        <v>158</v>
      </c>
      <c r="E4079">
        <v>-325501824</v>
      </c>
      <c r="F4079">
        <v>115007873</v>
      </c>
      <c r="G4079">
        <v>-91446018</v>
      </c>
      <c r="H4079">
        <v>-41947752</v>
      </c>
      <c r="I4079">
        <v>-108092434</v>
      </c>
      <c r="J4079">
        <v>54201659</v>
      </c>
      <c r="K4079">
        <v>-987397133</v>
      </c>
      <c r="L4079">
        <v>-290151970</v>
      </c>
      <c r="M4079">
        <v>-248940679</v>
      </c>
      <c r="N4079">
        <v>-36453497</v>
      </c>
      <c r="O4079">
        <v>-197416067</v>
      </c>
      <c r="P4079">
        <v>142</v>
      </c>
      <c r="Q4079" t="s">
        <v>8205</v>
      </c>
    </row>
    <row r="4080" spans="1:17" x14ac:dyDescent="0.3">
      <c r="A4080" t="s">
        <v>17</v>
      </c>
      <c r="B4080" t="str">
        <f>"605007"</f>
        <v>605007</v>
      </c>
      <c r="C4080" t="s">
        <v>8206</v>
      </c>
      <c r="D4080" t="s">
        <v>455</v>
      </c>
      <c r="E4080">
        <v>-325798545</v>
      </c>
      <c r="F4080">
        <v>-67501153</v>
      </c>
      <c r="G4080">
        <v>-52890173</v>
      </c>
      <c r="P4080">
        <v>82</v>
      </c>
      <c r="Q4080" t="s">
        <v>8207</v>
      </c>
    </row>
    <row r="4081" spans="1:17" x14ac:dyDescent="0.3">
      <c r="A4081" t="s">
        <v>32</v>
      </c>
      <c r="B4081" t="str">
        <f>"300229"</f>
        <v>300229</v>
      </c>
      <c r="C4081" t="s">
        <v>8208</v>
      </c>
      <c r="D4081" t="s">
        <v>342</v>
      </c>
      <c r="E4081">
        <v>-326007941</v>
      </c>
      <c r="F4081">
        <v>-116108853</v>
      </c>
      <c r="G4081">
        <v>-83720468</v>
      </c>
      <c r="H4081">
        <v>-87664550</v>
      </c>
      <c r="I4081">
        <v>-113101206</v>
      </c>
      <c r="J4081">
        <v>-70090422</v>
      </c>
      <c r="K4081">
        <v>-75527553</v>
      </c>
      <c r="L4081">
        <v>-37005906</v>
      </c>
      <c r="M4081">
        <v>-1084844</v>
      </c>
      <c r="N4081">
        <v>-61999529</v>
      </c>
      <c r="O4081">
        <v>-10883313</v>
      </c>
      <c r="P4081">
        <v>210</v>
      </c>
      <c r="Q4081" t="s">
        <v>8209</v>
      </c>
    </row>
    <row r="4082" spans="1:17" x14ac:dyDescent="0.3">
      <c r="A4082" t="s">
        <v>17</v>
      </c>
      <c r="B4082" t="str">
        <f>"600882"</f>
        <v>600882</v>
      </c>
      <c r="C4082" t="s">
        <v>8210</v>
      </c>
      <c r="D4082" t="s">
        <v>172</v>
      </c>
      <c r="E4082">
        <v>-326534516</v>
      </c>
      <c r="F4082">
        <v>-158132042</v>
      </c>
      <c r="G4082">
        <v>-19875338</v>
      </c>
      <c r="H4082">
        <v>12014565</v>
      </c>
      <c r="I4082">
        <v>-33283625</v>
      </c>
      <c r="J4082">
        <v>-49987613</v>
      </c>
      <c r="K4082">
        <v>-96980883</v>
      </c>
      <c r="L4082">
        <v>78596804</v>
      </c>
      <c r="M4082">
        <v>29218351</v>
      </c>
      <c r="N4082">
        <v>124761535</v>
      </c>
      <c r="O4082">
        <v>129490646</v>
      </c>
      <c r="P4082">
        <v>515</v>
      </c>
      <c r="Q4082" t="s">
        <v>8211</v>
      </c>
    </row>
    <row r="4083" spans="1:17" x14ac:dyDescent="0.3">
      <c r="A4083" t="s">
        <v>17</v>
      </c>
      <c r="B4083" t="str">
        <f>"603936"</f>
        <v>603936</v>
      </c>
      <c r="C4083" t="s">
        <v>8212</v>
      </c>
      <c r="D4083" t="s">
        <v>124</v>
      </c>
      <c r="E4083">
        <v>-327202649</v>
      </c>
      <c r="F4083">
        <v>-226947095</v>
      </c>
      <c r="G4083">
        <v>-89170810</v>
      </c>
      <c r="H4083">
        <v>-16353780</v>
      </c>
      <c r="I4083">
        <v>-32955338</v>
      </c>
      <c r="J4083">
        <v>-12915424</v>
      </c>
      <c r="K4083">
        <v>-117108915</v>
      </c>
      <c r="P4083">
        <v>222</v>
      </c>
      <c r="Q4083" t="s">
        <v>8213</v>
      </c>
    </row>
    <row r="4084" spans="1:17" x14ac:dyDescent="0.3">
      <c r="A4084" t="s">
        <v>17</v>
      </c>
      <c r="B4084" t="str">
        <f>"601827"</f>
        <v>601827</v>
      </c>
      <c r="C4084" t="s">
        <v>8214</v>
      </c>
      <c r="D4084" t="s">
        <v>1334</v>
      </c>
      <c r="E4084">
        <v>-327828571</v>
      </c>
      <c r="F4084">
        <v>-481588895</v>
      </c>
      <c r="G4084">
        <v>-271308313</v>
      </c>
      <c r="H4084">
        <v>-299316031</v>
      </c>
      <c r="P4084">
        <v>143</v>
      </c>
      <c r="Q4084" t="s">
        <v>8215</v>
      </c>
    </row>
    <row r="4085" spans="1:17" x14ac:dyDescent="0.3">
      <c r="A4085" t="s">
        <v>32</v>
      </c>
      <c r="B4085" t="str">
        <f>"002640"</f>
        <v>002640</v>
      </c>
      <c r="C4085" t="s">
        <v>8216</v>
      </c>
      <c r="D4085" t="s">
        <v>218</v>
      </c>
      <c r="E4085">
        <v>-328256660</v>
      </c>
      <c r="F4085">
        <v>-18244667</v>
      </c>
      <c r="G4085">
        <v>-670548871</v>
      </c>
      <c r="H4085">
        <v>29275152</v>
      </c>
      <c r="I4085">
        <v>-310392940</v>
      </c>
      <c r="J4085">
        <v>-569189940</v>
      </c>
      <c r="K4085">
        <v>-437274184</v>
      </c>
      <c r="L4085">
        <v>-126823916</v>
      </c>
      <c r="M4085">
        <v>-66013247</v>
      </c>
      <c r="N4085">
        <v>-90137324</v>
      </c>
      <c r="O4085">
        <v>-121456582</v>
      </c>
      <c r="P4085">
        <v>263</v>
      </c>
      <c r="Q4085" t="s">
        <v>8217</v>
      </c>
    </row>
    <row r="4086" spans="1:17" x14ac:dyDescent="0.3">
      <c r="A4086" t="s">
        <v>32</v>
      </c>
      <c r="B4086" t="str">
        <f>"300257"</f>
        <v>300257</v>
      </c>
      <c r="C4086" t="s">
        <v>8218</v>
      </c>
      <c r="D4086" t="s">
        <v>135</v>
      </c>
      <c r="E4086">
        <v>-329610367</v>
      </c>
      <c r="F4086">
        <v>-346157214</v>
      </c>
      <c r="G4086">
        <v>-285352560</v>
      </c>
      <c r="H4086">
        <v>-193906982</v>
      </c>
      <c r="I4086">
        <v>-241789024</v>
      </c>
      <c r="J4086">
        <v>-135219985</v>
      </c>
      <c r="K4086">
        <v>-2504554</v>
      </c>
      <c r="L4086">
        <v>-47733396</v>
      </c>
      <c r="M4086">
        <v>66364552</v>
      </c>
      <c r="N4086">
        <v>-16941423</v>
      </c>
      <c r="O4086">
        <v>6871683</v>
      </c>
      <c r="P4086">
        <v>148</v>
      </c>
      <c r="Q4086" t="s">
        <v>8219</v>
      </c>
    </row>
    <row r="4087" spans="1:17" x14ac:dyDescent="0.3">
      <c r="A4087" t="s">
        <v>32</v>
      </c>
      <c r="B4087" t="str">
        <f>"002034"</f>
        <v>002034</v>
      </c>
      <c r="C4087" t="s">
        <v>8220</v>
      </c>
      <c r="D4087" t="s">
        <v>1334</v>
      </c>
      <c r="E4087">
        <v>-329942377</v>
      </c>
      <c r="F4087">
        <v>-416975181</v>
      </c>
      <c r="G4087">
        <v>-430865673</v>
      </c>
      <c r="H4087">
        <v>-499710989</v>
      </c>
      <c r="I4087">
        <v>-231471558</v>
      </c>
      <c r="J4087">
        <v>-1278966</v>
      </c>
      <c r="K4087">
        <v>-15412691</v>
      </c>
      <c r="L4087">
        <v>-4217726</v>
      </c>
      <c r="M4087">
        <v>-2447247</v>
      </c>
      <c r="N4087">
        <v>-85068681</v>
      </c>
      <c r="O4087">
        <v>-6912886</v>
      </c>
      <c r="P4087">
        <v>245</v>
      </c>
      <c r="Q4087" t="s">
        <v>8221</v>
      </c>
    </row>
    <row r="4088" spans="1:17" x14ac:dyDescent="0.3">
      <c r="A4088" t="s">
        <v>17</v>
      </c>
      <c r="B4088" t="str">
        <f>"603160"</f>
        <v>603160</v>
      </c>
      <c r="C4088" t="s">
        <v>8222</v>
      </c>
      <c r="D4088" t="s">
        <v>124</v>
      </c>
      <c r="E4088">
        <v>-330302911</v>
      </c>
      <c r="F4088">
        <v>83839446</v>
      </c>
      <c r="G4088">
        <v>-293102715</v>
      </c>
      <c r="H4088">
        <v>-71946388</v>
      </c>
      <c r="I4088">
        <v>90476314</v>
      </c>
      <c r="J4088">
        <v>111477580</v>
      </c>
      <c r="K4088">
        <v>-60072788</v>
      </c>
      <c r="P4088">
        <v>2243</v>
      </c>
      <c r="Q4088" t="s">
        <v>8223</v>
      </c>
    </row>
    <row r="4089" spans="1:17" x14ac:dyDescent="0.3">
      <c r="A4089" t="s">
        <v>17</v>
      </c>
      <c r="B4089" t="str">
        <f>"600876"</f>
        <v>600876</v>
      </c>
      <c r="C4089" t="s">
        <v>8224</v>
      </c>
      <c r="D4089" t="s">
        <v>400</v>
      </c>
      <c r="E4089">
        <v>-330363619</v>
      </c>
      <c r="F4089">
        <v>33876522</v>
      </c>
      <c r="G4089">
        <v>-55662461</v>
      </c>
      <c r="H4089">
        <v>-138746473</v>
      </c>
      <c r="I4089">
        <v>-82937374</v>
      </c>
      <c r="J4089">
        <v>-29870118</v>
      </c>
      <c r="K4089">
        <v>-59969754</v>
      </c>
      <c r="L4089">
        <v>-53328135</v>
      </c>
      <c r="M4089">
        <v>33371704</v>
      </c>
      <c r="N4089">
        <v>-8735964</v>
      </c>
      <c r="O4089">
        <v>-37722885</v>
      </c>
      <c r="P4089">
        <v>175</v>
      </c>
      <c r="Q4089" t="s">
        <v>8225</v>
      </c>
    </row>
    <row r="4090" spans="1:17" x14ac:dyDescent="0.3">
      <c r="A4090" t="s">
        <v>17</v>
      </c>
      <c r="B4090" t="str">
        <f>"605136"</f>
        <v>605136</v>
      </c>
      <c r="C4090" t="s">
        <v>8226</v>
      </c>
      <c r="D4090" t="s">
        <v>218</v>
      </c>
      <c r="E4090">
        <v>-330595430</v>
      </c>
      <c r="F4090">
        <v>-279958809</v>
      </c>
      <c r="G4090">
        <v>-249805237</v>
      </c>
      <c r="P4090">
        <v>99</v>
      </c>
      <c r="Q4090" t="s">
        <v>8227</v>
      </c>
    </row>
    <row r="4091" spans="1:17" x14ac:dyDescent="0.3">
      <c r="A4091" t="s">
        <v>32</v>
      </c>
      <c r="B4091" t="str">
        <f>"000767"</f>
        <v>000767</v>
      </c>
      <c r="C4091" t="s">
        <v>8228</v>
      </c>
      <c r="D4091" t="s">
        <v>158</v>
      </c>
      <c r="E4091">
        <v>-330761677</v>
      </c>
      <c r="F4091">
        <v>-206282665</v>
      </c>
      <c r="G4091">
        <v>-456747420</v>
      </c>
      <c r="H4091">
        <v>470704430</v>
      </c>
      <c r="I4091">
        <v>29070868</v>
      </c>
      <c r="J4091">
        <v>-1427115876</v>
      </c>
      <c r="K4091">
        <v>-1723053516</v>
      </c>
      <c r="L4091">
        <v>-78805845</v>
      </c>
      <c r="M4091">
        <v>-356352780</v>
      </c>
      <c r="N4091">
        <v>151384503</v>
      </c>
      <c r="O4091">
        <v>83224094</v>
      </c>
      <c r="P4091">
        <v>173</v>
      </c>
      <c r="Q4091" t="s">
        <v>8229</v>
      </c>
    </row>
    <row r="4092" spans="1:17" x14ac:dyDescent="0.3">
      <c r="A4092" t="s">
        <v>32</v>
      </c>
      <c r="B4092" t="str">
        <f>"002701"</f>
        <v>002701</v>
      </c>
      <c r="C4092" t="s">
        <v>8230</v>
      </c>
      <c r="D4092" t="s">
        <v>455</v>
      </c>
      <c r="E4092">
        <v>-331255181</v>
      </c>
      <c r="F4092">
        <v>279931774</v>
      </c>
      <c r="G4092">
        <v>-485763964</v>
      </c>
      <c r="H4092">
        <v>641514046</v>
      </c>
      <c r="I4092">
        <v>-194440564</v>
      </c>
      <c r="J4092">
        <v>-193010678</v>
      </c>
      <c r="K4092">
        <v>-86100973</v>
      </c>
      <c r="L4092">
        <v>122622718</v>
      </c>
      <c r="M4092">
        <v>-79768506</v>
      </c>
      <c r="N4092">
        <v>38197898</v>
      </c>
      <c r="O4092">
        <v>9893093</v>
      </c>
      <c r="P4092">
        <v>1656</v>
      </c>
      <c r="Q4092" t="s">
        <v>8231</v>
      </c>
    </row>
    <row r="4093" spans="1:17" x14ac:dyDescent="0.3">
      <c r="A4093" t="s">
        <v>17</v>
      </c>
      <c r="B4093" t="str">
        <f>"601929"</f>
        <v>601929</v>
      </c>
      <c r="C4093" t="s">
        <v>8232</v>
      </c>
      <c r="D4093" t="s">
        <v>245</v>
      </c>
      <c r="E4093">
        <v>-332148480</v>
      </c>
      <c r="F4093">
        <v>-212083846</v>
      </c>
      <c r="G4093">
        <v>-247870545</v>
      </c>
      <c r="H4093">
        <v>-285130313</v>
      </c>
      <c r="I4093">
        <v>-444806356</v>
      </c>
      <c r="J4093">
        <v>-279038559</v>
      </c>
      <c r="K4093">
        <v>-200305354</v>
      </c>
      <c r="L4093">
        <v>-193438842</v>
      </c>
      <c r="M4093">
        <v>-41140428</v>
      </c>
      <c r="N4093">
        <v>-134546556</v>
      </c>
      <c r="O4093">
        <v>-75102228</v>
      </c>
      <c r="P4093">
        <v>159</v>
      </c>
      <c r="Q4093" t="s">
        <v>8233</v>
      </c>
    </row>
    <row r="4094" spans="1:17" x14ac:dyDescent="0.3">
      <c r="A4094" t="s">
        <v>32</v>
      </c>
      <c r="B4094" t="str">
        <f>"002120"</f>
        <v>002120</v>
      </c>
      <c r="C4094" t="s">
        <v>8234</v>
      </c>
      <c r="D4094" t="s">
        <v>46</v>
      </c>
      <c r="E4094">
        <v>-332322022</v>
      </c>
      <c r="F4094">
        <v>-1614781788</v>
      </c>
      <c r="G4094">
        <v>-1500616700</v>
      </c>
      <c r="H4094">
        <v>-860067733</v>
      </c>
      <c r="I4094">
        <v>-252950294</v>
      </c>
      <c r="J4094">
        <v>-269505629</v>
      </c>
      <c r="K4094">
        <v>-4066209</v>
      </c>
      <c r="L4094">
        <v>-8775473</v>
      </c>
      <c r="M4094">
        <v>-9682272</v>
      </c>
      <c r="N4094">
        <v>3710527</v>
      </c>
      <c r="O4094">
        <v>-42229523</v>
      </c>
      <c r="P4094">
        <v>1163</v>
      </c>
      <c r="Q4094" t="s">
        <v>8235</v>
      </c>
    </row>
    <row r="4095" spans="1:17" x14ac:dyDescent="0.3">
      <c r="A4095" t="s">
        <v>17</v>
      </c>
      <c r="B4095" t="str">
        <f>"600617"</f>
        <v>600617</v>
      </c>
      <c r="C4095" t="s">
        <v>8236</v>
      </c>
      <c r="D4095" t="s">
        <v>158</v>
      </c>
      <c r="E4095">
        <v>-335296449</v>
      </c>
      <c r="F4095">
        <v>285230012</v>
      </c>
      <c r="G4095">
        <v>-479107441</v>
      </c>
      <c r="H4095">
        <v>-381094124</v>
      </c>
      <c r="I4095">
        <v>-346523244</v>
      </c>
      <c r="J4095">
        <v>-420979405</v>
      </c>
      <c r="K4095">
        <v>-761122876</v>
      </c>
      <c r="L4095">
        <v>-162967436</v>
      </c>
      <c r="M4095">
        <v>-642421629</v>
      </c>
      <c r="N4095">
        <v>392156</v>
      </c>
      <c r="O4095">
        <v>2190276</v>
      </c>
      <c r="P4095">
        <v>104</v>
      </c>
      <c r="Q4095" t="s">
        <v>8237</v>
      </c>
    </row>
    <row r="4096" spans="1:17" x14ac:dyDescent="0.3">
      <c r="A4096" t="s">
        <v>32</v>
      </c>
      <c r="B4096" t="str">
        <f>"300982"</f>
        <v>300982</v>
      </c>
      <c r="C4096" t="s">
        <v>8238</v>
      </c>
      <c r="D4096" t="s">
        <v>645</v>
      </c>
      <c r="E4096">
        <v>-336548242</v>
      </c>
      <c r="F4096">
        <v>-53158286</v>
      </c>
      <c r="G4096">
        <v>-38580019</v>
      </c>
      <c r="P4096">
        <v>65</v>
      </c>
      <c r="Q4096" t="s">
        <v>8239</v>
      </c>
    </row>
    <row r="4097" spans="1:17" x14ac:dyDescent="0.3">
      <c r="A4097" t="s">
        <v>17</v>
      </c>
      <c r="B4097" t="str">
        <f>"603801"</f>
        <v>603801</v>
      </c>
      <c r="C4097" t="s">
        <v>8240</v>
      </c>
      <c r="D4097" t="s">
        <v>455</v>
      </c>
      <c r="E4097">
        <v>-336998740</v>
      </c>
      <c r="F4097">
        <v>-406740768</v>
      </c>
      <c r="G4097">
        <v>-348591428</v>
      </c>
      <c r="H4097">
        <v>-208680599</v>
      </c>
      <c r="I4097">
        <v>-244153843</v>
      </c>
      <c r="J4097">
        <v>-190542164</v>
      </c>
      <c r="K4097">
        <v>-69015664</v>
      </c>
      <c r="P4097">
        <v>770</v>
      </c>
      <c r="Q4097" t="s">
        <v>8241</v>
      </c>
    </row>
    <row r="4098" spans="1:17" x14ac:dyDescent="0.3">
      <c r="A4098" t="s">
        <v>17</v>
      </c>
      <c r="B4098" t="str">
        <f>"600021"</f>
        <v>600021</v>
      </c>
      <c r="C4098" t="s">
        <v>8242</v>
      </c>
      <c r="D4098" t="s">
        <v>158</v>
      </c>
      <c r="E4098">
        <v>-337195910</v>
      </c>
      <c r="F4098">
        <v>-1230661531</v>
      </c>
      <c r="G4098">
        <v>-933038690</v>
      </c>
      <c r="H4098">
        <v>-2014628596</v>
      </c>
      <c r="I4098">
        <v>-1460521928</v>
      </c>
      <c r="J4098">
        <v>-88020758</v>
      </c>
      <c r="K4098">
        <v>1106951509</v>
      </c>
      <c r="L4098">
        <v>1454125554</v>
      </c>
      <c r="M4098">
        <v>682566221</v>
      </c>
      <c r="N4098">
        <v>842157617</v>
      </c>
      <c r="O4098">
        <v>690358852</v>
      </c>
      <c r="P4098">
        <v>336</v>
      </c>
      <c r="Q4098" t="s">
        <v>8243</v>
      </c>
    </row>
    <row r="4099" spans="1:17" x14ac:dyDescent="0.3">
      <c r="A4099" t="s">
        <v>32</v>
      </c>
      <c r="B4099" t="str">
        <f>"300931"</f>
        <v>300931</v>
      </c>
      <c r="C4099" t="s">
        <v>8244</v>
      </c>
      <c r="D4099" t="s">
        <v>135</v>
      </c>
      <c r="E4099">
        <v>-337566525</v>
      </c>
      <c r="F4099">
        <v>-30548158</v>
      </c>
      <c r="G4099">
        <v>-24336857</v>
      </c>
      <c r="P4099">
        <v>31</v>
      </c>
      <c r="Q4099" t="s">
        <v>8245</v>
      </c>
    </row>
    <row r="4100" spans="1:17" x14ac:dyDescent="0.3">
      <c r="A4100" t="s">
        <v>32</v>
      </c>
      <c r="B4100" t="str">
        <f>"301116"</f>
        <v>301116</v>
      </c>
      <c r="C4100" t="s">
        <v>8246</v>
      </c>
      <c r="D4100" t="s">
        <v>175</v>
      </c>
      <c r="E4100">
        <v>-337809191</v>
      </c>
      <c r="P4100">
        <v>11</v>
      </c>
      <c r="Q4100" t="s">
        <v>8247</v>
      </c>
    </row>
    <row r="4101" spans="1:17" x14ac:dyDescent="0.3">
      <c r="A4101" t="s">
        <v>32</v>
      </c>
      <c r="B4101" t="str">
        <f>"300034"</f>
        <v>300034</v>
      </c>
      <c r="C4101" t="s">
        <v>8248</v>
      </c>
      <c r="D4101" t="s">
        <v>188</v>
      </c>
      <c r="E4101">
        <v>-339198543</v>
      </c>
      <c r="F4101">
        <v>-301298222</v>
      </c>
      <c r="G4101">
        <v>-74406859</v>
      </c>
      <c r="H4101">
        <v>-49632459</v>
      </c>
      <c r="I4101">
        <v>-37242985</v>
      </c>
      <c r="J4101">
        <v>-94127891</v>
      </c>
      <c r="K4101">
        <v>-45337262</v>
      </c>
      <c r="L4101">
        <v>-100396663</v>
      </c>
      <c r="M4101">
        <v>-154989502</v>
      </c>
      <c r="N4101">
        <v>-106295929</v>
      </c>
      <c r="O4101">
        <v>-66648138</v>
      </c>
      <c r="P4101">
        <v>283</v>
      </c>
      <c r="Q4101" t="s">
        <v>8249</v>
      </c>
    </row>
    <row r="4102" spans="1:17" x14ac:dyDescent="0.3">
      <c r="A4102" t="s">
        <v>32</v>
      </c>
      <c r="B4102" t="str">
        <f>"002318"</f>
        <v>002318</v>
      </c>
      <c r="C4102" t="s">
        <v>8250</v>
      </c>
      <c r="D4102" t="s">
        <v>163</v>
      </c>
      <c r="E4102">
        <v>-339730615</v>
      </c>
      <c r="F4102">
        <v>-13278744</v>
      </c>
      <c r="G4102">
        <v>-106988429</v>
      </c>
      <c r="H4102">
        <v>145350414</v>
      </c>
      <c r="I4102">
        <v>-125033176</v>
      </c>
      <c r="J4102">
        <v>-181047313</v>
      </c>
      <c r="K4102">
        <v>-195078812</v>
      </c>
      <c r="L4102">
        <v>-115820961</v>
      </c>
      <c r="M4102">
        <v>-134077885</v>
      </c>
      <c r="N4102">
        <v>-140290091</v>
      </c>
      <c r="O4102">
        <v>-137545597</v>
      </c>
      <c r="P4102">
        <v>452</v>
      </c>
      <c r="Q4102" t="s">
        <v>8251</v>
      </c>
    </row>
    <row r="4103" spans="1:17" x14ac:dyDescent="0.3">
      <c r="A4103" t="s">
        <v>17</v>
      </c>
      <c r="B4103" t="str">
        <f>"603477"</f>
        <v>603477</v>
      </c>
      <c r="C4103" t="s">
        <v>8252</v>
      </c>
      <c r="D4103" t="s">
        <v>130</v>
      </c>
      <c r="E4103">
        <v>-340600447</v>
      </c>
      <c r="F4103">
        <v>-90991067</v>
      </c>
      <c r="G4103">
        <v>-23030068</v>
      </c>
      <c r="H4103">
        <v>5376211</v>
      </c>
      <c r="I4103">
        <v>25877611</v>
      </c>
      <c r="J4103">
        <v>-26105010</v>
      </c>
      <c r="P4103">
        <v>134</v>
      </c>
      <c r="Q4103" t="s">
        <v>8253</v>
      </c>
    </row>
    <row r="4104" spans="1:17" x14ac:dyDescent="0.3">
      <c r="A4104" t="s">
        <v>17</v>
      </c>
      <c r="B4104" t="str">
        <f>"600072"</f>
        <v>600072</v>
      </c>
      <c r="C4104" t="s">
        <v>8254</v>
      </c>
      <c r="D4104" t="s">
        <v>188</v>
      </c>
      <c r="E4104">
        <v>-342407123</v>
      </c>
      <c r="F4104">
        <v>241700987</v>
      </c>
      <c r="G4104">
        <v>-342148718</v>
      </c>
      <c r="H4104">
        <v>-522632066</v>
      </c>
      <c r="I4104">
        <v>-364818842</v>
      </c>
      <c r="J4104">
        <v>-671409625</v>
      </c>
      <c r="K4104">
        <v>-68812095</v>
      </c>
      <c r="L4104">
        <v>16298670</v>
      </c>
      <c r="M4104">
        <v>-65010433</v>
      </c>
      <c r="N4104">
        <v>-43480914</v>
      </c>
      <c r="O4104">
        <v>-77264394</v>
      </c>
      <c r="P4104">
        <v>181</v>
      </c>
      <c r="Q4104" t="s">
        <v>8255</v>
      </c>
    </row>
    <row r="4105" spans="1:17" x14ac:dyDescent="0.3">
      <c r="A4105" t="s">
        <v>32</v>
      </c>
      <c r="B4105" t="str">
        <f>"000811"</f>
        <v>000811</v>
      </c>
      <c r="C4105" t="s">
        <v>8256</v>
      </c>
      <c r="D4105" t="s">
        <v>135</v>
      </c>
      <c r="E4105">
        <v>-342445658</v>
      </c>
      <c r="F4105">
        <v>-283434146</v>
      </c>
      <c r="G4105">
        <v>-236601259</v>
      </c>
      <c r="H4105">
        <v>-245211722</v>
      </c>
      <c r="I4105">
        <v>-147075971</v>
      </c>
      <c r="J4105">
        <v>-119061184</v>
      </c>
      <c r="K4105">
        <v>-7540521</v>
      </c>
      <c r="L4105">
        <v>-73250005</v>
      </c>
      <c r="M4105">
        <v>-6993984</v>
      </c>
      <c r="N4105">
        <v>-50942303</v>
      </c>
      <c r="O4105">
        <v>-17826890</v>
      </c>
      <c r="P4105">
        <v>225</v>
      </c>
      <c r="Q4105" t="s">
        <v>8257</v>
      </c>
    </row>
    <row r="4106" spans="1:17" x14ac:dyDescent="0.3">
      <c r="A4106" t="s">
        <v>17</v>
      </c>
      <c r="B4106" t="str">
        <f>"600173"</f>
        <v>600173</v>
      </c>
      <c r="C4106" t="s">
        <v>8258</v>
      </c>
      <c r="D4106" t="s">
        <v>151</v>
      </c>
      <c r="E4106">
        <v>-343379310</v>
      </c>
      <c r="F4106">
        <v>-302476169</v>
      </c>
      <c r="G4106">
        <v>32553753</v>
      </c>
      <c r="H4106">
        <v>402498989</v>
      </c>
      <c r="I4106">
        <v>111889045</v>
      </c>
      <c r="J4106">
        <v>92198176</v>
      </c>
      <c r="K4106">
        <v>105986938</v>
      </c>
      <c r="L4106">
        <v>-43196167</v>
      </c>
      <c r="M4106">
        <v>18496888</v>
      </c>
      <c r="N4106">
        <v>-51009340</v>
      </c>
      <c r="O4106">
        <v>-86568530</v>
      </c>
      <c r="P4106">
        <v>302</v>
      </c>
      <c r="Q4106" t="s">
        <v>8259</v>
      </c>
    </row>
    <row r="4107" spans="1:17" x14ac:dyDescent="0.3">
      <c r="A4107" t="s">
        <v>17</v>
      </c>
      <c r="B4107" t="str">
        <f>"603081"</f>
        <v>603081</v>
      </c>
      <c r="C4107" t="s">
        <v>8260</v>
      </c>
      <c r="D4107" t="s">
        <v>645</v>
      </c>
      <c r="E4107">
        <v>-345192721</v>
      </c>
      <c r="F4107">
        <v>-315733740</v>
      </c>
      <c r="G4107">
        <v>-103052834</v>
      </c>
      <c r="H4107">
        <v>-2390891</v>
      </c>
      <c r="I4107">
        <v>-96348466</v>
      </c>
      <c r="J4107">
        <v>36902199</v>
      </c>
      <c r="K4107">
        <v>-17989263</v>
      </c>
      <c r="P4107">
        <v>144</v>
      </c>
      <c r="Q4107" t="s">
        <v>8261</v>
      </c>
    </row>
    <row r="4108" spans="1:17" x14ac:dyDescent="0.3">
      <c r="A4108" t="s">
        <v>17</v>
      </c>
      <c r="B4108" t="str">
        <f>"605020"</f>
        <v>605020</v>
      </c>
      <c r="C4108" t="s">
        <v>8262</v>
      </c>
      <c r="D4108" t="s">
        <v>144</v>
      </c>
      <c r="E4108">
        <v>-345393571</v>
      </c>
      <c r="F4108">
        <v>-67180693</v>
      </c>
      <c r="G4108">
        <v>-112019039</v>
      </c>
      <c r="P4108">
        <v>33</v>
      </c>
      <c r="Q4108" t="s">
        <v>8263</v>
      </c>
    </row>
    <row r="4109" spans="1:17" x14ac:dyDescent="0.3">
      <c r="A4109" t="s">
        <v>17</v>
      </c>
      <c r="B4109" t="str">
        <f>"603111"</f>
        <v>603111</v>
      </c>
      <c r="C4109" t="s">
        <v>8264</v>
      </c>
      <c r="D4109" t="s">
        <v>135</v>
      </c>
      <c r="E4109">
        <v>-346793985</v>
      </c>
      <c r="F4109">
        <v>-232237016</v>
      </c>
      <c r="G4109">
        <v>-322049383</v>
      </c>
      <c r="H4109">
        <v>-179703436</v>
      </c>
      <c r="I4109">
        <v>-246457516</v>
      </c>
      <c r="J4109">
        <v>-163525513</v>
      </c>
      <c r="K4109">
        <v>-158001139</v>
      </c>
      <c r="L4109">
        <v>-99327182</v>
      </c>
      <c r="M4109">
        <v>-55503269</v>
      </c>
      <c r="P4109">
        <v>440</v>
      </c>
      <c r="Q4109" t="s">
        <v>8265</v>
      </c>
    </row>
    <row r="4110" spans="1:17" x14ac:dyDescent="0.3">
      <c r="A4110" t="s">
        <v>32</v>
      </c>
      <c r="B4110" t="str">
        <f>"300310"</f>
        <v>300310</v>
      </c>
      <c r="C4110" t="s">
        <v>8266</v>
      </c>
      <c r="D4110" t="s">
        <v>57</v>
      </c>
      <c r="E4110">
        <v>-346877069</v>
      </c>
      <c r="F4110">
        <v>-186801288</v>
      </c>
      <c r="G4110">
        <v>-168281077</v>
      </c>
      <c r="H4110">
        <v>-110609989</v>
      </c>
      <c r="I4110">
        <v>-265199261</v>
      </c>
      <c r="J4110">
        <v>-215370082</v>
      </c>
      <c r="K4110">
        <v>-115564943</v>
      </c>
      <c r="L4110">
        <v>-64857991</v>
      </c>
      <c r="M4110">
        <v>-18597911</v>
      </c>
      <c r="N4110">
        <v>-109783024</v>
      </c>
      <c r="O4110">
        <v>-69317547</v>
      </c>
      <c r="P4110">
        <v>257</v>
      </c>
      <c r="Q4110" t="s">
        <v>8267</v>
      </c>
    </row>
    <row r="4111" spans="1:17" x14ac:dyDescent="0.3">
      <c r="A4111" t="s">
        <v>32</v>
      </c>
      <c r="B4111" t="str">
        <f>"002241"</f>
        <v>002241</v>
      </c>
      <c r="C4111" t="s">
        <v>8268</v>
      </c>
      <c r="D4111" t="s">
        <v>124</v>
      </c>
      <c r="E4111">
        <v>-346892306</v>
      </c>
      <c r="F4111">
        <v>-801126509</v>
      </c>
      <c r="G4111">
        <v>-463917180</v>
      </c>
      <c r="H4111">
        <v>-117052813</v>
      </c>
      <c r="I4111">
        <v>224799748</v>
      </c>
      <c r="J4111">
        <v>-152296762</v>
      </c>
      <c r="K4111">
        <v>-708453311</v>
      </c>
      <c r="L4111">
        <v>1130009</v>
      </c>
      <c r="M4111">
        <v>250958189</v>
      </c>
      <c r="N4111">
        <v>-100572723</v>
      </c>
      <c r="O4111">
        <v>-499812267</v>
      </c>
      <c r="P4111">
        <v>3529</v>
      </c>
      <c r="Q4111" t="s">
        <v>8269</v>
      </c>
    </row>
    <row r="4112" spans="1:17" x14ac:dyDescent="0.3">
      <c r="A4112" t="s">
        <v>32</v>
      </c>
      <c r="B4112" t="str">
        <f>"300504"</f>
        <v>300504</v>
      </c>
      <c r="C4112" t="s">
        <v>8270</v>
      </c>
      <c r="D4112" t="s">
        <v>57</v>
      </c>
      <c r="E4112">
        <v>-349959927</v>
      </c>
      <c r="F4112">
        <v>-214928820</v>
      </c>
      <c r="G4112">
        <v>-116918057</v>
      </c>
      <c r="H4112">
        <v>-120683154</v>
      </c>
      <c r="I4112">
        <v>-271047114</v>
      </c>
      <c r="J4112">
        <v>-153487404</v>
      </c>
      <c r="P4112">
        <v>177</v>
      </c>
      <c r="Q4112" t="s">
        <v>8271</v>
      </c>
    </row>
    <row r="4113" spans="1:17" x14ac:dyDescent="0.3">
      <c r="A4113" t="s">
        <v>32</v>
      </c>
      <c r="B4113" t="str">
        <f>"300490"</f>
        <v>300490</v>
      </c>
      <c r="C4113" t="s">
        <v>8272</v>
      </c>
      <c r="D4113" t="s">
        <v>464</v>
      </c>
      <c r="E4113">
        <v>-350484489</v>
      </c>
      <c r="F4113">
        <v>-62028984</v>
      </c>
      <c r="G4113">
        <v>-81141523</v>
      </c>
      <c r="H4113">
        <v>-95545469</v>
      </c>
      <c r="I4113">
        <v>-65732205</v>
      </c>
      <c r="J4113">
        <v>-49475616</v>
      </c>
      <c r="K4113">
        <v>-53382332</v>
      </c>
      <c r="L4113">
        <v>-24821695</v>
      </c>
      <c r="M4113">
        <v>-24659657</v>
      </c>
      <c r="P4113">
        <v>161</v>
      </c>
      <c r="Q4113" t="s">
        <v>8273</v>
      </c>
    </row>
    <row r="4114" spans="1:17" x14ac:dyDescent="0.3">
      <c r="A4114" t="s">
        <v>17</v>
      </c>
      <c r="B4114" t="str">
        <f>"605168"</f>
        <v>605168</v>
      </c>
      <c r="C4114" t="s">
        <v>8274</v>
      </c>
      <c r="D4114" t="s">
        <v>245</v>
      </c>
      <c r="E4114">
        <v>-351581786</v>
      </c>
      <c r="F4114">
        <v>-267155081</v>
      </c>
      <c r="G4114">
        <v>-260126141</v>
      </c>
      <c r="H4114">
        <v>-192221363</v>
      </c>
      <c r="P4114">
        <v>317</v>
      </c>
      <c r="Q4114" t="s">
        <v>8275</v>
      </c>
    </row>
    <row r="4115" spans="1:17" x14ac:dyDescent="0.3">
      <c r="A4115" t="s">
        <v>32</v>
      </c>
      <c r="B4115" t="str">
        <f>"002153"</f>
        <v>002153</v>
      </c>
      <c r="C4115" t="s">
        <v>8276</v>
      </c>
      <c r="D4115" t="s">
        <v>342</v>
      </c>
      <c r="E4115">
        <v>-351838680</v>
      </c>
      <c r="F4115">
        <v>-197789395</v>
      </c>
      <c r="G4115">
        <v>-313068460</v>
      </c>
      <c r="H4115">
        <v>-222739621</v>
      </c>
      <c r="I4115">
        <v>-114108316</v>
      </c>
      <c r="J4115">
        <v>-49082834</v>
      </c>
      <c r="K4115">
        <v>-50881528</v>
      </c>
      <c r="L4115">
        <v>-8550920</v>
      </c>
      <c r="M4115">
        <v>90602564</v>
      </c>
      <c r="N4115">
        <v>20006736</v>
      </c>
      <c r="O4115">
        <v>25617352</v>
      </c>
      <c r="P4115">
        <v>679</v>
      </c>
      <c r="Q4115" t="s">
        <v>8277</v>
      </c>
    </row>
    <row r="4116" spans="1:17" x14ac:dyDescent="0.3">
      <c r="A4116" t="s">
        <v>17</v>
      </c>
      <c r="B4116" t="str">
        <f>"688126"</f>
        <v>688126</v>
      </c>
      <c r="C4116" t="s">
        <v>8278</v>
      </c>
      <c r="D4116" t="s">
        <v>124</v>
      </c>
      <c r="E4116">
        <v>-351861434</v>
      </c>
      <c r="F4116">
        <v>-239410532</v>
      </c>
      <c r="G4116">
        <v>-300699916</v>
      </c>
      <c r="H4116">
        <v>-172594989</v>
      </c>
      <c r="P4116">
        <v>329</v>
      </c>
      <c r="Q4116" t="s">
        <v>8279</v>
      </c>
    </row>
    <row r="4117" spans="1:17" x14ac:dyDescent="0.3">
      <c r="A4117" t="s">
        <v>17</v>
      </c>
      <c r="B4117" t="str">
        <f>"600499"</f>
        <v>600499</v>
      </c>
      <c r="C4117" t="s">
        <v>8280</v>
      </c>
      <c r="D4117" t="s">
        <v>135</v>
      </c>
      <c r="E4117">
        <v>-352048356</v>
      </c>
      <c r="F4117">
        <v>-91098896</v>
      </c>
      <c r="G4117">
        <v>-148189732</v>
      </c>
      <c r="H4117">
        <v>37328727</v>
      </c>
      <c r="I4117">
        <v>-434120477</v>
      </c>
      <c r="J4117">
        <v>-207562455</v>
      </c>
      <c r="K4117">
        <v>-216115810</v>
      </c>
      <c r="L4117">
        <v>17789339</v>
      </c>
      <c r="M4117">
        <v>-324093170</v>
      </c>
      <c r="N4117">
        <v>-112546169</v>
      </c>
      <c r="O4117">
        <v>-58425328</v>
      </c>
      <c r="P4117">
        <v>246</v>
      </c>
      <c r="Q4117" t="s">
        <v>8281</v>
      </c>
    </row>
    <row r="4118" spans="1:17" x14ac:dyDescent="0.3">
      <c r="A4118" t="s">
        <v>32</v>
      </c>
      <c r="B4118" t="str">
        <f>"002734"</f>
        <v>002734</v>
      </c>
      <c r="C4118" t="s">
        <v>8282</v>
      </c>
      <c r="D4118" t="s">
        <v>144</v>
      </c>
      <c r="E4118">
        <v>-352589695</v>
      </c>
      <c r="F4118">
        <v>-621226670</v>
      </c>
      <c r="G4118">
        <v>-122927522</v>
      </c>
      <c r="H4118">
        <v>-187053163</v>
      </c>
      <c r="I4118">
        <v>-86081837</v>
      </c>
      <c r="J4118">
        <v>-142890410</v>
      </c>
      <c r="K4118">
        <v>-40351241</v>
      </c>
      <c r="L4118">
        <v>-112005209</v>
      </c>
      <c r="M4118">
        <v>-21532530</v>
      </c>
      <c r="P4118">
        <v>261</v>
      </c>
      <c r="Q4118" t="s">
        <v>8283</v>
      </c>
    </row>
    <row r="4119" spans="1:17" x14ac:dyDescent="0.3">
      <c r="A4119" t="s">
        <v>32</v>
      </c>
      <c r="B4119" t="str">
        <f>"300129"</f>
        <v>300129</v>
      </c>
      <c r="C4119" t="s">
        <v>8284</v>
      </c>
      <c r="D4119" t="s">
        <v>464</v>
      </c>
      <c r="E4119">
        <v>-352766693</v>
      </c>
      <c r="F4119">
        <v>-57203447</v>
      </c>
      <c r="G4119">
        <v>-4678513</v>
      </c>
      <c r="H4119">
        <v>-82675047</v>
      </c>
      <c r="I4119">
        <v>11896229</v>
      </c>
      <c r="J4119">
        <v>-113379855</v>
      </c>
      <c r="K4119">
        <v>-105442549</v>
      </c>
      <c r="L4119">
        <v>82997690</v>
      </c>
      <c r="M4119">
        <v>-8698689</v>
      </c>
      <c r="N4119">
        <v>-29835273</v>
      </c>
      <c r="O4119">
        <v>-115287159</v>
      </c>
      <c r="P4119">
        <v>183</v>
      </c>
      <c r="Q4119" t="s">
        <v>8285</v>
      </c>
    </row>
    <row r="4120" spans="1:17" x14ac:dyDescent="0.3">
      <c r="A4120" t="s">
        <v>32</v>
      </c>
      <c r="B4120" t="str">
        <f>"300715"</f>
        <v>300715</v>
      </c>
      <c r="C4120" t="s">
        <v>8286</v>
      </c>
      <c r="D4120" t="s">
        <v>400</v>
      </c>
      <c r="E4120">
        <v>-353178801</v>
      </c>
      <c r="F4120">
        <v>-339509789</v>
      </c>
      <c r="G4120">
        <v>-371666322</v>
      </c>
      <c r="H4120">
        <v>-225635919</v>
      </c>
      <c r="I4120">
        <v>-23613233</v>
      </c>
      <c r="J4120">
        <v>-6408735</v>
      </c>
      <c r="P4120">
        <v>413</v>
      </c>
      <c r="Q4120" t="s">
        <v>8287</v>
      </c>
    </row>
    <row r="4121" spans="1:17" x14ac:dyDescent="0.3">
      <c r="A4121" t="s">
        <v>32</v>
      </c>
      <c r="B4121" t="str">
        <f>"300170"</f>
        <v>300170</v>
      </c>
      <c r="C4121" t="s">
        <v>8288</v>
      </c>
      <c r="D4121" t="s">
        <v>342</v>
      </c>
      <c r="E4121">
        <v>-353366101</v>
      </c>
      <c r="F4121">
        <v>-220644397</v>
      </c>
      <c r="G4121">
        <v>-177810784</v>
      </c>
      <c r="H4121">
        <v>-340116840</v>
      </c>
      <c r="I4121">
        <v>-219406262</v>
      </c>
      <c r="J4121">
        <v>-300366974</v>
      </c>
      <c r="K4121">
        <v>-230445769</v>
      </c>
      <c r="L4121">
        <v>-116187487</v>
      </c>
      <c r="M4121">
        <v>-119883036</v>
      </c>
      <c r="N4121">
        <v>-26112398</v>
      </c>
      <c r="O4121">
        <v>-84717631</v>
      </c>
      <c r="P4121">
        <v>3198</v>
      </c>
      <c r="Q4121" t="s">
        <v>8289</v>
      </c>
    </row>
    <row r="4122" spans="1:17" x14ac:dyDescent="0.3">
      <c r="A4122" t="s">
        <v>32</v>
      </c>
      <c r="B4122" t="str">
        <f>"002163"</f>
        <v>002163</v>
      </c>
      <c r="C4122" t="s">
        <v>8290</v>
      </c>
      <c r="D4122" t="s">
        <v>400</v>
      </c>
      <c r="E4122">
        <v>-353449356</v>
      </c>
      <c r="F4122">
        <v>-184461215</v>
      </c>
      <c r="G4122">
        <v>-55885863</v>
      </c>
      <c r="H4122">
        <v>27077891</v>
      </c>
      <c r="I4122">
        <v>-39874083</v>
      </c>
      <c r="J4122">
        <v>72399036</v>
      </c>
      <c r="K4122">
        <v>-91780069</v>
      </c>
      <c r="L4122">
        <v>-184302795</v>
      </c>
      <c r="M4122">
        <v>-167658569</v>
      </c>
      <c r="N4122">
        <v>-235478434</v>
      </c>
      <c r="O4122">
        <v>-281789690</v>
      </c>
      <c r="P4122">
        <v>170</v>
      </c>
      <c r="Q4122" t="s">
        <v>8291</v>
      </c>
    </row>
    <row r="4123" spans="1:17" x14ac:dyDescent="0.3">
      <c r="A4123" t="s">
        <v>32</v>
      </c>
      <c r="B4123" t="str">
        <f>"002805"</f>
        <v>002805</v>
      </c>
      <c r="C4123" t="s">
        <v>8292</v>
      </c>
      <c r="D4123" t="s">
        <v>144</v>
      </c>
      <c r="E4123">
        <v>-353450429</v>
      </c>
      <c r="F4123">
        <v>-1682017</v>
      </c>
      <c r="G4123">
        <v>9987682</v>
      </c>
      <c r="H4123">
        <v>-33371383</v>
      </c>
      <c r="I4123">
        <v>-9132653</v>
      </c>
      <c r="J4123">
        <v>-34470408</v>
      </c>
      <c r="K4123">
        <v>7384928</v>
      </c>
      <c r="L4123">
        <v>-8985166</v>
      </c>
      <c r="P4123">
        <v>113</v>
      </c>
      <c r="Q4123" t="s">
        <v>8293</v>
      </c>
    </row>
    <row r="4124" spans="1:17" x14ac:dyDescent="0.3">
      <c r="A4124" t="s">
        <v>17</v>
      </c>
      <c r="B4124" t="str">
        <f>"603690"</f>
        <v>603690</v>
      </c>
      <c r="C4124" t="s">
        <v>8294</v>
      </c>
      <c r="D4124" t="s">
        <v>124</v>
      </c>
      <c r="E4124">
        <v>-354272765</v>
      </c>
      <c r="F4124">
        <v>-288330650</v>
      </c>
      <c r="G4124">
        <v>-218146965</v>
      </c>
      <c r="H4124">
        <v>-36987839</v>
      </c>
      <c r="I4124">
        <v>-42547131</v>
      </c>
      <c r="J4124">
        <v>-47560615</v>
      </c>
      <c r="K4124">
        <v>-11374037</v>
      </c>
      <c r="P4124">
        <v>450</v>
      </c>
      <c r="Q4124" t="s">
        <v>8295</v>
      </c>
    </row>
    <row r="4125" spans="1:17" x14ac:dyDescent="0.3">
      <c r="A4125" t="s">
        <v>32</v>
      </c>
      <c r="B4125" t="str">
        <f>"002049"</f>
        <v>002049</v>
      </c>
      <c r="C4125" t="s">
        <v>8296</v>
      </c>
      <c r="D4125" t="s">
        <v>124</v>
      </c>
      <c r="E4125">
        <v>-354475973</v>
      </c>
      <c r="F4125">
        <v>-247319195</v>
      </c>
      <c r="G4125">
        <v>-405620588</v>
      </c>
      <c r="H4125">
        <v>-406024742</v>
      </c>
      <c r="I4125">
        <v>-187746690</v>
      </c>
      <c r="J4125">
        <v>-38914734</v>
      </c>
      <c r="K4125">
        <v>-216526940</v>
      </c>
      <c r="L4125">
        <v>-52681316</v>
      </c>
      <c r="M4125">
        <v>-8402976</v>
      </c>
      <c r="N4125">
        <v>-12619356</v>
      </c>
      <c r="O4125">
        <v>-3976273</v>
      </c>
      <c r="P4125">
        <v>4605</v>
      </c>
      <c r="Q4125" t="s">
        <v>8297</v>
      </c>
    </row>
    <row r="4126" spans="1:17" x14ac:dyDescent="0.3">
      <c r="A4126" t="s">
        <v>17</v>
      </c>
      <c r="B4126" t="str">
        <f>"600022"</f>
        <v>600022</v>
      </c>
      <c r="C4126" t="s">
        <v>8298</v>
      </c>
      <c r="D4126" t="s">
        <v>163</v>
      </c>
      <c r="E4126">
        <v>-354929509</v>
      </c>
      <c r="F4126">
        <v>3321343749</v>
      </c>
      <c r="G4126">
        <v>-1274056998</v>
      </c>
      <c r="H4126">
        <v>-3260703861</v>
      </c>
      <c r="I4126">
        <v>-803668257</v>
      </c>
      <c r="J4126">
        <v>1476153556</v>
      </c>
      <c r="K4126">
        <v>-894715772</v>
      </c>
      <c r="L4126">
        <v>-847591685</v>
      </c>
      <c r="M4126">
        <v>466975500</v>
      </c>
      <c r="N4126">
        <v>-1575365268</v>
      </c>
      <c r="O4126">
        <v>49641421</v>
      </c>
      <c r="P4126">
        <v>233</v>
      </c>
      <c r="Q4126" t="s">
        <v>8299</v>
      </c>
    </row>
    <row r="4127" spans="1:17" x14ac:dyDescent="0.3">
      <c r="A4127" t="s">
        <v>32</v>
      </c>
      <c r="B4127" t="str">
        <f>"002441"</f>
        <v>002441</v>
      </c>
      <c r="C4127" t="s">
        <v>8300</v>
      </c>
      <c r="D4127" t="s">
        <v>464</v>
      </c>
      <c r="E4127">
        <v>-355002399</v>
      </c>
      <c r="F4127">
        <v>-390611144</v>
      </c>
      <c r="G4127">
        <v>232835732</v>
      </c>
      <c r="H4127">
        <v>-19846185</v>
      </c>
      <c r="I4127">
        <v>-126558810</v>
      </c>
      <c r="J4127">
        <v>-107282403</v>
      </c>
      <c r="K4127">
        <v>193699951</v>
      </c>
      <c r="L4127">
        <v>89177347</v>
      </c>
      <c r="M4127">
        <v>-125685874</v>
      </c>
      <c r="N4127">
        <v>-90778796</v>
      </c>
      <c r="O4127">
        <v>41462183</v>
      </c>
      <c r="P4127">
        <v>134</v>
      </c>
      <c r="Q4127" t="s">
        <v>8301</v>
      </c>
    </row>
    <row r="4128" spans="1:17" x14ac:dyDescent="0.3">
      <c r="A4128" t="s">
        <v>17</v>
      </c>
      <c r="B4128" t="str">
        <f>"600764"</f>
        <v>600764</v>
      </c>
      <c r="C4128" t="s">
        <v>8302</v>
      </c>
      <c r="D4128" t="s">
        <v>188</v>
      </c>
      <c r="E4128">
        <v>-355444445</v>
      </c>
      <c r="F4128">
        <v>172216860</v>
      </c>
      <c r="G4128">
        <v>-206432212</v>
      </c>
      <c r="H4128">
        <v>6611284</v>
      </c>
      <c r="I4128">
        <v>-50532045</v>
      </c>
      <c r="J4128">
        <v>-9411748</v>
      </c>
      <c r="K4128">
        <v>21943014</v>
      </c>
      <c r="L4128">
        <v>4427221</v>
      </c>
      <c r="M4128">
        <v>-42495192</v>
      </c>
      <c r="N4128">
        <v>-78136699</v>
      </c>
      <c r="O4128">
        <v>-81203788</v>
      </c>
      <c r="P4128">
        <v>233</v>
      </c>
      <c r="Q4128" t="s">
        <v>8303</v>
      </c>
    </row>
    <row r="4129" spans="1:17" x14ac:dyDescent="0.3">
      <c r="A4129" t="s">
        <v>32</v>
      </c>
      <c r="B4129" t="str">
        <f>"000821"</f>
        <v>000821</v>
      </c>
      <c r="C4129" t="s">
        <v>8304</v>
      </c>
      <c r="D4129" t="s">
        <v>135</v>
      </c>
      <c r="E4129">
        <v>-355750029</v>
      </c>
      <c r="F4129">
        <v>-165256808</v>
      </c>
      <c r="G4129">
        <v>-86904254</v>
      </c>
      <c r="H4129">
        <v>-153137758</v>
      </c>
      <c r="I4129">
        <v>-58902199</v>
      </c>
      <c r="J4129">
        <v>-4992567</v>
      </c>
      <c r="K4129">
        <v>-43078819</v>
      </c>
      <c r="L4129">
        <v>6505963</v>
      </c>
      <c r="M4129">
        <v>1077114</v>
      </c>
      <c r="N4129">
        <v>-9228740</v>
      </c>
      <c r="O4129">
        <v>-3504972</v>
      </c>
      <c r="P4129">
        <v>166</v>
      </c>
      <c r="Q4129" t="s">
        <v>8305</v>
      </c>
    </row>
    <row r="4130" spans="1:17" x14ac:dyDescent="0.3">
      <c r="A4130" t="s">
        <v>17</v>
      </c>
      <c r="B4130" t="str">
        <f>"600336"</f>
        <v>600336</v>
      </c>
      <c r="C4130" t="s">
        <v>8306</v>
      </c>
      <c r="D4130" t="s">
        <v>127</v>
      </c>
      <c r="E4130">
        <v>-356241790</v>
      </c>
      <c r="F4130">
        <v>94713674</v>
      </c>
      <c r="G4130">
        <v>103888740</v>
      </c>
      <c r="H4130">
        <v>303332038</v>
      </c>
      <c r="I4130">
        <v>-410142215</v>
      </c>
      <c r="J4130">
        <v>-72592631</v>
      </c>
      <c r="K4130">
        <v>-40187083</v>
      </c>
      <c r="L4130">
        <v>-36440800</v>
      </c>
      <c r="M4130">
        <v>-159823372</v>
      </c>
      <c r="N4130">
        <v>19864093</v>
      </c>
      <c r="O4130">
        <v>-76776117</v>
      </c>
      <c r="P4130">
        <v>223</v>
      </c>
      <c r="Q4130" t="s">
        <v>8307</v>
      </c>
    </row>
    <row r="4131" spans="1:17" x14ac:dyDescent="0.3">
      <c r="A4131" t="s">
        <v>17</v>
      </c>
      <c r="B4131" t="str">
        <f>"600830"</f>
        <v>600830</v>
      </c>
      <c r="C4131" t="s">
        <v>8308</v>
      </c>
      <c r="D4131" t="s">
        <v>26</v>
      </c>
      <c r="E4131">
        <v>-356455612</v>
      </c>
      <c r="F4131">
        <v>-270797657</v>
      </c>
      <c r="G4131">
        <v>18532913</v>
      </c>
      <c r="H4131">
        <v>142952620</v>
      </c>
      <c r="I4131">
        <v>-72065903</v>
      </c>
      <c r="J4131">
        <v>-232194037</v>
      </c>
      <c r="K4131">
        <v>-326787297</v>
      </c>
      <c r="L4131">
        <v>-94826020</v>
      </c>
      <c r="M4131">
        <v>-18155921</v>
      </c>
      <c r="N4131">
        <v>-93844563</v>
      </c>
      <c r="O4131">
        <v>-79093005</v>
      </c>
      <c r="P4131">
        <v>73</v>
      </c>
      <c r="Q4131" t="s">
        <v>8309</v>
      </c>
    </row>
    <row r="4132" spans="1:17" x14ac:dyDescent="0.3">
      <c r="A4132" t="s">
        <v>32</v>
      </c>
      <c r="B4132" t="str">
        <f>"000921"</f>
        <v>000921</v>
      </c>
      <c r="C4132" t="s">
        <v>8310</v>
      </c>
      <c r="D4132" t="s">
        <v>127</v>
      </c>
      <c r="E4132">
        <v>-356561500</v>
      </c>
      <c r="F4132">
        <v>-297185998</v>
      </c>
      <c r="G4132">
        <v>-40435337</v>
      </c>
      <c r="H4132">
        <v>136731150</v>
      </c>
      <c r="I4132">
        <v>-744183189</v>
      </c>
      <c r="J4132">
        <v>-360223778</v>
      </c>
      <c r="K4132">
        <v>-372459952</v>
      </c>
      <c r="L4132">
        <v>-246198171</v>
      </c>
      <c r="M4132">
        <v>-154056584</v>
      </c>
      <c r="N4132">
        <v>-92821015</v>
      </c>
      <c r="O4132">
        <v>-214623476</v>
      </c>
      <c r="P4132">
        <v>13182</v>
      </c>
      <c r="Q4132" t="s">
        <v>8311</v>
      </c>
    </row>
    <row r="4133" spans="1:17" x14ac:dyDescent="0.3">
      <c r="A4133" t="s">
        <v>32</v>
      </c>
      <c r="B4133" t="str">
        <f>"000779"</f>
        <v>000779</v>
      </c>
      <c r="C4133" t="s">
        <v>8312</v>
      </c>
      <c r="D4133" t="s">
        <v>645</v>
      </c>
      <c r="E4133">
        <v>-356572660</v>
      </c>
      <c r="F4133">
        <v>-482062809</v>
      </c>
      <c r="G4133">
        <v>-361027827</v>
      </c>
      <c r="H4133">
        <v>-297782967</v>
      </c>
      <c r="I4133">
        <v>32920195</v>
      </c>
      <c r="J4133">
        <v>14327638</v>
      </c>
      <c r="K4133">
        <v>-33791042</v>
      </c>
      <c r="L4133">
        <v>-14782046</v>
      </c>
      <c r="M4133">
        <v>-41166803</v>
      </c>
      <c r="N4133">
        <v>-7059200</v>
      </c>
      <c r="O4133">
        <v>-5748592</v>
      </c>
      <c r="P4133">
        <v>165</v>
      </c>
      <c r="Q4133" t="s">
        <v>8313</v>
      </c>
    </row>
    <row r="4134" spans="1:17" x14ac:dyDescent="0.3">
      <c r="A4134" t="s">
        <v>17</v>
      </c>
      <c r="B4134" t="str">
        <f>"688062"</f>
        <v>688062</v>
      </c>
      <c r="C4134" t="s">
        <v>8314</v>
      </c>
      <c r="D4134" t="s">
        <v>98</v>
      </c>
      <c r="E4134">
        <v>-357073866</v>
      </c>
      <c r="P4134">
        <v>14</v>
      </c>
      <c r="Q4134" t="s">
        <v>8315</v>
      </c>
    </row>
    <row r="4135" spans="1:17" x14ac:dyDescent="0.3">
      <c r="A4135" t="s">
        <v>32</v>
      </c>
      <c r="B4135" t="str">
        <f>"002133"</f>
        <v>002133</v>
      </c>
      <c r="C4135" t="s">
        <v>8316</v>
      </c>
      <c r="D4135" t="s">
        <v>151</v>
      </c>
      <c r="E4135">
        <v>-357507140</v>
      </c>
      <c r="F4135">
        <v>350482824</v>
      </c>
      <c r="G4135">
        <v>554022379</v>
      </c>
      <c r="H4135">
        <v>-106051712</v>
      </c>
      <c r="I4135">
        <v>-157646324</v>
      </c>
      <c r="J4135">
        <v>451283730</v>
      </c>
      <c r="K4135">
        <v>108399370</v>
      </c>
      <c r="L4135">
        <v>-17882780</v>
      </c>
      <c r="M4135">
        <v>-50175331</v>
      </c>
      <c r="N4135">
        <v>26522721</v>
      </c>
      <c r="O4135">
        <v>-53089574</v>
      </c>
      <c r="P4135">
        <v>132</v>
      </c>
      <c r="Q4135" t="s">
        <v>8317</v>
      </c>
    </row>
    <row r="4136" spans="1:17" x14ac:dyDescent="0.3">
      <c r="A4136" t="s">
        <v>32</v>
      </c>
      <c r="B4136" t="str">
        <f>"300671"</f>
        <v>300671</v>
      </c>
      <c r="C4136" t="s">
        <v>8318</v>
      </c>
      <c r="D4136" t="s">
        <v>124</v>
      </c>
      <c r="E4136">
        <v>-357523028</v>
      </c>
      <c r="F4136">
        <v>-49048225</v>
      </c>
      <c r="G4136">
        <v>-21672771</v>
      </c>
      <c r="H4136">
        <v>-50184656</v>
      </c>
      <c r="I4136">
        <v>-50609536</v>
      </c>
      <c r="J4136">
        <v>-5926817</v>
      </c>
      <c r="K4136">
        <v>6045071</v>
      </c>
      <c r="P4136">
        <v>301</v>
      </c>
      <c r="Q4136" t="s">
        <v>8319</v>
      </c>
    </row>
    <row r="4137" spans="1:17" x14ac:dyDescent="0.3">
      <c r="A4137" t="s">
        <v>17</v>
      </c>
      <c r="B4137" t="str">
        <f>"688707"</f>
        <v>688707</v>
      </c>
      <c r="C4137" t="s">
        <v>8320</v>
      </c>
      <c r="D4137" t="s">
        <v>464</v>
      </c>
      <c r="E4137">
        <v>-357669323</v>
      </c>
      <c r="F4137">
        <v>-6807008</v>
      </c>
      <c r="P4137">
        <v>31</v>
      </c>
      <c r="Q4137" t="s">
        <v>8321</v>
      </c>
    </row>
    <row r="4138" spans="1:17" x14ac:dyDescent="0.3">
      <c r="A4138" t="s">
        <v>17</v>
      </c>
      <c r="B4138" t="str">
        <f>"601958"</f>
        <v>601958</v>
      </c>
      <c r="C4138" t="s">
        <v>8322</v>
      </c>
      <c r="D4138" t="s">
        <v>121</v>
      </c>
      <c r="E4138">
        <v>-357873144</v>
      </c>
      <c r="F4138">
        <v>-276695316</v>
      </c>
      <c r="G4138">
        <v>-310271788</v>
      </c>
      <c r="H4138">
        <v>-41191353</v>
      </c>
      <c r="I4138">
        <v>-622710159</v>
      </c>
      <c r="J4138">
        <v>-198661511</v>
      </c>
      <c r="K4138">
        <v>-163624161</v>
      </c>
      <c r="L4138">
        <v>-219125015</v>
      </c>
      <c r="M4138">
        <v>-229283774</v>
      </c>
      <c r="N4138">
        <v>-35500596</v>
      </c>
      <c r="O4138">
        <v>281888773</v>
      </c>
      <c r="P4138">
        <v>244</v>
      </c>
      <c r="Q4138" t="s">
        <v>8323</v>
      </c>
    </row>
    <row r="4139" spans="1:17" x14ac:dyDescent="0.3">
      <c r="A4139" t="s">
        <v>32</v>
      </c>
      <c r="B4139" t="str">
        <f>"002391"</f>
        <v>002391</v>
      </c>
      <c r="C4139" t="s">
        <v>8324</v>
      </c>
      <c r="D4139" t="s">
        <v>144</v>
      </c>
      <c r="E4139">
        <v>-358110807</v>
      </c>
      <c r="F4139">
        <v>-417243281</v>
      </c>
      <c r="G4139">
        <v>-76695027</v>
      </c>
      <c r="H4139">
        <v>-53092951</v>
      </c>
      <c r="I4139">
        <v>-105416743</v>
      </c>
      <c r="J4139">
        <v>-87991962</v>
      </c>
      <c r="K4139">
        <v>-57937771</v>
      </c>
      <c r="L4139">
        <v>11078157</v>
      </c>
      <c r="M4139">
        <v>-139669511</v>
      </c>
      <c r="N4139">
        <v>-115737920</v>
      </c>
      <c r="O4139">
        <v>-58598385</v>
      </c>
      <c r="P4139">
        <v>192</v>
      </c>
      <c r="Q4139" t="s">
        <v>8325</v>
      </c>
    </row>
    <row r="4140" spans="1:17" x14ac:dyDescent="0.3">
      <c r="A4140" t="s">
        <v>17</v>
      </c>
      <c r="B4140" t="str">
        <f>"688388"</f>
        <v>688388</v>
      </c>
      <c r="C4140" t="s">
        <v>8326</v>
      </c>
      <c r="D4140" t="s">
        <v>121</v>
      </c>
      <c r="E4140">
        <v>-358902334</v>
      </c>
      <c r="F4140">
        <v>-154320758</v>
      </c>
      <c r="G4140">
        <v>-31557683</v>
      </c>
      <c r="H4140">
        <v>125757465</v>
      </c>
      <c r="I4140">
        <v>-1178300</v>
      </c>
      <c r="J4140">
        <v>-7277080</v>
      </c>
      <c r="P4140">
        <v>287</v>
      </c>
      <c r="Q4140" t="s">
        <v>8327</v>
      </c>
    </row>
    <row r="4141" spans="1:17" x14ac:dyDescent="0.3">
      <c r="A4141" t="s">
        <v>32</v>
      </c>
      <c r="B4141" t="str">
        <f>"000738"</f>
        <v>000738</v>
      </c>
      <c r="C4141" t="s">
        <v>8328</v>
      </c>
      <c r="D4141" t="s">
        <v>188</v>
      </c>
      <c r="E4141">
        <v>-358949992</v>
      </c>
      <c r="F4141">
        <v>-299719798</v>
      </c>
      <c r="G4141">
        <v>-229069771</v>
      </c>
      <c r="H4141">
        <v>-330527782</v>
      </c>
      <c r="I4141">
        <v>-373615282</v>
      </c>
      <c r="J4141">
        <v>-251450523</v>
      </c>
      <c r="K4141">
        <v>-193542322</v>
      </c>
      <c r="L4141">
        <v>-204042948</v>
      </c>
      <c r="M4141">
        <v>-294230239</v>
      </c>
      <c r="N4141">
        <v>-86493602</v>
      </c>
      <c r="O4141">
        <v>-109101640</v>
      </c>
      <c r="P4141">
        <v>326</v>
      </c>
      <c r="Q4141" t="s">
        <v>8329</v>
      </c>
    </row>
    <row r="4142" spans="1:17" x14ac:dyDescent="0.3">
      <c r="A4142" t="s">
        <v>17</v>
      </c>
      <c r="B4142" t="str">
        <f>"605008"</f>
        <v>605008</v>
      </c>
      <c r="C4142" t="s">
        <v>8330</v>
      </c>
      <c r="D4142" t="s">
        <v>144</v>
      </c>
      <c r="E4142">
        <v>-359203270</v>
      </c>
      <c r="F4142">
        <v>-248769781</v>
      </c>
      <c r="G4142">
        <v>-151228903</v>
      </c>
      <c r="P4142">
        <v>66</v>
      </c>
      <c r="Q4142" t="s">
        <v>8331</v>
      </c>
    </row>
    <row r="4143" spans="1:17" x14ac:dyDescent="0.3">
      <c r="A4143" t="s">
        <v>32</v>
      </c>
      <c r="B4143" t="str">
        <f>"003013"</f>
        <v>003013</v>
      </c>
      <c r="C4143" t="s">
        <v>8332</v>
      </c>
      <c r="D4143" t="s">
        <v>645</v>
      </c>
      <c r="E4143">
        <v>-359387345</v>
      </c>
      <c r="F4143">
        <v>-408385670</v>
      </c>
      <c r="G4143">
        <v>-363267832</v>
      </c>
      <c r="P4143">
        <v>101</v>
      </c>
      <c r="Q4143" t="s">
        <v>8333</v>
      </c>
    </row>
    <row r="4144" spans="1:17" x14ac:dyDescent="0.3">
      <c r="A4144" t="s">
        <v>17</v>
      </c>
      <c r="B4144" t="str">
        <f>"600988"</f>
        <v>600988</v>
      </c>
      <c r="C4144" t="s">
        <v>8334</v>
      </c>
      <c r="D4144" t="s">
        <v>121</v>
      </c>
      <c r="E4144">
        <v>-359784946</v>
      </c>
      <c r="F4144">
        <v>-253984098</v>
      </c>
      <c r="G4144">
        <v>190933295</v>
      </c>
      <c r="H4144">
        <v>470244452</v>
      </c>
      <c r="I4144">
        <v>464642749</v>
      </c>
      <c r="J4144">
        <v>-335140927</v>
      </c>
      <c r="K4144">
        <v>-253882096</v>
      </c>
      <c r="L4144">
        <v>-195782540</v>
      </c>
      <c r="M4144">
        <v>-105804031</v>
      </c>
      <c r="N4144">
        <v>13435054</v>
      </c>
      <c r="O4144">
        <v>1600078</v>
      </c>
      <c r="P4144">
        <v>487</v>
      </c>
      <c r="Q4144" t="s">
        <v>8335</v>
      </c>
    </row>
    <row r="4145" spans="1:17" x14ac:dyDescent="0.3">
      <c r="A4145" t="s">
        <v>32</v>
      </c>
      <c r="B4145" t="str">
        <f>"000966"</f>
        <v>000966</v>
      </c>
      <c r="C4145" t="s">
        <v>8336</v>
      </c>
      <c r="D4145" t="s">
        <v>158</v>
      </c>
      <c r="E4145">
        <v>-360173467</v>
      </c>
      <c r="F4145">
        <v>132855446</v>
      </c>
      <c r="G4145">
        <v>238463597</v>
      </c>
      <c r="H4145">
        <v>299539841</v>
      </c>
      <c r="I4145">
        <v>6709653</v>
      </c>
      <c r="J4145">
        <v>154022546</v>
      </c>
      <c r="K4145">
        <v>720450796</v>
      </c>
      <c r="L4145">
        <v>534865484</v>
      </c>
      <c r="M4145">
        <v>665571777</v>
      </c>
      <c r="N4145">
        <v>630386612</v>
      </c>
      <c r="O4145">
        <v>293540801</v>
      </c>
      <c r="P4145">
        <v>398</v>
      </c>
      <c r="Q4145" t="s">
        <v>8337</v>
      </c>
    </row>
    <row r="4146" spans="1:17" x14ac:dyDescent="0.3">
      <c r="A4146" t="s">
        <v>17</v>
      </c>
      <c r="B4146" t="str">
        <f>"600162"</f>
        <v>600162</v>
      </c>
      <c r="C4146" t="s">
        <v>8338</v>
      </c>
      <c r="D4146" t="s">
        <v>151</v>
      </c>
      <c r="E4146">
        <v>-360709037</v>
      </c>
      <c r="F4146">
        <v>-652551212</v>
      </c>
      <c r="G4146">
        <v>-8812555</v>
      </c>
      <c r="H4146">
        <v>994302248</v>
      </c>
      <c r="I4146">
        <v>-152097544</v>
      </c>
      <c r="J4146">
        <v>378026177</v>
      </c>
      <c r="K4146">
        <v>527885277</v>
      </c>
      <c r="L4146">
        <v>217350718</v>
      </c>
      <c r="M4146">
        <v>-59044675</v>
      </c>
      <c r="N4146">
        <v>104732296</v>
      </c>
      <c r="O4146">
        <v>301928522</v>
      </c>
      <c r="P4146">
        <v>170</v>
      </c>
      <c r="Q4146" t="s">
        <v>8339</v>
      </c>
    </row>
    <row r="4147" spans="1:17" x14ac:dyDescent="0.3">
      <c r="A4147" t="s">
        <v>17</v>
      </c>
      <c r="B4147" t="str">
        <f>"601512"</f>
        <v>601512</v>
      </c>
      <c r="C4147" t="s">
        <v>8340</v>
      </c>
      <c r="D4147" t="s">
        <v>151</v>
      </c>
      <c r="E4147">
        <v>-361414339</v>
      </c>
      <c r="F4147">
        <v>18938502</v>
      </c>
      <c r="G4147">
        <v>-660340655</v>
      </c>
      <c r="H4147">
        <v>-412375171</v>
      </c>
      <c r="P4147">
        <v>103</v>
      </c>
      <c r="Q4147" t="s">
        <v>8341</v>
      </c>
    </row>
    <row r="4148" spans="1:17" x14ac:dyDescent="0.3">
      <c r="A4148" t="s">
        <v>32</v>
      </c>
      <c r="B4148" t="str">
        <f>"000619"</f>
        <v>000619</v>
      </c>
      <c r="C4148" t="s">
        <v>8342</v>
      </c>
      <c r="D4148" t="s">
        <v>400</v>
      </c>
      <c r="E4148">
        <v>-361428438</v>
      </c>
      <c r="F4148">
        <v>-36206904</v>
      </c>
      <c r="G4148">
        <v>-184727386</v>
      </c>
      <c r="H4148">
        <v>-175402341</v>
      </c>
      <c r="I4148">
        <v>-97271733</v>
      </c>
      <c r="J4148">
        <v>-124619926</v>
      </c>
      <c r="K4148">
        <v>-10292208</v>
      </c>
      <c r="L4148">
        <v>164060031</v>
      </c>
      <c r="M4148">
        <v>-53737544</v>
      </c>
      <c r="N4148">
        <v>31864781</v>
      </c>
      <c r="O4148">
        <v>-106780196</v>
      </c>
      <c r="P4148">
        <v>98</v>
      </c>
      <c r="Q4148" t="s">
        <v>8343</v>
      </c>
    </row>
    <row r="4149" spans="1:17" x14ac:dyDescent="0.3">
      <c r="A4149" t="s">
        <v>32</v>
      </c>
      <c r="B4149" t="str">
        <f>"200028"</f>
        <v>200028</v>
      </c>
      <c r="C4149" t="s">
        <v>8344</v>
      </c>
      <c r="E4149">
        <v>-362044241.02999997</v>
      </c>
      <c r="F4149">
        <v>-436349104.41600001</v>
      </c>
      <c r="G4149">
        <v>-806968951.15740001</v>
      </c>
      <c r="H4149">
        <v>-948955866.41429996</v>
      </c>
      <c r="I4149">
        <v>-1137732807.4085</v>
      </c>
      <c r="J4149">
        <v>-608897202.73440003</v>
      </c>
      <c r="K4149">
        <v>-156326009.91</v>
      </c>
      <c r="L4149">
        <v>166025262.5</v>
      </c>
      <c r="M4149">
        <v>-588113307.66639996</v>
      </c>
      <c r="N4149">
        <v>116050218.9936</v>
      </c>
      <c r="O4149">
        <v>-390370905.92699999</v>
      </c>
      <c r="P4149">
        <v>209</v>
      </c>
      <c r="Q4149" t="s">
        <v>8345</v>
      </c>
    </row>
    <row r="4150" spans="1:17" x14ac:dyDescent="0.3">
      <c r="A4150" t="s">
        <v>32</v>
      </c>
      <c r="B4150" t="str">
        <f>"300208"</f>
        <v>300208</v>
      </c>
      <c r="C4150" t="s">
        <v>8346</v>
      </c>
      <c r="D4150" t="s">
        <v>345</v>
      </c>
      <c r="E4150">
        <v>-363565665</v>
      </c>
      <c r="F4150">
        <v>57774815</v>
      </c>
      <c r="G4150">
        <v>140233974</v>
      </c>
      <c r="H4150">
        <v>-286276504</v>
      </c>
      <c r="I4150">
        <v>-194585068</v>
      </c>
      <c r="J4150">
        <v>-43149225</v>
      </c>
      <c r="K4150">
        <v>-75752378</v>
      </c>
      <c r="L4150">
        <v>12156432</v>
      </c>
      <c r="M4150">
        <v>-6450753</v>
      </c>
      <c r="N4150">
        <v>12611441</v>
      </c>
      <c r="O4150">
        <v>15824935</v>
      </c>
      <c r="P4150">
        <v>144</v>
      </c>
      <c r="Q4150" t="s">
        <v>8347</v>
      </c>
    </row>
    <row r="4151" spans="1:17" x14ac:dyDescent="0.3">
      <c r="A4151" t="s">
        <v>17</v>
      </c>
      <c r="B4151" t="str">
        <f>"688368"</f>
        <v>688368</v>
      </c>
      <c r="C4151" t="s">
        <v>8348</v>
      </c>
      <c r="D4151" t="s">
        <v>124</v>
      </c>
      <c r="E4151">
        <v>-364576786</v>
      </c>
      <c r="F4151">
        <v>15616368</v>
      </c>
      <c r="G4151">
        <v>-45353124</v>
      </c>
      <c r="H4151">
        <v>5200629</v>
      </c>
      <c r="I4151">
        <v>-12085800</v>
      </c>
      <c r="J4151">
        <v>-20832796</v>
      </c>
      <c r="P4151">
        <v>212</v>
      </c>
      <c r="Q4151" t="s">
        <v>8349</v>
      </c>
    </row>
    <row r="4152" spans="1:17" x14ac:dyDescent="0.3">
      <c r="A4152" t="s">
        <v>17</v>
      </c>
      <c r="B4152" t="str">
        <f>"600525"</f>
        <v>600525</v>
      </c>
      <c r="C4152" t="s">
        <v>8350</v>
      </c>
      <c r="D4152" t="s">
        <v>464</v>
      </c>
      <c r="E4152">
        <v>-366281478</v>
      </c>
      <c r="F4152">
        <v>-35953923</v>
      </c>
      <c r="G4152">
        <v>-149153539</v>
      </c>
      <c r="H4152">
        <v>31660486</v>
      </c>
      <c r="I4152">
        <v>-418314629</v>
      </c>
      <c r="J4152">
        <v>-432588662</v>
      </c>
      <c r="K4152">
        <v>-205257680</v>
      </c>
      <c r="L4152">
        <v>-155408742</v>
      </c>
      <c r="M4152">
        <v>-131555058</v>
      </c>
      <c r="N4152">
        <v>-128581922</v>
      </c>
      <c r="O4152">
        <v>-71634948</v>
      </c>
      <c r="P4152">
        <v>254</v>
      </c>
      <c r="Q4152" t="s">
        <v>8351</v>
      </c>
    </row>
    <row r="4153" spans="1:17" x14ac:dyDescent="0.3">
      <c r="A4153" t="s">
        <v>32</v>
      </c>
      <c r="B4153" t="str">
        <f>"300373"</f>
        <v>300373</v>
      </c>
      <c r="C4153" t="s">
        <v>8352</v>
      </c>
      <c r="D4153" t="s">
        <v>124</v>
      </c>
      <c r="E4153">
        <v>-367413268</v>
      </c>
      <c r="F4153">
        <v>-157554832</v>
      </c>
      <c r="G4153">
        <v>94097688</v>
      </c>
      <c r="H4153">
        <v>24991099</v>
      </c>
      <c r="I4153">
        <v>-14789286</v>
      </c>
      <c r="J4153">
        <v>3328990</v>
      </c>
      <c r="K4153">
        <v>-4482785</v>
      </c>
      <c r="L4153">
        <v>-13884261</v>
      </c>
      <c r="M4153">
        <v>-23499925</v>
      </c>
      <c r="N4153">
        <v>-13665443</v>
      </c>
      <c r="P4153">
        <v>4305</v>
      </c>
      <c r="Q4153" t="s">
        <v>8353</v>
      </c>
    </row>
    <row r="4154" spans="1:17" x14ac:dyDescent="0.3">
      <c r="A4154" t="s">
        <v>17</v>
      </c>
      <c r="B4154" t="str">
        <f>"603970"</f>
        <v>603970</v>
      </c>
      <c r="C4154" t="s">
        <v>8354</v>
      </c>
      <c r="D4154" t="s">
        <v>144</v>
      </c>
      <c r="E4154">
        <v>-368088979</v>
      </c>
      <c r="F4154">
        <v>-241156650</v>
      </c>
      <c r="G4154">
        <v>-188831396</v>
      </c>
      <c r="H4154">
        <v>-94911488</v>
      </c>
      <c r="I4154">
        <v>-156972165</v>
      </c>
      <c r="J4154">
        <v>69851889</v>
      </c>
      <c r="P4154">
        <v>89</v>
      </c>
      <c r="Q4154" t="s">
        <v>8355</v>
      </c>
    </row>
    <row r="4155" spans="1:17" x14ac:dyDescent="0.3">
      <c r="A4155" t="s">
        <v>17</v>
      </c>
      <c r="B4155" t="str">
        <f>"601258"</f>
        <v>601258</v>
      </c>
      <c r="C4155" t="s">
        <v>8356</v>
      </c>
      <c r="D4155" t="s">
        <v>199</v>
      </c>
      <c r="E4155">
        <v>-368853065</v>
      </c>
      <c r="F4155">
        <v>-81656771</v>
      </c>
      <c r="G4155">
        <v>-311586497</v>
      </c>
      <c r="H4155">
        <v>-1507920218</v>
      </c>
      <c r="I4155">
        <v>-3210776340</v>
      </c>
      <c r="J4155">
        <v>-5151174732</v>
      </c>
      <c r="K4155">
        <v>-1481748176</v>
      </c>
      <c r="L4155">
        <v>-1040042742</v>
      </c>
      <c r="M4155">
        <v>2281157681</v>
      </c>
      <c r="N4155">
        <v>6007724658</v>
      </c>
      <c r="O4155">
        <v>-1496197933</v>
      </c>
      <c r="P4155">
        <v>133</v>
      </c>
      <c r="Q4155" t="s">
        <v>8357</v>
      </c>
    </row>
    <row r="4156" spans="1:17" x14ac:dyDescent="0.3">
      <c r="A4156" t="s">
        <v>17</v>
      </c>
      <c r="B4156" t="str">
        <f>"688676"</f>
        <v>688676</v>
      </c>
      <c r="C4156" t="s">
        <v>8358</v>
      </c>
      <c r="D4156" t="s">
        <v>464</v>
      </c>
      <c r="E4156">
        <v>-369524975</v>
      </c>
      <c r="F4156">
        <v>-167199097</v>
      </c>
      <c r="G4156">
        <v>-135386673</v>
      </c>
      <c r="P4156">
        <v>43</v>
      </c>
      <c r="Q4156" t="s">
        <v>8359</v>
      </c>
    </row>
    <row r="4157" spans="1:17" x14ac:dyDescent="0.3">
      <c r="A4157" t="s">
        <v>17</v>
      </c>
      <c r="B4157" t="str">
        <f>"600422"</f>
        <v>600422</v>
      </c>
      <c r="C4157" t="s">
        <v>8360</v>
      </c>
      <c r="D4157" t="s">
        <v>98</v>
      </c>
      <c r="E4157">
        <v>-369632103</v>
      </c>
      <c r="F4157">
        <v>-321416932</v>
      </c>
      <c r="G4157">
        <v>8568389</v>
      </c>
      <c r="H4157">
        <v>-200851144</v>
      </c>
      <c r="I4157">
        <v>-212298944</v>
      </c>
      <c r="J4157">
        <v>-129120952</v>
      </c>
      <c r="K4157">
        <v>-3681904</v>
      </c>
      <c r="L4157">
        <v>4033407</v>
      </c>
      <c r="M4157">
        <v>-59430171</v>
      </c>
      <c r="N4157">
        <v>-122729427</v>
      </c>
      <c r="O4157">
        <v>5858077</v>
      </c>
      <c r="P4157">
        <v>452</v>
      </c>
      <c r="Q4157" t="s">
        <v>8361</v>
      </c>
    </row>
    <row r="4158" spans="1:17" x14ac:dyDescent="0.3">
      <c r="A4158" t="s">
        <v>17</v>
      </c>
      <c r="B4158" t="str">
        <f>"688166"</f>
        <v>688166</v>
      </c>
      <c r="C4158" t="s">
        <v>8362</v>
      </c>
      <c r="D4158" t="s">
        <v>98</v>
      </c>
      <c r="E4158">
        <v>-370995146</v>
      </c>
      <c r="F4158">
        <v>-284047702</v>
      </c>
      <c r="G4158">
        <v>-45108305</v>
      </c>
      <c r="H4158">
        <v>-34534443</v>
      </c>
      <c r="P4158">
        <v>191</v>
      </c>
      <c r="Q4158" t="s">
        <v>8363</v>
      </c>
    </row>
    <row r="4159" spans="1:17" x14ac:dyDescent="0.3">
      <c r="A4159" t="s">
        <v>32</v>
      </c>
      <c r="B4159" t="str">
        <f>"001201"</f>
        <v>001201</v>
      </c>
      <c r="C4159" t="s">
        <v>8364</v>
      </c>
      <c r="D4159" t="s">
        <v>175</v>
      </c>
      <c r="E4159">
        <v>-372323268</v>
      </c>
      <c r="P4159">
        <v>61</v>
      </c>
      <c r="Q4159" t="s">
        <v>8365</v>
      </c>
    </row>
    <row r="4160" spans="1:17" x14ac:dyDescent="0.3">
      <c r="A4160" t="s">
        <v>17</v>
      </c>
      <c r="B4160" t="str">
        <f>"600337"</f>
        <v>600337</v>
      </c>
      <c r="C4160" t="s">
        <v>8366</v>
      </c>
      <c r="D4160" t="s">
        <v>455</v>
      </c>
      <c r="E4160">
        <v>-372499055</v>
      </c>
      <c r="F4160">
        <v>-6840279</v>
      </c>
      <c r="G4160">
        <v>-154311740</v>
      </c>
      <c r="H4160">
        <v>-461433315</v>
      </c>
      <c r="I4160">
        <v>-309759536</v>
      </c>
      <c r="J4160">
        <v>60891011</v>
      </c>
      <c r="K4160">
        <v>-47951083</v>
      </c>
      <c r="L4160">
        <v>-25972540</v>
      </c>
      <c r="M4160">
        <v>-107505757</v>
      </c>
      <c r="N4160">
        <v>-139549069</v>
      </c>
      <c r="O4160">
        <v>-251307473</v>
      </c>
      <c r="P4160">
        <v>226</v>
      </c>
      <c r="Q4160" t="s">
        <v>8367</v>
      </c>
    </row>
    <row r="4161" spans="1:17" x14ac:dyDescent="0.3">
      <c r="A4161" t="s">
        <v>17</v>
      </c>
      <c r="B4161" t="str">
        <f>"600195"</f>
        <v>600195</v>
      </c>
      <c r="C4161" t="s">
        <v>8368</v>
      </c>
      <c r="D4161" t="s">
        <v>175</v>
      </c>
      <c r="E4161">
        <v>-373524343</v>
      </c>
      <c r="F4161">
        <v>-355254839</v>
      </c>
      <c r="G4161">
        <v>4704036</v>
      </c>
      <c r="H4161">
        <v>-330014461</v>
      </c>
      <c r="I4161">
        <v>-212348727</v>
      </c>
      <c r="J4161">
        <v>-311086895</v>
      </c>
      <c r="K4161">
        <v>-334003090</v>
      </c>
      <c r="L4161">
        <v>-73954860</v>
      </c>
      <c r="M4161">
        <v>-333583218</v>
      </c>
      <c r="N4161">
        <v>-181302058</v>
      </c>
      <c r="O4161">
        <v>-296916412</v>
      </c>
      <c r="P4161">
        <v>371</v>
      </c>
      <c r="Q4161" t="s">
        <v>8369</v>
      </c>
    </row>
    <row r="4162" spans="1:17" x14ac:dyDescent="0.3">
      <c r="A4162" t="s">
        <v>32</v>
      </c>
      <c r="B4162" t="str">
        <f>"002482"</f>
        <v>002482</v>
      </c>
      <c r="C4162" t="s">
        <v>8370</v>
      </c>
      <c r="D4162" t="s">
        <v>645</v>
      </c>
      <c r="E4162">
        <v>-376624052</v>
      </c>
      <c r="F4162">
        <v>436938333</v>
      </c>
      <c r="G4162">
        <v>204253557</v>
      </c>
      <c r="H4162">
        <v>-1200064187</v>
      </c>
      <c r="I4162">
        <v>-757550376</v>
      </c>
      <c r="J4162">
        <v>-462247533</v>
      </c>
      <c r="K4162">
        <v>-620578558</v>
      </c>
      <c r="L4162">
        <v>-1029819069</v>
      </c>
      <c r="M4162">
        <v>-666271076</v>
      </c>
      <c r="N4162">
        <v>1937623</v>
      </c>
      <c r="O4162">
        <v>-44982344</v>
      </c>
      <c r="P4162">
        <v>112</v>
      </c>
      <c r="Q4162" t="s">
        <v>8371</v>
      </c>
    </row>
    <row r="4163" spans="1:17" x14ac:dyDescent="0.3">
      <c r="A4163" t="s">
        <v>32</v>
      </c>
      <c r="B4163" t="str">
        <f>"002960"</f>
        <v>002960</v>
      </c>
      <c r="C4163" t="s">
        <v>8372</v>
      </c>
      <c r="D4163" t="s">
        <v>135</v>
      </c>
      <c r="E4163">
        <v>-377264504</v>
      </c>
      <c r="F4163">
        <v>-297128391</v>
      </c>
      <c r="G4163">
        <v>-219388225</v>
      </c>
      <c r="H4163">
        <v>-215610587</v>
      </c>
      <c r="I4163">
        <v>-166773000</v>
      </c>
      <c r="P4163">
        <v>390</v>
      </c>
      <c r="Q4163" t="s">
        <v>8373</v>
      </c>
    </row>
    <row r="4164" spans="1:17" x14ac:dyDescent="0.3">
      <c r="A4164" t="s">
        <v>17</v>
      </c>
      <c r="B4164" t="str">
        <f>"601162"</f>
        <v>601162</v>
      </c>
      <c r="C4164" t="s">
        <v>8374</v>
      </c>
      <c r="D4164" t="s">
        <v>26</v>
      </c>
      <c r="E4164">
        <v>-381279514</v>
      </c>
      <c r="F4164">
        <v>3069439028</v>
      </c>
      <c r="G4164">
        <v>2870660969</v>
      </c>
      <c r="H4164">
        <v>-648692050</v>
      </c>
      <c r="I4164">
        <v>-567500430</v>
      </c>
      <c r="K4164">
        <v>-1952408377</v>
      </c>
      <c r="L4164">
        <v>-25042548</v>
      </c>
      <c r="M4164">
        <v>-5345730</v>
      </c>
      <c r="P4164">
        <v>897</v>
      </c>
      <c r="Q4164" t="s">
        <v>8375</v>
      </c>
    </row>
    <row r="4165" spans="1:17" x14ac:dyDescent="0.3">
      <c r="A4165" t="s">
        <v>17</v>
      </c>
      <c r="B4165" t="str">
        <f>"601208"</f>
        <v>601208</v>
      </c>
      <c r="C4165" t="s">
        <v>8376</v>
      </c>
      <c r="D4165" t="s">
        <v>144</v>
      </c>
      <c r="E4165">
        <v>-381403366</v>
      </c>
      <c r="F4165">
        <v>-32473106</v>
      </c>
      <c r="G4165">
        <v>-65757294</v>
      </c>
      <c r="H4165">
        <v>-56249620</v>
      </c>
      <c r="I4165">
        <v>-21779878</v>
      </c>
      <c r="J4165">
        <v>-46990550</v>
      </c>
      <c r="K4165">
        <v>3154917</v>
      </c>
      <c r="L4165">
        <v>-53735912</v>
      </c>
      <c r="M4165">
        <v>-43017730</v>
      </c>
      <c r="N4165">
        <v>-181493480</v>
      </c>
      <c r="O4165">
        <v>36712471</v>
      </c>
      <c r="P4165">
        <v>3075</v>
      </c>
      <c r="Q4165" t="s">
        <v>8377</v>
      </c>
    </row>
    <row r="4166" spans="1:17" x14ac:dyDescent="0.3">
      <c r="A4166" t="s">
        <v>17</v>
      </c>
      <c r="B4166" t="str">
        <f>"688772"</f>
        <v>688772</v>
      </c>
      <c r="C4166" t="s">
        <v>8378</v>
      </c>
      <c r="D4166" t="s">
        <v>464</v>
      </c>
      <c r="E4166">
        <v>-381465218</v>
      </c>
      <c r="P4166">
        <v>33</v>
      </c>
      <c r="Q4166" t="s">
        <v>8379</v>
      </c>
    </row>
    <row r="4167" spans="1:17" x14ac:dyDescent="0.3">
      <c r="A4167" t="s">
        <v>17</v>
      </c>
      <c r="B4167" t="str">
        <f>"600223"</f>
        <v>600223</v>
      </c>
      <c r="C4167" t="s">
        <v>8380</v>
      </c>
      <c r="D4167" t="s">
        <v>151</v>
      </c>
      <c r="E4167">
        <v>-383800745</v>
      </c>
      <c r="F4167">
        <v>212778265</v>
      </c>
      <c r="G4167">
        <v>-1039311317</v>
      </c>
      <c r="H4167">
        <v>424066035</v>
      </c>
      <c r="I4167">
        <v>-727032241</v>
      </c>
      <c r="J4167">
        <v>576757706</v>
      </c>
      <c r="K4167">
        <v>-755152088</v>
      </c>
      <c r="L4167">
        <v>-830782588</v>
      </c>
      <c r="M4167">
        <v>-2150422182</v>
      </c>
      <c r="N4167">
        <v>-881392759</v>
      </c>
      <c r="O4167">
        <v>-170645441</v>
      </c>
      <c r="P4167">
        <v>361</v>
      </c>
      <c r="Q4167" t="s">
        <v>8381</v>
      </c>
    </row>
    <row r="4168" spans="1:17" x14ac:dyDescent="0.3">
      <c r="A4168" t="s">
        <v>32</v>
      </c>
      <c r="B4168" t="str">
        <f>"300763"</f>
        <v>300763</v>
      </c>
      <c r="C4168" t="s">
        <v>8382</v>
      </c>
      <c r="D4168" t="s">
        <v>464</v>
      </c>
      <c r="E4168">
        <v>-383953475</v>
      </c>
      <c r="F4168">
        <v>-112350918</v>
      </c>
      <c r="G4168">
        <v>17150771</v>
      </c>
      <c r="H4168">
        <v>-27652482</v>
      </c>
      <c r="I4168">
        <v>-50073917</v>
      </c>
      <c r="P4168">
        <v>583</v>
      </c>
      <c r="Q4168" t="s">
        <v>8383</v>
      </c>
    </row>
    <row r="4169" spans="1:17" x14ac:dyDescent="0.3">
      <c r="A4169" t="s">
        <v>17</v>
      </c>
      <c r="B4169" t="str">
        <f>"600587"</f>
        <v>600587</v>
      </c>
      <c r="C4169" t="s">
        <v>8384</v>
      </c>
      <c r="D4169" t="s">
        <v>98</v>
      </c>
      <c r="E4169">
        <v>-384115573</v>
      </c>
      <c r="F4169">
        <v>279408587</v>
      </c>
      <c r="G4169">
        <v>-34717935</v>
      </c>
      <c r="H4169">
        <v>20995650</v>
      </c>
      <c r="I4169">
        <v>-469992440</v>
      </c>
      <c r="J4169">
        <v>-205346009</v>
      </c>
      <c r="K4169">
        <v>-549246664</v>
      </c>
      <c r="L4169">
        <v>-287006237</v>
      </c>
      <c r="M4169">
        <v>-114605279</v>
      </c>
      <c r="N4169">
        <v>-86230753</v>
      </c>
      <c r="O4169">
        <v>-56469605</v>
      </c>
      <c r="P4169">
        <v>533</v>
      </c>
      <c r="Q4169" t="s">
        <v>8385</v>
      </c>
    </row>
    <row r="4170" spans="1:17" x14ac:dyDescent="0.3">
      <c r="A4170" t="s">
        <v>17</v>
      </c>
      <c r="B4170" t="str">
        <f>"600316"</f>
        <v>600316</v>
      </c>
      <c r="C4170" t="s">
        <v>8386</v>
      </c>
      <c r="D4170" t="s">
        <v>188</v>
      </c>
      <c r="E4170">
        <v>-384683652</v>
      </c>
      <c r="F4170">
        <v>39654561</v>
      </c>
      <c r="G4170">
        <v>-321794327</v>
      </c>
      <c r="H4170">
        <v>208095029</v>
      </c>
      <c r="I4170">
        <v>-38229187</v>
      </c>
      <c r="J4170">
        <v>-438983826</v>
      </c>
      <c r="K4170">
        <v>-277275545</v>
      </c>
      <c r="L4170">
        <v>-642636013</v>
      </c>
      <c r="M4170">
        <v>-276799884</v>
      </c>
      <c r="N4170">
        <v>-87817568</v>
      </c>
      <c r="O4170">
        <v>-208891961</v>
      </c>
      <c r="P4170">
        <v>387</v>
      </c>
      <c r="Q4170" t="s">
        <v>8387</v>
      </c>
    </row>
    <row r="4171" spans="1:17" x14ac:dyDescent="0.3">
      <c r="A4171" t="s">
        <v>32</v>
      </c>
      <c r="B4171" t="str">
        <f>"000572"</f>
        <v>000572</v>
      </c>
      <c r="C4171" t="s">
        <v>8388</v>
      </c>
      <c r="D4171" t="s">
        <v>199</v>
      </c>
      <c r="E4171">
        <v>-384976597</v>
      </c>
      <c r="F4171">
        <v>-210081748</v>
      </c>
      <c r="G4171">
        <v>-525244790</v>
      </c>
      <c r="H4171">
        <v>102422536</v>
      </c>
      <c r="I4171">
        <v>-239812904</v>
      </c>
      <c r="J4171">
        <v>-185733777</v>
      </c>
      <c r="K4171">
        <v>426051741</v>
      </c>
      <c r="L4171">
        <v>609677285</v>
      </c>
      <c r="M4171">
        <v>143474460</v>
      </c>
      <c r="N4171">
        <v>56310939</v>
      </c>
      <c r="O4171">
        <v>143344218</v>
      </c>
      <c r="P4171">
        <v>151</v>
      </c>
      <c r="Q4171" t="s">
        <v>8389</v>
      </c>
    </row>
    <row r="4172" spans="1:17" x14ac:dyDescent="0.3">
      <c r="A4172" t="s">
        <v>17</v>
      </c>
      <c r="B4172" t="str">
        <f>"603982"</f>
        <v>603982</v>
      </c>
      <c r="C4172" t="s">
        <v>8390</v>
      </c>
      <c r="D4172" t="s">
        <v>199</v>
      </c>
      <c r="E4172">
        <v>-385508708</v>
      </c>
      <c r="F4172">
        <v>-156452565</v>
      </c>
      <c r="G4172">
        <v>27526651</v>
      </c>
      <c r="H4172">
        <v>-71126386</v>
      </c>
      <c r="I4172">
        <v>-67075000</v>
      </c>
      <c r="P4172">
        <v>123</v>
      </c>
      <c r="Q4172" t="s">
        <v>8391</v>
      </c>
    </row>
    <row r="4173" spans="1:17" x14ac:dyDescent="0.3">
      <c r="A4173" t="s">
        <v>32</v>
      </c>
      <c r="B4173" t="str">
        <f>"002573"</f>
        <v>002573</v>
      </c>
      <c r="C4173" t="s">
        <v>8392</v>
      </c>
      <c r="D4173" t="s">
        <v>1334</v>
      </c>
      <c r="E4173">
        <v>-385616351</v>
      </c>
      <c r="F4173">
        <v>69622188</v>
      </c>
      <c r="G4173">
        <v>9582226</v>
      </c>
      <c r="H4173">
        <v>341726297</v>
      </c>
      <c r="I4173">
        <v>-155397330</v>
      </c>
      <c r="J4173">
        <v>-391388633</v>
      </c>
      <c r="K4173">
        <v>-194742809</v>
      </c>
      <c r="L4173">
        <v>-160822388</v>
      </c>
      <c r="M4173">
        <v>-91002936</v>
      </c>
      <c r="N4173">
        <v>-73962903</v>
      </c>
      <c r="O4173">
        <v>113929408</v>
      </c>
      <c r="P4173">
        <v>613</v>
      </c>
      <c r="Q4173" t="s">
        <v>8393</v>
      </c>
    </row>
    <row r="4174" spans="1:17" x14ac:dyDescent="0.3">
      <c r="A4174" t="s">
        <v>17</v>
      </c>
      <c r="B4174" t="str">
        <f>"603979"</f>
        <v>603979</v>
      </c>
      <c r="C4174" t="s">
        <v>8394</v>
      </c>
      <c r="D4174" t="s">
        <v>645</v>
      </c>
      <c r="E4174">
        <v>-385716523</v>
      </c>
      <c r="F4174">
        <v>-189837684</v>
      </c>
      <c r="G4174">
        <v>-84197590</v>
      </c>
      <c r="H4174">
        <v>-274315541</v>
      </c>
      <c r="I4174">
        <v>-202189081</v>
      </c>
      <c r="J4174">
        <v>-123564905</v>
      </c>
      <c r="K4174">
        <v>-50855599</v>
      </c>
      <c r="L4174">
        <v>-90674300</v>
      </c>
      <c r="M4174">
        <v>-155690600</v>
      </c>
      <c r="P4174">
        <v>123</v>
      </c>
      <c r="Q4174" t="s">
        <v>8395</v>
      </c>
    </row>
    <row r="4175" spans="1:17" x14ac:dyDescent="0.3">
      <c r="A4175" t="s">
        <v>17</v>
      </c>
      <c r="B4175" t="str">
        <f>"600483"</f>
        <v>600483</v>
      </c>
      <c r="C4175" t="s">
        <v>8396</v>
      </c>
      <c r="D4175" t="s">
        <v>158</v>
      </c>
      <c r="E4175">
        <v>-385796023</v>
      </c>
      <c r="F4175">
        <v>-247104359</v>
      </c>
      <c r="G4175">
        <v>-591274343</v>
      </c>
      <c r="H4175">
        <v>-50511723</v>
      </c>
      <c r="I4175">
        <v>45690878</v>
      </c>
      <c r="J4175">
        <v>135688652</v>
      </c>
      <c r="K4175">
        <v>203282065</v>
      </c>
      <c r="L4175">
        <v>111491994</v>
      </c>
      <c r="M4175">
        <v>-14079863</v>
      </c>
      <c r="N4175">
        <v>-50828313</v>
      </c>
      <c r="O4175">
        <v>-92388428</v>
      </c>
      <c r="P4175">
        <v>331</v>
      </c>
      <c r="Q4175" t="s">
        <v>8397</v>
      </c>
    </row>
    <row r="4176" spans="1:17" x14ac:dyDescent="0.3">
      <c r="A4176" t="s">
        <v>17</v>
      </c>
      <c r="B4176" t="str">
        <f>"603108"</f>
        <v>603108</v>
      </c>
      <c r="C4176" t="s">
        <v>8398</v>
      </c>
      <c r="D4176" t="s">
        <v>98</v>
      </c>
      <c r="E4176">
        <v>-386268920</v>
      </c>
      <c r="F4176">
        <v>-246461509</v>
      </c>
      <c r="G4176">
        <v>-296770021</v>
      </c>
      <c r="H4176">
        <v>-4209111</v>
      </c>
      <c r="I4176">
        <v>-53814000</v>
      </c>
      <c r="J4176">
        <v>-143996946</v>
      </c>
      <c r="K4176">
        <v>-67711750</v>
      </c>
      <c r="L4176">
        <v>-88891772</v>
      </c>
      <c r="M4176">
        <v>-154394357</v>
      </c>
      <c r="P4176">
        <v>336</v>
      </c>
      <c r="Q4176" t="s">
        <v>8399</v>
      </c>
    </row>
    <row r="4177" spans="1:17" x14ac:dyDescent="0.3">
      <c r="A4177" t="s">
        <v>17</v>
      </c>
      <c r="B4177" t="str">
        <f>"600378"</f>
        <v>600378</v>
      </c>
      <c r="C4177" t="s">
        <v>8400</v>
      </c>
      <c r="D4177" t="s">
        <v>144</v>
      </c>
      <c r="E4177">
        <v>-387840187</v>
      </c>
      <c r="F4177">
        <v>-212360054</v>
      </c>
      <c r="G4177">
        <v>-235211288</v>
      </c>
      <c r="H4177">
        <v>-30346630</v>
      </c>
      <c r="I4177">
        <v>-35540396</v>
      </c>
      <c r="J4177">
        <v>-19067191</v>
      </c>
      <c r="K4177">
        <v>-42118007</v>
      </c>
      <c r="L4177">
        <v>-60946855</v>
      </c>
      <c r="M4177">
        <v>-36689541</v>
      </c>
      <c r="N4177">
        <v>-4370959</v>
      </c>
      <c r="O4177">
        <v>22400877</v>
      </c>
      <c r="P4177">
        <v>228</v>
      </c>
      <c r="Q4177" t="s">
        <v>8401</v>
      </c>
    </row>
    <row r="4178" spans="1:17" x14ac:dyDescent="0.3">
      <c r="A4178" t="s">
        <v>17</v>
      </c>
      <c r="B4178" t="str">
        <f>"600686"</f>
        <v>600686</v>
      </c>
      <c r="C4178" t="s">
        <v>8402</v>
      </c>
      <c r="D4178" t="s">
        <v>199</v>
      </c>
      <c r="E4178">
        <v>-387897569</v>
      </c>
      <c r="F4178">
        <v>399697706</v>
      </c>
      <c r="G4178">
        <v>-144652100</v>
      </c>
      <c r="H4178">
        <v>-256124475</v>
      </c>
      <c r="I4178">
        <v>-756127418</v>
      </c>
      <c r="J4178">
        <v>-23040965</v>
      </c>
      <c r="K4178">
        <v>-1576658021</v>
      </c>
      <c r="L4178">
        <v>-974466751</v>
      </c>
      <c r="M4178">
        <v>-2075863805</v>
      </c>
      <c r="N4178">
        <v>-1460847817</v>
      </c>
      <c r="O4178">
        <v>-946351396</v>
      </c>
      <c r="P4178">
        <v>177</v>
      </c>
      <c r="Q4178" t="s">
        <v>8403</v>
      </c>
    </row>
    <row r="4179" spans="1:17" x14ac:dyDescent="0.3">
      <c r="A4179" t="s">
        <v>17</v>
      </c>
      <c r="B4179" t="str">
        <f>"603668"</f>
        <v>603668</v>
      </c>
      <c r="C4179" t="s">
        <v>8404</v>
      </c>
      <c r="D4179" t="s">
        <v>175</v>
      </c>
      <c r="E4179">
        <v>-389416281</v>
      </c>
      <c r="F4179">
        <v>6861887</v>
      </c>
      <c r="G4179">
        <v>-15980375</v>
      </c>
      <c r="H4179">
        <v>-272200884</v>
      </c>
      <c r="I4179">
        <v>-229647876</v>
      </c>
      <c r="J4179">
        <v>-217612479</v>
      </c>
      <c r="K4179">
        <v>-34531831</v>
      </c>
      <c r="P4179">
        <v>126</v>
      </c>
      <c r="Q4179" t="s">
        <v>8405</v>
      </c>
    </row>
    <row r="4180" spans="1:17" x14ac:dyDescent="0.3">
      <c r="A4180" t="s">
        <v>17</v>
      </c>
      <c r="B4180" t="str">
        <f>"600370"</f>
        <v>600370</v>
      </c>
      <c r="C4180" t="s">
        <v>8406</v>
      </c>
      <c r="D4180" t="s">
        <v>130</v>
      </c>
      <c r="E4180">
        <v>-389724541</v>
      </c>
      <c r="F4180">
        <v>-646870445</v>
      </c>
      <c r="G4180">
        <v>40168825</v>
      </c>
      <c r="H4180">
        <v>65126039</v>
      </c>
      <c r="I4180">
        <v>59872984</v>
      </c>
      <c r="J4180">
        <v>-3220160</v>
      </c>
      <c r="K4180">
        <v>41573878</v>
      </c>
      <c r="L4180">
        <v>61428931</v>
      </c>
      <c r="M4180">
        <v>70718286</v>
      </c>
      <c r="N4180">
        <v>5156100</v>
      </c>
      <c r="O4180">
        <v>5041067</v>
      </c>
      <c r="P4180">
        <v>101</v>
      </c>
      <c r="Q4180" t="s">
        <v>8407</v>
      </c>
    </row>
    <row r="4181" spans="1:17" x14ac:dyDescent="0.3">
      <c r="A4181" t="s">
        <v>32</v>
      </c>
      <c r="B4181" t="str">
        <f>"300761"</f>
        <v>300761</v>
      </c>
      <c r="C4181" t="s">
        <v>8408</v>
      </c>
      <c r="D4181" t="s">
        <v>175</v>
      </c>
      <c r="E4181">
        <v>-390843618</v>
      </c>
      <c r="F4181">
        <v>-604359135</v>
      </c>
      <c r="G4181">
        <v>-503583956</v>
      </c>
      <c r="H4181">
        <v>-18359751</v>
      </c>
      <c r="I4181">
        <v>327342111</v>
      </c>
      <c r="P4181">
        <v>369</v>
      </c>
      <c r="Q4181" t="s">
        <v>8409</v>
      </c>
    </row>
    <row r="4182" spans="1:17" x14ac:dyDescent="0.3">
      <c r="A4182" t="s">
        <v>17</v>
      </c>
      <c r="B4182" t="str">
        <f>"600009"</f>
        <v>600009</v>
      </c>
      <c r="C4182" t="s">
        <v>8410</v>
      </c>
      <c r="D4182" t="s">
        <v>46</v>
      </c>
      <c r="E4182">
        <v>-391396275</v>
      </c>
      <c r="F4182">
        <v>-657385458</v>
      </c>
      <c r="G4182">
        <v>-796136862</v>
      </c>
      <c r="H4182">
        <v>-85823372</v>
      </c>
      <c r="I4182">
        <v>-551822376</v>
      </c>
      <c r="J4182">
        <v>-7620611</v>
      </c>
      <c r="K4182">
        <v>-315542828</v>
      </c>
      <c r="L4182">
        <v>201419526</v>
      </c>
      <c r="M4182">
        <v>26355620</v>
      </c>
      <c r="N4182">
        <v>128205696</v>
      </c>
      <c r="O4182">
        <v>-83266210</v>
      </c>
      <c r="P4182">
        <v>5732</v>
      </c>
      <c r="Q4182" t="s">
        <v>8411</v>
      </c>
    </row>
    <row r="4183" spans="1:17" x14ac:dyDescent="0.3">
      <c r="A4183" t="s">
        <v>17</v>
      </c>
      <c r="B4183" t="str">
        <f>"603568"</f>
        <v>603568</v>
      </c>
      <c r="C4183" t="s">
        <v>8412</v>
      </c>
      <c r="D4183" t="s">
        <v>1334</v>
      </c>
      <c r="E4183">
        <v>-392372999</v>
      </c>
      <c r="F4183">
        <v>-360797374</v>
      </c>
      <c r="G4183">
        <v>-281101448</v>
      </c>
      <c r="H4183">
        <v>-264979630</v>
      </c>
      <c r="I4183">
        <v>-190157535</v>
      </c>
      <c r="J4183">
        <v>-22556282</v>
      </c>
      <c r="K4183">
        <v>-45175330</v>
      </c>
      <c r="L4183">
        <v>37378603</v>
      </c>
      <c r="P4183">
        <v>16277</v>
      </c>
      <c r="Q4183" t="s">
        <v>8413</v>
      </c>
    </row>
    <row r="4184" spans="1:17" x14ac:dyDescent="0.3">
      <c r="A4184" t="s">
        <v>32</v>
      </c>
      <c r="B4184" t="str">
        <f>"000400"</f>
        <v>000400</v>
      </c>
      <c r="C4184" t="s">
        <v>8414</v>
      </c>
      <c r="D4184" t="s">
        <v>464</v>
      </c>
      <c r="E4184">
        <v>-392922679</v>
      </c>
      <c r="F4184">
        <v>-75555591</v>
      </c>
      <c r="G4184">
        <v>-210779600</v>
      </c>
      <c r="H4184">
        <v>-232488822</v>
      </c>
      <c r="I4184">
        <v>-332824882</v>
      </c>
      <c r="J4184">
        <v>-701543316</v>
      </c>
      <c r="K4184">
        <v>-258594006</v>
      </c>
      <c r="L4184">
        <v>-245338247</v>
      </c>
      <c r="M4184">
        <v>-447809482</v>
      </c>
      <c r="N4184">
        <v>105577717</v>
      </c>
      <c r="O4184">
        <v>-198274278</v>
      </c>
      <c r="P4184">
        <v>688</v>
      </c>
      <c r="Q4184" t="s">
        <v>8415</v>
      </c>
    </row>
    <row r="4185" spans="1:17" x14ac:dyDescent="0.3">
      <c r="A4185" t="s">
        <v>32</v>
      </c>
      <c r="B4185" t="str">
        <f>"002212"</f>
        <v>002212</v>
      </c>
      <c r="C4185" t="s">
        <v>8416</v>
      </c>
      <c r="D4185" t="s">
        <v>342</v>
      </c>
      <c r="E4185">
        <v>-393269365</v>
      </c>
      <c r="F4185">
        <v>-310627422</v>
      </c>
      <c r="G4185">
        <v>-57696291</v>
      </c>
      <c r="H4185">
        <v>-57741979</v>
      </c>
      <c r="I4185">
        <v>-133535578</v>
      </c>
      <c r="J4185">
        <v>-238394788</v>
      </c>
      <c r="K4185">
        <v>22308274</v>
      </c>
      <c r="L4185">
        <v>39437525</v>
      </c>
      <c r="M4185">
        <v>41060133</v>
      </c>
      <c r="N4185">
        <v>58094576</v>
      </c>
      <c r="O4185">
        <v>72887445</v>
      </c>
      <c r="P4185">
        <v>249</v>
      </c>
      <c r="Q4185" t="s">
        <v>8417</v>
      </c>
    </row>
    <row r="4186" spans="1:17" x14ac:dyDescent="0.3">
      <c r="A4186" t="s">
        <v>32</v>
      </c>
      <c r="B4186" t="str">
        <f>"000070"</f>
        <v>000070</v>
      </c>
      <c r="C4186" t="s">
        <v>8418</v>
      </c>
      <c r="D4186" t="s">
        <v>57</v>
      </c>
      <c r="E4186">
        <v>-393910945</v>
      </c>
      <c r="F4186">
        <v>-456050307</v>
      </c>
      <c r="G4186">
        <v>-336057472</v>
      </c>
      <c r="H4186">
        <v>-372375514</v>
      </c>
      <c r="I4186">
        <v>-641083529</v>
      </c>
      <c r="J4186">
        <v>-360885237</v>
      </c>
      <c r="K4186">
        <v>-233787717</v>
      </c>
      <c r="L4186">
        <v>-97735205</v>
      </c>
      <c r="M4186">
        <v>-34367400</v>
      </c>
      <c r="N4186">
        <v>-85252834</v>
      </c>
      <c r="O4186">
        <v>-114961137</v>
      </c>
      <c r="P4186">
        <v>334</v>
      </c>
      <c r="Q4186" t="s">
        <v>8419</v>
      </c>
    </row>
    <row r="4187" spans="1:17" x14ac:dyDescent="0.3">
      <c r="A4187" t="s">
        <v>32</v>
      </c>
      <c r="B4187" t="str">
        <f>"000682"</f>
        <v>000682</v>
      </c>
      <c r="C4187" t="s">
        <v>8420</v>
      </c>
      <c r="D4187" t="s">
        <v>464</v>
      </c>
      <c r="E4187">
        <v>-394204680</v>
      </c>
      <c r="F4187">
        <v>-145297575</v>
      </c>
      <c r="G4187">
        <v>-55659149</v>
      </c>
      <c r="H4187">
        <v>-52005743</v>
      </c>
      <c r="I4187">
        <v>-63696913</v>
      </c>
      <c r="J4187">
        <v>-87308571</v>
      </c>
      <c r="K4187">
        <v>-113522984</v>
      </c>
      <c r="L4187">
        <v>-62635401</v>
      </c>
      <c r="M4187">
        <v>-44187364</v>
      </c>
      <c r="N4187">
        <v>-66031856</v>
      </c>
      <c r="O4187">
        <v>-118966491</v>
      </c>
      <c r="P4187">
        <v>157</v>
      </c>
      <c r="Q4187" t="s">
        <v>8421</v>
      </c>
    </row>
    <row r="4188" spans="1:17" x14ac:dyDescent="0.3">
      <c r="A4188" t="s">
        <v>32</v>
      </c>
      <c r="B4188" t="str">
        <f>"200055"</f>
        <v>200055</v>
      </c>
      <c r="C4188" t="s">
        <v>8422</v>
      </c>
      <c r="E4188">
        <v>-394323435.14999998</v>
      </c>
      <c r="F4188">
        <v>-557795774.51950002</v>
      </c>
      <c r="G4188">
        <v>-435732356.75190002</v>
      </c>
      <c r="H4188">
        <v>-388381185.83340001</v>
      </c>
      <c r="I4188">
        <v>-77669304.049500003</v>
      </c>
      <c r="J4188">
        <v>-38151422.1734</v>
      </c>
      <c r="K4188">
        <v>-88756348.2579</v>
      </c>
      <c r="L4188">
        <v>-317065875</v>
      </c>
      <c r="M4188">
        <v>-174139253.58000001</v>
      </c>
      <c r="N4188">
        <v>-71429095.765799999</v>
      </c>
      <c r="O4188">
        <v>-79313173.812000006</v>
      </c>
      <c r="P4188">
        <v>71</v>
      </c>
      <c r="Q4188" t="s">
        <v>8423</v>
      </c>
    </row>
    <row r="4189" spans="1:17" x14ac:dyDescent="0.3">
      <c r="A4189" t="s">
        <v>32</v>
      </c>
      <c r="B4189" t="str">
        <f>"300123"</f>
        <v>300123</v>
      </c>
      <c r="C4189" t="s">
        <v>8424</v>
      </c>
      <c r="D4189" t="s">
        <v>188</v>
      </c>
      <c r="E4189">
        <v>-394864120</v>
      </c>
      <c r="F4189">
        <v>-142393243</v>
      </c>
      <c r="G4189">
        <v>-249015429</v>
      </c>
      <c r="H4189">
        <v>-139524830</v>
      </c>
      <c r="I4189">
        <v>-166402062</v>
      </c>
      <c r="J4189">
        <v>-130244523</v>
      </c>
      <c r="K4189">
        <v>-116342421</v>
      </c>
      <c r="L4189">
        <v>-88660988</v>
      </c>
      <c r="M4189">
        <v>-53479898</v>
      </c>
      <c r="N4189">
        <v>-53099435</v>
      </c>
      <c r="O4189">
        <v>-10442220</v>
      </c>
      <c r="P4189">
        <v>232</v>
      </c>
      <c r="Q4189" t="s">
        <v>8425</v>
      </c>
    </row>
    <row r="4190" spans="1:17" x14ac:dyDescent="0.3">
      <c r="A4190" t="s">
        <v>17</v>
      </c>
      <c r="B4190" t="str">
        <f>"603338"</f>
        <v>603338</v>
      </c>
      <c r="C4190" t="s">
        <v>8426</v>
      </c>
      <c r="D4190" t="s">
        <v>135</v>
      </c>
      <c r="E4190">
        <v>-395873355</v>
      </c>
      <c r="F4190">
        <v>-418735817</v>
      </c>
      <c r="G4190">
        <v>23854408</v>
      </c>
      <c r="H4190">
        <v>-73590681</v>
      </c>
      <c r="I4190">
        <v>-104753973</v>
      </c>
      <c r="J4190">
        <v>-110709793</v>
      </c>
      <c r="K4190">
        <v>-47659057</v>
      </c>
      <c r="L4190">
        <v>-32947773</v>
      </c>
      <c r="M4190">
        <v>-23236514</v>
      </c>
      <c r="P4190">
        <v>12810</v>
      </c>
      <c r="Q4190" t="s">
        <v>8427</v>
      </c>
    </row>
    <row r="4191" spans="1:17" x14ac:dyDescent="0.3">
      <c r="A4191" t="s">
        <v>17</v>
      </c>
      <c r="B4191" t="str">
        <f>"603901"</f>
        <v>603901</v>
      </c>
      <c r="C4191" t="s">
        <v>8428</v>
      </c>
      <c r="D4191" t="s">
        <v>135</v>
      </c>
      <c r="E4191">
        <v>-396853292</v>
      </c>
      <c r="F4191">
        <v>-110634939</v>
      </c>
      <c r="G4191">
        <v>-63203838</v>
      </c>
      <c r="H4191">
        <v>-157116932</v>
      </c>
      <c r="I4191">
        <v>-62045274</v>
      </c>
      <c r="J4191">
        <v>-87268404</v>
      </c>
      <c r="K4191">
        <v>-132124151</v>
      </c>
      <c r="L4191">
        <v>-75979203</v>
      </c>
      <c r="M4191">
        <v>-97766144</v>
      </c>
      <c r="P4191">
        <v>140</v>
      </c>
      <c r="Q4191" t="s">
        <v>8429</v>
      </c>
    </row>
    <row r="4192" spans="1:17" x14ac:dyDescent="0.3">
      <c r="A4192" t="s">
        <v>32</v>
      </c>
      <c r="B4192" t="str">
        <f>"003038"</f>
        <v>003038</v>
      </c>
      <c r="C4192" t="s">
        <v>8430</v>
      </c>
      <c r="D4192" t="s">
        <v>121</v>
      </c>
      <c r="E4192">
        <v>-398111572</v>
      </c>
      <c r="F4192">
        <v>-264329953</v>
      </c>
      <c r="G4192">
        <v>-70881409</v>
      </c>
      <c r="P4192">
        <v>75</v>
      </c>
      <c r="Q4192" t="s">
        <v>8431</v>
      </c>
    </row>
    <row r="4193" spans="1:17" x14ac:dyDescent="0.3">
      <c r="A4193" t="s">
        <v>32</v>
      </c>
      <c r="B4193" t="str">
        <f>"002527"</f>
        <v>002527</v>
      </c>
      <c r="C4193" t="s">
        <v>8432</v>
      </c>
      <c r="D4193" t="s">
        <v>135</v>
      </c>
      <c r="E4193">
        <v>-398813287</v>
      </c>
      <c r="F4193">
        <v>-50828903</v>
      </c>
      <c r="G4193">
        <v>-75022009</v>
      </c>
      <c r="H4193">
        <v>-42979954</v>
      </c>
      <c r="I4193">
        <v>-298899268</v>
      </c>
      <c r="J4193">
        <v>-119268306</v>
      </c>
      <c r="K4193">
        <v>-28118926</v>
      </c>
      <c r="L4193">
        <v>-36717454</v>
      </c>
      <c r="M4193">
        <v>-31769973</v>
      </c>
      <c r="N4193">
        <v>-16110562</v>
      </c>
      <c r="O4193">
        <v>-13293058</v>
      </c>
      <c r="P4193">
        <v>161</v>
      </c>
      <c r="Q4193" t="s">
        <v>8433</v>
      </c>
    </row>
    <row r="4194" spans="1:17" x14ac:dyDescent="0.3">
      <c r="A4194" t="s">
        <v>32</v>
      </c>
      <c r="B4194" t="str">
        <f>"002078"</f>
        <v>002078</v>
      </c>
      <c r="C4194" t="s">
        <v>8434</v>
      </c>
      <c r="D4194" t="s">
        <v>455</v>
      </c>
      <c r="E4194">
        <v>-399044173</v>
      </c>
      <c r="F4194">
        <v>-102589646</v>
      </c>
      <c r="G4194">
        <v>-794992359</v>
      </c>
      <c r="H4194">
        <v>1666904277</v>
      </c>
      <c r="I4194">
        <v>-359013143</v>
      </c>
      <c r="J4194">
        <v>-317250099</v>
      </c>
      <c r="K4194">
        <v>-91224586</v>
      </c>
      <c r="L4194">
        <v>-16034305</v>
      </c>
      <c r="M4194">
        <v>-6290867</v>
      </c>
      <c r="N4194">
        <v>873497736</v>
      </c>
      <c r="O4194">
        <v>120907448</v>
      </c>
      <c r="P4194">
        <v>1103</v>
      </c>
      <c r="Q4194" t="s">
        <v>8435</v>
      </c>
    </row>
    <row r="4195" spans="1:17" x14ac:dyDescent="0.3">
      <c r="A4195" t="s">
        <v>17</v>
      </c>
      <c r="B4195" t="str">
        <f>"688232"</f>
        <v>688232</v>
      </c>
      <c r="C4195" t="s">
        <v>8436</v>
      </c>
      <c r="D4195" t="s">
        <v>342</v>
      </c>
      <c r="E4195">
        <v>-400853562</v>
      </c>
      <c r="G4195">
        <v>-206179752</v>
      </c>
      <c r="P4195">
        <v>26</v>
      </c>
      <c r="Q4195" t="s">
        <v>8437</v>
      </c>
    </row>
    <row r="4196" spans="1:17" x14ac:dyDescent="0.3">
      <c r="A4196" t="s">
        <v>17</v>
      </c>
      <c r="B4196" t="str">
        <f>"600203"</f>
        <v>600203</v>
      </c>
      <c r="C4196" t="s">
        <v>8438</v>
      </c>
      <c r="D4196" t="s">
        <v>124</v>
      </c>
      <c r="E4196">
        <v>-401137119</v>
      </c>
      <c r="F4196">
        <v>-212891201</v>
      </c>
      <c r="G4196">
        <v>-233055820</v>
      </c>
      <c r="H4196">
        <v>-49965739</v>
      </c>
      <c r="I4196">
        <v>-115657982</v>
      </c>
      <c r="J4196">
        <v>117083433</v>
      </c>
      <c r="K4196">
        <v>189193010</v>
      </c>
      <c r="L4196">
        <v>138953617</v>
      </c>
      <c r="M4196">
        <v>-46658952</v>
      </c>
      <c r="N4196">
        <v>-19815215</v>
      </c>
      <c r="O4196">
        <v>-7456893</v>
      </c>
      <c r="P4196">
        <v>143</v>
      </c>
      <c r="Q4196" t="s">
        <v>8439</v>
      </c>
    </row>
    <row r="4197" spans="1:17" x14ac:dyDescent="0.3">
      <c r="A4197" t="s">
        <v>32</v>
      </c>
      <c r="B4197" t="str">
        <f>"000404"</f>
        <v>000404</v>
      </c>
      <c r="C4197" t="s">
        <v>8440</v>
      </c>
      <c r="D4197" t="s">
        <v>127</v>
      </c>
      <c r="E4197">
        <v>-401631086</v>
      </c>
      <c r="F4197">
        <v>-146614303</v>
      </c>
      <c r="G4197">
        <v>-30771576</v>
      </c>
      <c r="H4197">
        <v>419458597</v>
      </c>
      <c r="I4197">
        <v>-345306366</v>
      </c>
      <c r="J4197">
        <v>-777180919</v>
      </c>
      <c r="K4197">
        <v>-241647541</v>
      </c>
      <c r="L4197">
        <v>-33491094</v>
      </c>
      <c r="M4197">
        <v>79788277</v>
      </c>
      <c r="N4197">
        <v>-197812204</v>
      </c>
      <c r="O4197">
        <v>-174631912</v>
      </c>
      <c r="P4197">
        <v>113</v>
      </c>
      <c r="Q4197" t="s">
        <v>8441</v>
      </c>
    </row>
    <row r="4198" spans="1:17" x14ac:dyDescent="0.3">
      <c r="A4198" t="s">
        <v>17</v>
      </c>
      <c r="B4198" t="str">
        <f>"603220"</f>
        <v>603220</v>
      </c>
      <c r="C4198" t="s">
        <v>8442</v>
      </c>
      <c r="D4198" t="s">
        <v>57</v>
      </c>
      <c r="E4198">
        <v>-402294530</v>
      </c>
      <c r="F4198">
        <v>-318389254</v>
      </c>
      <c r="G4198">
        <v>-222905868</v>
      </c>
      <c r="H4198">
        <v>-204240935</v>
      </c>
      <c r="I4198">
        <v>-109917997</v>
      </c>
      <c r="P4198">
        <v>146</v>
      </c>
      <c r="Q4198" t="s">
        <v>8443</v>
      </c>
    </row>
    <row r="4199" spans="1:17" x14ac:dyDescent="0.3">
      <c r="A4199" t="s">
        <v>17</v>
      </c>
      <c r="B4199" t="str">
        <f>"600480"</f>
        <v>600480</v>
      </c>
      <c r="C4199" t="s">
        <v>8444</v>
      </c>
      <c r="D4199" t="s">
        <v>199</v>
      </c>
      <c r="E4199">
        <v>-403656964</v>
      </c>
      <c r="F4199">
        <v>-477696422</v>
      </c>
      <c r="G4199">
        <v>-285703642</v>
      </c>
      <c r="H4199">
        <v>-1030974853</v>
      </c>
      <c r="I4199">
        <v>-962094622</v>
      </c>
      <c r="J4199">
        <v>-621764433</v>
      </c>
      <c r="K4199">
        <v>-690737435</v>
      </c>
      <c r="L4199">
        <v>-623042975</v>
      </c>
      <c r="M4199">
        <v>-396064493</v>
      </c>
      <c r="N4199">
        <v>-430521152</v>
      </c>
      <c r="O4199">
        <v>-353712562</v>
      </c>
      <c r="P4199">
        <v>173</v>
      </c>
      <c r="Q4199" t="s">
        <v>8445</v>
      </c>
    </row>
    <row r="4200" spans="1:17" x14ac:dyDescent="0.3">
      <c r="A4200" t="s">
        <v>32</v>
      </c>
      <c r="B4200" t="str">
        <f>"002408"</f>
        <v>002408</v>
      </c>
      <c r="C4200" t="s">
        <v>8446</v>
      </c>
      <c r="D4200" t="s">
        <v>64</v>
      </c>
      <c r="E4200">
        <v>-405352141</v>
      </c>
      <c r="F4200">
        <v>-244182492</v>
      </c>
      <c r="G4200">
        <v>-549416241</v>
      </c>
      <c r="H4200">
        <v>-71918765</v>
      </c>
      <c r="I4200">
        <v>193506918</v>
      </c>
      <c r="J4200">
        <v>-18190396</v>
      </c>
      <c r="K4200">
        <v>-38842472</v>
      </c>
      <c r="L4200">
        <v>62330603</v>
      </c>
      <c r="M4200">
        <v>-202538539</v>
      </c>
      <c r="N4200">
        <v>-56954423</v>
      </c>
      <c r="O4200">
        <v>-248808400</v>
      </c>
      <c r="P4200">
        <v>317</v>
      </c>
      <c r="Q4200" t="s">
        <v>8447</v>
      </c>
    </row>
    <row r="4201" spans="1:17" x14ac:dyDescent="0.3">
      <c r="A4201" t="s">
        <v>17</v>
      </c>
      <c r="B4201" t="str">
        <f>"601567"</f>
        <v>601567</v>
      </c>
      <c r="C4201" t="s">
        <v>8448</v>
      </c>
      <c r="D4201" t="s">
        <v>464</v>
      </c>
      <c r="E4201">
        <v>-406371134</v>
      </c>
      <c r="F4201">
        <v>-271491970</v>
      </c>
      <c r="G4201">
        <v>-155822526</v>
      </c>
      <c r="H4201">
        <v>-242468596</v>
      </c>
      <c r="I4201">
        <v>-233927212</v>
      </c>
      <c r="J4201">
        <v>-182145030</v>
      </c>
      <c r="K4201">
        <v>-271610623</v>
      </c>
      <c r="L4201">
        <v>-265054882</v>
      </c>
      <c r="M4201">
        <v>-291894376</v>
      </c>
      <c r="N4201">
        <v>-216092005</v>
      </c>
      <c r="O4201">
        <v>-297261535</v>
      </c>
      <c r="P4201">
        <v>325</v>
      </c>
      <c r="Q4201" t="s">
        <v>8449</v>
      </c>
    </row>
    <row r="4202" spans="1:17" x14ac:dyDescent="0.3">
      <c r="A4202" t="s">
        <v>32</v>
      </c>
      <c r="B4202" t="str">
        <f>"000652"</f>
        <v>000652</v>
      </c>
      <c r="C4202" t="s">
        <v>8450</v>
      </c>
      <c r="D4202" t="s">
        <v>345</v>
      </c>
      <c r="E4202">
        <v>-407470813</v>
      </c>
      <c r="F4202">
        <v>-125680765</v>
      </c>
      <c r="G4202">
        <v>-208830984</v>
      </c>
      <c r="H4202">
        <v>246194045</v>
      </c>
      <c r="I4202">
        <v>209021234</v>
      </c>
      <c r="J4202">
        <v>-195648264</v>
      </c>
      <c r="K4202">
        <v>58364325</v>
      </c>
      <c r="L4202">
        <v>525088635</v>
      </c>
      <c r="M4202">
        <v>-1691671776</v>
      </c>
      <c r="N4202">
        <v>325089189</v>
      </c>
      <c r="O4202">
        <v>334570833</v>
      </c>
      <c r="P4202">
        <v>196</v>
      </c>
      <c r="Q4202" t="s">
        <v>8451</v>
      </c>
    </row>
    <row r="4203" spans="1:17" x14ac:dyDescent="0.3">
      <c r="A4203" t="s">
        <v>32</v>
      </c>
      <c r="B4203" t="str">
        <f>"002821"</f>
        <v>002821</v>
      </c>
      <c r="C4203" t="s">
        <v>8452</v>
      </c>
      <c r="D4203" t="s">
        <v>98</v>
      </c>
      <c r="E4203">
        <v>-408908720</v>
      </c>
      <c r="F4203">
        <v>-123739327</v>
      </c>
      <c r="G4203">
        <v>-51448821</v>
      </c>
      <c r="H4203">
        <v>-53242828</v>
      </c>
      <c r="I4203">
        <v>40473442</v>
      </c>
      <c r="J4203">
        <v>117859514</v>
      </c>
      <c r="K4203">
        <v>19234200</v>
      </c>
      <c r="P4203">
        <v>2420</v>
      </c>
      <c r="Q4203" t="s">
        <v>8453</v>
      </c>
    </row>
    <row r="4204" spans="1:17" x14ac:dyDescent="0.3">
      <c r="A4204" t="s">
        <v>32</v>
      </c>
      <c r="B4204" t="str">
        <f>"000567"</f>
        <v>000567</v>
      </c>
      <c r="C4204" t="s">
        <v>8454</v>
      </c>
      <c r="D4204" t="s">
        <v>26</v>
      </c>
      <c r="E4204">
        <v>-411033281</v>
      </c>
      <c r="F4204">
        <v>53746555</v>
      </c>
      <c r="G4204">
        <v>-182944948</v>
      </c>
      <c r="H4204">
        <v>177469216</v>
      </c>
      <c r="I4204">
        <v>169051645</v>
      </c>
      <c r="J4204">
        <v>369037884</v>
      </c>
      <c r="K4204">
        <v>14241276</v>
      </c>
      <c r="L4204">
        <v>-6857996</v>
      </c>
      <c r="M4204">
        <v>-22990617</v>
      </c>
      <c r="N4204">
        <v>-2112055</v>
      </c>
      <c r="O4204">
        <v>7194820</v>
      </c>
      <c r="P4204">
        <v>118</v>
      </c>
      <c r="Q4204" t="s">
        <v>8455</v>
      </c>
    </row>
    <row r="4205" spans="1:17" x14ac:dyDescent="0.3">
      <c r="A4205" t="s">
        <v>32</v>
      </c>
      <c r="B4205" t="str">
        <f>"002291"</f>
        <v>002291</v>
      </c>
      <c r="C4205" t="s">
        <v>8456</v>
      </c>
      <c r="D4205" t="s">
        <v>245</v>
      </c>
      <c r="E4205">
        <v>-411444655</v>
      </c>
      <c r="F4205">
        <v>-6464485</v>
      </c>
      <c r="G4205">
        <v>-56496838</v>
      </c>
      <c r="H4205">
        <v>61120196</v>
      </c>
      <c r="I4205">
        <v>-6633612</v>
      </c>
      <c r="J4205">
        <v>12633422</v>
      </c>
      <c r="K4205">
        <v>-11972459</v>
      </c>
      <c r="L4205">
        <v>-56555840</v>
      </c>
      <c r="M4205">
        <v>53121315</v>
      </c>
      <c r="N4205">
        <v>-18038286</v>
      </c>
      <c r="O4205">
        <v>21978119</v>
      </c>
      <c r="P4205">
        <v>172</v>
      </c>
      <c r="Q4205" t="s">
        <v>8457</v>
      </c>
    </row>
    <row r="4206" spans="1:17" x14ac:dyDescent="0.3">
      <c r="A4206" t="s">
        <v>32</v>
      </c>
      <c r="B4206" t="str">
        <f>"002617"</f>
        <v>002617</v>
      </c>
      <c r="C4206" t="s">
        <v>8458</v>
      </c>
      <c r="D4206" t="s">
        <v>158</v>
      </c>
      <c r="E4206">
        <v>-412922884</v>
      </c>
      <c r="F4206">
        <v>-270392757</v>
      </c>
      <c r="G4206">
        <v>-45049002</v>
      </c>
      <c r="H4206">
        <v>-11312015</v>
      </c>
      <c r="I4206">
        <v>17925152</v>
      </c>
      <c r="J4206">
        <v>-258534625</v>
      </c>
      <c r="K4206">
        <v>-105082822</v>
      </c>
      <c r="L4206">
        <v>-21329368</v>
      </c>
      <c r="M4206">
        <v>35893252</v>
      </c>
      <c r="N4206">
        <v>-192390483</v>
      </c>
      <c r="O4206">
        <v>9631366</v>
      </c>
      <c r="P4206">
        <v>321</v>
      </c>
      <c r="Q4206" t="s">
        <v>8459</v>
      </c>
    </row>
    <row r="4207" spans="1:17" x14ac:dyDescent="0.3">
      <c r="A4207" t="s">
        <v>17</v>
      </c>
      <c r="B4207" t="str">
        <f>"688363"</f>
        <v>688363</v>
      </c>
      <c r="C4207" t="s">
        <v>8460</v>
      </c>
      <c r="D4207" t="s">
        <v>544</v>
      </c>
      <c r="E4207">
        <v>-413087655</v>
      </c>
      <c r="F4207">
        <v>-167450011</v>
      </c>
      <c r="G4207">
        <v>-46376072</v>
      </c>
      <c r="H4207">
        <v>-109112084</v>
      </c>
      <c r="P4207">
        <v>1158</v>
      </c>
      <c r="Q4207" t="s">
        <v>8461</v>
      </c>
    </row>
    <row r="4208" spans="1:17" x14ac:dyDescent="0.3">
      <c r="A4208" t="s">
        <v>32</v>
      </c>
      <c r="B4208" t="str">
        <f>"001208"</f>
        <v>001208</v>
      </c>
      <c r="C4208" t="s">
        <v>8462</v>
      </c>
      <c r="D4208" t="s">
        <v>464</v>
      </c>
      <c r="E4208">
        <v>-415095452</v>
      </c>
      <c r="F4208">
        <v>-282768091</v>
      </c>
      <c r="G4208">
        <v>-195833757</v>
      </c>
      <c r="P4208">
        <v>66</v>
      </c>
      <c r="Q4208" t="s">
        <v>8463</v>
      </c>
    </row>
    <row r="4209" spans="1:17" x14ac:dyDescent="0.3">
      <c r="A4209" t="s">
        <v>32</v>
      </c>
      <c r="B4209" t="str">
        <f>"000425"</f>
        <v>000425</v>
      </c>
      <c r="C4209" t="s">
        <v>8464</v>
      </c>
      <c r="D4209" t="s">
        <v>135</v>
      </c>
      <c r="E4209">
        <v>-416100628</v>
      </c>
      <c r="F4209">
        <v>1505226404</v>
      </c>
      <c r="G4209">
        <v>-286999106</v>
      </c>
      <c r="H4209">
        <v>-280802213</v>
      </c>
      <c r="I4209">
        <v>541994805</v>
      </c>
      <c r="J4209">
        <v>540265793</v>
      </c>
      <c r="K4209">
        <v>73197904</v>
      </c>
      <c r="L4209">
        <v>-1384509971</v>
      </c>
      <c r="M4209">
        <v>-218666030</v>
      </c>
      <c r="N4209">
        <v>-1827196358</v>
      </c>
      <c r="O4209">
        <v>-2239992308</v>
      </c>
      <c r="P4209">
        <v>962</v>
      </c>
      <c r="Q4209" t="s">
        <v>8465</v>
      </c>
    </row>
    <row r="4210" spans="1:17" x14ac:dyDescent="0.3">
      <c r="A4210" t="s">
        <v>32</v>
      </c>
      <c r="B4210" t="str">
        <f>"300203"</f>
        <v>300203</v>
      </c>
      <c r="C4210" t="s">
        <v>8466</v>
      </c>
      <c r="D4210" t="s">
        <v>1334</v>
      </c>
      <c r="E4210">
        <v>-417325010</v>
      </c>
      <c r="F4210">
        <v>-771579043</v>
      </c>
      <c r="G4210">
        <v>-422579554</v>
      </c>
      <c r="H4210">
        <v>-662587965</v>
      </c>
      <c r="I4210">
        <v>-223637783</v>
      </c>
      <c r="J4210">
        <v>-286062914</v>
      </c>
      <c r="K4210">
        <v>-289218718</v>
      </c>
      <c r="L4210">
        <v>-148506535</v>
      </c>
      <c r="M4210">
        <v>-105855614</v>
      </c>
      <c r="N4210">
        <v>-89007474</v>
      </c>
      <c r="O4210">
        <v>-95985880</v>
      </c>
      <c r="P4210">
        <v>431</v>
      </c>
      <c r="Q4210" t="s">
        <v>8467</v>
      </c>
    </row>
    <row r="4211" spans="1:17" x14ac:dyDescent="0.3">
      <c r="A4211" t="s">
        <v>32</v>
      </c>
      <c r="B4211" t="str">
        <f>"002043"</f>
        <v>002043</v>
      </c>
      <c r="C4211" t="s">
        <v>8468</v>
      </c>
      <c r="D4211" t="s">
        <v>400</v>
      </c>
      <c r="E4211">
        <v>-417603118</v>
      </c>
      <c r="F4211">
        <v>-340475804</v>
      </c>
      <c r="G4211">
        <v>-491319433</v>
      </c>
      <c r="H4211">
        <v>-64171572</v>
      </c>
      <c r="I4211">
        <v>-95068412</v>
      </c>
      <c r="J4211">
        <v>-17075951</v>
      </c>
      <c r="K4211">
        <v>-3331211</v>
      </c>
      <c r="L4211">
        <v>-43257011</v>
      </c>
      <c r="M4211">
        <v>-45518008</v>
      </c>
      <c r="N4211">
        <v>-14922670</v>
      </c>
      <c r="O4211">
        <v>-17256868</v>
      </c>
      <c r="P4211">
        <v>666</v>
      </c>
      <c r="Q4211" t="s">
        <v>8469</v>
      </c>
    </row>
    <row r="4212" spans="1:17" x14ac:dyDescent="0.3">
      <c r="A4212" t="s">
        <v>32</v>
      </c>
      <c r="B4212" t="str">
        <f>"002601"</f>
        <v>002601</v>
      </c>
      <c r="C4212" t="s">
        <v>8470</v>
      </c>
      <c r="D4212" t="s">
        <v>144</v>
      </c>
      <c r="E4212">
        <v>-418171370</v>
      </c>
      <c r="F4212">
        <v>875485268</v>
      </c>
      <c r="G4212">
        <v>426264961</v>
      </c>
      <c r="H4212">
        <v>481367526</v>
      </c>
      <c r="I4212">
        <v>-601723433</v>
      </c>
      <c r="J4212">
        <v>36146501</v>
      </c>
      <c r="K4212">
        <v>-138712767</v>
      </c>
      <c r="L4212">
        <v>-363650489</v>
      </c>
      <c r="M4212">
        <v>-112702440</v>
      </c>
      <c r="N4212">
        <v>-230245270</v>
      </c>
      <c r="O4212">
        <v>92567490</v>
      </c>
      <c r="P4212">
        <v>1263</v>
      </c>
      <c r="Q4212" t="s">
        <v>8471</v>
      </c>
    </row>
    <row r="4213" spans="1:17" x14ac:dyDescent="0.3">
      <c r="A4213" t="s">
        <v>32</v>
      </c>
      <c r="B4213" t="str">
        <f>"002421"</f>
        <v>002421</v>
      </c>
      <c r="C4213" t="s">
        <v>8472</v>
      </c>
      <c r="D4213" t="s">
        <v>342</v>
      </c>
      <c r="E4213">
        <v>-418228118</v>
      </c>
      <c r="F4213">
        <v>-418164687</v>
      </c>
      <c r="G4213">
        <v>-323944341</v>
      </c>
      <c r="H4213">
        <v>-173174326</v>
      </c>
      <c r="I4213">
        <v>-432527677</v>
      </c>
      <c r="J4213">
        <v>-87752888</v>
      </c>
      <c r="K4213">
        <v>-151416511</v>
      </c>
      <c r="L4213">
        <v>-163856366</v>
      </c>
      <c r="M4213">
        <v>-57098968</v>
      </c>
      <c r="N4213">
        <v>-10551121</v>
      </c>
      <c r="O4213">
        <v>-24286018</v>
      </c>
      <c r="P4213">
        <v>199</v>
      </c>
      <c r="Q4213" t="s">
        <v>8473</v>
      </c>
    </row>
    <row r="4214" spans="1:17" x14ac:dyDescent="0.3">
      <c r="A4214" t="s">
        <v>32</v>
      </c>
      <c r="B4214" t="str">
        <f>"300827"</f>
        <v>300827</v>
      </c>
      <c r="C4214" t="s">
        <v>8474</v>
      </c>
      <c r="D4214" t="s">
        <v>464</v>
      </c>
      <c r="E4214">
        <v>-419419630</v>
      </c>
      <c r="F4214">
        <v>-212176590</v>
      </c>
      <c r="G4214">
        <v>-170041996</v>
      </c>
      <c r="H4214">
        <v>-105789413</v>
      </c>
      <c r="P4214">
        <v>233</v>
      </c>
      <c r="Q4214" t="s">
        <v>8475</v>
      </c>
    </row>
    <row r="4215" spans="1:17" x14ac:dyDescent="0.3">
      <c r="A4215" t="s">
        <v>32</v>
      </c>
      <c r="B4215" t="str">
        <f>"002124"</f>
        <v>002124</v>
      </c>
      <c r="C4215" t="s">
        <v>8476</v>
      </c>
      <c r="D4215" t="s">
        <v>175</v>
      </c>
      <c r="E4215">
        <v>-419835710</v>
      </c>
      <c r="F4215">
        <v>97673216</v>
      </c>
      <c r="G4215">
        <v>-36991076</v>
      </c>
      <c r="H4215">
        <v>-275689905</v>
      </c>
      <c r="I4215">
        <v>-410413560</v>
      </c>
      <c r="J4215">
        <v>-216697578</v>
      </c>
      <c r="K4215">
        <v>-5170246</v>
      </c>
      <c r="L4215">
        <v>-37728943</v>
      </c>
      <c r="M4215">
        <v>-29680698</v>
      </c>
      <c r="N4215">
        <v>-144044404</v>
      </c>
      <c r="O4215">
        <v>-29001616</v>
      </c>
      <c r="P4215">
        <v>922</v>
      </c>
      <c r="Q4215" t="s">
        <v>8477</v>
      </c>
    </row>
    <row r="4216" spans="1:17" x14ac:dyDescent="0.3">
      <c r="A4216" t="s">
        <v>32</v>
      </c>
      <c r="B4216" t="str">
        <f>"300059"</f>
        <v>300059</v>
      </c>
      <c r="C4216" t="s">
        <v>8478</v>
      </c>
      <c r="D4216" t="s">
        <v>26</v>
      </c>
      <c r="E4216">
        <v>-420489186</v>
      </c>
      <c r="F4216">
        <v>3299047403</v>
      </c>
      <c r="G4216">
        <v>1389338778</v>
      </c>
      <c r="H4216">
        <v>16685139966</v>
      </c>
      <c r="I4216">
        <v>2307751737</v>
      </c>
      <c r="J4216">
        <v>57587396</v>
      </c>
      <c r="K4216">
        <v>-1479097115</v>
      </c>
      <c r="L4216">
        <v>2028708434</v>
      </c>
      <c r="M4216">
        <v>-98232250</v>
      </c>
      <c r="N4216">
        <v>-2659716</v>
      </c>
      <c r="O4216">
        <v>2736403</v>
      </c>
      <c r="P4216">
        <v>5895</v>
      </c>
      <c r="Q4216" t="s">
        <v>8479</v>
      </c>
    </row>
    <row r="4217" spans="1:17" x14ac:dyDescent="0.3">
      <c r="A4217" t="s">
        <v>17</v>
      </c>
      <c r="B4217" t="str">
        <f>"601360"</f>
        <v>601360</v>
      </c>
      <c r="C4217" t="s">
        <v>8480</v>
      </c>
      <c r="D4217" t="s">
        <v>342</v>
      </c>
      <c r="E4217">
        <v>-420643000</v>
      </c>
      <c r="F4217">
        <v>-308178000</v>
      </c>
      <c r="G4217">
        <v>-227090000</v>
      </c>
      <c r="H4217">
        <v>256347000</v>
      </c>
      <c r="I4217">
        <v>874297000</v>
      </c>
      <c r="J4217">
        <v>-91747359</v>
      </c>
      <c r="K4217">
        <v>-97626862</v>
      </c>
      <c r="L4217">
        <v>-91188166</v>
      </c>
      <c r="M4217">
        <v>69900617</v>
      </c>
      <c r="N4217">
        <v>-25906366</v>
      </c>
      <c r="O4217">
        <v>-62829187</v>
      </c>
      <c r="P4217">
        <v>1010</v>
      </c>
      <c r="Q4217" t="s">
        <v>8481</v>
      </c>
    </row>
    <row r="4218" spans="1:17" x14ac:dyDescent="0.3">
      <c r="A4218" t="s">
        <v>17</v>
      </c>
      <c r="B4218" t="str">
        <f>"601636"</f>
        <v>601636</v>
      </c>
      <c r="C4218" t="s">
        <v>8482</v>
      </c>
      <c r="D4218" t="s">
        <v>400</v>
      </c>
      <c r="E4218">
        <v>-421000149</v>
      </c>
      <c r="F4218">
        <v>564934714</v>
      </c>
      <c r="G4218">
        <v>-465016022</v>
      </c>
      <c r="H4218">
        <v>-48693119</v>
      </c>
      <c r="I4218">
        <v>6674108</v>
      </c>
      <c r="J4218">
        <v>-75915771</v>
      </c>
      <c r="K4218">
        <v>-127321344</v>
      </c>
      <c r="L4218">
        <v>-156994285</v>
      </c>
      <c r="M4218">
        <v>-158346470</v>
      </c>
      <c r="N4218">
        <v>-107111195</v>
      </c>
      <c r="O4218">
        <v>-465757616</v>
      </c>
      <c r="P4218">
        <v>1517</v>
      </c>
      <c r="Q4218" t="s">
        <v>8483</v>
      </c>
    </row>
    <row r="4219" spans="1:17" x14ac:dyDescent="0.3">
      <c r="A4219" t="s">
        <v>17</v>
      </c>
      <c r="B4219" t="str">
        <f>"688521"</f>
        <v>688521</v>
      </c>
      <c r="C4219" t="s">
        <v>8484</v>
      </c>
      <c r="D4219" t="s">
        <v>124</v>
      </c>
      <c r="E4219">
        <v>-421575621</v>
      </c>
      <c r="F4219">
        <v>-55485960</v>
      </c>
      <c r="G4219">
        <v>-147226653</v>
      </c>
      <c r="H4219">
        <v>-99406348</v>
      </c>
      <c r="P4219">
        <v>140</v>
      </c>
      <c r="Q4219" t="s">
        <v>8485</v>
      </c>
    </row>
    <row r="4220" spans="1:17" x14ac:dyDescent="0.3">
      <c r="A4220" t="s">
        <v>32</v>
      </c>
      <c r="B4220" t="str">
        <f>"300850"</f>
        <v>300850</v>
      </c>
      <c r="C4220" t="s">
        <v>8486</v>
      </c>
      <c r="D4220" t="s">
        <v>464</v>
      </c>
      <c r="E4220">
        <v>-422382877</v>
      </c>
      <c r="F4220">
        <v>-435977037</v>
      </c>
      <c r="G4220">
        <v>55510717</v>
      </c>
      <c r="H4220">
        <v>-35436991</v>
      </c>
      <c r="P4220">
        <v>264</v>
      </c>
      <c r="Q4220" t="s">
        <v>8487</v>
      </c>
    </row>
    <row r="4221" spans="1:17" x14ac:dyDescent="0.3">
      <c r="A4221" t="s">
        <v>17</v>
      </c>
      <c r="B4221" t="str">
        <f>"601949"</f>
        <v>601949</v>
      </c>
      <c r="C4221" t="s">
        <v>8488</v>
      </c>
      <c r="D4221" t="s">
        <v>245</v>
      </c>
      <c r="E4221">
        <v>-423004655</v>
      </c>
      <c r="F4221">
        <v>-371496792</v>
      </c>
      <c r="G4221">
        <v>-368126016</v>
      </c>
      <c r="H4221">
        <v>-247965419</v>
      </c>
      <c r="I4221">
        <v>-366649911</v>
      </c>
      <c r="J4221">
        <v>-488132444</v>
      </c>
      <c r="K4221">
        <v>-449191900</v>
      </c>
      <c r="P4221">
        <v>160</v>
      </c>
      <c r="Q4221" t="s">
        <v>8489</v>
      </c>
    </row>
    <row r="4222" spans="1:17" x14ac:dyDescent="0.3">
      <c r="A4222" t="s">
        <v>32</v>
      </c>
      <c r="B4222" t="str">
        <f>"000998"</f>
        <v>000998</v>
      </c>
      <c r="C4222" t="s">
        <v>8490</v>
      </c>
      <c r="D4222" t="s">
        <v>175</v>
      </c>
      <c r="E4222">
        <v>-423702653</v>
      </c>
      <c r="F4222">
        <v>-350554652</v>
      </c>
      <c r="G4222">
        <v>-229029706</v>
      </c>
      <c r="H4222">
        <v>-654990053</v>
      </c>
      <c r="I4222">
        <v>-625354114</v>
      </c>
      <c r="J4222">
        <v>-408641931</v>
      </c>
      <c r="K4222">
        <v>-143193301</v>
      </c>
      <c r="L4222">
        <v>-21843077</v>
      </c>
      <c r="M4222">
        <v>-136663797</v>
      </c>
      <c r="N4222">
        <v>34256793</v>
      </c>
      <c r="O4222">
        <v>117802135</v>
      </c>
      <c r="P4222">
        <v>649</v>
      </c>
      <c r="Q4222" t="s">
        <v>8491</v>
      </c>
    </row>
    <row r="4223" spans="1:17" x14ac:dyDescent="0.3">
      <c r="A4223" t="s">
        <v>17</v>
      </c>
      <c r="B4223" t="str">
        <f>"900920"</f>
        <v>900920</v>
      </c>
      <c r="C4223" t="s">
        <v>8492</v>
      </c>
      <c r="E4223">
        <v>-425601631.7317</v>
      </c>
      <c r="F4223">
        <v>-41273642.369999997</v>
      </c>
      <c r="G4223">
        <v>-27351574.429499999</v>
      </c>
      <c r="H4223">
        <v>-24668195.789000001</v>
      </c>
      <c r="I4223">
        <v>-3769487.3744000001</v>
      </c>
      <c r="J4223">
        <v>-16640326.850400001</v>
      </c>
      <c r="K4223">
        <v>-27437653.240400001</v>
      </c>
      <c r="L4223">
        <v>48770.345399999998</v>
      </c>
      <c r="M4223">
        <v>-36954248.623199999</v>
      </c>
      <c r="N4223">
        <v>-39903691.414999999</v>
      </c>
      <c r="O4223">
        <v>-36828000.526799999</v>
      </c>
      <c r="P4223">
        <v>12</v>
      </c>
      <c r="Q4223" t="s">
        <v>8493</v>
      </c>
    </row>
    <row r="4224" spans="1:17" x14ac:dyDescent="0.3">
      <c r="A4224" t="s">
        <v>32</v>
      </c>
      <c r="B4224" t="str">
        <f>"300284"</f>
        <v>300284</v>
      </c>
      <c r="C4224" t="s">
        <v>8494</v>
      </c>
      <c r="D4224" t="s">
        <v>645</v>
      </c>
      <c r="E4224">
        <v>-426877075</v>
      </c>
      <c r="F4224">
        <v>-556259372</v>
      </c>
      <c r="G4224">
        <v>-328758861</v>
      </c>
      <c r="H4224">
        <v>-405704903</v>
      </c>
      <c r="I4224">
        <v>-594537172</v>
      </c>
      <c r="J4224">
        <v>-363194844</v>
      </c>
      <c r="K4224">
        <v>-289504237</v>
      </c>
      <c r="L4224">
        <v>-184580207</v>
      </c>
      <c r="M4224">
        <v>11720882</v>
      </c>
      <c r="N4224">
        <v>-49190089</v>
      </c>
      <c r="O4224">
        <v>-167071444</v>
      </c>
      <c r="P4224">
        <v>274</v>
      </c>
      <c r="Q4224" t="s">
        <v>8495</v>
      </c>
    </row>
    <row r="4225" spans="1:17" x14ac:dyDescent="0.3">
      <c r="A4225" t="s">
        <v>32</v>
      </c>
      <c r="B4225" t="str">
        <f>"300571"</f>
        <v>300571</v>
      </c>
      <c r="C4225" t="s">
        <v>8496</v>
      </c>
      <c r="D4225" t="s">
        <v>57</v>
      </c>
      <c r="E4225">
        <v>-427333445</v>
      </c>
      <c r="F4225">
        <v>-142786248</v>
      </c>
      <c r="G4225">
        <v>-231465232</v>
      </c>
      <c r="H4225">
        <v>104454293</v>
      </c>
      <c r="I4225">
        <v>24432877</v>
      </c>
      <c r="J4225">
        <v>16006424</v>
      </c>
      <c r="K4225">
        <v>-23274542</v>
      </c>
      <c r="P4225">
        <v>2117</v>
      </c>
      <c r="Q4225" t="s">
        <v>8497</v>
      </c>
    </row>
    <row r="4226" spans="1:17" x14ac:dyDescent="0.3">
      <c r="A4226" t="s">
        <v>32</v>
      </c>
      <c r="B4226" t="str">
        <f>"002430"</f>
        <v>002430</v>
      </c>
      <c r="C4226" t="s">
        <v>8498</v>
      </c>
      <c r="D4226" t="s">
        <v>135</v>
      </c>
      <c r="E4226">
        <v>-427882213</v>
      </c>
      <c r="F4226">
        <v>-63686744</v>
      </c>
      <c r="G4226">
        <v>-222655469</v>
      </c>
      <c r="H4226">
        <v>72478749</v>
      </c>
      <c r="I4226">
        <v>375796714</v>
      </c>
      <c r="J4226">
        <v>174388900</v>
      </c>
      <c r="K4226">
        <v>-69909340</v>
      </c>
      <c r="L4226">
        <v>-101801568</v>
      </c>
      <c r="M4226">
        <v>3977401</v>
      </c>
      <c r="N4226">
        <v>-61835467</v>
      </c>
      <c r="O4226">
        <v>-142577140</v>
      </c>
      <c r="P4226">
        <v>395</v>
      </c>
      <c r="Q4226" t="s">
        <v>8499</v>
      </c>
    </row>
    <row r="4227" spans="1:17" x14ac:dyDescent="0.3">
      <c r="A4227" t="s">
        <v>17</v>
      </c>
      <c r="B4227" t="str">
        <f>"600859"</f>
        <v>600859</v>
      </c>
      <c r="C4227" t="s">
        <v>8500</v>
      </c>
      <c r="D4227" t="s">
        <v>218</v>
      </c>
      <c r="E4227">
        <v>-428711572</v>
      </c>
      <c r="F4227">
        <v>159706301</v>
      </c>
      <c r="G4227">
        <v>-1632847482</v>
      </c>
      <c r="H4227">
        <v>-171330631</v>
      </c>
      <c r="I4227">
        <v>-87827382</v>
      </c>
      <c r="J4227">
        <v>-314971670</v>
      </c>
      <c r="K4227">
        <v>-348512274</v>
      </c>
      <c r="L4227">
        <v>-274449788</v>
      </c>
      <c r="M4227">
        <v>-656760034</v>
      </c>
      <c r="N4227">
        <v>-72236720</v>
      </c>
      <c r="O4227">
        <v>-341015154</v>
      </c>
      <c r="P4227">
        <v>553</v>
      </c>
      <c r="Q4227" t="s">
        <v>8501</v>
      </c>
    </row>
    <row r="4228" spans="1:17" x14ac:dyDescent="0.3">
      <c r="A4228" t="s">
        <v>32</v>
      </c>
      <c r="B4228" t="str">
        <f>"002016"</f>
        <v>002016</v>
      </c>
      <c r="C4228" t="s">
        <v>8502</v>
      </c>
      <c r="D4228" t="s">
        <v>151</v>
      </c>
      <c r="E4228">
        <v>-430401514</v>
      </c>
      <c r="F4228">
        <v>-303554815</v>
      </c>
      <c r="G4228">
        <v>417132115</v>
      </c>
      <c r="H4228">
        <v>427611504</v>
      </c>
      <c r="I4228">
        <v>-217578404</v>
      </c>
      <c r="J4228">
        <v>-138506224</v>
      </c>
      <c r="K4228">
        <v>214287286</v>
      </c>
      <c r="L4228">
        <v>-166444541</v>
      </c>
      <c r="M4228">
        <v>-746564465</v>
      </c>
      <c r="N4228">
        <v>133520674</v>
      </c>
      <c r="O4228">
        <v>-33332123</v>
      </c>
      <c r="P4228">
        <v>457</v>
      </c>
      <c r="Q4228" t="s">
        <v>8503</v>
      </c>
    </row>
    <row r="4229" spans="1:17" x14ac:dyDescent="0.3">
      <c r="A4229" t="s">
        <v>32</v>
      </c>
      <c r="B4229" t="str">
        <f>"300569"</f>
        <v>300569</v>
      </c>
      <c r="C4229" t="s">
        <v>8504</v>
      </c>
      <c r="D4229" t="s">
        <v>464</v>
      </c>
      <c r="E4229">
        <v>-432556870</v>
      </c>
      <c r="F4229">
        <v>-315062082</v>
      </c>
      <c r="G4229">
        <v>-251918903</v>
      </c>
      <c r="H4229">
        <v>8480714</v>
      </c>
      <c r="I4229">
        <v>-466522684</v>
      </c>
      <c r="J4229">
        <v>4955573</v>
      </c>
      <c r="K4229">
        <v>7576097</v>
      </c>
      <c r="P4229">
        <v>201</v>
      </c>
      <c r="Q4229" t="s">
        <v>8505</v>
      </c>
    </row>
    <row r="4230" spans="1:17" x14ac:dyDescent="0.3">
      <c r="A4230" t="s">
        <v>32</v>
      </c>
      <c r="B4230" t="str">
        <f>"002987"</f>
        <v>002987</v>
      </c>
      <c r="C4230" t="s">
        <v>8506</v>
      </c>
      <c r="D4230" t="s">
        <v>342</v>
      </c>
      <c r="E4230">
        <v>-433879427</v>
      </c>
      <c r="F4230">
        <v>-330051473</v>
      </c>
      <c r="G4230">
        <v>-197504441</v>
      </c>
      <c r="H4230">
        <v>-157629062</v>
      </c>
      <c r="P4230">
        <v>128</v>
      </c>
      <c r="Q4230" t="s">
        <v>8507</v>
      </c>
    </row>
    <row r="4231" spans="1:17" x14ac:dyDescent="0.3">
      <c r="A4231" t="s">
        <v>32</v>
      </c>
      <c r="B4231" t="str">
        <f>"002895"</f>
        <v>002895</v>
      </c>
      <c r="C4231" t="s">
        <v>8508</v>
      </c>
      <c r="D4231" t="s">
        <v>144</v>
      </c>
      <c r="E4231">
        <v>-434479621</v>
      </c>
      <c r="F4231">
        <v>-521058116</v>
      </c>
      <c r="G4231">
        <v>-57062814</v>
      </c>
      <c r="H4231">
        <v>-14366217</v>
      </c>
      <c r="I4231">
        <v>-71393505</v>
      </c>
      <c r="J4231">
        <v>-29977394</v>
      </c>
      <c r="P4231">
        <v>149</v>
      </c>
      <c r="Q4231" t="s">
        <v>8509</v>
      </c>
    </row>
    <row r="4232" spans="1:17" x14ac:dyDescent="0.3">
      <c r="A4232" t="s">
        <v>17</v>
      </c>
      <c r="B4232" t="str">
        <f>"600521"</f>
        <v>600521</v>
      </c>
      <c r="C4232" t="s">
        <v>8510</v>
      </c>
      <c r="D4232" t="s">
        <v>98</v>
      </c>
      <c r="E4232">
        <v>-437723210</v>
      </c>
      <c r="F4232">
        <v>-421225172</v>
      </c>
      <c r="G4232">
        <v>139278841</v>
      </c>
      <c r="H4232">
        <v>44033546</v>
      </c>
      <c r="I4232">
        <v>-476793783</v>
      </c>
      <c r="J4232">
        <v>-263719309</v>
      </c>
      <c r="K4232">
        <v>-240317937</v>
      </c>
      <c r="L4232">
        <v>-160415994</v>
      </c>
      <c r="M4232">
        <v>-90180100</v>
      </c>
      <c r="N4232">
        <v>-24918164</v>
      </c>
      <c r="O4232">
        <v>-10432278</v>
      </c>
      <c r="P4232">
        <v>964</v>
      </c>
      <c r="Q4232" t="s">
        <v>8511</v>
      </c>
    </row>
    <row r="4233" spans="1:17" x14ac:dyDescent="0.3">
      <c r="A4233" t="s">
        <v>32</v>
      </c>
      <c r="B4233" t="str">
        <f>"300166"</f>
        <v>300166</v>
      </c>
      <c r="C4233" t="s">
        <v>8512</v>
      </c>
      <c r="D4233" t="s">
        <v>342</v>
      </c>
      <c r="E4233">
        <v>-438382199</v>
      </c>
      <c r="F4233">
        <v>-404608110</v>
      </c>
      <c r="G4233">
        <v>-406346293</v>
      </c>
      <c r="H4233">
        <v>-369236303</v>
      </c>
      <c r="I4233">
        <v>-378332619</v>
      </c>
      <c r="J4233">
        <v>-208048901</v>
      </c>
      <c r="K4233">
        <v>-130219862</v>
      </c>
      <c r="L4233">
        <v>-78862104</v>
      </c>
      <c r="M4233">
        <v>-7782933</v>
      </c>
      <c r="N4233">
        <v>-55965932</v>
      </c>
      <c r="O4233">
        <v>-12597573</v>
      </c>
      <c r="P4233">
        <v>461</v>
      </c>
      <c r="Q4233" t="s">
        <v>8513</v>
      </c>
    </row>
    <row r="4234" spans="1:17" x14ac:dyDescent="0.3">
      <c r="A4234" t="s">
        <v>17</v>
      </c>
      <c r="B4234" t="str">
        <f>"601311"</f>
        <v>601311</v>
      </c>
      <c r="C4234" t="s">
        <v>8514</v>
      </c>
      <c r="D4234" t="s">
        <v>464</v>
      </c>
      <c r="E4234">
        <v>-438812034</v>
      </c>
      <c r="F4234">
        <v>-466954913</v>
      </c>
      <c r="G4234">
        <v>578433035</v>
      </c>
      <c r="H4234">
        <v>-98850584</v>
      </c>
      <c r="I4234">
        <v>-104566532</v>
      </c>
      <c r="J4234">
        <v>-323051626</v>
      </c>
      <c r="K4234">
        <v>-52143547</v>
      </c>
      <c r="L4234">
        <v>69639698</v>
      </c>
      <c r="M4234">
        <v>-124928943</v>
      </c>
      <c r="N4234">
        <v>-102096513</v>
      </c>
      <c r="O4234">
        <v>-111412939</v>
      </c>
      <c r="P4234">
        <v>340</v>
      </c>
      <c r="Q4234" t="s">
        <v>8515</v>
      </c>
    </row>
    <row r="4235" spans="1:17" x14ac:dyDescent="0.3">
      <c r="A4235" t="s">
        <v>32</v>
      </c>
      <c r="B4235" t="str">
        <f>"002001"</f>
        <v>002001</v>
      </c>
      <c r="C4235" t="s">
        <v>8516</v>
      </c>
      <c r="D4235" t="s">
        <v>98</v>
      </c>
      <c r="E4235">
        <v>-441443939</v>
      </c>
      <c r="F4235">
        <v>387612363</v>
      </c>
      <c r="G4235">
        <v>-331948745</v>
      </c>
      <c r="H4235">
        <v>-690489798</v>
      </c>
      <c r="I4235">
        <v>-372248974</v>
      </c>
      <c r="J4235">
        <v>-180834617</v>
      </c>
      <c r="K4235">
        <v>-168565304</v>
      </c>
      <c r="L4235">
        <v>-56600825</v>
      </c>
      <c r="M4235">
        <v>86030546</v>
      </c>
      <c r="N4235">
        <v>80498885</v>
      </c>
      <c r="O4235">
        <v>129884136</v>
      </c>
      <c r="P4235">
        <v>1982</v>
      </c>
      <c r="Q4235" t="s">
        <v>8517</v>
      </c>
    </row>
    <row r="4236" spans="1:17" x14ac:dyDescent="0.3">
      <c r="A4236" t="s">
        <v>32</v>
      </c>
      <c r="B4236" t="str">
        <f>"002955"</f>
        <v>002955</v>
      </c>
      <c r="C4236" t="s">
        <v>8518</v>
      </c>
      <c r="D4236" t="s">
        <v>124</v>
      </c>
      <c r="E4236">
        <v>-442083577</v>
      </c>
      <c r="F4236">
        <v>-360936397</v>
      </c>
      <c r="G4236">
        <v>-678594908</v>
      </c>
      <c r="H4236">
        <v>-355295981</v>
      </c>
      <c r="I4236">
        <v>-206417346</v>
      </c>
      <c r="P4236">
        <v>167</v>
      </c>
      <c r="Q4236" t="s">
        <v>8519</v>
      </c>
    </row>
    <row r="4237" spans="1:17" x14ac:dyDescent="0.3">
      <c r="A4237" t="s">
        <v>32</v>
      </c>
      <c r="B4237" t="str">
        <f>"300271"</f>
        <v>300271</v>
      </c>
      <c r="C4237" t="s">
        <v>8520</v>
      </c>
      <c r="D4237" t="s">
        <v>342</v>
      </c>
      <c r="E4237">
        <v>-442313270</v>
      </c>
      <c r="F4237">
        <v>-782320298</v>
      </c>
      <c r="G4237">
        <v>-593909004</v>
      </c>
      <c r="H4237">
        <v>-610804226</v>
      </c>
      <c r="I4237">
        <v>-497774449</v>
      </c>
      <c r="J4237">
        <v>-309008212</v>
      </c>
      <c r="K4237">
        <v>-227646567</v>
      </c>
      <c r="L4237">
        <v>-189322970</v>
      </c>
      <c r="M4237">
        <v>-161986982</v>
      </c>
      <c r="N4237">
        <v>-109129056</v>
      </c>
      <c r="O4237">
        <v>-47597682</v>
      </c>
      <c r="P4237">
        <v>590</v>
      </c>
      <c r="Q4237" t="s">
        <v>8521</v>
      </c>
    </row>
    <row r="4238" spans="1:17" x14ac:dyDescent="0.3">
      <c r="A4238" t="s">
        <v>32</v>
      </c>
      <c r="B4238" t="str">
        <f>"002822"</f>
        <v>002822</v>
      </c>
      <c r="C4238" t="s">
        <v>8522</v>
      </c>
      <c r="D4238" t="s">
        <v>645</v>
      </c>
      <c r="E4238">
        <v>-442715916</v>
      </c>
      <c r="F4238">
        <v>-356573265</v>
      </c>
      <c r="G4238">
        <v>-289353913</v>
      </c>
      <c r="H4238">
        <v>16897163</v>
      </c>
      <c r="I4238">
        <v>-474215933</v>
      </c>
      <c r="J4238">
        <v>-256017836</v>
      </c>
      <c r="K4238">
        <v>-77387296</v>
      </c>
      <c r="P4238">
        <v>134</v>
      </c>
      <c r="Q4238" t="s">
        <v>8523</v>
      </c>
    </row>
    <row r="4239" spans="1:17" x14ac:dyDescent="0.3">
      <c r="A4239" t="s">
        <v>17</v>
      </c>
      <c r="B4239" t="str">
        <f>"688012"</f>
        <v>688012</v>
      </c>
      <c r="C4239" t="s">
        <v>8524</v>
      </c>
      <c r="D4239" t="s">
        <v>124</v>
      </c>
      <c r="E4239">
        <v>-442807323</v>
      </c>
      <c r="F4239">
        <v>-160134311</v>
      </c>
      <c r="G4239">
        <v>242496955</v>
      </c>
      <c r="H4239">
        <v>-237101671</v>
      </c>
      <c r="I4239">
        <v>19665734</v>
      </c>
      <c r="P4239">
        <v>620</v>
      </c>
      <c r="Q4239" t="s">
        <v>8525</v>
      </c>
    </row>
    <row r="4240" spans="1:17" x14ac:dyDescent="0.3">
      <c r="A4240" t="s">
        <v>32</v>
      </c>
      <c r="B4240" t="str">
        <f>"000029"</f>
        <v>000029</v>
      </c>
      <c r="C4240" t="s">
        <v>8526</v>
      </c>
      <c r="D4240" t="s">
        <v>151</v>
      </c>
      <c r="E4240">
        <v>-442935726</v>
      </c>
      <c r="F4240">
        <v>303273576</v>
      </c>
      <c r="G4240">
        <v>-435285972</v>
      </c>
      <c r="H4240">
        <v>217114927</v>
      </c>
      <c r="I4240">
        <v>205260588</v>
      </c>
      <c r="J4240">
        <v>-30298220</v>
      </c>
      <c r="K4240">
        <v>127418958</v>
      </c>
      <c r="L4240">
        <v>-22244511</v>
      </c>
      <c r="M4240">
        <v>147623901</v>
      </c>
      <c r="N4240">
        <v>270111237</v>
      </c>
      <c r="O4240">
        <v>-17674570</v>
      </c>
      <c r="P4240">
        <v>137</v>
      </c>
      <c r="Q4240" t="s">
        <v>8527</v>
      </c>
    </row>
    <row r="4241" spans="1:17" x14ac:dyDescent="0.3">
      <c r="A4241" t="s">
        <v>17</v>
      </c>
      <c r="B4241" t="str">
        <f>"600537"</f>
        <v>600537</v>
      </c>
      <c r="C4241" t="s">
        <v>8528</v>
      </c>
      <c r="D4241" t="s">
        <v>464</v>
      </c>
      <c r="E4241">
        <v>-443651012</v>
      </c>
      <c r="F4241">
        <v>-766120207</v>
      </c>
      <c r="G4241">
        <v>-49272193</v>
      </c>
      <c r="H4241">
        <v>-397372205</v>
      </c>
      <c r="I4241">
        <v>-177529868</v>
      </c>
      <c r="J4241">
        <v>-365454810</v>
      </c>
      <c r="K4241">
        <v>14665520</v>
      </c>
      <c r="L4241">
        <v>-314360851</v>
      </c>
      <c r="M4241">
        <v>51475741</v>
      </c>
      <c r="N4241">
        <v>57023790</v>
      </c>
      <c r="O4241">
        <v>-377042712</v>
      </c>
      <c r="P4241">
        <v>147</v>
      </c>
      <c r="Q4241" t="s">
        <v>8529</v>
      </c>
    </row>
    <row r="4242" spans="1:17" x14ac:dyDescent="0.3">
      <c r="A4242" t="s">
        <v>17</v>
      </c>
      <c r="B4242" t="str">
        <f>"600110"</f>
        <v>600110</v>
      </c>
      <c r="C4242" t="s">
        <v>8530</v>
      </c>
      <c r="D4242" t="s">
        <v>121</v>
      </c>
      <c r="E4242">
        <v>-445314347</v>
      </c>
      <c r="F4242">
        <v>-241040932</v>
      </c>
      <c r="G4242">
        <v>-6018080</v>
      </c>
      <c r="H4242">
        <v>-172772869</v>
      </c>
      <c r="I4242">
        <v>294168778</v>
      </c>
      <c r="J4242">
        <v>-64605776</v>
      </c>
      <c r="K4242">
        <v>-402995794</v>
      </c>
      <c r="L4242">
        <v>255769752</v>
      </c>
      <c r="M4242">
        <v>-245590577</v>
      </c>
      <c r="N4242">
        <v>-293233919</v>
      </c>
      <c r="O4242">
        <v>176959723</v>
      </c>
      <c r="P4242">
        <v>340</v>
      </c>
      <c r="Q4242" t="s">
        <v>8531</v>
      </c>
    </row>
    <row r="4243" spans="1:17" x14ac:dyDescent="0.3">
      <c r="A4243" t="s">
        <v>17</v>
      </c>
      <c r="B4243" t="str">
        <f>"600681"</f>
        <v>600681</v>
      </c>
      <c r="C4243" t="s">
        <v>8532</v>
      </c>
      <c r="D4243" t="s">
        <v>158</v>
      </c>
      <c r="E4243">
        <v>-445407602</v>
      </c>
      <c r="F4243">
        <v>-121311999</v>
      </c>
      <c r="G4243">
        <v>-383459702</v>
      </c>
      <c r="H4243">
        <v>-386331031</v>
      </c>
      <c r="I4243">
        <v>-239005338</v>
      </c>
      <c r="J4243">
        <v>-255238215</v>
      </c>
      <c r="K4243">
        <v>-29004504</v>
      </c>
      <c r="L4243">
        <v>-1780020</v>
      </c>
      <c r="M4243">
        <v>-1800746</v>
      </c>
      <c r="N4243">
        <v>10300514</v>
      </c>
      <c r="O4243">
        <v>-3388722</v>
      </c>
      <c r="P4243">
        <v>472</v>
      </c>
      <c r="Q4243" t="s">
        <v>8533</v>
      </c>
    </row>
    <row r="4244" spans="1:17" x14ac:dyDescent="0.3">
      <c r="A4244" t="s">
        <v>17</v>
      </c>
      <c r="B4244" t="str">
        <f>"600658"</f>
        <v>600658</v>
      </c>
      <c r="C4244" t="s">
        <v>8534</v>
      </c>
      <c r="D4244" t="s">
        <v>151</v>
      </c>
      <c r="E4244">
        <v>-446815390</v>
      </c>
      <c r="F4244">
        <v>-616925393</v>
      </c>
      <c r="G4244">
        <v>-368856014</v>
      </c>
      <c r="H4244">
        <v>-1698513506</v>
      </c>
      <c r="I4244">
        <v>133653361</v>
      </c>
      <c r="J4244">
        <v>-1022766016</v>
      </c>
      <c r="K4244">
        <v>-342759435</v>
      </c>
      <c r="L4244">
        <v>-129951376</v>
      </c>
      <c r="M4244">
        <v>527760962</v>
      </c>
      <c r="N4244">
        <v>516335670</v>
      </c>
      <c r="O4244">
        <v>132814180</v>
      </c>
      <c r="P4244">
        <v>136</v>
      </c>
      <c r="Q4244" t="s">
        <v>8535</v>
      </c>
    </row>
    <row r="4245" spans="1:17" x14ac:dyDescent="0.3">
      <c r="A4245" t="s">
        <v>17</v>
      </c>
      <c r="B4245" t="str">
        <f>"603171"</f>
        <v>603171</v>
      </c>
      <c r="C4245" t="s">
        <v>8536</v>
      </c>
      <c r="D4245" t="s">
        <v>342</v>
      </c>
      <c r="E4245">
        <v>-447470900</v>
      </c>
      <c r="F4245">
        <v>-275688376</v>
      </c>
      <c r="G4245">
        <v>-168082102</v>
      </c>
      <c r="P4245">
        <v>54</v>
      </c>
      <c r="Q4245" t="s">
        <v>8537</v>
      </c>
    </row>
    <row r="4246" spans="1:17" x14ac:dyDescent="0.3">
      <c r="A4246" t="s">
        <v>32</v>
      </c>
      <c r="B4246" t="str">
        <f>"002064"</f>
        <v>002064</v>
      </c>
      <c r="C4246" t="s">
        <v>8538</v>
      </c>
      <c r="D4246" t="s">
        <v>144</v>
      </c>
      <c r="E4246">
        <v>-448686649</v>
      </c>
      <c r="F4246">
        <v>-23887316</v>
      </c>
      <c r="G4246">
        <v>-697204205</v>
      </c>
      <c r="H4246">
        <v>113562316</v>
      </c>
      <c r="I4246">
        <v>25552296</v>
      </c>
      <c r="J4246">
        <v>-135971424</v>
      </c>
      <c r="K4246">
        <v>-176051150</v>
      </c>
      <c r="L4246">
        <v>-228187622</v>
      </c>
      <c r="M4246">
        <v>-8836600</v>
      </c>
      <c r="N4246">
        <v>-94987163</v>
      </c>
      <c r="O4246">
        <v>656477</v>
      </c>
      <c r="P4246">
        <v>688</v>
      </c>
      <c r="Q4246" t="s">
        <v>8539</v>
      </c>
    </row>
    <row r="4247" spans="1:17" x14ac:dyDescent="0.3">
      <c r="A4247" t="s">
        <v>32</v>
      </c>
      <c r="B4247" t="str">
        <f>"002841"</f>
        <v>002841</v>
      </c>
      <c r="C4247" t="s">
        <v>8540</v>
      </c>
      <c r="D4247" t="s">
        <v>497</v>
      </c>
      <c r="E4247">
        <v>-449878805</v>
      </c>
      <c r="F4247">
        <v>34183792</v>
      </c>
      <c r="G4247">
        <v>-629886668</v>
      </c>
      <c r="H4247">
        <v>-140134281</v>
      </c>
      <c r="I4247">
        <v>-174568718</v>
      </c>
      <c r="J4247">
        <v>-372020295</v>
      </c>
      <c r="K4247">
        <v>-20494897</v>
      </c>
      <c r="P4247">
        <v>3100</v>
      </c>
      <c r="Q4247" t="s">
        <v>8541</v>
      </c>
    </row>
    <row r="4248" spans="1:17" x14ac:dyDescent="0.3">
      <c r="A4248" t="s">
        <v>17</v>
      </c>
      <c r="B4248" t="str">
        <f>"688559"</f>
        <v>688559</v>
      </c>
      <c r="C4248" t="s">
        <v>8542</v>
      </c>
      <c r="D4248" t="s">
        <v>135</v>
      </c>
      <c r="E4248">
        <v>-450247020</v>
      </c>
      <c r="F4248">
        <v>-209336201</v>
      </c>
      <c r="G4248">
        <v>-210054752</v>
      </c>
      <c r="P4248">
        <v>68</v>
      </c>
      <c r="Q4248" t="s">
        <v>8543</v>
      </c>
    </row>
    <row r="4249" spans="1:17" x14ac:dyDescent="0.3">
      <c r="A4249" t="s">
        <v>32</v>
      </c>
      <c r="B4249" t="str">
        <f>"000963"</f>
        <v>000963</v>
      </c>
      <c r="C4249" t="s">
        <v>8544</v>
      </c>
      <c r="D4249" t="s">
        <v>98</v>
      </c>
      <c r="E4249">
        <v>-452307235</v>
      </c>
      <c r="F4249">
        <v>-280715</v>
      </c>
      <c r="G4249">
        <v>297667206</v>
      </c>
      <c r="H4249">
        <v>-745056778</v>
      </c>
      <c r="I4249">
        <v>-807515784</v>
      </c>
      <c r="J4249">
        <v>-1064193040</v>
      </c>
      <c r="K4249">
        <v>-809135793</v>
      </c>
      <c r="L4249">
        <v>-460978850</v>
      </c>
      <c r="M4249">
        <v>-550824450</v>
      </c>
      <c r="N4249">
        <v>-471092261</v>
      </c>
      <c r="O4249">
        <v>-332757058</v>
      </c>
      <c r="P4249">
        <v>59260</v>
      </c>
      <c r="Q4249" t="s">
        <v>8545</v>
      </c>
    </row>
    <row r="4250" spans="1:17" x14ac:dyDescent="0.3">
      <c r="A4250" t="s">
        <v>17</v>
      </c>
      <c r="B4250" t="str">
        <f>"603337"</f>
        <v>603337</v>
      </c>
      <c r="C4250" t="s">
        <v>8546</v>
      </c>
      <c r="D4250" t="s">
        <v>135</v>
      </c>
      <c r="E4250">
        <v>-453891492</v>
      </c>
      <c r="F4250">
        <v>-89796422</v>
      </c>
      <c r="G4250">
        <v>-89511001</v>
      </c>
      <c r="H4250">
        <v>4361501</v>
      </c>
      <c r="I4250">
        <v>34104729</v>
      </c>
      <c r="J4250">
        <v>103518486</v>
      </c>
      <c r="K4250">
        <v>-48716747</v>
      </c>
      <c r="P4250">
        <v>370</v>
      </c>
      <c r="Q4250" t="s">
        <v>8547</v>
      </c>
    </row>
    <row r="4251" spans="1:17" x14ac:dyDescent="0.3">
      <c r="A4251" t="s">
        <v>17</v>
      </c>
      <c r="B4251" t="str">
        <f>"688295"</f>
        <v>688295</v>
      </c>
      <c r="C4251" t="s">
        <v>8548</v>
      </c>
      <c r="E4251">
        <v>-454456564</v>
      </c>
      <c r="P4251">
        <v>15</v>
      </c>
      <c r="Q4251" t="s">
        <v>8549</v>
      </c>
    </row>
    <row r="4252" spans="1:17" x14ac:dyDescent="0.3">
      <c r="A4252" t="s">
        <v>32</v>
      </c>
      <c r="B4252" t="str">
        <f>"000589"</f>
        <v>000589</v>
      </c>
      <c r="C4252" t="s">
        <v>8550</v>
      </c>
      <c r="D4252" t="s">
        <v>199</v>
      </c>
      <c r="E4252">
        <v>-455358744</v>
      </c>
      <c r="F4252">
        <v>-475728621</v>
      </c>
      <c r="G4252">
        <v>415897242</v>
      </c>
      <c r="H4252">
        <v>839491833</v>
      </c>
      <c r="I4252">
        <v>278767180</v>
      </c>
      <c r="J4252">
        <v>109028597</v>
      </c>
      <c r="K4252">
        <v>-295491060</v>
      </c>
      <c r="L4252">
        <v>174016863</v>
      </c>
      <c r="M4252">
        <v>31401033</v>
      </c>
      <c r="N4252">
        <v>141963661</v>
      </c>
      <c r="O4252">
        <v>116379795</v>
      </c>
      <c r="P4252">
        <v>208</v>
      </c>
      <c r="Q4252" t="s">
        <v>8551</v>
      </c>
    </row>
    <row r="4253" spans="1:17" x14ac:dyDescent="0.3">
      <c r="A4253" t="s">
        <v>32</v>
      </c>
      <c r="B4253" t="str">
        <f>"000970"</f>
        <v>000970</v>
      </c>
      <c r="C4253" t="s">
        <v>8552</v>
      </c>
      <c r="D4253" t="s">
        <v>121</v>
      </c>
      <c r="E4253">
        <v>-455440528</v>
      </c>
      <c r="F4253">
        <v>-113368455</v>
      </c>
      <c r="G4253">
        <v>147481617</v>
      </c>
      <c r="H4253">
        <v>138703585</v>
      </c>
      <c r="I4253">
        <v>176045669</v>
      </c>
      <c r="J4253">
        <v>-2025572</v>
      </c>
      <c r="K4253">
        <v>173869085</v>
      </c>
      <c r="L4253">
        <v>83133763</v>
      </c>
      <c r="M4253">
        <v>-48467880</v>
      </c>
      <c r="N4253">
        <v>54786106</v>
      </c>
      <c r="O4253">
        <v>555029452</v>
      </c>
      <c r="P4253">
        <v>365</v>
      </c>
      <c r="Q4253" t="s">
        <v>8553</v>
      </c>
    </row>
    <row r="4254" spans="1:17" x14ac:dyDescent="0.3">
      <c r="A4254" t="s">
        <v>17</v>
      </c>
      <c r="B4254" t="str">
        <f>"603228"</f>
        <v>603228</v>
      </c>
      <c r="C4254" t="s">
        <v>8554</v>
      </c>
      <c r="D4254" t="s">
        <v>124</v>
      </c>
      <c r="E4254">
        <v>-455655250</v>
      </c>
      <c r="F4254">
        <v>-73083220</v>
      </c>
      <c r="G4254">
        <v>177408009</v>
      </c>
      <c r="H4254">
        <v>89626065</v>
      </c>
      <c r="I4254">
        <v>77500337</v>
      </c>
      <c r="J4254">
        <v>37242612</v>
      </c>
      <c r="K4254">
        <v>1400837</v>
      </c>
      <c r="P4254">
        <v>1624</v>
      </c>
      <c r="Q4254" t="s">
        <v>8555</v>
      </c>
    </row>
    <row r="4255" spans="1:17" x14ac:dyDescent="0.3">
      <c r="A4255" t="s">
        <v>17</v>
      </c>
      <c r="B4255" t="str">
        <f>"603815"</f>
        <v>603815</v>
      </c>
      <c r="C4255" t="s">
        <v>8556</v>
      </c>
      <c r="D4255" t="s">
        <v>645</v>
      </c>
      <c r="E4255">
        <v>-456463694</v>
      </c>
      <c r="F4255">
        <v>-255833069</v>
      </c>
      <c r="G4255">
        <v>-395235713</v>
      </c>
      <c r="H4255">
        <v>-621684568</v>
      </c>
      <c r="P4255">
        <v>85</v>
      </c>
      <c r="Q4255" t="s">
        <v>8557</v>
      </c>
    </row>
    <row r="4256" spans="1:17" x14ac:dyDescent="0.3">
      <c r="A4256" t="s">
        <v>32</v>
      </c>
      <c r="B4256" t="str">
        <f>"000030"</f>
        <v>000030</v>
      </c>
      <c r="C4256" t="s">
        <v>8558</v>
      </c>
      <c r="D4256" t="s">
        <v>199</v>
      </c>
      <c r="E4256">
        <v>-456923894</v>
      </c>
      <c r="F4256">
        <v>93731259</v>
      </c>
      <c r="G4256">
        <v>40860032</v>
      </c>
      <c r="H4256">
        <v>-279963809</v>
      </c>
      <c r="I4256">
        <v>101754145</v>
      </c>
      <c r="J4256">
        <v>16688596</v>
      </c>
      <c r="K4256">
        <v>-7326246</v>
      </c>
      <c r="L4256">
        <v>58630186</v>
      </c>
      <c r="M4256">
        <v>144069396</v>
      </c>
      <c r="N4256">
        <v>-136019450</v>
      </c>
      <c r="O4256">
        <v>-471684</v>
      </c>
      <c r="P4256">
        <v>330</v>
      </c>
      <c r="Q4256" t="s">
        <v>8559</v>
      </c>
    </row>
    <row r="4257" spans="1:17" x14ac:dyDescent="0.3">
      <c r="A4257" t="s">
        <v>32</v>
      </c>
      <c r="B4257" t="str">
        <f>"002465"</f>
        <v>002465</v>
      </c>
      <c r="C4257" t="s">
        <v>8560</v>
      </c>
      <c r="D4257" t="s">
        <v>188</v>
      </c>
      <c r="E4257">
        <v>-458040818</v>
      </c>
      <c r="F4257">
        <v>-145237836</v>
      </c>
      <c r="G4257">
        <v>-200528834</v>
      </c>
      <c r="H4257">
        <v>-292909906</v>
      </c>
      <c r="I4257">
        <v>-210749692</v>
      </c>
      <c r="J4257">
        <v>-582530927</v>
      </c>
      <c r="K4257">
        <v>-387768596</v>
      </c>
      <c r="L4257">
        <v>-305036773</v>
      </c>
      <c r="M4257">
        <v>-372687427</v>
      </c>
      <c r="N4257">
        <v>-1550728</v>
      </c>
      <c r="O4257">
        <v>-100462472</v>
      </c>
      <c r="P4257">
        <v>546</v>
      </c>
      <c r="Q4257" t="s">
        <v>8561</v>
      </c>
    </row>
    <row r="4258" spans="1:17" x14ac:dyDescent="0.3">
      <c r="A4258" t="s">
        <v>17</v>
      </c>
      <c r="B4258" t="str">
        <f>"600218"</f>
        <v>600218</v>
      </c>
      <c r="C4258" t="s">
        <v>8562</v>
      </c>
      <c r="D4258" t="s">
        <v>199</v>
      </c>
      <c r="E4258">
        <v>-461530370</v>
      </c>
      <c r="F4258">
        <v>-203955062</v>
      </c>
      <c r="G4258">
        <v>133069367</v>
      </c>
      <c r="H4258">
        <v>-17356443</v>
      </c>
      <c r="I4258">
        <v>-58701819</v>
      </c>
      <c r="J4258">
        <v>-215132176</v>
      </c>
      <c r="K4258">
        <v>41597979</v>
      </c>
      <c r="L4258">
        <v>30843461</v>
      </c>
      <c r="M4258">
        <v>-46300942</v>
      </c>
      <c r="N4258">
        <v>48390658</v>
      </c>
      <c r="O4258">
        <v>-7290120</v>
      </c>
      <c r="P4258">
        <v>166</v>
      </c>
      <c r="Q4258" t="s">
        <v>8563</v>
      </c>
    </row>
    <row r="4259" spans="1:17" x14ac:dyDescent="0.3">
      <c r="A4259" t="s">
        <v>17</v>
      </c>
      <c r="B4259" t="str">
        <f>"600118"</f>
        <v>600118</v>
      </c>
      <c r="C4259" t="s">
        <v>8564</v>
      </c>
      <c r="D4259" t="s">
        <v>188</v>
      </c>
      <c r="E4259">
        <v>-464726236</v>
      </c>
      <c r="F4259">
        <v>-184189350</v>
      </c>
      <c r="G4259">
        <v>72542733</v>
      </c>
      <c r="H4259">
        <v>-388745940</v>
      </c>
      <c r="I4259">
        <v>-196909743</v>
      </c>
      <c r="J4259">
        <v>-443884105</v>
      </c>
      <c r="K4259">
        <v>-328242588</v>
      </c>
      <c r="L4259">
        <v>-344581333</v>
      </c>
      <c r="M4259">
        <v>-441827892</v>
      </c>
      <c r="N4259">
        <v>-337635186</v>
      </c>
      <c r="O4259">
        <v>-320689337</v>
      </c>
      <c r="P4259">
        <v>3372</v>
      </c>
      <c r="Q4259" t="s">
        <v>8565</v>
      </c>
    </row>
    <row r="4260" spans="1:17" x14ac:dyDescent="0.3">
      <c r="A4260" t="s">
        <v>32</v>
      </c>
      <c r="B4260" t="str">
        <f>"000628"</f>
        <v>000628</v>
      </c>
      <c r="C4260" t="s">
        <v>8566</v>
      </c>
      <c r="D4260" t="s">
        <v>645</v>
      </c>
      <c r="E4260">
        <v>-465172984</v>
      </c>
      <c r="F4260">
        <v>-188256399</v>
      </c>
      <c r="G4260">
        <v>123287525</v>
      </c>
      <c r="H4260">
        <v>68686098</v>
      </c>
      <c r="I4260">
        <v>-262613896</v>
      </c>
      <c r="J4260">
        <v>27399329</v>
      </c>
      <c r="K4260">
        <v>12713681</v>
      </c>
      <c r="L4260">
        <v>46972560</v>
      </c>
      <c r="M4260">
        <v>166668917</v>
      </c>
      <c r="N4260">
        <v>36226742</v>
      </c>
      <c r="O4260">
        <v>7064300</v>
      </c>
      <c r="P4260">
        <v>127</v>
      </c>
      <c r="Q4260" t="s">
        <v>8567</v>
      </c>
    </row>
    <row r="4261" spans="1:17" x14ac:dyDescent="0.3">
      <c r="A4261" t="s">
        <v>32</v>
      </c>
      <c r="B4261" t="str">
        <f>"000925"</f>
        <v>000925</v>
      </c>
      <c r="C4261" t="s">
        <v>8568</v>
      </c>
      <c r="D4261" t="s">
        <v>135</v>
      </c>
      <c r="E4261">
        <v>-466216486</v>
      </c>
      <c r="F4261">
        <v>-610146857</v>
      </c>
      <c r="G4261">
        <v>-512140663</v>
      </c>
      <c r="H4261">
        <v>-235933656</v>
      </c>
      <c r="I4261">
        <v>-152671543</v>
      </c>
      <c r="J4261">
        <v>-159567424</v>
      </c>
      <c r="K4261">
        <v>-245647928</v>
      </c>
      <c r="L4261">
        <v>-322495050</v>
      </c>
      <c r="M4261">
        <v>-631136</v>
      </c>
      <c r="N4261">
        <v>47712611</v>
      </c>
      <c r="O4261">
        <v>-14434544</v>
      </c>
      <c r="P4261">
        <v>188</v>
      </c>
      <c r="Q4261" t="s">
        <v>8569</v>
      </c>
    </row>
    <row r="4262" spans="1:17" x14ac:dyDescent="0.3">
      <c r="A4262" t="s">
        <v>17</v>
      </c>
      <c r="B4262" t="str">
        <f>"600581"</f>
        <v>600581</v>
      </c>
      <c r="C4262" t="s">
        <v>8570</v>
      </c>
      <c r="D4262" t="s">
        <v>163</v>
      </c>
      <c r="E4262">
        <v>-466874355</v>
      </c>
      <c r="F4262">
        <v>-890702965</v>
      </c>
      <c r="G4262">
        <v>-202851551</v>
      </c>
      <c r="H4262">
        <v>-213495594</v>
      </c>
      <c r="I4262">
        <v>-415616195</v>
      </c>
      <c r="J4262">
        <v>-24658237</v>
      </c>
      <c r="K4262">
        <v>60573311</v>
      </c>
      <c r="L4262">
        <v>-376383704</v>
      </c>
      <c r="M4262">
        <v>356101815</v>
      </c>
      <c r="N4262">
        <v>110314288</v>
      </c>
      <c r="O4262">
        <v>30527646</v>
      </c>
      <c r="P4262">
        <v>265</v>
      </c>
      <c r="Q4262" t="s">
        <v>8571</v>
      </c>
    </row>
    <row r="4263" spans="1:17" x14ac:dyDescent="0.3">
      <c r="A4263" t="s">
        <v>32</v>
      </c>
      <c r="B4263" t="str">
        <f>"300036"</f>
        <v>300036</v>
      </c>
      <c r="C4263" t="s">
        <v>8572</v>
      </c>
      <c r="D4263" t="s">
        <v>342</v>
      </c>
      <c r="E4263">
        <v>-467861572</v>
      </c>
      <c r="F4263">
        <v>-395284822</v>
      </c>
      <c r="G4263">
        <v>-325500975</v>
      </c>
      <c r="H4263">
        <v>-288704235</v>
      </c>
      <c r="I4263">
        <v>-250400881</v>
      </c>
      <c r="J4263">
        <v>-163492526</v>
      </c>
      <c r="K4263">
        <v>-99041181</v>
      </c>
      <c r="L4263">
        <v>-65145382</v>
      </c>
      <c r="M4263">
        <v>-68092211</v>
      </c>
      <c r="N4263">
        <v>-39707793</v>
      </c>
      <c r="O4263">
        <v>-210327205</v>
      </c>
      <c r="P4263">
        <v>546</v>
      </c>
      <c r="Q4263" t="s">
        <v>8573</v>
      </c>
    </row>
    <row r="4264" spans="1:17" x14ac:dyDescent="0.3">
      <c r="A4264" t="s">
        <v>17</v>
      </c>
      <c r="B4264" t="str">
        <f>"600699"</f>
        <v>600699</v>
      </c>
      <c r="C4264" t="s">
        <v>8574</v>
      </c>
      <c r="D4264" t="s">
        <v>199</v>
      </c>
      <c r="E4264">
        <v>-469673007</v>
      </c>
      <c r="F4264">
        <v>-541173728</v>
      </c>
      <c r="G4264">
        <v>-853497298</v>
      </c>
      <c r="H4264">
        <v>-912734082</v>
      </c>
      <c r="I4264">
        <v>-887555053</v>
      </c>
      <c r="J4264">
        <v>-322210121</v>
      </c>
      <c r="K4264">
        <v>-165167551</v>
      </c>
      <c r="L4264">
        <v>-270803181</v>
      </c>
      <c r="M4264">
        <v>-117383295</v>
      </c>
      <c r="N4264">
        <v>-89665572</v>
      </c>
      <c r="O4264">
        <v>-22877892</v>
      </c>
      <c r="P4264">
        <v>958</v>
      </c>
      <c r="Q4264" t="s">
        <v>8575</v>
      </c>
    </row>
    <row r="4265" spans="1:17" x14ac:dyDescent="0.3">
      <c r="A4265" t="s">
        <v>17</v>
      </c>
      <c r="B4265" t="str">
        <f>"600708"</f>
        <v>600708</v>
      </c>
      <c r="C4265" t="s">
        <v>8576</v>
      </c>
      <c r="D4265" t="s">
        <v>151</v>
      </c>
      <c r="E4265">
        <v>-469797247</v>
      </c>
      <c r="F4265">
        <v>-186977279</v>
      </c>
      <c r="G4265">
        <v>-1256921662</v>
      </c>
      <c r="H4265">
        <v>-5657487853</v>
      </c>
      <c r="I4265">
        <v>-2878102009</v>
      </c>
      <c r="J4265">
        <v>-334004437</v>
      </c>
      <c r="K4265">
        <v>-503977296</v>
      </c>
      <c r="L4265">
        <v>-182489370</v>
      </c>
      <c r="M4265">
        <v>12404720</v>
      </c>
      <c r="N4265">
        <v>74158955</v>
      </c>
      <c r="O4265">
        <v>-29753937</v>
      </c>
      <c r="P4265">
        <v>677</v>
      </c>
      <c r="Q4265" t="s">
        <v>8577</v>
      </c>
    </row>
    <row r="4266" spans="1:17" x14ac:dyDescent="0.3">
      <c r="A4266" t="s">
        <v>32</v>
      </c>
      <c r="B4266" t="str">
        <f>"002572"</f>
        <v>002572</v>
      </c>
      <c r="C4266" t="s">
        <v>8578</v>
      </c>
      <c r="D4266" t="s">
        <v>455</v>
      </c>
      <c r="E4266">
        <v>-471992367</v>
      </c>
      <c r="F4266">
        <v>-839862724</v>
      </c>
      <c r="G4266">
        <v>-731811589</v>
      </c>
      <c r="H4266">
        <v>-713334458</v>
      </c>
      <c r="I4266">
        <v>-443714148</v>
      </c>
      <c r="J4266">
        <v>-362336672</v>
      </c>
      <c r="K4266">
        <v>-144592864</v>
      </c>
      <c r="L4266">
        <v>-195592233</v>
      </c>
      <c r="M4266">
        <v>-21139068</v>
      </c>
      <c r="N4266">
        <v>-67225665</v>
      </c>
      <c r="O4266">
        <v>-35737435</v>
      </c>
      <c r="P4266">
        <v>9137</v>
      </c>
      <c r="Q4266" t="s">
        <v>8579</v>
      </c>
    </row>
    <row r="4267" spans="1:17" x14ac:dyDescent="0.3">
      <c r="A4267" t="s">
        <v>17</v>
      </c>
      <c r="B4267" t="str">
        <f>"688023"</f>
        <v>688023</v>
      </c>
      <c r="C4267" t="s">
        <v>8580</v>
      </c>
      <c r="D4267" t="s">
        <v>342</v>
      </c>
      <c r="E4267">
        <v>-473921274</v>
      </c>
      <c r="F4267">
        <v>-375883233</v>
      </c>
      <c r="G4267">
        <v>-223535811</v>
      </c>
      <c r="H4267">
        <v>-95324600</v>
      </c>
      <c r="I4267">
        <v>-88859800</v>
      </c>
      <c r="P4267">
        <v>249</v>
      </c>
      <c r="Q4267" t="s">
        <v>8581</v>
      </c>
    </row>
    <row r="4268" spans="1:17" x14ac:dyDescent="0.3">
      <c r="A4268" t="s">
        <v>17</v>
      </c>
      <c r="B4268" t="str">
        <f>"600618"</f>
        <v>600618</v>
      </c>
      <c r="C4268" t="s">
        <v>8582</v>
      </c>
      <c r="D4268" t="s">
        <v>144</v>
      </c>
      <c r="E4268">
        <v>-473938566</v>
      </c>
      <c r="F4268">
        <v>-162867900</v>
      </c>
      <c r="G4268">
        <v>-125244602</v>
      </c>
      <c r="H4268">
        <v>-97574731</v>
      </c>
      <c r="I4268">
        <v>-29486825</v>
      </c>
      <c r="J4268">
        <v>62511129</v>
      </c>
      <c r="K4268">
        <v>94424466</v>
      </c>
      <c r="L4268">
        <v>-81432825</v>
      </c>
      <c r="M4268">
        <v>-76992247</v>
      </c>
      <c r="N4268">
        <v>45349590</v>
      </c>
      <c r="O4268">
        <v>88734084</v>
      </c>
      <c r="P4268">
        <v>253</v>
      </c>
      <c r="Q4268" t="s">
        <v>8583</v>
      </c>
    </row>
    <row r="4269" spans="1:17" x14ac:dyDescent="0.3">
      <c r="A4269" t="s">
        <v>17</v>
      </c>
      <c r="B4269" t="str">
        <f>"688122"</f>
        <v>688122</v>
      </c>
      <c r="C4269" t="s">
        <v>8584</v>
      </c>
      <c r="D4269" t="s">
        <v>188</v>
      </c>
      <c r="E4269">
        <v>-474402532</v>
      </c>
      <c r="F4269">
        <v>-3789859</v>
      </c>
      <c r="G4269">
        <v>-168841891</v>
      </c>
      <c r="H4269">
        <v>-124067487</v>
      </c>
      <c r="I4269">
        <v>-17980000</v>
      </c>
      <c r="P4269">
        <v>309</v>
      </c>
      <c r="Q4269" t="s">
        <v>8585</v>
      </c>
    </row>
    <row r="4270" spans="1:17" x14ac:dyDescent="0.3">
      <c r="A4270" t="s">
        <v>17</v>
      </c>
      <c r="B4270" t="str">
        <f>"688777"</f>
        <v>688777</v>
      </c>
      <c r="C4270" t="s">
        <v>8586</v>
      </c>
      <c r="D4270" t="s">
        <v>135</v>
      </c>
      <c r="E4270">
        <v>-475917115</v>
      </c>
      <c r="F4270">
        <v>-416669812</v>
      </c>
      <c r="G4270">
        <v>-99814034</v>
      </c>
      <c r="H4270">
        <v>-44691600</v>
      </c>
      <c r="P4270">
        <v>180</v>
      </c>
      <c r="Q4270" t="s">
        <v>8587</v>
      </c>
    </row>
    <row r="4271" spans="1:17" x14ac:dyDescent="0.3">
      <c r="A4271" t="s">
        <v>32</v>
      </c>
      <c r="B4271" t="str">
        <f>"002180"</f>
        <v>002180</v>
      </c>
      <c r="C4271" t="s">
        <v>8588</v>
      </c>
      <c r="D4271" t="s">
        <v>124</v>
      </c>
      <c r="E4271">
        <v>-475935040</v>
      </c>
      <c r="F4271">
        <v>-187700722</v>
      </c>
      <c r="G4271">
        <v>-1182615587</v>
      </c>
      <c r="H4271">
        <v>-564633227</v>
      </c>
      <c r="I4271">
        <v>-154555574</v>
      </c>
      <c r="J4271">
        <v>-520117046</v>
      </c>
      <c r="K4271">
        <v>73500008</v>
      </c>
      <c r="L4271">
        <v>37153329</v>
      </c>
      <c r="M4271">
        <v>-17298635</v>
      </c>
      <c r="N4271">
        <v>-7992670</v>
      </c>
      <c r="O4271">
        <v>-13541030</v>
      </c>
      <c r="P4271">
        <v>473</v>
      </c>
      <c r="Q4271" t="s">
        <v>8589</v>
      </c>
    </row>
    <row r="4272" spans="1:17" x14ac:dyDescent="0.3">
      <c r="A4272" t="s">
        <v>17</v>
      </c>
      <c r="B4272" t="str">
        <f>"600927"</f>
        <v>600927</v>
      </c>
      <c r="C4272" t="s">
        <v>8590</v>
      </c>
      <c r="D4272" t="s">
        <v>26</v>
      </c>
      <c r="E4272">
        <v>-477349383</v>
      </c>
      <c r="P4272">
        <v>22</v>
      </c>
      <c r="Q4272" t="s">
        <v>8591</v>
      </c>
    </row>
    <row r="4273" spans="1:17" x14ac:dyDescent="0.3">
      <c r="A4273" t="s">
        <v>32</v>
      </c>
      <c r="B4273" t="str">
        <f>"002419"</f>
        <v>002419</v>
      </c>
      <c r="C4273" t="s">
        <v>8592</v>
      </c>
      <c r="D4273" t="s">
        <v>218</v>
      </c>
      <c r="E4273">
        <v>-479213942</v>
      </c>
      <c r="F4273">
        <v>160100451</v>
      </c>
      <c r="G4273">
        <v>-1626924340</v>
      </c>
      <c r="H4273">
        <v>-557559413</v>
      </c>
      <c r="I4273">
        <v>-170060688</v>
      </c>
      <c r="J4273">
        <v>-756934819</v>
      </c>
      <c r="K4273">
        <v>-353026697</v>
      </c>
      <c r="L4273">
        <v>-131074623</v>
      </c>
      <c r="M4273">
        <v>-650500255</v>
      </c>
      <c r="N4273">
        <v>-386487795</v>
      </c>
      <c r="O4273">
        <v>-751383217</v>
      </c>
      <c r="P4273">
        <v>421</v>
      </c>
      <c r="Q4273" t="s">
        <v>8593</v>
      </c>
    </row>
    <row r="4274" spans="1:17" x14ac:dyDescent="0.3">
      <c r="A4274" t="s">
        <v>32</v>
      </c>
      <c r="B4274" t="str">
        <f>"002745"</f>
        <v>002745</v>
      </c>
      <c r="C4274" t="s">
        <v>8594</v>
      </c>
      <c r="D4274" t="s">
        <v>124</v>
      </c>
      <c r="E4274">
        <v>-479903490</v>
      </c>
      <c r="F4274">
        <v>687379787</v>
      </c>
      <c r="G4274">
        <v>362394026</v>
      </c>
      <c r="H4274">
        <v>-218813795</v>
      </c>
      <c r="I4274">
        <v>-534001147</v>
      </c>
      <c r="J4274">
        <v>-421989091</v>
      </c>
      <c r="K4274">
        <v>-227554441</v>
      </c>
      <c r="L4274">
        <v>-137382453</v>
      </c>
      <c r="M4274">
        <v>-40582022</v>
      </c>
      <c r="P4274">
        <v>324</v>
      </c>
      <c r="Q4274" t="s">
        <v>8595</v>
      </c>
    </row>
    <row r="4275" spans="1:17" x14ac:dyDescent="0.3">
      <c r="A4275" t="s">
        <v>17</v>
      </c>
      <c r="B4275" t="str">
        <f>"600481"</f>
        <v>600481</v>
      </c>
      <c r="C4275" t="s">
        <v>8596</v>
      </c>
      <c r="D4275" t="s">
        <v>135</v>
      </c>
      <c r="E4275">
        <v>-481601024</v>
      </c>
      <c r="F4275">
        <v>-209852651</v>
      </c>
      <c r="G4275">
        <v>-259817960</v>
      </c>
      <c r="H4275">
        <v>-133933626</v>
      </c>
      <c r="I4275">
        <v>-86012886</v>
      </c>
      <c r="J4275">
        <v>-159662923</v>
      </c>
      <c r="K4275">
        <v>-57990055</v>
      </c>
      <c r="L4275">
        <v>-175025721</v>
      </c>
      <c r="M4275">
        <v>-521102866</v>
      </c>
      <c r="N4275">
        <v>-134239918</v>
      </c>
      <c r="O4275">
        <v>-48992592</v>
      </c>
      <c r="P4275">
        <v>186</v>
      </c>
      <c r="Q4275" t="s">
        <v>8597</v>
      </c>
    </row>
    <row r="4276" spans="1:17" x14ac:dyDescent="0.3">
      <c r="A4276" t="s">
        <v>17</v>
      </c>
      <c r="B4276" t="str">
        <f>"600959"</f>
        <v>600959</v>
      </c>
      <c r="C4276" t="s">
        <v>8598</v>
      </c>
      <c r="D4276" t="s">
        <v>245</v>
      </c>
      <c r="E4276">
        <v>-482326332</v>
      </c>
      <c r="F4276">
        <v>-400611179</v>
      </c>
      <c r="G4276">
        <v>-113801570</v>
      </c>
      <c r="H4276">
        <v>-308670893</v>
      </c>
      <c r="I4276">
        <v>-273384866</v>
      </c>
      <c r="J4276">
        <v>-232259896</v>
      </c>
      <c r="K4276">
        <v>-129321363</v>
      </c>
      <c r="L4276">
        <v>-93033270</v>
      </c>
      <c r="M4276">
        <v>-142237118</v>
      </c>
      <c r="P4276">
        <v>150</v>
      </c>
      <c r="Q4276" t="s">
        <v>8599</v>
      </c>
    </row>
    <row r="4277" spans="1:17" x14ac:dyDescent="0.3">
      <c r="A4277" t="s">
        <v>17</v>
      </c>
      <c r="B4277" t="str">
        <f>"601869"</f>
        <v>601869</v>
      </c>
      <c r="C4277" t="s">
        <v>8600</v>
      </c>
      <c r="D4277" t="s">
        <v>57</v>
      </c>
      <c r="E4277">
        <v>-484731132</v>
      </c>
      <c r="F4277">
        <v>-591572430</v>
      </c>
      <c r="G4277">
        <v>-407709989</v>
      </c>
      <c r="H4277">
        <v>-658722291</v>
      </c>
      <c r="I4277">
        <v>-411351130</v>
      </c>
      <c r="J4277">
        <v>-444544202</v>
      </c>
      <c r="P4277">
        <v>404</v>
      </c>
      <c r="Q4277" t="s">
        <v>8601</v>
      </c>
    </row>
    <row r="4278" spans="1:17" x14ac:dyDescent="0.3">
      <c r="A4278" t="s">
        <v>32</v>
      </c>
      <c r="B4278" t="str">
        <f>"002050"</f>
        <v>002050</v>
      </c>
      <c r="C4278" t="s">
        <v>8602</v>
      </c>
      <c r="D4278" t="s">
        <v>127</v>
      </c>
      <c r="E4278">
        <v>-484940378</v>
      </c>
      <c r="F4278">
        <v>-263844427</v>
      </c>
      <c r="G4278">
        <v>246578691</v>
      </c>
      <c r="H4278">
        <v>115226837</v>
      </c>
      <c r="I4278">
        <v>-256172731</v>
      </c>
      <c r="J4278">
        <v>4403977</v>
      </c>
      <c r="K4278">
        <v>209694216</v>
      </c>
      <c r="L4278">
        <v>-21713006</v>
      </c>
      <c r="M4278">
        <v>-18064175</v>
      </c>
      <c r="N4278">
        <v>-177943964</v>
      </c>
      <c r="O4278">
        <v>-72587109</v>
      </c>
      <c r="P4278">
        <v>2050</v>
      </c>
      <c r="Q4278" t="s">
        <v>8603</v>
      </c>
    </row>
    <row r="4279" spans="1:17" x14ac:dyDescent="0.3">
      <c r="A4279" t="s">
        <v>17</v>
      </c>
      <c r="B4279" t="str">
        <f>"688256"</f>
        <v>688256</v>
      </c>
      <c r="C4279" t="s">
        <v>8604</v>
      </c>
      <c r="D4279" t="s">
        <v>124</v>
      </c>
      <c r="E4279">
        <v>-486773589</v>
      </c>
      <c r="F4279">
        <v>-423475480</v>
      </c>
      <c r="G4279">
        <v>-164567709</v>
      </c>
      <c r="H4279">
        <v>-109450345</v>
      </c>
      <c r="P4279">
        <v>192</v>
      </c>
      <c r="Q4279" t="s">
        <v>8605</v>
      </c>
    </row>
    <row r="4280" spans="1:17" x14ac:dyDescent="0.3">
      <c r="A4280" t="s">
        <v>17</v>
      </c>
      <c r="B4280" t="str">
        <f>"600388"</f>
        <v>600388</v>
      </c>
      <c r="C4280" t="s">
        <v>8606</v>
      </c>
      <c r="D4280" t="s">
        <v>1334</v>
      </c>
      <c r="E4280">
        <v>-489828713</v>
      </c>
      <c r="F4280">
        <v>-510018047</v>
      </c>
      <c r="G4280">
        <v>-215179810</v>
      </c>
      <c r="H4280">
        <v>-576685541</v>
      </c>
      <c r="I4280">
        <v>-360392168</v>
      </c>
      <c r="J4280">
        <v>-428617014</v>
      </c>
      <c r="K4280">
        <v>-259266801</v>
      </c>
      <c r="L4280">
        <v>-204464517</v>
      </c>
      <c r="M4280">
        <v>-199064637</v>
      </c>
      <c r="N4280">
        <v>-222632595</v>
      </c>
      <c r="O4280">
        <v>-237357325</v>
      </c>
      <c r="P4280">
        <v>815</v>
      </c>
      <c r="Q4280" t="s">
        <v>8607</v>
      </c>
    </row>
    <row r="4281" spans="1:17" x14ac:dyDescent="0.3">
      <c r="A4281" t="s">
        <v>17</v>
      </c>
      <c r="B4281" t="str">
        <f>"688066"</f>
        <v>688066</v>
      </c>
      <c r="C4281" t="s">
        <v>8608</v>
      </c>
      <c r="D4281" t="s">
        <v>342</v>
      </c>
      <c r="E4281">
        <v>-492493830</v>
      </c>
      <c r="F4281">
        <v>-145994778</v>
      </c>
      <c r="G4281">
        <v>-85151131</v>
      </c>
      <c r="H4281">
        <v>-137852413</v>
      </c>
      <c r="I4281">
        <v>-70878700</v>
      </c>
      <c r="P4281">
        <v>159</v>
      </c>
      <c r="Q4281" t="s">
        <v>8609</v>
      </c>
    </row>
    <row r="4282" spans="1:17" x14ac:dyDescent="0.3">
      <c r="A4282" t="s">
        <v>32</v>
      </c>
      <c r="B4282" t="str">
        <f>"300383"</f>
        <v>300383</v>
      </c>
      <c r="C4282" t="s">
        <v>8610</v>
      </c>
      <c r="D4282" t="s">
        <v>342</v>
      </c>
      <c r="E4282">
        <v>-492738908</v>
      </c>
      <c r="F4282">
        <v>151513113</v>
      </c>
      <c r="G4282">
        <v>-43724462</v>
      </c>
      <c r="H4282">
        <v>-380963816</v>
      </c>
      <c r="I4282">
        <v>-247907028</v>
      </c>
      <c r="J4282">
        <v>-363983327</v>
      </c>
      <c r="K4282">
        <v>-61052278</v>
      </c>
      <c r="L4282">
        <v>-76000396</v>
      </c>
      <c r="M4282">
        <v>-56122732</v>
      </c>
      <c r="N4282">
        <v>-30226786</v>
      </c>
      <c r="P4282">
        <v>2115</v>
      </c>
      <c r="Q4282" t="s">
        <v>8611</v>
      </c>
    </row>
    <row r="4283" spans="1:17" x14ac:dyDescent="0.3">
      <c r="A4283" t="s">
        <v>32</v>
      </c>
      <c r="B4283" t="str">
        <f>"000027"</f>
        <v>000027</v>
      </c>
      <c r="C4283" t="s">
        <v>8612</v>
      </c>
      <c r="D4283" t="s">
        <v>158</v>
      </c>
      <c r="E4283">
        <v>-493652037</v>
      </c>
      <c r="F4283">
        <v>-1825466517</v>
      </c>
      <c r="G4283">
        <v>-1435848780</v>
      </c>
      <c r="H4283">
        <v>-162888776</v>
      </c>
      <c r="I4283">
        <v>-1661666803</v>
      </c>
      <c r="J4283">
        <v>-747357446</v>
      </c>
      <c r="K4283">
        <v>-951976554</v>
      </c>
      <c r="L4283">
        <v>433945415</v>
      </c>
      <c r="M4283">
        <v>889526390</v>
      </c>
      <c r="N4283">
        <v>-44873900</v>
      </c>
      <c r="O4283">
        <v>117319174</v>
      </c>
      <c r="P4283">
        <v>509</v>
      </c>
      <c r="Q4283" t="s">
        <v>8613</v>
      </c>
    </row>
    <row r="4284" spans="1:17" x14ac:dyDescent="0.3">
      <c r="A4284" t="s">
        <v>32</v>
      </c>
      <c r="B4284" t="str">
        <f>"002788"</f>
        <v>002788</v>
      </c>
      <c r="C4284" t="s">
        <v>8614</v>
      </c>
      <c r="D4284" t="s">
        <v>98</v>
      </c>
      <c r="E4284">
        <v>-494483162</v>
      </c>
      <c r="F4284">
        <v>-572313783</v>
      </c>
      <c r="G4284">
        <v>-394070629</v>
      </c>
      <c r="H4284">
        <v>-674377929</v>
      </c>
      <c r="I4284">
        <v>-549429925</v>
      </c>
      <c r="J4284">
        <v>-180549729</v>
      </c>
      <c r="K4284">
        <v>-622670369</v>
      </c>
      <c r="L4284">
        <v>-520596679</v>
      </c>
      <c r="P4284">
        <v>162</v>
      </c>
      <c r="Q4284" t="s">
        <v>8615</v>
      </c>
    </row>
    <row r="4285" spans="1:17" x14ac:dyDescent="0.3">
      <c r="A4285" t="s">
        <v>32</v>
      </c>
      <c r="B4285" t="str">
        <f>"300432"</f>
        <v>300432</v>
      </c>
      <c r="C4285" t="s">
        <v>8616</v>
      </c>
      <c r="D4285" t="s">
        <v>199</v>
      </c>
      <c r="E4285">
        <v>-496036141</v>
      </c>
      <c r="F4285">
        <v>-165372626</v>
      </c>
      <c r="G4285">
        <v>71918308</v>
      </c>
      <c r="H4285">
        <v>-38169986</v>
      </c>
      <c r="I4285">
        <v>-91164676</v>
      </c>
      <c r="J4285">
        <v>-88713117</v>
      </c>
      <c r="K4285">
        <v>11057158</v>
      </c>
      <c r="L4285">
        <v>-2605969</v>
      </c>
      <c r="M4285">
        <v>1807700</v>
      </c>
      <c r="P4285">
        <v>305</v>
      </c>
      <c r="Q4285" t="s">
        <v>8617</v>
      </c>
    </row>
    <row r="4286" spans="1:17" x14ac:dyDescent="0.3">
      <c r="A4286" t="s">
        <v>17</v>
      </c>
      <c r="B4286" t="str">
        <f>"600268"</f>
        <v>600268</v>
      </c>
      <c r="C4286" t="s">
        <v>8618</v>
      </c>
      <c r="D4286" t="s">
        <v>464</v>
      </c>
      <c r="E4286">
        <v>-496704372</v>
      </c>
      <c r="F4286">
        <v>-261122572</v>
      </c>
      <c r="G4286">
        <v>-383280916</v>
      </c>
      <c r="H4286">
        <v>-460459413</v>
      </c>
      <c r="I4286">
        <v>-530338677</v>
      </c>
      <c r="J4286">
        <v>-564639627</v>
      </c>
      <c r="K4286">
        <v>-620318596</v>
      </c>
      <c r="L4286">
        <v>-427223594</v>
      </c>
      <c r="M4286">
        <v>-575415639</v>
      </c>
      <c r="N4286">
        <v>-534239980</v>
      </c>
      <c r="O4286">
        <v>-703526062</v>
      </c>
      <c r="P4286">
        <v>245</v>
      </c>
      <c r="Q4286" t="s">
        <v>8619</v>
      </c>
    </row>
    <row r="4287" spans="1:17" x14ac:dyDescent="0.3">
      <c r="A4287" t="s">
        <v>32</v>
      </c>
      <c r="B4287" t="str">
        <f>"002299"</f>
        <v>002299</v>
      </c>
      <c r="C4287" t="s">
        <v>8620</v>
      </c>
      <c r="D4287" t="s">
        <v>175</v>
      </c>
      <c r="E4287">
        <v>-498599376</v>
      </c>
      <c r="F4287">
        <v>-295048400</v>
      </c>
      <c r="G4287">
        <v>296781306</v>
      </c>
      <c r="H4287">
        <v>611305607</v>
      </c>
      <c r="I4287">
        <v>-21522377</v>
      </c>
      <c r="J4287">
        <v>-190444318</v>
      </c>
      <c r="K4287">
        <v>-201064021</v>
      </c>
      <c r="L4287">
        <v>-537761495</v>
      </c>
      <c r="M4287">
        <v>-234115113</v>
      </c>
      <c r="N4287">
        <v>-502284352</v>
      </c>
      <c r="O4287">
        <v>-60901301</v>
      </c>
      <c r="P4287">
        <v>1371</v>
      </c>
      <c r="Q4287" t="s">
        <v>8621</v>
      </c>
    </row>
    <row r="4288" spans="1:17" x14ac:dyDescent="0.3">
      <c r="A4288" t="s">
        <v>32</v>
      </c>
      <c r="B4288" t="str">
        <f>"300674"</f>
        <v>300674</v>
      </c>
      <c r="C4288" t="s">
        <v>8622</v>
      </c>
      <c r="D4288" t="s">
        <v>342</v>
      </c>
      <c r="E4288">
        <v>-498673780</v>
      </c>
      <c r="F4288">
        <v>-476610589</v>
      </c>
      <c r="G4288">
        <v>-343180859</v>
      </c>
      <c r="H4288">
        <v>-365389083</v>
      </c>
      <c r="I4288">
        <v>-264414340</v>
      </c>
      <c r="P4288">
        <v>349</v>
      </c>
      <c r="Q4288" t="s">
        <v>8623</v>
      </c>
    </row>
    <row r="4289" spans="1:17" x14ac:dyDescent="0.3">
      <c r="A4289" t="s">
        <v>17</v>
      </c>
      <c r="B4289" t="str">
        <f>"601106"</f>
        <v>601106</v>
      </c>
      <c r="C4289" t="s">
        <v>8624</v>
      </c>
      <c r="D4289" t="s">
        <v>135</v>
      </c>
      <c r="E4289">
        <v>-499986564</v>
      </c>
      <c r="F4289">
        <v>-1044496247</v>
      </c>
      <c r="G4289">
        <v>-639967979</v>
      </c>
      <c r="H4289">
        <v>-562959184</v>
      </c>
      <c r="I4289">
        <v>-151417640</v>
      </c>
      <c r="J4289">
        <v>-91031183</v>
      </c>
      <c r="K4289">
        <v>-1533661298</v>
      </c>
      <c r="L4289">
        <v>-402338117</v>
      </c>
      <c r="M4289">
        <v>-844450832</v>
      </c>
      <c r="N4289">
        <v>-946990827</v>
      </c>
      <c r="O4289">
        <v>-710214854</v>
      </c>
      <c r="P4289">
        <v>175</v>
      </c>
      <c r="Q4289" t="s">
        <v>8625</v>
      </c>
    </row>
    <row r="4290" spans="1:17" x14ac:dyDescent="0.3">
      <c r="A4290" t="s">
        <v>17</v>
      </c>
      <c r="B4290" t="str">
        <f>"600602"</f>
        <v>600602</v>
      </c>
      <c r="C4290" t="s">
        <v>8626</v>
      </c>
      <c r="D4290" t="s">
        <v>342</v>
      </c>
      <c r="E4290">
        <v>-503917911</v>
      </c>
      <c r="F4290">
        <v>-432927821</v>
      </c>
      <c r="G4290">
        <v>-255968699</v>
      </c>
      <c r="H4290">
        <v>-243268750</v>
      </c>
      <c r="I4290">
        <v>-380989536</v>
      </c>
      <c r="J4290">
        <v>-277099016</v>
      </c>
      <c r="K4290">
        <v>-259129884</v>
      </c>
      <c r="L4290">
        <v>-147099818</v>
      </c>
      <c r="M4290">
        <v>-72060179</v>
      </c>
      <c r="N4290">
        <v>-46600675</v>
      </c>
      <c r="O4290">
        <v>-57847107</v>
      </c>
      <c r="P4290">
        <v>136</v>
      </c>
      <c r="Q4290" t="s">
        <v>8627</v>
      </c>
    </row>
    <row r="4291" spans="1:17" x14ac:dyDescent="0.3">
      <c r="A4291" t="s">
        <v>32</v>
      </c>
      <c r="B4291" t="str">
        <f>"301219"</f>
        <v>301219</v>
      </c>
      <c r="C4291" t="s">
        <v>8628</v>
      </c>
      <c r="E4291">
        <v>-505866916</v>
      </c>
      <c r="G4291">
        <v>-69938782</v>
      </c>
      <c r="P4291">
        <v>8</v>
      </c>
      <c r="Q4291" t="s">
        <v>8629</v>
      </c>
    </row>
    <row r="4292" spans="1:17" x14ac:dyDescent="0.3">
      <c r="A4292" t="s">
        <v>32</v>
      </c>
      <c r="B4292" t="str">
        <f>"300866"</f>
        <v>300866</v>
      </c>
      <c r="C4292" t="s">
        <v>8630</v>
      </c>
      <c r="D4292" t="s">
        <v>124</v>
      </c>
      <c r="E4292">
        <v>-509590664</v>
      </c>
      <c r="F4292">
        <v>-208864534</v>
      </c>
      <c r="G4292">
        <v>-39884501</v>
      </c>
      <c r="P4292">
        <v>311</v>
      </c>
      <c r="Q4292" t="s">
        <v>8631</v>
      </c>
    </row>
    <row r="4293" spans="1:17" x14ac:dyDescent="0.3">
      <c r="A4293" t="s">
        <v>17</v>
      </c>
      <c r="B4293" t="str">
        <f>"600906"</f>
        <v>600906</v>
      </c>
      <c r="C4293" t="s">
        <v>8632</v>
      </c>
      <c r="D4293" t="s">
        <v>26</v>
      </c>
      <c r="E4293">
        <v>-512208631</v>
      </c>
      <c r="F4293">
        <v>-101101140</v>
      </c>
      <c r="G4293">
        <v>1220132614</v>
      </c>
      <c r="P4293">
        <v>131</v>
      </c>
      <c r="Q4293" t="s">
        <v>8633</v>
      </c>
    </row>
    <row r="4294" spans="1:17" x14ac:dyDescent="0.3">
      <c r="A4294" t="s">
        <v>32</v>
      </c>
      <c r="B4294" t="str">
        <f>"002798"</f>
        <v>002798</v>
      </c>
      <c r="C4294" t="s">
        <v>8634</v>
      </c>
      <c r="D4294" t="s">
        <v>455</v>
      </c>
      <c r="E4294">
        <v>-513095982</v>
      </c>
      <c r="F4294">
        <v>-510052221</v>
      </c>
      <c r="G4294">
        <v>-485089040</v>
      </c>
      <c r="H4294">
        <v>85958431</v>
      </c>
      <c r="I4294">
        <v>-79049312</v>
      </c>
      <c r="J4294">
        <v>2037082</v>
      </c>
      <c r="K4294">
        <v>-11282800</v>
      </c>
      <c r="L4294">
        <v>-20666500</v>
      </c>
      <c r="P4294">
        <v>374</v>
      </c>
      <c r="Q4294" t="s">
        <v>8635</v>
      </c>
    </row>
    <row r="4295" spans="1:17" x14ac:dyDescent="0.3">
      <c r="A4295" t="s">
        <v>32</v>
      </c>
      <c r="B4295" t="str">
        <f>"300393"</f>
        <v>300393</v>
      </c>
      <c r="C4295" t="s">
        <v>8636</v>
      </c>
      <c r="D4295" t="s">
        <v>464</v>
      </c>
      <c r="E4295">
        <v>-514216548</v>
      </c>
      <c r="F4295">
        <v>114539505</v>
      </c>
      <c r="G4295">
        <v>-182067048</v>
      </c>
      <c r="H4295">
        <v>-283652815</v>
      </c>
      <c r="I4295">
        <v>-343536140</v>
      </c>
      <c r="J4295">
        <v>-384873553</v>
      </c>
      <c r="K4295">
        <v>-25187482</v>
      </c>
      <c r="L4295">
        <v>-25600212</v>
      </c>
      <c r="M4295">
        <v>-14443808</v>
      </c>
      <c r="P4295">
        <v>304</v>
      </c>
      <c r="Q4295" t="s">
        <v>8637</v>
      </c>
    </row>
    <row r="4296" spans="1:17" x14ac:dyDescent="0.3">
      <c r="A4296" t="s">
        <v>17</v>
      </c>
      <c r="B4296" t="str">
        <f>"600216"</f>
        <v>600216</v>
      </c>
      <c r="C4296" t="s">
        <v>8638</v>
      </c>
      <c r="D4296" t="s">
        <v>98</v>
      </c>
      <c r="E4296">
        <v>-517073595</v>
      </c>
      <c r="F4296">
        <v>-136068846</v>
      </c>
      <c r="G4296">
        <v>85182859</v>
      </c>
      <c r="H4296">
        <v>-133497970</v>
      </c>
      <c r="I4296">
        <v>-276968815</v>
      </c>
      <c r="J4296">
        <v>-162286808</v>
      </c>
      <c r="K4296">
        <v>-377503012</v>
      </c>
      <c r="L4296">
        <v>-365921448</v>
      </c>
      <c r="M4296">
        <v>-194237799</v>
      </c>
      <c r="N4296">
        <v>-250390059</v>
      </c>
      <c r="O4296">
        <v>4232102</v>
      </c>
      <c r="P4296">
        <v>463</v>
      </c>
      <c r="Q4296" t="s">
        <v>8639</v>
      </c>
    </row>
    <row r="4297" spans="1:17" x14ac:dyDescent="0.3">
      <c r="A4297" t="s">
        <v>32</v>
      </c>
      <c r="B4297" t="str">
        <f>"003012"</f>
        <v>003012</v>
      </c>
      <c r="C4297" t="s">
        <v>8640</v>
      </c>
      <c r="D4297" t="s">
        <v>455</v>
      </c>
      <c r="E4297">
        <v>-517207626</v>
      </c>
      <c r="F4297">
        <v>-154701112</v>
      </c>
      <c r="G4297">
        <v>-907635678</v>
      </c>
      <c r="J4297">
        <v>-139312636</v>
      </c>
      <c r="P4297">
        <v>120</v>
      </c>
      <c r="Q4297" t="s">
        <v>8641</v>
      </c>
    </row>
    <row r="4298" spans="1:17" x14ac:dyDescent="0.3">
      <c r="A4298" t="s">
        <v>32</v>
      </c>
      <c r="B4298" t="str">
        <f>"300601"</f>
        <v>300601</v>
      </c>
      <c r="C4298" t="s">
        <v>8642</v>
      </c>
      <c r="D4298" t="s">
        <v>98</v>
      </c>
      <c r="E4298">
        <v>-517313707</v>
      </c>
      <c r="F4298">
        <v>-574652178</v>
      </c>
      <c r="G4298">
        <v>-142433488</v>
      </c>
      <c r="H4298">
        <v>-178193366</v>
      </c>
      <c r="I4298">
        <v>-71585370</v>
      </c>
      <c r="J4298">
        <v>-90542827</v>
      </c>
      <c r="K4298">
        <v>-60635928</v>
      </c>
      <c r="P4298">
        <v>1385</v>
      </c>
      <c r="Q4298" t="s">
        <v>8643</v>
      </c>
    </row>
    <row r="4299" spans="1:17" x14ac:dyDescent="0.3">
      <c r="A4299" t="s">
        <v>32</v>
      </c>
      <c r="B4299" t="str">
        <f>"002852"</f>
        <v>002852</v>
      </c>
      <c r="C4299" t="s">
        <v>8644</v>
      </c>
      <c r="D4299" t="s">
        <v>175</v>
      </c>
      <c r="E4299">
        <v>-517755332</v>
      </c>
      <c r="F4299">
        <v>-115277610</v>
      </c>
      <c r="G4299">
        <v>-160139304</v>
      </c>
      <c r="H4299">
        <v>-50597485</v>
      </c>
      <c r="I4299">
        <v>-104804232</v>
      </c>
      <c r="J4299">
        <v>-158802712</v>
      </c>
      <c r="K4299">
        <v>-2091760</v>
      </c>
      <c r="P4299">
        <v>141</v>
      </c>
      <c r="Q4299" t="s">
        <v>8645</v>
      </c>
    </row>
    <row r="4300" spans="1:17" x14ac:dyDescent="0.3">
      <c r="A4300" t="s">
        <v>32</v>
      </c>
      <c r="B4300" t="str">
        <f>"301087"</f>
        <v>301087</v>
      </c>
      <c r="C4300" t="s">
        <v>8646</v>
      </c>
      <c r="D4300" t="s">
        <v>98</v>
      </c>
      <c r="E4300">
        <v>-518486944</v>
      </c>
      <c r="P4300">
        <v>33</v>
      </c>
      <c r="Q4300" t="s">
        <v>8647</v>
      </c>
    </row>
    <row r="4301" spans="1:17" x14ac:dyDescent="0.3">
      <c r="A4301" t="s">
        <v>17</v>
      </c>
      <c r="B4301" t="str">
        <f>"688331"</f>
        <v>688331</v>
      </c>
      <c r="C4301" t="s">
        <v>8648</v>
      </c>
      <c r="E4301">
        <v>-523075121</v>
      </c>
      <c r="P4301">
        <v>5</v>
      </c>
      <c r="Q4301" t="s">
        <v>8649</v>
      </c>
    </row>
    <row r="4302" spans="1:17" x14ac:dyDescent="0.3">
      <c r="A4302" t="s">
        <v>17</v>
      </c>
      <c r="B4302" t="str">
        <f>"688408"</f>
        <v>688408</v>
      </c>
      <c r="C4302" t="s">
        <v>8650</v>
      </c>
      <c r="D4302" t="s">
        <v>464</v>
      </c>
      <c r="E4302">
        <v>-524836298</v>
      </c>
      <c r="F4302">
        <v>101789950</v>
      </c>
      <c r="G4302">
        <v>-61501738</v>
      </c>
      <c r="P4302">
        <v>114</v>
      </c>
      <c r="Q4302" t="s">
        <v>8651</v>
      </c>
    </row>
    <row r="4303" spans="1:17" x14ac:dyDescent="0.3">
      <c r="A4303" t="s">
        <v>17</v>
      </c>
      <c r="B4303" t="str">
        <f>"600350"</f>
        <v>600350</v>
      </c>
      <c r="C4303" t="s">
        <v>8652</v>
      </c>
      <c r="D4303" t="s">
        <v>46</v>
      </c>
      <c r="E4303">
        <v>-525640503</v>
      </c>
      <c r="F4303">
        <v>-142997943</v>
      </c>
      <c r="G4303">
        <v>-2302681936</v>
      </c>
      <c r="H4303">
        <v>-312529328</v>
      </c>
      <c r="I4303">
        <v>-476275035</v>
      </c>
      <c r="J4303">
        <v>-733339607</v>
      </c>
      <c r="K4303">
        <v>1065220739</v>
      </c>
      <c r="L4303">
        <v>33783206</v>
      </c>
      <c r="M4303">
        <v>-166702306</v>
      </c>
      <c r="N4303">
        <v>-246299906</v>
      </c>
      <c r="O4303">
        <v>157293210</v>
      </c>
      <c r="P4303">
        <v>1230</v>
      </c>
      <c r="Q4303" t="s">
        <v>8653</v>
      </c>
    </row>
    <row r="4304" spans="1:17" x14ac:dyDescent="0.3">
      <c r="A4304" t="s">
        <v>17</v>
      </c>
      <c r="B4304" t="str">
        <f>"603609"</f>
        <v>603609</v>
      </c>
      <c r="C4304" t="s">
        <v>8654</v>
      </c>
      <c r="D4304" t="s">
        <v>175</v>
      </c>
      <c r="E4304">
        <v>-526284025</v>
      </c>
      <c r="F4304">
        <v>-761517390</v>
      </c>
      <c r="G4304">
        <v>-288848817</v>
      </c>
      <c r="H4304">
        <v>-68360541</v>
      </c>
      <c r="I4304">
        <v>-246909644</v>
      </c>
      <c r="J4304">
        <v>-375524243</v>
      </c>
      <c r="K4304">
        <v>-260145615</v>
      </c>
      <c r="L4304">
        <v>-455840752</v>
      </c>
      <c r="M4304">
        <v>-7603000</v>
      </c>
      <c r="N4304">
        <v>-205237400</v>
      </c>
      <c r="P4304">
        <v>507</v>
      </c>
      <c r="Q4304" t="s">
        <v>8655</v>
      </c>
    </row>
    <row r="4305" spans="1:17" x14ac:dyDescent="0.3">
      <c r="A4305" t="s">
        <v>17</v>
      </c>
      <c r="B4305" t="str">
        <f>"600916"</f>
        <v>600916</v>
      </c>
      <c r="C4305" t="s">
        <v>8656</v>
      </c>
      <c r="D4305" t="s">
        <v>130</v>
      </c>
      <c r="E4305">
        <v>-527626943</v>
      </c>
      <c r="F4305">
        <v>467676255</v>
      </c>
      <c r="G4305">
        <v>91753786</v>
      </c>
      <c r="P4305">
        <v>97</v>
      </c>
      <c r="Q4305" t="s">
        <v>8657</v>
      </c>
    </row>
    <row r="4306" spans="1:17" x14ac:dyDescent="0.3">
      <c r="A4306" t="s">
        <v>32</v>
      </c>
      <c r="B4306" t="str">
        <f>"002850"</f>
        <v>002850</v>
      </c>
      <c r="C4306" t="s">
        <v>8658</v>
      </c>
      <c r="D4306" t="s">
        <v>464</v>
      </c>
      <c r="E4306">
        <v>-527754663</v>
      </c>
      <c r="F4306">
        <v>-312497309</v>
      </c>
      <c r="G4306">
        <v>-116297608</v>
      </c>
      <c r="H4306">
        <v>-42689061</v>
      </c>
      <c r="I4306">
        <v>-184181824</v>
      </c>
      <c r="J4306">
        <v>-119256696</v>
      </c>
      <c r="K4306">
        <v>-661296</v>
      </c>
      <c r="P4306">
        <v>379</v>
      </c>
      <c r="Q4306" t="s">
        <v>8659</v>
      </c>
    </row>
    <row r="4307" spans="1:17" x14ac:dyDescent="0.3">
      <c r="A4307" t="s">
        <v>32</v>
      </c>
      <c r="B4307" t="str">
        <f>"300188"</f>
        <v>300188</v>
      </c>
      <c r="C4307" t="s">
        <v>8660</v>
      </c>
      <c r="D4307" t="s">
        <v>342</v>
      </c>
      <c r="E4307">
        <v>-529901775</v>
      </c>
      <c r="F4307">
        <v>-522130949</v>
      </c>
      <c r="G4307">
        <v>-522204200</v>
      </c>
      <c r="H4307">
        <v>-334830533</v>
      </c>
      <c r="I4307">
        <v>-416526386</v>
      </c>
      <c r="J4307">
        <v>-180016251</v>
      </c>
      <c r="K4307">
        <v>-115729026</v>
      </c>
      <c r="L4307">
        <v>-144910829</v>
      </c>
      <c r="M4307">
        <v>-98484532</v>
      </c>
      <c r="N4307">
        <v>-78020565</v>
      </c>
      <c r="O4307">
        <v>-49169918</v>
      </c>
      <c r="P4307">
        <v>558</v>
      </c>
      <c r="Q4307" t="s">
        <v>8661</v>
      </c>
    </row>
    <row r="4308" spans="1:17" x14ac:dyDescent="0.3">
      <c r="A4308" t="s">
        <v>17</v>
      </c>
      <c r="B4308" t="str">
        <f>"600984"</f>
        <v>600984</v>
      </c>
      <c r="C4308" t="s">
        <v>8662</v>
      </c>
      <c r="D4308" t="s">
        <v>135</v>
      </c>
      <c r="E4308">
        <v>-532166015</v>
      </c>
      <c r="F4308">
        <v>-584924860</v>
      </c>
      <c r="G4308">
        <v>-279148660</v>
      </c>
      <c r="H4308">
        <v>-9510580</v>
      </c>
      <c r="I4308">
        <v>-108256078</v>
      </c>
      <c r="J4308">
        <v>-83981692</v>
      </c>
      <c r="K4308">
        <v>-49109567</v>
      </c>
      <c r="L4308">
        <v>-627765</v>
      </c>
      <c r="M4308">
        <v>-14831787</v>
      </c>
      <c r="N4308">
        <v>-24250298</v>
      </c>
      <c r="O4308">
        <v>-29654128</v>
      </c>
      <c r="P4308">
        <v>279</v>
      </c>
      <c r="Q4308" t="s">
        <v>8663</v>
      </c>
    </row>
    <row r="4309" spans="1:17" x14ac:dyDescent="0.3">
      <c r="A4309" t="s">
        <v>32</v>
      </c>
      <c r="B4309" t="str">
        <f>"300482"</f>
        <v>300482</v>
      </c>
      <c r="C4309" t="s">
        <v>8664</v>
      </c>
      <c r="D4309" t="s">
        <v>98</v>
      </c>
      <c r="E4309">
        <v>-537395701</v>
      </c>
      <c r="F4309">
        <v>-59375735</v>
      </c>
      <c r="G4309">
        <v>470287082</v>
      </c>
      <c r="H4309">
        <v>5498703</v>
      </c>
      <c r="I4309">
        <v>25561992</v>
      </c>
      <c r="J4309">
        <v>11962915</v>
      </c>
      <c r="K4309">
        <v>8775183</v>
      </c>
      <c r="L4309">
        <v>-386129</v>
      </c>
      <c r="M4309">
        <v>1626700</v>
      </c>
      <c r="P4309">
        <v>17075</v>
      </c>
      <c r="Q4309" t="s">
        <v>8665</v>
      </c>
    </row>
    <row r="4310" spans="1:17" x14ac:dyDescent="0.3">
      <c r="A4310" t="s">
        <v>32</v>
      </c>
      <c r="B4310" t="str">
        <f>"002037"</f>
        <v>002037</v>
      </c>
      <c r="C4310" t="s">
        <v>8666</v>
      </c>
      <c r="D4310" t="s">
        <v>144</v>
      </c>
      <c r="E4310">
        <v>-537415987</v>
      </c>
      <c r="F4310">
        <v>-392284858</v>
      </c>
      <c r="G4310">
        <v>-171194187</v>
      </c>
      <c r="H4310">
        <v>-2760584</v>
      </c>
      <c r="I4310">
        <v>-257624322</v>
      </c>
      <c r="J4310">
        <v>22006597</v>
      </c>
      <c r="K4310">
        <v>224673258</v>
      </c>
      <c r="L4310">
        <v>-256174727</v>
      </c>
      <c r="M4310">
        <v>-321718720</v>
      </c>
      <c r="N4310">
        <v>-252031945</v>
      </c>
      <c r="O4310">
        <v>-51816853</v>
      </c>
      <c r="P4310">
        <v>81</v>
      </c>
      <c r="Q4310" t="s">
        <v>8667</v>
      </c>
    </row>
    <row r="4311" spans="1:17" x14ac:dyDescent="0.3">
      <c r="A4311" t="s">
        <v>32</v>
      </c>
      <c r="B4311" t="str">
        <f>"300567"</f>
        <v>300567</v>
      </c>
      <c r="C4311" t="s">
        <v>8668</v>
      </c>
      <c r="D4311" t="s">
        <v>135</v>
      </c>
      <c r="E4311">
        <v>-538193048</v>
      </c>
      <c r="F4311">
        <v>-308104954</v>
      </c>
      <c r="G4311">
        <v>-371772848</v>
      </c>
      <c r="H4311">
        <v>-369098684</v>
      </c>
      <c r="I4311">
        <v>-201082242</v>
      </c>
      <c r="J4311">
        <v>-110084830</v>
      </c>
      <c r="K4311">
        <v>-42511334</v>
      </c>
      <c r="P4311">
        <v>1242</v>
      </c>
      <c r="Q4311" t="s">
        <v>8669</v>
      </c>
    </row>
    <row r="4312" spans="1:17" x14ac:dyDescent="0.3">
      <c r="A4312" t="s">
        <v>17</v>
      </c>
      <c r="B4312" t="str">
        <f>"600989"</f>
        <v>600989</v>
      </c>
      <c r="C4312" t="s">
        <v>8670</v>
      </c>
      <c r="D4312" t="s">
        <v>144</v>
      </c>
      <c r="E4312">
        <v>-538676407</v>
      </c>
      <c r="F4312">
        <v>398434733</v>
      </c>
      <c r="G4312">
        <v>675409856</v>
      </c>
      <c r="H4312">
        <v>199107107</v>
      </c>
      <c r="J4312">
        <v>570936844</v>
      </c>
      <c r="P4312">
        <v>770</v>
      </c>
      <c r="Q4312" t="s">
        <v>8671</v>
      </c>
    </row>
    <row r="4313" spans="1:17" x14ac:dyDescent="0.3">
      <c r="A4313" t="s">
        <v>32</v>
      </c>
      <c r="B4313" t="str">
        <f>"300682"</f>
        <v>300682</v>
      </c>
      <c r="C4313" t="s">
        <v>8672</v>
      </c>
      <c r="D4313" t="s">
        <v>342</v>
      </c>
      <c r="E4313">
        <v>-539167996</v>
      </c>
      <c r="F4313">
        <v>-271683972</v>
      </c>
      <c r="G4313">
        <v>-420218003</v>
      </c>
      <c r="H4313">
        <v>-149077261</v>
      </c>
      <c r="I4313">
        <v>-169445361</v>
      </c>
      <c r="J4313">
        <v>-81872046</v>
      </c>
      <c r="K4313">
        <v>-99073019</v>
      </c>
      <c r="P4313">
        <v>255</v>
      </c>
      <c r="Q4313" t="s">
        <v>8673</v>
      </c>
    </row>
    <row r="4314" spans="1:17" x14ac:dyDescent="0.3">
      <c r="A4314" t="s">
        <v>32</v>
      </c>
      <c r="B4314" t="str">
        <f>"002683"</f>
        <v>002683</v>
      </c>
      <c r="C4314" t="s">
        <v>8674</v>
      </c>
      <c r="D4314" t="s">
        <v>144</v>
      </c>
      <c r="E4314">
        <v>-540235972</v>
      </c>
      <c r="F4314">
        <v>-471984599</v>
      </c>
      <c r="G4314">
        <v>288122920</v>
      </c>
      <c r="H4314">
        <v>-220823937</v>
      </c>
      <c r="I4314">
        <v>29883895</v>
      </c>
      <c r="J4314">
        <v>-21327194</v>
      </c>
      <c r="K4314">
        <v>-183682903</v>
      </c>
      <c r="L4314">
        <v>-110392890</v>
      </c>
      <c r="M4314">
        <v>-169163762</v>
      </c>
      <c r="N4314">
        <v>-138237691</v>
      </c>
      <c r="O4314">
        <v>-4135718</v>
      </c>
      <c r="P4314">
        <v>270</v>
      </c>
      <c r="Q4314" t="s">
        <v>8675</v>
      </c>
    </row>
    <row r="4315" spans="1:17" x14ac:dyDescent="0.3">
      <c r="A4315" t="s">
        <v>32</v>
      </c>
      <c r="B4315" t="str">
        <f>"002410"</f>
        <v>002410</v>
      </c>
      <c r="C4315" t="s">
        <v>8676</v>
      </c>
      <c r="D4315" t="s">
        <v>342</v>
      </c>
      <c r="E4315">
        <v>-541072232</v>
      </c>
      <c r="F4315">
        <v>-222815585</v>
      </c>
      <c r="G4315">
        <v>-85864669</v>
      </c>
      <c r="H4315">
        <v>-267361725</v>
      </c>
      <c r="I4315">
        <v>-325713726</v>
      </c>
      <c r="J4315">
        <v>-101372245</v>
      </c>
      <c r="K4315">
        <v>-168395774</v>
      </c>
      <c r="L4315">
        <v>-160271057</v>
      </c>
      <c r="M4315">
        <v>-142669256</v>
      </c>
      <c r="N4315">
        <v>-75272459</v>
      </c>
      <c r="O4315">
        <v>-105669852</v>
      </c>
      <c r="P4315">
        <v>2191</v>
      </c>
      <c r="Q4315" t="s">
        <v>8677</v>
      </c>
    </row>
    <row r="4316" spans="1:17" x14ac:dyDescent="0.3">
      <c r="A4316" t="s">
        <v>32</v>
      </c>
      <c r="B4316" t="str">
        <f>"002091"</f>
        <v>002091</v>
      </c>
      <c r="C4316" t="s">
        <v>8678</v>
      </c>
      <c r="D4316" t="s">
        <v>218</v>
      </c>
      <c r="E4316">
        <v>-541941023</v>
      </c>
      <c r="F4316">
        <v>-1429167656</v>
      </c>
      <c r="G4316">
        <v>-144629957</v>
      </c>
      <c r="H4316">
        <v>-812302489</v>
      </c>
      <c r="I4316">
        <v>-41969843</v>
      </c>
      <c r="J4316">
        <v>44723695</v>
      </c>
      <c r="K4316">
        <v>-10116648</v>
      </c>
      <c r="L4316">
        <v>35387490</v>
      </c>
      <c r="M4316">
        <v>-62355046</v>
      </c>
      <c r="N4316">
        <v>-3801849</v>
      </c>
      <c r="O4316">
        <v>31980323</v>
      </c>
      <c r="P4316">
        <v>509</v>
      </c>
      <c r="Q4316" t="s">
        <v>8679</v>
      </c>
    </row>
    <row r="4317" spans="1:17" x14ac:dyDescent="0.3">
      <c r="A4317" t="s">
        <v>32</v>
      </c>
      <c r="B4317" t="str">
        <f>"002541"</f>
        <v>002541</v>
      </c>
      <c r="C4317" t="s">
        <v>8680</v>
      </c>
      <c r="D4317" t="s">
        <v>645</v>
      </c>
      <c r="E4317">
        <v>-543293319</v>
      </c>
      <c r="F4317">
        <v>-442951033</v>
      </c>
      <c r="G4317">
        <v>-117102942</v>
      </c>
      <c r="H4317">
        <v>-15871331</v>
      </c>
      <c r="I4317">
        <v>142131383</v>
      </c>
      <c r="J4317">
        <v>-149505906</v>
      </c>
      <c r="K4317">
        <v>92344844</v>
      </c>
      <c r="L4317">
        <v>-3993973</v>
      </c>
      <c r="M4317">
        <v>-34143404</v>
      </c>
      <c r="N4317">
        <v>-4336955</v>
      </c>
      <c r="O4317">
        <v>-110982684</v>
      </c>
      <c r="P4317">
        <v>443</v>
      </c>
      <c r="Q4317" t="s">
        <v>8681</v>
      </c>
    </row>
    <row r="4318" spans="1:17" x14ac:dyDescent="0.3">
      <c r="A4318" t="s">
        <v>32</v>
      </c>
      <c r="B4318" t="str">
        <f>"002840"</f>
        <v>002840</v>
      </c>
      <c r="C4318" t="s">
        <v>8682</v>
      </c>
      <c r="D4318" t="s">
        <v>172</v>
      </c>
      <c r="E4318">
        <v>-544066310</v>
      </c>
      <c r="F4318">
        <v>-712600308</v>
      </c>
      <c r="G4318">
        <v>-14685031</v>
      </c>
      <c r="H4318">
        <v>-141824552</v>
      </c>
      <c r="I4318">
        <v>-54175258</v>
      </c>
      <c r="J4318">
        <v>20610816</v>
      </c>
      <c r="K4318">
        <v>-12823074</v>
      </c>
      <c r="P4318">
        <v>600</v>
      </c>
      <c r="Q4318" t="s">
        <v>8683</v>
      </c>
    </row>
    <row r="4319" spans="1:17" x14ac:dyDescent="0.3">
      <c r="A4319" t="s">
        <v>17</v>
      </c>
      <c r="B4319" t="str">
        <f>"600690"</f>
        <v>600690</v>
      </c>
      <c r="C4319" t="s">
        <v>8684</v>
      </c>
      <c r="D4319" t="s">
        <v>127</v>
      </c>
      <c r="E4319">
        <v>-544403170</v>
      </c>
      <c r="F4319">
        <v>1167855353</v>
      </c>
      <c r="G4319">
        <v>-7358848407</v>
      </c>
      <c r="H4319">
        <v>-29836405</v>
      </c>
      <c r="I4319">
        <v>638584223</v>
      </c>
      <c r="J4319">
        <v>5082407105</v>
      </c>
      <c r="K4319">
        <v>559176694</v>
      </c>
      <c r="L4319">
        <v>1260900158</v>
      </c>
      <c r="M4319">
        <v>1213781593</v>
      </c>
      <c r="N4319">
        <v>1533727371</v>
      </c>
      <c r="O4319">
        <v>1307794316</v>
      </c>
      <c r="P4319">
        <v>41093</v>
      </c>
      <c r="Q4319" t="s">
        <v>8685</v>
      </c>
    </row>
    <row r="4320" spans="1:17" x14ac:dyDescent="0.3">
      <c r="A4320" t="s">
        <v>32</v>
      </c>
      <c r="B4320" t="str">
        <f>"002487"</f>
        <v>002487</v>
      </c>
      <c r="C4320" t="s">
        <v>8686</v>
      </c>
      <c r="D4320" t="s">
        <v>464</v>
      </c>
      <c r="E4320">
        <v>-544472511</v>
      </c>
      <c r="F4320">
        <v>207344815</v>
      </c>
      <c r="G4320">
        <v>-69627170</v>
      </c>
      <c r="H4320">
        <v>-117687574</v>
      </c>
      <c r="I4320">
        <v>-36347126</v>
      </c>
      <c r="J4320">
        <v>-122015667</v>
      </c>
      <c r="K4320">
        <v>-25915044</v>
      </c>
      <c r="L4320">
        <v>-3113039</v>
      </c>
      <c r="M4320">
        <v>-40471640</v>
      </c>
      <c r="N4320">
        <v>602366</v>
      </c>
      <c r="O4320">
        <v>-39361739</v>
      </c>
      <c r="P4320">
        <v>248</v>
      </c>
      <c r="Q4320" t="s">
        <v>8687</v>
      </c>
    </row>
    <row r="4321" spans="1:17" x14ac:dyDescent="0.3">
      <c r="A4321" t="s">
        <v>32</v>
      </c>
      <c r="B4321" t="str">
        <f>"002373"</f>
        <v>002373</v>
      </c>
      <c r="C4321" t="s">
        <v>8688</v>
      </c>
      <c r="D4321" t="s">
        <v>342</v>
      </c>
      <c r="E4321">
        <v>-545847422</v>
      </c>
      <c r="F4321">
        <v>-900615376</v>
      </c>
      <c r="G4321">
        <v>-490257005</v>
      </c>
      <c r="H4321">
        <v>-458936741</v>
      </c>
      <c r="I4321">
        <v>-500252882</v>
      </c>
      <c r="J4321">
        <v>-204827251</v>
      </c>
      <c r="K4321">
        <v>-124639103</v>
      </c>
      <c r="L4321">
        <v>-166105925</v>
      </c>
      <c r="M4321">
        <v>-51711519</v>
      </c>
      <c r="N4321">
        <v>-86720204</v>
      </c>
      <c r="O4321">
        <v>-126916612</v>
      </c>
      <c r="P4321">
        <v>713</v>
      </c>
      <c r="Q4321" t="s">
        <v>8689</v>
      </c>
    </row>
    <row r="4322" spans="1:17" x14ac:dyDescent="0.3">
      <c r="A4322" t="s">
        <v>17</v>
      </c>
      <c r="B4322" t="str">
        <f>"601865"</f>
        <v>601865</v>
      </c>
      <c r="C4322" t="s">
        <v>8690</v>
      </c>
      <c r="D4322" t="s">
        <v>464</v>
      </c>
      <c r="E4322">
        <v>-546282787</v>
      </c>
      <c r="F4322">
        <v>-987956407</v>
      </c>
      <c r="G4322">
        <v>-165323810</v>
      </c>
      <c r="H4322">
        <v>-218236556</v>
      </c>
      <c r="I4322">
        <v>-222872512</v>
      </c>
      <c r="P4322">
        <v>927</v>
      </c>
      <c r="Q4322" t="s">
        <v>8691</v>
      </c>
    </row>
    <row r="4323" spans="1:17" x14ac:dyDescent="0.3">
      <c r="A4323" t="s">
        <v>32</v>
      </c>
      <c r="B4323" t="str">
        <f>"200029"</f>
        <v>200029</v>
      </c>
      <c r="C4323" t="s">
        <v>8692</v>
      </c>
      <c r="E4323">
        <v>-546582685.88399994</v>
      </c>
      <c r="F4323">
        <v>359227550.77200001</v>
      </c>
      <c r="G4323">
        <v>-475724038.79879999</v>
      </c>
      <c r="H4323">
        <v>253829061.1557</v>
      </c>
      <c r="I4323">
        <v>256678365.294</v>
      </c>
      <c r="J4323">
        <v>-34182451.803999998</v>
      </c>
      <c r="K4323">
        <v>153068394.24540001</v>
      </c>
      <c r="L4323">
        <v>-27805638.75</v>
      </c>
      <c r="M4323">
        <v>184293678.00839999</v>
      </c>
      <c r="N4323">
        <v>337585024.00260001</v>
      </c>
      <c r="O4323">
        <v>-21792744.809999999</v>
      </c>
      <c r="P4323">
        <v>18</v>
      </c>
      <c r="Q4323" t="s">
        <v>8693</v>
      </c>
    </row>
    <row r="4324" spans="1:17" x14ac:dyDescent="0.3">
      <c r="A4324" t="s">
        <v>17</v>
      </c>
      <c r="B4324" t="str">
        <f>"688779"</f>
        <v>688779</v>
      </c>
      <c r="C4324" t="s">
        <v>8694</v>
      </c>
      <c r="D4324" t="s">
        <v>464</v>
      </c>
      <c r="E4324">
        <v>-547587064</v>
      </c>
      <c r="P4324">
        <v>53</v>
      </c>
      <c r="Q4324" t="s">
        <v>8695</v>
      </c>
    </row>
    <row r="4325" spans="1:17" x14ac:dyDescent="0.3">
      <c r="A4325" t="s">
        <v>17</v>
      </c>
      <c r="B4325" t="str">
        <f>"600138"</f>
        <v>600138</v>
      </c>
      <c r="C4325" t="s">
        <v>8696</v>
      </c>
      <c r="D4325" t="s">
        <v>497</v>
      </c>
      <c r="E4325">
        <v>-548171810</v>
      </c>
      <c r="F4325">
        <v>-234519071</v>
      </c>
      <c r="G4325">
        <v>17923575</v>
      </c>
      <c r="H4325">
        <v>-243547940</v>
      </c>
      <c r="I4325">
        <v>-372149093</v>
      </c>
      <c r="J4325">
        <v>-199095106</v>
      </c>
      <c r="K4325">
        <v>-114743026</v>
      </c>
      <c r="L4325">
        <v>-210416220</v>
      </c>
      <c r="M4325">
        <v>-154363658</v>
      </c>
      <c r="N4325">
        <v>-206253538</v>
      </c>
      <c r="O4325">
        <v>-434534937</v>
      </c>
      <c r="P4325">
        <v>486</v>
      </c>
      <c r="Q4325" t="s">
        <v>8697</v>
      </c>
    </row>
    <row r="4326" spans="1:17" x14ac:dyDescent="0.3">
      <c r="A4326" t="s">
        <v>17</v>
      </c>
      <c r="B4326" t="str">
        <f>"600276"</f>
        <v>600276</v>
      </c>
      <c r="C4326" t="s">
        <v>8698</v>
      </c>
      <c r="D4326" t="s">
        <v>98</v>
      </c>
      <c r="E4326">
        <v>-551169261</v>
      </c>
      <c r="F4326">
        <v>-98912301</v>
      </c>
      <c r="G4326">
        <v>1488465754</v>
      </c>
      <c r="H4326">
        <v>355788566</v>
      </c>
      <c r="I4326">
        <v>342032198</v>
      </c>
      <c r="J4326">
        <v>445721913</v>
      </c>
      <c r="K4326">
        <v>375072920</v>
      </c>
      <c r="L4326">
        <v>379809927</v>
      </c>
      <c r="M4326">
        <v>198715503</v>
      </c>
      <c r="N4326">
        <v>268924344</v>
      </c>
      <c r="O4326">
        <v>12810267</v>
      </c>
      <c r="P4326">
        <v>70857</v>
      </c>
      <c r="Q4326" t="s">
        <v>8699</v>
      </c>
    </row>
    <row r="4327" spans="1:17" x14ac:dyDescent="0.3">
      <c r="A4327" t="s">
        <v>32</v>
      </c>
      <c r="B4327" t="str">
        <f>"002044"</f>
        <v>002044</v>
      </c>
      <c r="C4327" t="s">
        <v>8700</v>
      </c>
      <c r="D4327" t="s">
        <v>98</v>
      </c>
      <c r="E4327">
        <v>-551273747</v>
      </c>
      <c r="F4327">
        <v>-812223833</v>
      </c>
      <c r="G4327">
        <v>-1044260761</v>
      </c>
      <c r="H4327">
        <v>-712842603</v>
      </c>
      <c r="I4327">
        <v>-383681589</v>
      </c>
      <c r="J4327">
        <v>-328126468</v>
      </c>
      <c r="K4327">
        <v>-291183123</v>
      </c>
      <c r="L4327">
        <v>1616524</v>
      </c>
      <c r="M4327">
        <v>-47209385</v>
      </c>
      <c r="N4327">
        <v>-9879860</v>
      </c>
      <c r="O4327">
        <v>6275709</v>
      </c>
      <c r="P4327">
        <v>1237</v>
      </c>
      <c r="Q4327" t="s">
        <v>8701</v>
      </c>
    </row>
    <row r="4328" spans="1:17" x14ac:dyDescent="0.3">
      <c r="A4328" t="s">
        <v>17</v>
      </c>
      <c r="B4328" t="str">
        <f>"601992"</f>
        <v>601992</v>
      </c>
      <c r="C4328" t="s">
        <v>8702</v>
      </c>
      <c r="D4328" t="s">
        <v>400</v>
      </c>
      <c r="E4328">
        <v>-551626236</v>
      </c>
      <c r="F4328">
        <v>841941825</v>
      </c>
      <c r="G4328">
        <v>-4203390331</v>
      </c>
      <c r="H4328">
        <v>-4693314522</v>
      </c>
      <c r="I4328">
        <v>-4243186959</v>
      </c>
      <c r="J4328">
        <v>-8012932850</v>
      </c>
      <c r="K4328">
        <v>-830763592</v>
      </c>
      <c r="L4328">
        <v>-2153763814</v>
      </c>
      <c r="M4328">
        <v>-4232340236</v>
      </c>
      <c r="N4328">
        <v>-884556234</v>
      </c>
      <c r="O4328">
        <v>-1256670852</v>
      </c>
      <c r="P4328">
        <v>368</v>
      </c>
      <c r="Q4328" t="s">
        <v>8703</v>
      </c>
    </row>
    <row r="4329" spans="1:17" x14ac:dyDescent="0.3">
      <c r="A4329" t="s">
        <v>17</v>
      </c>
      <c r="B4329" t="str">
        <f>"600990"</f>
        <v>600990</v>
      </c>
      <c r="C4329" t="s">
        <v>8704</v>
      </c>
      <c r="D4329" t="s">
        <v>188</v>
      </c>
      <c r="E4329">
        <v>-551775671</v>
      </c>
      <c r="F4329">
        <v>-700998145</v>
      </c>
      <c r="G4329">
        <v>-421786970</v>
      </c>
      <c r="H4329">
        <v>-559464986</v>
      </c>
      <c r="I4329">
        <v>-626635681</v>
      </c>
      <c r="J4329">
        <v>-427217158</v>
      </c>
      <c r="K4329">
        <v>-352161002</v>
      </c>
      <c r="L4329">
        <v>-361075815</v>
      </c>
      <c r="M4329">
        <v>-224596731</v>
      </c>
      <c r="N4329">
        <v>-143031120</v>
      </c>
      <c r="O4329">
        <v>-60093700</v>
      </c>
      <c r="P4329">
        <v>166</v>
      </c>
      <c r="Q4329" t="s">
        <v>8705</v>
      </c>
    </row>
    <row r="4330" spans="1:17" x14ac:dyDescent="0.3">
      <c r="A4330" t="s">
        <v>32</v>
      </c>
      <c r="B4330" t="str">
        <f>"000547"</f>
        <v>000547</v>
      </c>
      <c r="C4330" t="s">
        <v>8706</v>
      </c>
      <c r="D4330" t="s">
        <v>188</v>
      </c>
      <c r="E4330">
        <v>-553393543</v>
      </c>
      <c r="F4330">
        <v>-483246850</v>
      </c>
      <c r="G4330">
        <v>-301090901</v>
      </c>
      <c r="H4330">
        <v>-357714003</v>
      </c>
      <c r="I4330">
        <v>-423359795</v>
      </c>
      <c r="J4330">
        <v>-293907440</v>
      </c>
      <c r="K4330">
        <v>-22087400</v>
      </c>
      <c r="L4330">
        <v>92138708</v>
      </c>
      <c r="M4330">
        <v>103554159</v>
      </c>
      <c r="N4330">
        <v>4602087</v>
      </c>
      <c r="O4330">
        <v>6342002</v>
      </c>
      <c r="P4330">
        <v>612</v>
      </c>
      <c r="Q4330" t="s">
        <v>8707</v>
      </c>
    </row>
    <row r="4331" spans="1:17" x14ac:dyDescent="0.3">
      <c r="A4331" t="s">
        <v>17</v>
      </c>
      <c r="B4331" t="str">
        <f>"601702"</f>
        <v>601702</v>
      </c>
      <c r="C4331" t="s">
        <v>8708</v>
      </c>
      <c r="D4331" t="s">
        <v>121</v>
      </c>
      <c r="E4331">
        <v>-558481230</v>
      </c>
      <c r="F4331">
        <v>-228526353</v>
      </c>
      <c r="G4331">
        <v>156526525</v>
      </c>
      <c r="P4331">
        <v>117</v>
      </c>
      <c r="Q4331" t="s">
        <v>8709</v>
      </c>
    </row>
    <row r="4332" spans="1:17" x14ac:dyDescent="0.3">
      <c r="A4332" t="s">
        <v>32</v>
      </c>
      <c r="B4332" t="str">
        <f>"002705"</f>
        <v>002705</v>
      </c>
      <c r="C4332" t="s">
        <v>8710</v>
      </c>
      <c r="D4332" t="s">
        <v>127</v>
      </c>
      <c r="E4332">
        <v>-559452894</v>
      </c>
      <c r="F4332">
        <v>-406235979</v>
      </c>
      <c r="G4332">
        <v>-6897654</v>
      </c>
      <c r="H4332">
        <v>54467513</v>
      </c>
      <c r="I4332">
        <v>-20708642</v>
      </c>
      <c r="J4332">
        <v>-276659140</v>
      </c>
      <c r="K4332">
        <v>-169757912</v>
      </c>
      <c r="L4332">
        <v>-86163472</v>
      </c>
      <c r="M4332">
        <v>-272906010</v>
      </c>
      <c r="N4332">
        <v>-4166418</v>
      </c>
      <c r="P4332">
        <v>1093</v>
      </c>
      <c r="Q4332" t="s">
        <v>8711</v>
      </c>
    </row>
    <row r="4333" spans="1:17" x14ac:dyDescent="0.3">
      <c r="A4333" t="s">
        <v>32</v>
      </c>
      <c r="B4333" t="str">
        <f>"000531"</f>
        <v>000531</v>
      </c>
      <c r="C4333" t="s">
        <v>8712</v>
      </c>
      <c r="D4333" t="s">
        <v>158</v>
      </c>
      <c r="E4333">
        <v>-559601760</v>
      </c>
      <c r="F4333">
        <v>-117610412</v>
      </c>
      <c r="G4333">
        <v>55699225</v>
      </c>
      <c r="H4333">
        <v>-24526233</v>
      </c>
      <c r="I4333">
        <v>10198424</v>
      </c>
      <c r="J4333">
        <v>108189522</v>
      </c>
      <c r="K4333">
        <v>172778928</v>
      </c>
      <c r="L4333">
        <v>194265884</v>
      </c>
      <c r="M4333">
        <v>166828308</v>
      </c>
      <c r="N4333">
        <v>601917541</v>
      </c>
      <c r="O4333">
        <v>335683825</v>
      </c>
      <c r="P4333">
        <v>277</v>
      </c>
      <c r="Q4333" t="s">
        <v>8713</v>
      </c>
    </row>
    <row r="4334" spans="1:17" x14ac:dyDescent="0.3">
      <c r="A4334" t="s">
        <v>17</v>
      </c>
      <c r="B4334" t="str">
        <f>"688186"</f>
        <v>688186</v>
      </c>
      <c r="C4334" t="s">
        <v>8714</v>
      </c>
      <c r="D4334" t="s">
        <v>163</v>
      </c>
      <c r="E4334">
        <v>-559901160</v>
      </c>
      <c r="F4334">
        <v>-213490341</v>
      </c>
      <c r="G4334">
        <v>-235258647</v>
      </c>
      <c r="H4334">
        <v>-141863099</v>
      </c>
      <c r="P4334">
        <v>110</v>
      </c>
      <c r="Q4334" t="s">
        <v>8715</v>
      </c>
    </row>
    <row r="4335" spans="1:17" x14ac:dyDescent="0.3">
      <c r="A4335" t="s">
        <v>17</v>
      </c>
      <c r="B4335" t="str">
        <f>"601689"</f>
        <v>601689</v>
      </c>
      <c r="C4335" t="s">
        <v>8716</v>
      </c>
      <c r="D4335" t="s">
        <v>199</v>
      </c>
      <c r="E4335">
        <v>-560816707</v>
      </c>
      <c r="F4335">
        <v>-484988753</v>
      </c>
      <c r="G4335">
        <v>-126465614</v>
      </c>
      <c r="H4335">
        <v>-180579334</v>
      </c>
      <c r="I4335">
        <v>-216654084</v>
      </c>
      <c r="J4335">
        <v>-230879045</v>
      </c>
      <c r="K4335">
        <v>-90499465</v>
      </c>
      <c r="L4335">
        <v>-75680962</v>
      </c>
      <c r="M4335">
        <v>-47968437</v>
      </c>
      <c r="P4335">
        <v>663</v>
      </c>
      <c r="Q4335" t="s">
        <v>8717</v>
      </c>
    </row>
    <row r="4336" spans="1:17" x14ac:dyDescent="0.3">
      <c r="A4336" t="s">
        <v>32</v>
      </c>
      <c r="B4336" t="str">
        <f>"200030"</f>
        <v>200030</v>
      </c>
      <c r="C4336" t="s">
        <v>8718</v>
      </c>
      <c r="E4336">
        <v>-563844085.19599998</v>
      </c>
      <c r="F4336">
        <v>111024676.2855</v>
      </c>
      <c r="G4336">
        <v>44655928.972800002</v>
      </c>
      <c r="H4336">
        <v>-327305689.10189998</v>
      </c>
      <c r="I4336">
        <v>127243558.32250001</v>
      </c>
      <c r="J4336">
        <v>18828074.007199999</v>
      </c>
      <c r="K4336">
        <v>-8801019.3198000006</v>
      </c>
      <c r="L4336">
        <v>73287732.5</v>
      </c>
      <c r="M4336">
        <v>179856233.9664</v>
      </c>
      <c r="N4336">
        <v>-169997108.61000001</v>
      </c>
      <c r="O4336">
        <v>-581586.37199999997</v>
      </c>
      <c r="P4336">
        <v>132</v>
      </c>
      <c r="Q4336" t="s">
        <v>8719</v>
      </c>
    </row>
    <row r="4337" spans="1:17" x14ac:dyDescent="0.3">
      <c r="A4337" t="s">
        <v>17</v>
      </c>
      <c r="B4337" t="str">
        <f>"600006"</f>
        <v>600006</v>
      </c>
      <c r="C4337" t="s">
        <v>8720</v>
      </c>
      <c r="D4337" t="s">
        <v>199</v>
      </c>
      <c r="E4337">
        <v>-566430832</v>
      </c>
      <c r="F4337">
        <v>-2055933532</v>
      </c>
      <c r="G4337">
        <v>-1022655178</v>
      </c>
      <c r="H4337">
        <v>-394433013</v>
      </c>
      <c r="I4337">
        <v>-359448602</v>
      </c>
      <c r="J4337">
        <v>-675120345</v>
      </c>
      <c r="K4337">
        <v>-996673475</v>
      </c>
      <c r="L4337">
        <v>-145585905</v>
      </c>
      <c r="M4337">
        <v>-883596849</v>
      </c>
      <c r="N4337">
        <v>-1048090002</v>
      </c>
      <c r="O4337">
        <v>-926676502</v>
      </c>
      <c r="P4337">
        <v>469</v>
      </c>
      <c r="Q4337" t="s">
        <v>8721</v>
      </c>
    </row>
    <row r="4338" spans="1:17" x14ac:dyDescent="0.3">
      <c r="A4338" t="s">
        <v>17</v>
      </c>
      <c r="B4338" t="str">
        <f>"600547"</f>
        <v>600547</v>
      </c>
      <c r="C4338" t="s">
        <v>8722</v>
      </c>
      <c r="D4338" t="s">
        <v>121</v>
      </c>
      <c r="E4338">
        <v>-569205877</v>
      </c>
      <c r="F4338">
        <v>-490329286</v>
      </c>
      <c r="G4338">
        <v>-395960824</v>
      </c>
      <c r="H4338">
        <v>-147032321</v>
      </c>
      <c r="I4338">
        <v>-538724610</v>
      </c>
      <c r="J4338">
        <v>-241821188</v>
      </c>
      <c r="K4338">
        <v>-105936407</v>
      </c>
      <c r="L4338">
        <v>-547387522</v>
      </c>
      <c r="M4338">
        <v>-52246923</v>
      </c>
      <c r="N4338">
        <v>164492168</v>
      </c>
      <c r="O4338">
        <v>-104446096</v>
      </c>
      <c r="P4338">
        <v>942</v>
      </c>
      <c r="Q4338" t="s">
        <v>8723</v>
      </c>
    </row>
    <row r="4339" spans="1:17" x14ac:dyDescent="0.3">
      <c r="A4339" t="s">
        <v>32</v>
      </c>
      <c r="B4339" t="str">
        <f>"002025"</f>
        <v>002025</v>
      </c>
      <c r="C4339" t="s">
        <v>8724</v>
      </c>
      <c r="D4339" t="s">
        <v>188</v>
      </c>
      <c r="E4339">
        <v>-571577012</v>
      </c>
      <c r="F4339">
        <v>-375946561</v>
      </c>
      <c r="G4339">
        <v>-308791147</v>
      </c>
      <c r="H4339">
        <v>-284135675</v>
      </c>
      <c r="I4339">
        <v>-171802905</v>
      </c>
      <c r="J4339">
        <v>-148823957</v>
      </c>
      <c r="K4339">
        <v>-43907667</v>
      </c>
      <c r="L4339">
        <v>-114012885</v>
      </c>
      <c r="M4339">
        <v>-70978191</v>
      </c>
      <c r="N4339">
        <v>-93732926</v>
      </c>
      <c r="O4339">
        <v>-52194768</v>
      </c>
      <c r="P4339">
        <v>468</v>
      </c>
      <c r="Q4339" t="s">
        <v>8725</v>
      </c>
    </row>
    <row r="4340" spans="1:17" x14ac:dyDescent="0.3">
      <c r="A4340" t="s">
        <v>32</v>
      </c>
      <c r="B4340" t="str">
        <f>"002233"</f>
        <v>002233</v>
      </c>
      <c r="C4340" t="s">
        <v>8726</v>
      </c>
      <c r="D4340" t="s">
        <v>400</v>
      </c>
      <c r="E4340">
        <v>-572207687</v>
      </c>
      <c r="F4340">
        <v>-289433872</v>
      </c>
      <c r="G4340">
        <v>-368036613</v>
      </c>
      <c r="H4340">
        <v>-545930530</v>
      </c>
      <c r="I4340">
        <v>88203711</v>
      </c>
      <c r="J4340">
        <v>-205837657</v>
      </c>
      <c r="K4340">
        <v>-230308052</v>
      </c>
      <c r="L4340">
        <v>54637614</v>
      </c>
      <c r="M4340">
        <v>126232673</v>
      </c>
      <c r="N4340">
        <v>110653193</v>
      </c>
      <c r="O4340">
        <v>-29371006</v>
      </c>
      <c r="P4340">
        <v>1388</v>
      </c>
      <c r="Q4340" t="s">
        <v>8727</v>
      </c>
    </row>
    <row r="4341" spans="1:17" x14ac:dyDescent="0.3">
      <c r="A4341" t="s">
        <v>17</v>
      </c>
      <c r="B4341" t="str">
        <f>"900932"</f>
        <v>900932</v>
      </c>
      <c r="C4341" t="s">
        <v>8728</v>
      </c>
      <c r="E4341">
        <v>-578962754.30560005</v>
      </c>
      <c r="F4341">
        <v>140856631.926</v>
      </c>
      <c r="G4341">
        <v>-341573319.4429</v>
      </c>
      <c r="H4341">
        <v>-159903772.91600001</v>
      </c>
      <c r="I4341">
        <v>-419446429.62099999</v>
      </c>
      <c r="J4341">
        <v>-12426810.3036</v>
      </c>
      <c r="K4341">
        <v>4389683.8376000002</v>
      </c>
      <c r="L4341">
        <v>-112959828.31209999</v>
      </c>
      <c r="M4341">
        <v>-240117820.02000001</v>
      </c>
      <c r="N4341">
        <v>32835880.609000001</v>
      </c>
      <c r="O4341">
        <v>117380207.116</v>
      </c>
      <c r="P4341">
        <v>138</v>
      </c>
      <c r="Q4341" t="s">
        <v>8729</v>
      </c>
    </row>
    <row r="4342" spans="1:17" x14ac:dyDescent="0.3">
      <c r="A4342" t="s">
        <v>32</v>
      </c>
      <c r="B4342" t="str">
        <f>"000885"</f>
        <v>000885</v>
      </c>
      <c r="C4342" t="s">
        <v>8730</v>
      </c>
      <c r="D4342" t="s">
        <v>46</v>
      </c>
      <c r="E4342">
        <v>-579466410</v>
      </c>
      <c r="F4342">
        <v>-686619539</v>
      </c>
      <c r="G4342">
        <v>-400930057</v>
      </c>
      <c r="H4342">
        <v>138060888</v>
      </c>
      <c r="I4342">
        <v>52267809</v>
      </c>
      <c r="J4342">
        <v>-61915367</v>
      </c>
      <c r="K4342">
        <v>-197031650</v>
      </c>
      <c r="L4342">
        <v>-863836</v>
      </c>
      <c r="M4342">
        <v>2806098</v>
      </c>
      <c r="N4342">
        <v>-36444154</v>
      </c>
      <c r="O4342">
        <v>154932784</v>
      </c>
      <c r="P4342">
        <v>237</v>
      </c>
      <c r="Q4342" t="s">
        <v>8731</v>
      </c>
    </row>
    <row r="4343" spans="1:17" x14ac:dyDescent="0.3">
      <c r="A4343" t="s">
        <v>17</v>
      </c>
      <c r="B4343" t="str">
        <f>"600196"</f>
        <v>600196</v>
      </c>
      <c r="C4343" t="s">
        <v>8732</v>
      </c>
      <c r="D4343" t="s">
        <v>98</v>
      </c>
      <c r="E4343">
        <v>-581318844</v>
      </c>
      <c r="F4343">
        <v>-536626883</v>
      </c>
      <c r="G4343">
        <v>-645884250</v>
      </c>
      <c r="H4343">
        <v>-834638094</v>
      </c>
      <c r="I4343">
        <v>-182330207</v>
      </c>
      <c r="J4343">
        <v>1519226</v>
      </c>
      <c r="K4343">
        <v>-106727134</v>
      </c>
      <c r="L4343">
        <v>-83051861</v>
      </c>
      <c r="M4343">
        <v>-349093191</v>
      </c>
      <c r="N4343">
        <v>-147270379</v>
      </c>
      <c r="O4343">
        <v>-374383091</v>
      </c>
      <c r="P4343">
        <v>3823</v>
      </c>
      <c r="Q4343" t="s">
        <v>8733</v>
      </c>
    </row>
    <row r="4344" spans="1:17" x14ac:dyDescent="0.3">
      <c r="A4344" t="s">
        <v>32</v>
      </c>
      <c r="B4344" t="str">
        <f>"300672"</f>
        <v>300672</v>
      </c>
      <c r="C4344" t="s">
        <v>8734</v>
      </c>
      <c r="D4344" t="s">
        <v>124</v>
      </c>
      <c r="E4344">
        <v>-582899009</v>
      </c>
      <c r="F4344">
        <v>-32650536</v>
      </c>
      <c r="G4344">
        <v>-74818454</v>
      </c>
      <c r="H4344">
        <v>-106299106</v>
      </c>
      <c r="I4344">
        <v>-187923914</v>
      </c>
      <c r="J4344">
        <v>-75241857</v>
      </c>
      <c r="K4344">
        <v>-50301370</v>
      </c>
      <c r="P4344">
        <v>305</v>
      </c>
      <c r="Q4344" t="s">
        <v>8735</v>
      </c>
    </row>
    <row r="4345" spans="1:17" x14ac:dyDescent="0.3">
      <c r="A4345" t="s">
        <v>32</v>
      </c>
      <c r="B4345" t="str">
        <f>"003037"</f>
        <v>003037</v>
      </c>
      <c r="C4345" t="s">
        <v>8736</v>
      </c>
      <c r="D4345" t="s">
        <v>400</v>
      </c>
      <c r="E4345">
        <v>-586707204</v>
      </c>
      <c r="F4345">
        <v>-330095113</v>
      </c>
      <c r="G4345">
        <v>-164029149</v>
      </c>
      <c r="P4345">
        <v>39</v>
      </c>
      <c r="Q4345" t="s">
        <v>8737</v>
      </c>
    </row>
    <row r="4346" spans="1:17" x14ac:dyDescent="0.3">
      <c r="A4346" t="s">
        <v>32</v>
      </c>
      <c r="B4346" t="str">
        <f>"002028"</f>
        <v>002028</v>
      </c>
      <c r="C4346" t="s">
        <v>8738</v>
      </c>
      <c r="D4346" t="s">
        <v>464</v>
      </c>
      <c r="E4346">
        <v>-587021587</v>
      </c>
      <c r="F4346">
        <v>-701878764</v>
      </c>
      <c r="G4346">
        <v>-626829042</v>
      </c>
      <c r="H4346">
        <v>-242807317</v>
      </c>
      <c r="I4346">
        <v>-361502285</v>
      </c>
      <c r="J4346">
        <v>-349529403</v>
      </c>
      <c r="K4346">
        <v>-425392922</v>
      </c>
      <c r="L4346">
        <v>-297897207</v>
      </c>
      <c r="M4346">
        <v>-492606952</v>
      </c>
      <c r="N4346">
        <v>-409313847</v>
      </c>
      <c r="O4346">
        <v>-378753736</v>
      </c>
      <c r="P4346">
        <v>603</v>
      </c>
      <c r="Q4346" t="s">
        <v>8739</v>
      </c>
    </row>
    <row r="4347" spans="1:17" x14ac:dyDescent="0.3">
      <c r="A4347" t="s">
        <v>32</v>
      </c>
      <c r="B4347" t="str">
        <f>"300616"</f>
        <v>300616</v>
      </c>
      <c r="C4347" t="s">
        <v>8740</v>
      </c>
      <c r="D4347" t="s">
        <v>455</v>
      </c>
      <c r="E4347">
        <v>-589115700</v>
      </c>
      <c r="F4347">
        <v>-965955356</v>
      </c>
      <c r="G4347">
        <v>-1186827271</v>
      </c>
      <c r="H4347">
        <v>-739789898</v>
      </c>
      <c r="I4347">
        <v>-601852864</v>
      </c>
      <c r="J4347">
        <v>-180882170</v>
      </c>
      <c r="K4347">
        <v>-262519440</v>
      </c>
      <c r="P4347">
        <v>694</v>
      </c>
      <c r="Q4347" t="s">
        <v>8741</v>
      </c>
    </row>
    <row r="4348" spans="1:17" x14ac:dyDescent="0.3">
      <c r="A4348" t="s">
        <v>17</v>
      </c>
      <c r="B4348" t="str">
        <f>"600460"</f>
        <v>600460</v>
      </c>
      <c r="C4348" t="s">
        <v>8742</v>
      </c>
      <c r="D4348" t="s">
        <v>124</v>
      </c>
      <c r="E4348">
        <v>-589776320</v>
      </c>
      <c r="F4348">
        <v>-250388718</v>
      </c>
      <c r="G4348">
        <v>-180585876</v>
      </c>
      <c r="H4348">
        <v>-150322713</v>
      </c>
      <c r="I4348">
        <v>-346685371</v>
      </c>
      <c r="J4348">
        <v>-268809820</v>
      </c>
      <c r="K4348">
        <v>-112357460</v>
      </c>
      <c r="L4348">
        <v>-118545176</v>
      </c>
      <c r="M4348">
        <v>-76897758</v>
      </c>
      <c r="N4348">
        <v>-31284479</v>
      </c>
      <c r="O4348">
        <v>-45211179</v>
      </c>
      <c r="P4348">
        <v>1169</v>
      </c>
      <c r="Q4348" t="s">
        <v>8743</v>
      </c>
    </row>
    <row r="4349" spans="1:17" x14ac:dyDescent="0.3">
      <c r="A4349" t="s">
        <v>32</v>
      </c>
      <c r="B4349" t="str">
        <f>"000060"</f>
        <v>000060</v>
      </c>
      <c r="C4349" t="s">
        <v>8744</v>
      </c>
      <c r="D4349" t="s">
        <v>121</v>
      </c>
      <c r="E4349">
        <v>-591192719</v>
      </c>
      <c r="F4349">
        <v>-268183430</v>
      </c>
      <c r="G4349">
        <v>34065090</v>
      </c>
      <c r="H4349">
        <v>-259344695</v>
      </c>
      <c r="I4349">
        <v>-368703401</v>
      </c>
      <c r="J4349">
        <v>143776029</v>
      </c>
      <c r="K4349">
        <v>-51896705</v>
      </c>
      <c r="L4349">
        <v>-132941359</v>
      </c>
      <c r="M4349">
        <v>-33673755</v>
      </c>
      <c r="N4349">
        <v>-299988010</v>
      </c>
      <c r="O4349">
        <v>-373813146</v>
      </c>
      <c r="P4349">
        <v>373</v>
      </c>
      <c r="Q4349" t="s">
        <v>8745</v>
      </c>
    </row>
    <row r="4350" spans="1:17" x14ac:dyDescent="0.3">
      <c r="A4350" t="s">
        <v>17</v>
      </c>
      <c r="B4350" t="str">
        <f>"600168"</f>
        <v>600168</v>
      </c>
      <c r="C4350" t="s">
        <v>8746</v>
      </c>
      <c r="D4350" t="s">
        <v>1334</v>
      </c>
      <c r="E4350">
        <v>-591301387</v>
      </c>
      <c r="F4350">
        <v>-573386991</v>
      </c>
      <c r="G4350">
        <v>-575309830</v>
      </c>
      <c r="H4350">
        <v>-541495329</v>
      </c>
      <c r="I4350">
        <v>-487622190</v>
      </c>
      <c r="J4350">
        <v>-147835618</v>
      </c>
      <c r="K4350">
        <v>-72857718</v>
      </c>
      <c r="L4350">
        <v>52071118</v>
      </c>
      <c r="M4350">
        <v>79117665</v>
      </c>
      <c r="N4350">
        <v>21994213</v>
      </c>
      <c r="O4350">
        <v>-2494090</v>
      </c>
      <c r="P4350">
        <v>168</v>
      </c>
      <c r="Q4350" t="s">
        <v>8747</v>
      </c>
    </row>
    <row r="4351" spans="1:17" x14ac:dyDescent="0.3">
      <c r="A4351" t="s">
        <v>17</v>
      </c>
      <c r="B4351" t="str">
        <f>"900945"</f>
        <v>900945</v>
      </c>
      <c r="C4351" t="s">
        <v>8748</v>
      </c>
      <c r="E4351">
        <v>-591406002</v>
      </c>
      <c r="F4351">
        <v>104672434.8</v>
      </c>
      <c r="G4351">
        <v>-247027701.44999999</v>
      </c>
      <c r="H4351">
        <v>261349129</v>
      </c>
      <c r="I4351">
        <v>-281568623.19999999</v>
      </c>
      <c r="J4351">
        <v>488074408.80000001</v>
      </c>
      <c r="K4351">
        <v>857591303.10000002</v>
      </c>
      <c r="L4351">
        <v>77635786.900000006</v>
      </c>
      <c r="M4351">
        <v>492255271.19999999</v>
      </c>
      <c r="N4351">
        <v>95571693</v>
      </c>
      <c r="O4351">
        <v>-142717530</v>
      </c>
      <c r="P4351">
        <v>7</v>
      </c>
      <c r="Q4351" t="s">
        <v>8749</v>
      </c>
    </row>
    <row r="4352" spans="1:17" x14ac:dyDescent="0.3">
      <c r="A4352" t="s">
        <v>17</v>
      </c>
      <c r="B4352" t="str">
        <f>"600745"</f>
        <v>600745</v>
      </c>
      <c r="C4352" t="s">
        <v>8750</v>
      </c>
      <c r="D4352" t="s">
        <v>124</v>
      </c>
      <c r="E4352">
        <v>-593281925</v>
      </c>
      <c r="F4352">
        <v>-997204143</v>
      </c>
      <c r="G4352">
        <v>-437104312</v>
      </c>
      <c r="H4352">
        <v>283594798</v>
      </c>
      <c r="I4352">
        <v>-264359138</v>
      </c>
      <c r="J4352">
        <v>293701405</v>
      </c>
      <c r="K4352">
        <v>-261019317</v>
      </c>
      <c r="L4352">
        <v>-162352765</v>
      </c>
      <c r="M4352">
        <v>-584230462</v>
      </c>
      <c r="N4352">
        <v>-26931115</v>
      </c>
      <c r="O4352">
        <v>-39922559</v>
      </c>
      <c r="P4352">
        <v>1618</v>
      </c>
      <c r="Q4352" t="s">
        <v>8751</v>
      </c>
    </row>
    <row r="4353" spans="1:17" x14ac:dyDescent="0.3">
      <c r="A4353" t="s">
        <v>32</v>
      </c>
      <c r="B4353" t="str">
        <f>"300623"</f>
        <v>300623</v>
      </c>
      <c r="C4353" t="s">
        <v>8752</v>
      </c>
      <c r="D4353" t="s">
        <v>124</v>
      </c>
      <c r="E4353">
        <v>-593951411</v>
      </c>
      <c r="F4353">
        <v>-109973191</v>
      </c>
      <c r="G4353">
        <v>-44460010</v>
      </c>
      <c r="H4353">
        <v>-26980815</v>
      </c>
      <c r="I4353">
        <v>-49106892</v>
      </c>
      <c r="J4353">
        <v>-22240803</v>
      </c>
      <c r="K4353">
        <v>15344215</v>
      </c>
      <c r="P4353">
        <v>666</v>
      </c>
      <c r="Q4353" t="s">
        <v>8753</v>
      </c>
    </row>
    <row r="4354" spans="1:17" x14ac:dyDescent="0.3">
      <c r="A4354" t="s">
        <v>17</v>
      </c>
      <c r="B4354" t="str">
        <f>"600726"</f>
        <v>600726</v>
      </c>
      <c r="C4354" t="s">
        <v>8754</v>
      </c>
      <c r="D4354" t="s">
        <v>158</v>
      </c>
      <c r="E4354">
        <v>-593985112</v>
      </c>
      <c r="F4354">
        <v>-92121880</v>
      </c>
      <c r="G4354">
        <v>299105851</v>
      </c>
      <c r="H4354">
        <v>234997425</v>
      </c>
      <c r="I4354">
        <v>-295719390</v>
      </c>
      <c r="J4354">
        <v>-76296923</v>
      </c>
      <c r="K4354">
        <v>95421111</v>
      </c>
      <c r="L4354">
        <v>457362621</v>
      </c>
      <c r="M4354">
        <v>657124748</v>
      </c>
      <c r="N4354">
        <v>402442458</v>
      </c>
      <c r="O4354">
        <v>-22420422</v>
      </c>
      <c r="P4354">
        <v>110</v>
      </c>
      <c r="Q4354" t="s">
        <v>8755</v>
      </c>
    </row>
    <row r="4355" spans="1:17" x14ac:dyDescent="0.3">
      <c r="A4355" t="s">
        <v>17</v>
      </c>
      <c r="B4355" t="str">
        <f>"600458"</f>
        <v>600458</v>
      </c>
      <c r="C4355" t="s">
        <v>8756</v>
      </c>
      <c r="D4355" t="s">
        <v>464</v>
      </c>
      <c r="E4355">
        <v>-594746989</v>
      </c>
      <c r="F4355">
        <v>-299496404</v>
      </c>
      <c r="G4355">
        <v>-207674720</v>
      </c>
      <c r="H4355">
        <v>-690074076</v>
      </c>
      <c r="I4355">
        <v>-393321593</v>
      </c>
      <c r="J4355">
        <v>-588851636</v>
      </c>
      <c r="K4355">
        <v>-422976015</v>
      </c>
      <c r="L4355">
        <v>-218715649</v>
      </c>
      <c r="M4355">
        <v>-148187033</v>
      </c>
      <c r="N4355">
        <v>-240064014</v>
      </c>
      <c r="O4355">
        <v>-275683269</v>
      </c>
      <c r="P4355">
        <v>244</v>
      </c>
      <c r="Q4355" t="s">
        <v>8757</v>
      </c>
    </row>
    <row r="4356" spans="1:17" x14ac:dyDescent="0.3">
      <c r="A4356" t="s">
        <v>17</v>
      </c>
      <c r="B4356" t="str">
        <f>"600120"</f>
        <v>600120</v>
      </c>
      <c r="C4356" t="s">
        <v>8758</v>
      </c>
      <c r="D4356" t="s">
        <v>26</v>
      </c>
      <c r="E4356">
        <v>-595656491</v>
      </c>
      <c r="F4356">
        <v>-71165013</v>
      </c>
      <c r="G4356">
        <v>279282797</v>
      </c>
      <c r="H4356">
        <v>-213579026</v>
      </c>
      <c r="I4356">
        <v>9804111</v>
      </c>
      <c r="J4356">
        <v>-20025778</v>
      </c>
      <c r="K4356">
        <v>232419083</v>
      </c>
      <c r="L4356">
        <v>135303347</v>
      </c>
      <c r="M4356">
        <v>-857428834</v>
      </c>
      <c r="N4356">
        <v>-343072935</v>
      </c>
      <c r="O4356">
        <v>170860432</v>
      </c>
      <c r="P4356">
        <v>193</v>
      </c>
      <c r="Q4356" t="s">
        <v>8759</v>
      </c>
    </row>
    <row r="4357" spans="1:17" x14ac:dyDescent="0.3">
      <c r="A4357" t="s">
        <v>17</v>
      </c>
      <c r="B4357" t="str">
        <f>"600133"</f>
        <v>600133</v>
      </c>
      <c r="C4357" t="s">
        <v>8760</v>
      </c>
      <c r="D4357" t="s">
        <v>645</v>
      </c>
      <c r="E4357">
        <v>-597159718</v>
      </c>
      <c r="F4357">
        <v>-377245549</v>
      </c>
      <c r="G4357">
        <v>122035530</v>
      </c>
      <c r="H4357">
        <v>-604960370</v>
      </c>
      <c r="I4357">
        <v>-373482616</v>
      </c>
      <c r="J4357">
        <v>-150087701</v>
      </c>
      <c r="K4357">
        <v>-344824334</v>
      </c>
      <c r="L4357">
        <v>-610026580</v>
      </c>
      <c r="M4357">
        <v>-588607119</v>
      </c>
      <c r="N4357">
        <v>209020294</v>
      </c>
      <c r="O4357">
        <v>-121666137</v>
      </c>
      <c r="P4357">
        <v>192</v>
      </c>
      <c r="Q4357" t="s">
        <v>8761</v>
      </c>
    </row>
    <row r="4358" spans="1:17" x14ac:dyDescent="0.3">
      <c r="A4358" t="s">
        <v>17</v>
      </c>
      <c r="B4358" t="str">
        <f>"600477"</f>
        <v>600477</v>
      </c>
      <c r="C4358" t="s">
        <v>8762</v>
      </c>
      <c r="D4358" t="s">
        <v>645</v>
      </c>
      <c r="E4358">
        <v>-597513689</v>
      </c>
      <c r="F4358">
        <v>-341611082</v>
      </c>
      <c r="G4358">
        <v>47046726</v>
      </c>
      <c r="H4358">
        <v>-38529751</v>
      </c>
      <c r="I4358">
        <v>-54310312</v>
      </c>
      <c r="J4358">
        <v>-86311108</v>
      </c>
      <c r="K4358">
        <v>31879533</v>
      </c>
      <c r="L4358">
        <v>-61432045</v>
      </c>
      <c r="M4358">
        <v>9729141</v>
      </c>
      <c r="N4358">
        <v>-4149934</v>
      </c>
      <c r="O4358">
        <v>-98167776</v>
      </c>
      <c r="P4358">
        <v>347</v>
      </c>
      <c r="Q4358" t="s">
        <v>8763</v>
      </c>
    </row>
    <row r="4359" spans="1:17" x14ac:dyDescent="0.3">
      <c r="A4359" t="s">
        <v>17</v>
      </c>
      <c r="B4359" t="str">
        <f>"603180"</f>
        <v>603180</v>
      </c>
      <c r="C4359" t="s">
        <v>8764</v>
      </c>
      <c r="D4359" t="s">
        <v>455</v>
      </c>
      <c r="E4359">
        <v>-599601393</v>
      </c>
      <c r="F4359">
        <v>-392595360</v>
      </c>
      <c r="G4359">
        <v>-335921253</v>
      </c>
      <c r="H4359">
        <v>-153013755</v>
      </c>
      <c r="I4359">
        <v>-173661610</v>
      </c>
      <c r="J4359">
        <v>-83468732</v>
      </c>
      <c r="K4359">
        <v>-121484028</v>
      </c>
      <c r="P4359">
        <v>1303</v>
      </c>
      <c r="Q4359" t="s">
        <v>8765</v>
      </c>
    </row>
    <row r="4360" spans="1:17" x14ac:dyDescent="0.3">
      <c r="A4360" t="s">
        <v>17</v>
      </c>
      <c r="B4360" t="str">
        <f>"603618"</f>
        <v>603618</v>
      </c>
      <c r="C4360" t="s">
        <v>8766</v>
      </c>
      <c r="D4360" t="s">
        <v>464</v>
      </c>
      <c r="E4360">
        <v>-601854568</v>
      </c>
      <c r="F4360">
        <v>-134981263</v>
      </c>
      <c r="G4360">
        <v>-579335424</v>
      </c>
      <c r="H4360">
        <v>-267315117</v>
      </c>
      <c r="I4360">
        <v>-609485930</v>
      </c>
      <c r="J4360">
        <v>-258705476</v>
      </c>
      <c r="K4360">
        <v>-271134921</v>
      </c>
      <c r="L4360">
        <v>-466440063</v>
      </c>
      <c r="M4360">
        <v>-378238754</v>
      </c>
      <c r="P4360">
        <v>169</v>
      </c>
      <c r="Q4360" t="s">
        <v>8767</v>
      </c>
    </row>
    <row r="4361" spans="1:17" x14ac:dyDescent="0.3">
      <c r="A4361" t="s">
        <v>17</v>
      </c>
      <c r="B4361" t="str">
        <f>"601058"</f>
        <v>601058</v>
      </c>
      <c r="C4361" t="s">
        <v>8768</v>
      </c>
      <c r="D4361" t="s">
        <v>199</v>
      </c>
      <c r="E4361">
        <v>-602816914</v>
      </c>
      <c r="F4361">
        <v>-123673522</v>
      </c>
      <c r="G4361">
        <v>-65804146</v>
      </c>
      <c r="H4361">
        <v>583092472</v>
      </c>
      <c r="I4361">
        <v>-263821233</v>
      </c>
      <c r="J4361">
        <v>-779521176</v>
      </c>
      <c r="K4361">
        <v>306339010</v>
      </c>
      <c r="L4361">
        <v>-501459138</v>
      </c>
      <c r="M4361">
        <v>151586630</v>
      </c>
      <c r="N4361">
        <v>-284576016</v>
      </c>
      <c r="O4361">
        <v>-70433293</v>
      </c>
      <c r="P4361">
        <v>590</v>
      </c>
      <c r="Q4361" t="s">
        <v>8769</v>
      </c>
    </row>
    <row r="4362" spans="1:17" x14ac:dyDescent="0.3">
      <c r="A4362" t="s">
        <v>32</v>
      </c>
      <c r="B4362" t="str">
        <f>"300748"</f>
        <v>300748</v>
      </c>
      <c r="C4362" t="s">
        <v>8770</v>
      </c>
      <c r="D4362" t="s">
        <v>121</v>
      </c>
      <c r="E4362">
        <v>-606095201</v>
      </c>
      <c r="F4362">
        <v>-209752157</v>
      </c>
      <c r="G4362">
        <v>-156531740</v>
      </c>
      <c r="H4362">
        <v>-193833995</v>
      </c>
      <c r="I4362">
        <v>7708803</v>
      </c>
      <c r="P4362">
        <v>342</v>
      </c>
      <c r="Q4362" t="s">
        <v>8771</v>
      </c>
    </row>
    <row r="4363" spans="1:17" x14ac:dyDescent="0.3">
      <c r="A4363" t="s">
        <v>32</v>
      </c>
      <c r="B4363" t="str">
        <f>"002268"</f>
        <v>002268</v>
      </c>
      <c r="C4363" t="s">
        <v>8772</v>
      </c>
      <c r="D4363" t="s">
        <v>342</v>
      </c>
      <c r="E4363">
        <v>-607915473</v>
      </c>
      <c r="F4363">
        <v>-817320088</v>
      </c>
      <c r="G4363">
        <v>-442232074</v>
      </c>
      <c r="H4363">
        <v>-475522447</v>
      </c>
      <c r="I4363">
        <v>-450420463</v>
      </c>
      <c r="J4363">
        <v>-257905630</v>
      </c>
      <c r="K4363">
        <v>-359436170</v>
      </c>
      <c r="L4363">
        <v>-166960409</v>
      </c>
      <c r="M4363">
        <v>-60141159</v>
      </c>
      <c r="N4363">
        <v>-80559540</v>
      </c>
      <c r="O4363">
        <v>-67884156</v>
      </c>
      <c r="P4363">
        <v>525</v>
      </c>
      <c r="Q4363" t="s">
        <v>8773</v>
      </c>
    </row>
    <row r="4364" spans="1:17" x14ac:dyDescent="0.3">
      <c r="A4364" t="s">
        <v>32</v>
      </c>
      <c r="B4364" t="str">
        <f>"000851"</f>
        <v>000851</v>
      </c>
      <c r="C4364" t="s">
        <v>8774</v>
      </c>
      <c r="D4364" t="s">
        <v>57</v>
      </c>
      <c r="E4364">
        <v>-610190943</v>
      </c>
      <c r="F4364">
        <v>-208296391</v>
      </c>
      <c r="G4364">
        <v>-313971388</v>
      </c>
      <c r="H4364">
        <v>-576101816</v>
      </c>
      <c r="I4364">
        <v>-1035656121</v>
      </c>
      <c r="J4364">
        <v>-743086834</v>
      </c>
      <c r="K4364">
        <v>-612901151</v>
      </c>
      <c r="L4364">
        <v>-93051765</v>
      </c>
      <c r="M4364">
        <v>-428885065</v>
      </c>
      <c r="N4364">
        <v>-324529632</v>
      </c>
      <c r="O4364">
        <v>-170742851</v>
      </c>
      <c r="P4364">
        <v>224</v>
      </c>
      <c r="Q4364" t="s">
        <v>8775</v>
      </c>
    </row>
    <row r="4365" spans="1:17" x14ac:dyDescent="0.3">
      <c r="A4365" t="s">
        <v>32</v>
      </c>
      <c r="B4365" t="str">
        <f>"300457"</f>
        <v>300457</v>
      </c>
      <c r="C4365" t="s">
        <v>8776</v>
      </c>
      <c r="D4365" t="s">
        <v>464</v>
      </c>
      <c r="E4365">
        <v>-610517098</v>
      </c>
      <c r="F4365">
        <v>337438939</v>
      </c>
      <c r="G4365">
        <v>-1185260</v>
      </c>
      <c r="H4365">
        <v>-22176261</v>
      </c>
      <c r="I4365">
        <v>-52094109</v>
      </c>
      <c r="J4365">
        <v>-62288921</v>
      </c>
      <c r="K4365">
        <v>-17941962</v>
      </c>
      <c r="L4365">
        <v>-8251400</v>
      </c>
      <c r="M4365">
        <v>7610400</v>
      </c>
      <c r="P4365">
        <v>359</v>
      </c>
      <c r="Q4365" t="s">
        <v>8777</v>
      </c>
    </row>
    <row r="4366" spans="1:17" x14ac:dyDescent="0.3">
      <c r="A4366" t="s">
        <v>32</v>
      </c>
      <c r="B4366" t="str">
        <f>"000905"</f>
        <v>000905</v>
      </c>
      <c r="C4366" t="s">
        <v>8778</v>
      </c>
      <c r="D4366" t="s">
        <v>46</v>
      </c>
      <c r="E4366">
        <v>-619698461</v>
      </c>
      <c r="F4366">
        <v>-426962567</v>
      </c>
      <c r="G4366">
        <v>-339568803</v>
      </c>
      <c r="H4366">
        <v>234864987</v>
      </c>
      <c r="I4366">
        <v>-88264402</v>
      </c>
      <c r="J4366">
        <v>-322721139</v>
      </c>
      <c r="K4366">
        <v>-279782587</v>
      </c>
      <c r="L4366">
        <v>-75310940</v>
      </c>
      <c r="M4366">
        <v>-90653623</v>
      </c>
      <c r="N4366">
        <v>-72871553</v>
      </c>
      <c r="O4366">
        <v>-94844283</v>
      </c>
      <c r="P4366">
        <v>213</v>
      </c>
      <c r="Q4366" t="s">
        <v>8779</v>
      </c>
    </row>
    <row r="4367" spans="1:17" x14ac:dyDescent="0.3">
      <c r="A4367" t="s">
        <v>17</v>
      </c>
      <c r="B4367" t="str">
        <f>"600050"</f>
        <v>600050</v>
      </c>
      <c r="C4367" t="s">
        <v>8780</v>
      </c>
      <c r="D4367" t="s">
        <v>57</v>
      </c>
      <c r="E4367">
        <v>-621929756</v>
      </c>
      <c r="F4367">
        <v>2207854832</v>
      </c>
      <c r="G4367">
        <v>10001767019</v>
      </c>
      <c r="H4367">
        <v>6341670842</v>
      </c>
      <c r="I4367">
        <v>11716695158</v>
      </c>
      <c r="J4367">
        <v>6871282403</v>
      </c>
      <c r="K4367">
        <v>-5150028290</v>
      </c>
      <c r="L4367">
        <v>-225024647</v>
      </c>
      <c r="M4367">
        <v>3909787557</v>
      </c>
      <c r="N4367">
        <v>-1341442554</v>
      </c>
      <c r="O4367">
        <v>474278735</v>
      </c>
      <c r="P4367">
        <v>1304</v>
      </c>
      <c r="Q4367" t="s">
        <v>8781</v>
      </c>
    </row>
    <row r="4368" spans="1:17" x14ac:dyDescent="0.3">
      <c r="A4368" t="s">
        <v>17</v>
      </c>
      <c r="B4368" t="str">
        <f>"600728"</f>
        <v>600728</v>
      </c>
      <c r="C4368" t="s">
        <v>8782</v>
      </c>
      <c r="D4368" t="s">
        <v>342</v>
      </c>
      <c r="E4368">
        <v>-627854870</v>
      </c>
      <c r="F4368">
        <v>-814220546</v>
      </c>
      <c r="G4368">
        <v>-469029203</v>
      </c>
      <c r="H4368">
        <v>-572470745</v>
      </c>
      <c r="I4368">
        <v>-270451205</v>
      </c>
      <c r="J4368">
        <v>-284182160</v>
      </c>
      <c r="K4368">
        <v>-335534670</v>
      </c>
      <c r="L4368">
        <v>-170533678</v>
      </c>
      <c r="M4368">
        <v>-141773543</v>
      </c>
      <c r="N4368">
        <v>-66943990</v>
      </c>
      <c r="O4368">
        <v>-34873877</v>
      </c>
      <c r="P4368">
        <v>345</v>
      </c>
      <c r="Q4368" t="s">
        <v>8783</v>
      </c>
    </row>
    <row r="4369" spans="1:17" x14ac:dyDescent="0.3">
      <c r="A4369" t="s">
        <v>17</v>
      </c>
      <c r="B4369" t="str">
        <f>"600310"</f>
        <v>600310</v>
      </c>
      <c r="C4369" t="s">
        <v>8784</v>
      </c>
      <c r="D4369" t="s">
        <v>158</v>
      </c>
      <c r="E4369">
        <v>-627977240</v>
      </c>
      <c r="F4369">
        <v>-464836700</v>
      </c>
      <c r="G4369">
        <v>-260637889</v>
      </c>
      <c r="H4369">
        <v>256043719</v>
      </c>
      <c r="I4369">
        <v>-603490535</v>
      </c>
      <c r="J4369">
        <v>-382361487</v>
      </c>
      <c r="K4369">
        <v>-269668376</v>
      </c>
      <c r="L4369">
        <v>-103098878</v>
      </c>
      <c r="M4369">
        <v>-55063842</v>
      </c>
      <c r="N4369">
        <v>-124684194</v>
      </c>
      <c r="O4369">
        <v>-172774515</v>
      </c>
      <c r="P4369">
        <v>115</v>
      </c>
      <c r="Q4369" t="s">
        <v>8785</v>
      </c>
    </row>
    <row r="4370" spans="1:17" x14ac:dyDescent="0.3">
      <c r="A4370" t="s">
        <v>32</v>
      </c>
      <c r="B4370" t="str">
        <f>"000421"</f>
        <v>000421</v>
      </c>
      <c r="C4370" t="s">
        <v>8786</v>
      </c>
      <c r="D4370" t="s">
        <v>158</v>
      </c>
      <c r="E4370">
        <v>-636856100</v>
      </c>
      <c r="F4370">
        <v>743459</v>
      </c>
      <c r="G4370">
        <v>-164171925</v>
      </c>
      <c r="H4370">
        <v>-175773397</v>
      </c>
      <c r="I4370">
        <v>107558782</v>
      </c>
      <c r="J4370">
        <v>-585914785</v>
      </c>
      <c r="K4370">
        <v>85138961</v>
      </c>
      <c r="L4370">
        <v>198486696</v>
      </c>
      <c r="M4370">
        <v>-90057889</v>
      </c>
      <c r="N4370">
        <v>148954710</v>
      </c>
      <c r="O4370">
        <v>-84238478</v>
      </c>
      <c r="P4370">
        <v>159</v>
      </c>
      <c r="Q4370" t="s">
        <v>8787</v>
      </c>
    </row>
    <row r="4371" spans="1:17" x14ac:dyDescent="0.3">
      <c r="A4371" t="s">
        <v>32</v>
      </c>
      <c r="B4371" t="str">
        <f>"000539"</f>
        <v>000539</v>
      </c>
      <c r="C4371" t="s">
        <v>8788</v>
      </c>
      <c r="D4371" t="s">
        <v>158</v>
      </c>
      <c r="E4371">
        <v>-637283418</v>
      </c>
      <c r="F4371">
        <v>-1199036088</v>
      </c>
      <c r="G4371">
        <v>198581924</v>
      </c>
      <c r="H4371">
        <v>1060662798</v>
      </c>
      <c r="I4371">
        <v>882992679</v>
      </c>
      <c r="J4371">
        <v>-130886740</v>
      </c>
      <c r="K4371">
        <v>1141327782</v>
      </c>
      <c r="L4371">
        <v>1540756305</v>
      </c>
      <c r="M4371">
        <v>1588971385</v>
      </c>
      <c r="N4371">
        <v>1499352259</v>
      </c>
      <c r="O4371">
        <v>162147480</v>
      </c>
      <c r="P4371">
        <v>203</v>
      </c>
      <c r="Q4371" t="s">
        <v>8789</v>
      </c>
    </row>
    <row r="4372" spans="1:17" x14ac:dyDescent="0.3">
      <c r="A4372" t="s">
        <v>32</v>
      </c>
      <c r="B4372" t="str">
        <f>"300999"</f>
        <v>300999</v>
      </c>
      <c r="C4372" t="s">
        <v>8790</v>
      </c>
      <c r="D4372" t="s">
        <v>175</v>
      </c>
      <c r="E4372">
        <v>-638083000</v>
      </c>
      <c r="F4372">
        <v>-777103000</v>
      </c>
      <c r="G4372">
        <v>6436998000</v>
      </c>
      <c r="H4372">
        <v>5981340000</v>
      </c>
      <c r="P4372">
        <v>1181</v>
      </c>
      <c r="Q4372" t="s">
        <v>8791</v>
      </c>
    </row>
    <row r="4373" spans="1:17" x14ac:dyDescent="0.3">
      <c r="A4373" t="s">
        <v>17</v>
      </c>
      <c r="B4373" t="str">
        <f>"603737"</f>
        <v>603737</v>
      </c>
      <c r="C4373" t="s">
        <v>8792</v>
      </c>
      <c r="D4373" t="s">
        <v>400</v>
      </c>
      <c r="E4373">
        <v>-640270511</v>
      </c>
      <c r="F4373">
        <v>-837025467</v>
      </c>
      <c r="G4373">
        <v>-1025197177</v>
      </c>
      <c r="H4373">
        <v>-461584632</v>
      </c>
      <c r="I4373">
        <v>-123527001</v>
      </c>
      <c r="J4373">
        <v>-194418896</v>
      </c>
      <c r="K4373">
        <v>-90852352</v>
      </c>
      <c r="L4373">
        <v>-42973362</v>
      </c>
      <c r="P4373">
        <v>1048</v>
      </c>
      <c r="Q4373" t="s">
        <v>8793</v>
      </c>
    </row>
    <row r="4374" spans="1:17" x14ac:dyDescent="0.3">
      <c r="A4374" t="s">
        <v>32</v>
      </c>
      <c r="B4374" t="str">
        <f>"000519"</f>
        <v>000519</v>
      </c>
      <c r="C4374" t="s">
        <v>8794</v>
      </c>
      <c r="D4374" t="s">
        <v>188</v>
      </c>
      <c r="E4374">
        <v>-640517592</v>
      </c>
      <c r="F4374">
        <v>-298363196</v>
      </c>
      <c r="G4374">
        <v>-96572576</v>
      </c>
      <c r="H4374">
        <v>-4280148</v>
      </c>
      <c r="I4374">
        <v>235312182</v>
      </c>
      <c r="J4374">
        <v>-46878408</v>
      </c>
      <c r="K4374">
        <v>-86683626</v>
      </c>
      <c r="L4374">
        <v>-162193308</v>
      </c>
      <c r="M4374">
        <v>-177681801</v>
      </c>
      <c r="N4374">
        <v>-9269074</v>
      </c>
      <c r="O4374">
        <v>-3454747</v>
      </c>
      <c r="P4374">
        <v>336</v>
      </c>
      <c r="Q4374" t="s">
        <v>8795</v>
      </c>
    </row>
    <row r="4375" spans="1:17" x14ac:dyDescent="0.3">
      <c r="A4375" t="s">
        <v>32</v>
      </c>
      <c r="B4375" t="str">
        <f>"002988"</f>
        <v>002988</v>
      </c>
      <c r="C4375" t="s">
        <v>8796</v>
      </c>
      <c r="D4375" t="s">
        <v>121</v>
      </c>
      <c r="E4375">
        <v>-644788644</v>
      </c>
      <c r="F4375">
        <v>-550751593</v>
      </c>
      <c r="G4375">
        <v>-202973203</v>
      </c>
      <c r="H4375">
        <v>33473618</v>
      </c>
      <c r="P4375">
        <v>62</v>
      </c>
      <c r="Q4375" t="s">
        <v>8797</v>
      </c>
    </row>
    <row r="4376" spans="1:17" x14ac:dyDescent="0.3">
      <c r="A4376" t="s">
        <v>17</v>
      </c>
      <c r="B4376" t="str">
        <f>"603008"</f>
        <v>603008</v>
      </c>
      <c r="C4376" t="s">
        <v>8798</v>
      </c>
      <c r="D4376" t="s">
        <v>455</v>
      </c>
      <c r="E4376">
        <v>-645589682</v>
      </c>
      <c r="F4376">
        <v>-248451205</v>
      </c>
      <c r="G4376">
        <v>-348634531</v>
      </c>
      <c r="H4376">
        <v>-140946527</v>
      </c>
      <c r="I4376">
        <v>-286416589</v>
      </c>
      <c r="J4376">
        <v>-212208184</v>
      </c>
      <c r="K4376">
        <v>-62807159</v>
      </c>
      <c r="L4376">
        <v>4351643</v>
      </c>
      <c r="M4376">
        <v>-120731630</v>
      </c>
      <c r="N4376">
        <v>-170096066</v>
      </c>
      <c r="O4376">
        <v>-39518887</v>
      </c>
      <c r="P4376">
        <v>301</v>
      </c>
      <c r="Q4376" t="s">
        <v>8799</v>
      </c>
    </row>
    <row r="4377" spans="1:17" x14ac:dyDescent="0.3">
      <c r="A4377" t="s">
        <v>17</v>
      </c>
      <c r="B4377" t="str">
        <f>"688538"</f>
        <v>688538</v>
      </c>
      <c r="C4377" t="s">
        <v>8800</v>
      </c>
      <c r="D4377" t="s">
        <v>124</v>
      </c>
      <c r="E4377">
        <v>-646251621</v>
      </c>
      <c r="F4377">
        <v>-276488909</v>
      </c>
      <c r="G4377">
        <v>-1590854882</v>
      </c>
      <c r="P4377">
        <v>37</v>
      </c>
      <c r="Q4377" t="s">
        <v>8801</v>
      </c>
    </row>
    <row r="4378" spans="1:17" x14ac:dyDescent="0.3">
      <c r="A4378" t="s">
        <v>17</v>
      </c>
      <c r="B4378" t="str">
        <f>"600023"</f>
        <v>600023</v>
      </c>
      <c r="C4378" t="s">
        <v>8802</v>
      </c>
      <c r="D4378" t="s">
        <v>158</v>
      </c>
      <c r="E4378">
        <v>-647574104</v>
      </c>
      <c r="F4378">
        <v>-343932840</v>
      </c>
      <c r="G4378">
        <v>1186309725</v>
      </c>
      <c r="H4378">
        <v>1125657316</v>
      </c>
      <c r="I4378">
        <v>793077629</v>
      </c>
      <c r="J4378">
        <v>967074627</v>
      </c>
      <c r="K4378">
        <v>3113474151</v>
      </c>
      <c r="L4378">
        <v>2898359079</v>
      </c>
      <c r="M4378">
        <v>874512203</v>
      </c>
      <c r="N4378">
        <v>1558924408</v>
      </c>
      <c r="P4378">
        <v>918</v>
      </c>
      <c r="Q4378" t="s">
        <v>8803</v>
      </c>
    </row>
    <row r="4379" spans="1:17" x14ac:dyDescent="0.3">
      <c r="A4379" t="s">
        <v>32</v>
      </c>
      <c r="B4379" t="str">
        <f>"002534"</f>
        <v>002534</v>
      </c>
      <c r="C4379" t="s">
        <v>8804</v>
      </c>
      <c r="D4379" t="s">
        <v>464</v>
      </c>
      <c r="E4379">
        <v>-647840456</v>
      </c>
      <c r="F4379">
        <v>-447162691</v>
      </c>
      <c r="G4379">
        <v>167414310</v>
      </c>
      <c r="H4379">
        <v>-100687289</v>
      </c>
      <c r="I4379">
        <v>-29688618</v>
      </c>
      <c r="J4379">
        <v>-176174800</v>
      </c>
      <c r="K4379">
        <v>132048218</v>
      </c>
      <c r="L4379">
        <v>-122082641</v>
      </c>
      <c r="M4379">
        <v>-357571388</v>
      </c>
      <c r="N4379">
        <v>5219429</v>
      </c>
      <c r="O4379">
        <v>-485898851</v>
      </c>
      <c r="P4379">
        <v>192</v>
      </c>
      <c r="Q4379" t="s">
        <v>8805</v>
      </c>
    </row>
    <row r="4380" spans="1:17" x14ac:dyDescent="0.3">
      <c r="A4380" t="s">
        <v>32</v>
      </c>
      <c r="B4380" t="str">
        <f>"002127"</f>
        <v>002127</v>
      </c>
      <c r="C4380" t="s">
        <v>8806</v>
      </c>
      <c r="D4380" t="s">
        <v>218</v>
      </c>
      <c r="E4380">
        <v>-649455224</v>
      </c>
      <c r="F4380">
        <v>-284042842</v>
      </c>
      <c r="G4380">
        <v>-370375584</v>
      </c>
      <c r="H4380">
        <v>90960547</v>
      </c>
      <c r="I4380">
        <v>-46715645</v>
      </c>
      <c r="J4380">
        <v>6110169</v>
      </c>
      <c r="K4380">
        <v>13356922</v>
      </c>
      <c r="L4380">
        <v>50799049</v>
      </c>
      <c r="M4380">
        <v>-21322836</v>
      </c>
      <c r="N4380">
        <v>-76259421</v>
      </c>
      <c r="O4380">
        <v>34768779</v>
      </c>
      <c r="P4380">
        <v>1745</v>
      </c>
      <c r="Q4380" t="s">
        <v>8807</v>
      </c>
    </row>
    <row r="4381" spans="1:17" x14ac:dyDescent="0.3">
      <c r="A4381" t="s">
        <v>17</v>
      </c>
      <c r="B4381" t="str">
        <f>"600981"</f>
        <v>600981</v>
      </c>
      <c r="C4381" t="s">
        <v>8808</v>
      </c>
      <c r="D4381" t="s">
        <v>218</v>
      </c>
      <c r="E4381">
        <v>-651773301</v>
      </c>
      <c r="F4381">
        <v>-74040039</v>
      </c>
      <c r="G4381">
        <v>-345293974</v>
      </c>
      <c r="H4381">
        <v>-536438440</v>
      </c>
      <c r="I4381">
        <v>-245336983</v>
      </c>
      <c r="J4381">
        <v>-75838279</v>
      </c>
      <c r="K4381">
        <v>-86569232</v>
      </c>
      <c r="L4381">
        <v>170496537</v>
      </c>
      <c r="M4381">
        <v>-197487696</v>
      </c>
      <c r="N4381">
        <v>9100064</v>
      </c>
      <c r="O4381">
        <v>-203730491</v>
      </c>
      <c r="P4381">
        <v>99</v>
      </c>
      <c r="Q4381" t="s">
        <v>8809</v>
      </c>
    </row>
    <row r="4382" spans="1:17" x14ac:dyDescent="0.3">
      <c r="A4382" t="s">
        <v>17</v>
      </c>
      <c r="B4382" t="str">
        <f>"603378"</f>
        <v>603378</v>
      </c>
      <c r="C4382" t="s">
        <v>8810</v>
      </c>
      <c r="D4382" t="s">
        <v>400</v>
      </c>
      <c r="E4382">
        <v>-655059620</v>
      </c>
      <c r="F4382">
        <v>-1335525134</v>
      </c>
      <c r="G4382">
        <v>-501253764</v>
      </c>
      <c r="H4382">
        <v>-137027067</v>
      </c>
      <c r="I4382">
        <v>-92771982</v>
      </c>
      <c r="J4382">
        <v>-129600091</v>
      </c>
      <c r="P4382">
        <v>203</v>
      </c>
      <c r="Q4382" t="s">
        <v>8811</v>
      </c>
    </row>
    <row r="4383" spans="1:17" x14ac:dyDescent="0.3">
      <c r="A4383" t="s">
        <v>17</v>
      </c>
      <c r="B4383" t="str">
        <f>"605266"</f>
        <v>605266</v>
      </c>
      <c r="C4383" t="s">
        <v>8812</v>
      </c>
      <c r="D4383" t="s">
        <v>98</v>
      </c>
      <c r="E4383">
        <v>-656673065</v>
      </c>
      <c r="F4383">
        <v>-17714578</v>
      </c>
      <c r="G4383">
        <v>-13644003</v>
      </c>
      <c r="P4383">
        <v>105</v>
      </c>
      <c r="Q4383" t="s">
        <v>8813</v>
      </c>
    </row>
    <row r="4384" spans="1:17" x14ac:dyDescent="0.3">
      <c r="A4384" t="s">
        <v>17</v>
      </c>
      <c r="B4384" t="str">
        <f>"603659"</f>
        <v>603659</v>
      </c>
      <c r="C4384" t="s">
        <v>8814</v>
      </c>
      <c r="D4384" t="s">
        <v>464</v>
      </c>
      <c r="E4384">
        <v>-664223693</v>
      </c>
      <c r="F4384">
        <v>90817099</v>
      </c>
      <c r="G4384">
        <v>19672427</v>
      </c>
      <c r="H4384">
        <v>-356732350</v>
      </c>
      <c r="I4384">
        <v>-234403044</v>
      </c>
      <c r="J4384">
        <v>-10832900</v>
      </c>
      <c r="P4384">
        <v>1048</v>
      </c>
      <c r="Q4384" t="s">
        <v>8815</v>
      </c>
    </row>
    <row r="4385" spans="1:17" x14ac:dyDescent="0.3">
      <c r="A4385" t="s">
        <v>17</v>
      </c>
      <c r="B4385" t="str">
        <f>"600375"</f>
        <v>600375</v>
      </c>
      <c r="C4385" t="s">
        <v>8816</v>
      </c>
      <c r="D4385" t="s">
        <v>135</v>
      </c>
      <c r="E4385">
        <v>-664852737</v>
      </c>
      <c r="F4385">
        <v>-733329143</v>
      </c>
      <c r="G4385">
        <v>-65531751</v>
      </c>
      <c r="H4385">
        <v>-184530387</v>
      </c>
      <c r="I4385">
        <v>-12036106</v>
      </c>
      <c r="J4385">
        <v>-108789311</v>
      </c>
      <c r="K4385">
        <v>186434647</v>
      </c>
      <c r="L4385">
        <v>-611252068</v>
      </c>
      <c r="M4385">
        <v>-134020948</v>
      </c>
      <c r="N4385">
        <v>-196027783</v>
      </c>
      <c r="O4385">
        <v>-155144956</v>
      </c>
      <c r="P4385">
        <v>87</v>
      </c>
      <c r="Q4385" t="s">
        <v>8817</v>
      </c>
    </row>
    <row r="4386" spans="1:17" x14ac:dyDescent="0.3">
      <c r="A4386" t="s">
        <v>17</v>
      </c>
      <c r="B4386" t="str">
        <f>"601228"</f>
        <v>601228</v>
      </c>
      <c r="C4386" t="s">
        <v>8818</v>
      </c>
      <c r="D4386" t="s">
        <v>46</v>
      </c>
      <c r="E4386">
        <v>-667025759</v>
      </c>
      <c r="F4386">
        <v>-1044936034</v>
      </c>
      <c r="G4386">
        <v>-270457369</v>
      </c>
      <c r="H4386">
        <v>-126794344</v>
      </c>
      <c r="I4386">
        <v>95743248</v>
      </c>
      <c r="J4386">
        <v>-13905120</v>
      </c>
      <c r="K4386">
        <v>-86880180</v>
      </c>
      <c r="P4386">
        <v>189</v>
      </c>
      <c r="Q4386" t="s">
        <v>8819</v>
      </c>
    </row>
    <row r="4387" spans="1:17" x14ac:dyDescent="0.3">
      <c r="A4387" t="s">
        <v>32</v>
      </c>
      <c r="B4387" t="str">
        <f>"002179"</f>
        <v>002179</v>
      </c>
      <c r="C4387" t="s">
        <v>8820</v>
      </c>
      <c r="D4387" t="s">
        <v>188</v>
      </c>
      <c r="E4387">
        <v>-667719185</v>
      </c>
      <c r="F4387">
        <v>-582292929</v>
      </c>
      <c r="G4387">
        <v>-431198257</v>
      </c>
      <c r="H4387">
        <v>-101209880</v>
      </c>
      <c r="I4387">
        <v>-372185973</v>
      </c>
      <c r="J4387">
        <v>-247898714</v>
      </c>
      <c r="K4387">
        <v>-208757083</v>
      </c>
      <c r="L4387">
        <v>-310368926</v>
      </c>
      <c r="M4387">
        <v>-182301978</v>
      </c>
      <c r="N4387">
        <v>-127092727</v>
      </c>
      <c r="O4387">
        <v>-93622022</v>
      </c>
      <c r="P4387">
        <v>1743</v>
      </c>
      <c r="Q4387" t="s">
        <v>8821</v>
      </c>
    </row>
    <row r="4388" spans="1:17" x14ac:dyDescent="0.3">
      <c r="A4388" t="s">
        <v>17</v>
      </c>
      <c r="B4388" t="str">
        <f>"600895"</f>
        <v>600895</v>
      </c>
      <c r="C4388" t="s">
        <v>8822</v>
      </c>
      <c r="D4388" t="s">
        <v>151</v>
      </c>
      <c r="E4388">
        <v>-671998413</v>
      </c>
      <c r="F4388">
        <v>-202972044</v>
      </c>
      <c r="G4388">
        <v>-447717701</v>
      </c>
      <c r="H4388">
        <v>1889550</v>
      </c>
      <c r="I4388">
        <v>-239526332</v>
      </c>
      <c r="J4388">
        <v>-190885903</v>
      </c>
      <c r="K4388">
        <v>40746034</v>
      </c>
      <c r="L4388">
        <v>-234148292</v>
      </c>
      <c r="M4388">
        <v>-138789300</v>
      </c>
      <c r="N4388">
        <v>-503034815</v>
      </c>
      <c r="O4388">
        <v>-217927662</v>
      </c>
      <c r="P4388">
        <v>336</v>
      </c>
      <c r="Q4388" t="s">
        <v>8823</v>
      </c>
    </row>
    <row r="4389" spans="1:17" x14ac:dyDescent="0.3">
      <c r="A4389" t="s">
        <v>32</v>
      </c>
      <c r="B4389" t="str">
        <f>"002300"</f>
        <v>002300</v>
      </c>
      <c r="C4389" t="s">
        <v>8824</v>
      </c>
      <c r="D4389" t="s">
        <v>464</v>
      </c>
      <c r="E4389">
        <v>-673520328</v>
      </c>
      <c r="F4389">
        <v>-375992249</v>
      </c>
      <c r="G4389">
        <v>-266499704</v>
      </c>
      <c r="H4389">
        <v>-246536330</v>
      </c>
      <c r="I4389">
        <v>-294388620</v>
      </c>
      <c r="J4389">
        <v>-205405991</v>
      </c>
      <c r="K4389">
        <v>-127238042</v>
      </c>
      <c r="L4389">
        <v>-59382646</v>
      </c>
      <c r="M4389">
        <v>17229325</v>
      </c>
      <c r="N4389">
        <v>-124825149</v>
      </c>
      <c r="O4389">
        <v>-152238516</v>
      </c>
      <c r="P4389">
        <v>125</v>
      </c>
      <c r="Q4389" t="s">
        <v>8825</v>
      </c>
    </row>
    <row r="4390" spans="1:17" x14ac:dyDescent="0.3">
      <c r="A4390" t="s">
        <v>17</v>
      </c>
      <c r="B4390" t="str">
        <f>"603833"</f>
        <v>603833</v>
      </c>
      <c r="C4390" t="s">
        <v>8826</v>
      </c>
      <c r="D4390" t="s">
        <v>455</v>
      </c>
      <c r="E4390">
        <v>-673866780</v>
      </c>
      <c r="F4390">
        <v>-551510554</v>
      </c>
      <c r="G4390">
        <v>-1093487142</v>
      </c>
      <c r="H4390">
        <v>-696062795</v>
      </c>
      <c r="I4390">
        <v>-1217972498</v>
      </c>
      <c r="J4390">
        <v>-667676008</v>
      </c>
      <c r="K4390">
        <v>-207285121</v>
      </c>
      <c r="P4390">
        <v>2567</v>
      </c>
      <c r="Q4390" t="s">
        <v>8827</v>
      </c>
    </row>
    <row r="4391" spans="1:17" x14ac:dyDescent="0.3">
      <c r="A4391" t="s">
        <v>32</v>
      </c>
      <c r="B4391" t="str">
        <f>"300782"</f>
        <v>300782</v>
      </c>
      <c r="C4391" t="s">
        <v>8828</v>
      </c>
      <c r="D4391" t="s">
        <v>124</v>
      </c>
      <c r="E4391">
        <v>-679085265</v>
      </c>
      <c r="F4391">
        <v>-162169133</v>
      </c>
      <c r="G4391">
        <v>82919</v>
      </c>
      <c r="H4391">
        <v>47412423</v>
      </c>
      <c r="I4391">
        <v>39656895</v>
      </c>
      <c r="P4391">
        <v>1610</v>
      </c>
      <c r="Q4391" t="s">
        <v>8829</v>
      </c>
    </row>
    <row r="4392" spans="1:17" x14ac:dyDescent="0.3">
      <c r="A4392" t="s">
        <v>32</v>
      </c>
      <c r="B4392" t="str">
        <f>"000012"</f>
        <v>000012</v>
      </c>
      <c r="C4392" t="s">
        <v>8830</v>
      </c>
      <c r="D4392" t="s">
        <v>400</v>
      </c>
      <c r="E4392">
        <v>-681053438</v>
      </c>
      <c r="F4392">
        <v>107479803</v>
      </c>
      <c r="G4392">
        <v>-257158163</v>
      </c>
      <c r="H4392">
        <v>9417249</v>
      </c>
      <c r="I4392">
        <v>-50303744</v>
      </c>
      <c r="J4392">
        <v>83260610</v>
      </c>
      <c r="K4392">
        <v>58723476</v>
      </c>
      <c r="L4392">
        <v>-279612707</v>
      </c>
      <c r="M4392">
        <v>-313303749</v>
      </c>
      <c r="N4392">
        <v>-157994436</v>
      </c>
      <c r="O4392">
        <v>-142356851</v>
      </c>
      <c r="P4392">
        <v>409</v>
      </c>
      <c r="Q4392" t="s">
        <v>8831</v>
      </c>
    </row>
    <row r="4393" spans="1:17" x14ac:dyDescent="0.3">
      <c r="A4393" t="s">
        <v>17</v>
      </c>
      <c r="B4393" t="str">
        <f>"601789"</f>
        <v>601789</v>
      </c>
      <c r="C4393" t="s">
        <v>8832</v>
      </c>
      <c r="D4393" t="s">
        <v>645</v>
      </c>
      <c r="E4393">
        <v>-681119047</v>
      </c>
      <c r="F4393">
        <v>-784638963</v>
      </c>
      <c r="G4393">
        <v>-504422127</v>
      </c>
      <c r="H4393">
        <v>-162929389</v>
      </c>
      <c r="I4393">
        <v>-453842744</v>
      </c>
      <c r="J4393">
        <v>-725982347</v>
      </c>
      <c r="K4393">
        <v>-87384529</v>
      </c>
      <c r="L4393">
        <v>-419608302</v>
      </c>
      <c r="M4393">
        <v>-318752823</v>
      </c>
      <c r="N4393">
        <v>2473249</v>
      </c>
      <c r="O4393">
        <v>-70561641</v>
      </c>
      <c r="P4393">
        <v>147</v>
      </c>
      <c r="Q4393" t="s">
        <v>8833</v>
      </c>
    </row>
    <row r="4394" spans="1:17" x14ac:dyDescent="0.3">
      <c r="A4394" t="s">
        <v>17</v>
      </c>
      <c r="B4394" t="str">
        <f>"600533"</f>
        <v>600533</v>
      </c>
      <c r="C4394" t="s">
        <v>8834</v>
      </c>
      <c r="D4394" t="s">
        <v>151</v>
      </c>
      <c r="E4394">
        <v>-682404965</v>
      </c>
      <c r="F4394">
        <v>1044500226</v>
      </c>
      <c r="G4394">
        <v>-233186156</v>
      </c>
      <c r="H4394">
        <v>250223575</v>
      </c>
      <c r="I4394">
        <v>-443815275</v>
      </c>
      <c r="J4394">
        <v>-163516759</v>
      </c>
      <c r="K4394">
        <v>-123432420</v>
      </c>
      <c r="L4394">
        <v>-403374417</v>
      </c>
      <c r="M4394">
        <v>-351715157</v>
      </c>
      <c r="N4394">
        <v>-474733861</v>
      </c>
      <c r="O4394">
        <v>-696137935</v>
      </c>
      <c r="P4394">
        <v>199</v>
      </c>
      <c r="Q4394" t="s">
        <v>8835</v>
      </c>
    </row>
    <row r="4395" spans="1:17" x14ac:dyDescent="0.3">
      <c r="A4395" t="s">
        <v>17</v>
      </c>
      <c r="B4395" t="str">
        <f>"600131"</f>
        <v>600131</v>
      </c>
      <c r="C4395" t="s">
        <v>8836</v>
      </c>
      <c r="D4395" t="s">
        <v>342</v>
      </c>
      <c r="E4395">
        <v>-686612690</v>
      </c>
      <c r="F4395">
        <v>-1018093743</v>
      </c>
      <c r="G4395">
        <v>-427308449</v>
      </c>
      <c r="H4395">
        <v>-14329677</v>
      </c>
      <c r="I4395">
        <v>10771831</v>
      </c>
      <c r="J4395">
        <v>-27860060</v>
      </c>
      <c r="K4395">
        <v>-3481459</v>
      </c>
      <c r="L4395">
        <v>-12739438</v>
      </c>
      <c r="M4395">
        <v>4063571</v>
      </c>
      <c r="N4395">
        <v>3183823</v>
      </c>
      <c r="O4395">
        <v>-22713291</v>
      </c>
      <c r="P4395">
        <v>209</v>
      </c>
      <c r="Q4395" t="s">
        <v>8837</v>
      </c>
    </row>
    <row r="4396" spans="1:17" x14ac:dyDescent="0.3">
      <c r="A4396" t="s">
        <v>32</v>
      </c>
      <c r="B4396" t="str">
        <f>"002462"</f>
        <v>002462</v>
      </c>
      <c r="C4396" t="s">
        <v>8838</v>
      </c>
      <c r="D4396" t="s">
        <v>98</v>
      </c>
      <c r="E4396">
        <v>-687972170</v>
      </c>
      <c r="F4396">
        <v>211391841</v>
      </c>
      <c r="G4396">
        <v>-205992030</v>
      </c>
      <c r="H4396">
        <v>-52670807</v>
      </c>
      <c r="I4396">
        <v>-539033260</v>
      </c>
      <c r="J4396">
        <v>-206146705</v>
      </c>
      <c r="K4396">
        <v>-294722885</v>
      </c>
      <c r="L4396">
        <v>30615788</v>
      </c>
      <c r="M4396">
        <v>-52686672</v>
      </c>
      <c r="N4396">
        <v>-12655236</v>
      </c>
      <c r="O4396">
        <v>-53473793</v>
      </c>
      <c r="P4396">
        <v>258</v>
      </c>
      <c r="Q4396" t="s">
        <v>8839</v>
      </c>
    </row>
    <row r="4397" spans="1:17" x14ac:dyDescent="0.3">
      <c r="A4397" t="s">
        <v>32</v>
      </c>
      <c r="B4397" t="str">
        <f>"000528"</f>
        <v>000528</v>
      </c>
      <c r="C4397" t="s">
        <v>8840</v>
      </c>
      <c r="D4397" t="s">
        <v>135</v>
      </c>
      <c r="E4397">
        <v>-689013582</v>
      </c>
      <c r="F4397">
        <v>243650314</v>
      </c>
      <c r="G4397">
        <v>-862130581</v>
      </c>
      <c r="H4397">
        <v>446975254</v>
      </c>
      <c r="I4397">
        <v>95023793</v>
      </c>
      <c r="J4397">
        <v>427709937</v>
      </c>
      <c r="K4397">
        <v>270314268</v>
      </c>
      <c r="L4397">
        <v>-500460711</v>
      </c>
      <c r="M4397">
        <v>-99516301</v>
      </c>
      <c r="N4397">
        <v>-130821023</v>
      </c>
      <c r="O4397">
        <v>213478850</v>
      </c>
      <c r="P4397">
        <v>481</v>
      </c>
      <c r="Q4397" t="s">
        <v>8841</v>
      </c>
    </row>
    <row r="4398" spans="1:17" x14ac:dyDescent="0.3">
      <c r="A4398" t="s">
        <v>32</v>
      </c>
      <c r="B4398" t="str">
        <f>"300207"</f>
        <v>300207</v>
      </c>
      <c r="C4398" t="s">
        <v>8842</v>
      </c>
      <c r="D4398" t="s">
        <v>464</v>
      </c>
      <c r="E4398">
        <v>-704326313</v>
      </c>
      <c r="F4398">
        <v>-304269110</v>
      </c>
      <c r="G4398">
        <v>-560955869</v>
      </c>
      <c r="H4398">
        <v>-319220306</v>
      </c>
      <c r="I4398">
        <v>-219373338</v>
      </c>
      <c r="J4398">
        <v>-344072024</v>
      </c>
      <c r="K4398">
        <v>230352910</v>
      </c>
      <c r="L4398">
        <v>219061624</v>
      </c>
      <c r="M4398">
        <v>-623567</v>
      </c>
      <c r="N4398">
        <v>-75451950</v>
      </c>
      <c r="O4398">
        <v>-80482392</v>
      </c>
      <c r="P4398">
        <v>1013</v>
      </c>
      <c r="Q4398" t="s">
        <v>8843</v>
      </c>
    </row>
    <row r="4399" spans="1:17" x14ac:dyDescent="0.3">
      <c r="A4399" t="s">
        <v>32</v>
      </c>
      <c r="B4399" t="str">
        <f>"002533"</f>
        <v>002533</v>
      </c>
      <c r="C4399" t="s">
        <v>8844</v>
      </c>
      <c r="D4399" t="s">
        <v>464</v>
      </c>
      <c r="E4399">
        <v>-704568770</v>
      </c>
      <c r="F4399">
        <v>-698496378</v>
      </c>
      <c r="G4399">
        <v>-204509701</v>
      </c>
      <c r="H4399">
        <v>-365943035</v>
      </c>
      <c r="I4399">
        <v>-302738672</v>
      </c>
      <c r="J4399">
        <v>-210026262</v>
      </c>
      <c r="K4399">
        <v>17740226</v>
      </c>
      <c r="L4399">
        <v>-233381352</v>
      </c>
      <c r="M4399">
        <v>-170246788</v>
      </c>
      <c r="N4399">
        <v>-109016126</v>
      </c>
      <c r="O4399">
        <v>-19731533</v>
      </c>
      <c r="P4399">
        <v>193</v>
      </c>
      <c r="Q4399" t="s">
        <v>8845</v>
      </c>
    </row>
    <row r="4400" spans="1:17" x14ac:dyDescent="0.3">
      <c r="A4400" t="s">
        <v>17</v>
      </c>
      <c r="B4400" t="str">
        <f>"601098"</f>
        <v>601098</v>
      </c>
      <c r="C4400" t="s">
        <v>8846</v>
      </c>
      <c r="D4400" t="s">
        <v>245</v>
      </c>
      <c r="E4400">
        <v>-711473993</v>
      </c>
      <c r="F4400">
        <v>-2054940992</v>
      </c>
      <c r="G4400">
        <v>-1265590106</v>
      </c>
      <c r="H4400">
        <v>-1417476192</v>
      </c>
      <c r="I4400">
        <v>-976953938</v>
      </c>
      <c r="J4400">
        <v>-178172964</v>
      </c>
      <c r="K4400">
        <v>-546217541</v>
      </c>
      <c r="L4400">
        <v>-713993344</v>
      </c>
      <c r="M4400">
        <v>-136352300</v>
      </c>
      <c r="N4400">
        <v>-180445876</v>
      </c>
      <c r="O4400">
        <v>-185545457</v>
      </c>
      <c r="P4400">
        <v>882</v>
      </c>
      <c r="Q4400" t="s">
        <v>8847</v>
      </c>
    </row>
    <row r="4401" spans="1:17" x14ac:dyDescent="0.3">
      <c r="A4401" t="s">
        <v>32</v>
      </c>
      <c r="B4401" t="str">
        <f>"000750"</f>
        <v>000750</v>
      </c>
      <c r="C4401" t="s">
        <v>8848</v>
      </c>
      <c r="D4401" t="s">
        <v>26</v>
      </c>
      <c r="E4401">
        <v>-714908690</v>
      </c>
      <c r="F4401">
        <v>-16338586882</v>
      </c>
      <c r="G4401">
        <v>-8961294638</v>
      </c>
      <c r="H4401">
        <v>5027601197</v>
      </c>
      <c r="I4401">
        <v>1454821261</v>
      </c>
      <c r="J4401">
        <v>66780535</v>
      </c>
      <c r="K4401">
        <v>-899375655</v>
      </c>
      <c r="L4401">
        <v>1784248799</v>
      </c>
      <c r="M4401">
        <v>882643200</v>
      </c>
      <c r="N4401">
        <v>-169898651</v>
      </c>
      <c r="O4401">
        <v>788300109</v>
      </c>
      <c r="P4401">
        <v>1038</v>
      </c>
      <c r="Q4401" t="s">
        <v>8849</v>
      </c>
    </row>
    <row r="4402" spans="1:17" x14ac:dyDescent="0.3">
      <c r="A4402" t="s">
        <v>32</v>
      </c>
      <c r="B4402" t="str">
        <f>"000050"</f>
        <v>000050</v>
      </c>
      <c r="C4402" t="s">
        <v>8850</v>
      </c>
      <c r="D4402" t="s">
        <v>124</v>
      </c>
      <c r="E4402">
        <v>-717114104</v>
      </c>
      <c r="F4402">
        <v>-1906407874</v>
      </c>
      <c r="G4402">
        <v>-1913811405</v>
      </c>
      <c r="H4402">
        <v>-1054717750</v>
      </c>
      <c r="I4402">
        <v>-1358886397</v>
      </c>
      <c r="J4402">
        <v>-4421237140</v>
      </c>
      <c r="K4402">
        <v>-1208333988</v>
      </c>
      <c r="L4402">
        <v>571863224</v>
      </c>
      <c r="M4402">
        <v>-172118481</v>
      </c>
      <c r="N4402">
        <v>54453154</v>
      </c>
      <c r="O4402">
        <v>161712898</v>
      </c>
      <c r="P4402">
        <v>621</v>
      </c>
      <c r="Q4402" t="s">
        <v>8851</v>
      </c>
    </row>
    <row r="4403" spans="1:17" x14ac:dyDescent="0.3">
      <c r="A4403" t="s">
        <v>32</v>
      </c>
      <c r="B4403" t="str">
        <f>"301039"</f>
        <v>301039</v>
      </c>
      <c r="C4403" t="s">
        <v>8852</v>
      </c>
      <c r="D4403" t="s">
        <v>199</v>
      </c>
      <c r="E4403">
        <v>-718017421</v>
      </c>
      <c r="F4403">
        <v>-174107212</v>
      </c>
      <c r="G4403">
        <v>-291883322</v>
      </c>
      <c r="P4403">
        <v>35</v>
      </c>
      <c r="Q4403" t="s">
        <v>8853</v>
      </c>
    </row>
    <row r="4404" spans="1:17" x14ac:dyDescent="0.3">
      <c r="A4404" t="s">
        <v>17</v>
      </c>
      <c r="B4404" t="str">
        <f>"600582"</f>
        <v>600582</v>
      </c>
      <c r="C4404" t="s">
        <v>8854</v>
      </c>
      <c r="D4404" t="s">
        <v>135</v>
      </c>
      <c r="E4404">
        <v>-718245124</v>
      </c>
      <c r="F4404">
        <v>-638073566</v>
      </c>
      <c r="G4404">
        <v>-156729690</v>
      </c>
      <c r="H4404">
        <v>-453328672</v>
      </c>
      <c r="I4404">
        <v>-785934584</v>
      </c>
      <c r="J4404">
        <v>-332293427</v>
      </c>
      <c r="K4404">
        <v>-628021118</v>
      </c>
      <c r="L4404">
        <v>-379182256</v>
      </c>
      <c r="M4404">
        <v>-370897108</v>
      </c>
      <c r="N4404">
        <v>-730422313</v>
      </c>
      <c r="O4404">
        <v>-766033192</v>
      </c>
      <c r="P4404">
        <v>395</v>
      </c>
      <c r="Q4404" t="s">
        <v>8855</v>
      </c>
    </row>
    <row r="4405" spans="1:17" x14ac:dyDescent="0.3">
      <c r="A4405" t="s">
        <v>32</v>
      </c>
      <c r="B4405" t="str">
        <f>"000786"</f>
        <v>000786</v>
      </c>
      <c r="C4405" t="s">
        <v>8856</v>
      </c>
      <c r="D4405" t="s">
        <v>400</v>
      </c>
      <c r="E4405">
        <v>-719079513</v>
      </c>
      <c r="F4405">
        <v>-310844944</v>
      </c>
      <c r="G4405">
        <v>-2118675284</v>
      </c>
      <c r="H4405">
        <v>-699550215</v>
      </c>
      <c r="I4405">
        <v>-82375844</v>
      </c>
      <c r="J4405">
        <v>-336063762</v>
      </c>
      <c r="K4405">
        <v>-186515781</v>
      </c>
      <c r="L4405">
        <v>-209820187</v>
      </c>
      <c r="M4405">
        <v>-272323798</v>
      </c>
      <c r="N4405">
        <v>-191790498</v>
      </c>
      <c r="O4405">
        <v>-342231035</v>
      </c>
      <c r="P4405">
        <v>2488</v>
      </c>
      <c r="Q4405" t="s">
        <v>8857</v>
      </c>
    </row>
    <row r="4406" spans="1:17" x14ac:dyDescent="0.3">
      <c r="A4406" t="s">
        <v>32</v>
      </c>
      <c r="B4406" t="str">
        <f>"002060"</f>
        <v>002060</v>
      </c>
      <c r="C4406" t="s">
        <v>8858</v>
      </c>
      <c r="D4406" t="s">
        <v>645</v>
      </c>
      <c r="E4406">
        <v>-721890345</v>
      </c>
      <c r="F4406">
        <v>-1016400175</v>
      </c>
      <c r="G4406">
        <v>-934543706</v>
      </c>
      <c r="H4406">
        <v>-601194523</v>
      </c>
      <c r="I4406">
        <v>-476824614</v>
      </c>
      <c r="J4406">
        <v>-542991257</v>
      </c>
      <c r="K4406">
        <v>-461800425</v>
      </c>
      <c r="L4406">
        <v>-320548405</v>
      </c>
      <c r="M4406">
        <v>-73517341</v>
      </c>
      <c r="N4406">
        <v>-451193257</v>
      </c>
      <c r="O4406">
        <v>-657733966</v>
      </c>
      <c r="P4406">
        <v>169</v>
      </c>
      <c r="Q4406" t="s">
        <v>8859</v>
      </c>
    </row>
    <row r="4407" spans="1:17" x14ac:dyDescent="0.3">
      <c r="A4407" t="s">
        <v>17</v>
      </c>
      <c r="B4407" t="str">
        <f>"688680"</f>
        <v>688680</v>
      </c>
      <c r="C4407" t="s">
        <v>8860</v>
      </c>
      <c r="D4407" t="s">
        <v>464</v>
      </c>
      <c r="E4407">
        <v>-723849962</v>
      </c>
      <c r="F4407">
        <v>-601578541</v>
      </c>
      <c r="G4407">
        <v>-7191305</v>
      </c>
      <c r="H4407">
        <v>9693872</v>
      </c>
      <c r="I4407">
        <v>16340031</v>
      </c>
      <c r="P4407">
        <v>79</v>
      </c>
      <c r="Q4407" t="s">
        <v>8861</v>
      </c>
    </row>
    <row r="4408" spans="1:17" x14ac:dyDescent="0.3">
      <c r="A4408" t="s">
        <v>17</v>
      </c>
      <c r="B4408" t="str">
        <f>"601966"</f>
        <v>601966</v>
      </c>
      <c r="C4408" t="s">
        <v>8862</v>
      </c>
      <c r="D4408" t="s">
        <v>199</v>
      </c>
      <c r="E4408">
        <v>-724754522</v>
      </c>
      <c r="F4408">
        <v>-1348544366</v>
      </c>
      <c r="G4408">
        <v>520444272</v>
      </c>
      <c r="H4408">
        <v>808506385</v>
      </c>
      <c r="I4408">
        <v>-128116465</v>
      </c>
      <c r="J4408">
        <v>-417675660</v>
      </c>
      <c r="K4408">
        <v>411749998</v>
      </c>
      <c r="L4408">
        <v>350224700</v>
      </c>
      <c r="P4408">
        <v>927</v>
      </c>
      <c r="Q4408" t="s">
        <v>8863</v>
      </c>
    </row>
    <row r="4409" spans="1:17" x14ac:dyDescent="0.3">
      <c r="A4409" t="s">
        <v>17</v>
      </c>
      <c r="B4409" t="str">
        <f>"600056"</f>
        <v>600056</v>
      </c>
      <c r="C4409" t="s">
        <v>8864</v>
      </c>
      <c r="D4409" t="s">
        <v>98</v>
      </c>
      <c r="E4409">
        <v>-725836834</v>
      </c>
      <c r="F4409">
        <v>-639519117</v>
      </c>
      <c r="G4409">
        <v>-1318228217</v>
      </c>
      <c r="H4409">
        <v>-1432730487</v>
      </c>
      <c r="I4409">
        <v>-1470663121</v>
      </c>
      <c r="J4409">
        <v>-673882716</v>
      </c>
      <c r="K4409">
        <v>-697315488</v>
      </c>
      <c r="L4409">
        <v>-644704262</v>
      </c>
      <c r="M4409">
        <v>-387239971</v>
      </c>
      <c r="N4409">
        <v>-523152391</v>
      </c>
      <c r="O4409">
        <v>-367482554</v>
      </c>
      <c r="P4409">
        <v>890</v>
      </c>
      <c r="Q4409" t="s">
        <v>8865</v>
      </c>
    </row>
    <row r="4410" spans="1:17" x14ac:dyDescent="0.3">
      <c r="A4410" t="s">
        <v>32</v>
      </c>
      <c r="B4410" t="str">
        <f>"300035"</f>
        <v>300035</v>
      </c>
      <c r="C4410" t="s">
        <v>8866</v>
      </c>
      <c r="D4410" t="s">
        <v>464</v>
      </c>
      <c r="E4410">
        <v>-728014043</v>
      </c>
      <c r="F4410">
        <v>-142631727</v>
      </c>
      <c r="G4410">
        <v>-8483269</v>
      </c>
      <c r="H4410">
        <v>-15932424</v>
      </c>
      <c r="I4410">
        <v>-45521761</v>
      </c>
      <c r="J4410">
        <v>10340011</v>
      </c>
      <c r="K4410">
        <v>16319983</v>
      </c>
      <c r="L4410">
        <v>-1407612</v>
      </c>
      <c r="M4410">
        <v>-8967998</v>
      </c>
      <c r="N4410">
        <v>16367526</v>
      </c>
      <c r="O4410">
        <v>-15824569</v>
      </c>
      <c r="P4410">
        <v>273</v>
      </c>
      <c r="Q4410" t="s">
        <v>8867</v>
      </c>
    </row>
    <row r="4411" spans="1:17" x14ac:dyDescent="0.3">
      <c r="A4411" t="s">
        <v>32</v>
      </c>
      <c r="B4411" t="str">
        <f>"002353"</f>
        <v>002353</v>
      </c>
      <c r="C4411" t="s">
        <v>8868</v>
      </c>
      <c r="D4411" t="s">
        <v>135</v>
      </c>
      <c r="E4411">
        <v>-731197976</v>
      </c>
      <c r="F4411">
        <v>-461230725</v>
      </c>
      <c r="G4411">
        <v>-825896547</v>
      </c>
      <c r="H4411">
        <v>-632611115</v>
      </c>
      <c r="I4411">
        <v>10722585</v>
      </c>
      <c r="J4411">
        <v>-46276536</v>
      </c>
      <c r="K4411">
        <v>-39311698</v>
      </c>
      <c r="L4411">
        <v>-322519283</v>
      </c>
      <c r="M4411">
        <v>-171283243</v>
      </c>
      <c r="N4411">
        <v>-296854093</v>
      </c>
      <c r="O4411">
        <v>-181914535</v>
      </c>
      <c r="P4411">
        <v>861</v>
      </c>
      <c r="Q4411" t="s">
        <v>8869</v>
      </c>
    </row>
    <row r="4412" spans="1:17" x14ac:dyDescent="0.3">
      <c r="A4412" t="s">
        <v>17</v>
      </c>
      <c r="B4412" t="str">
        <f>"601838"</f>
        <v>601838</v>
      </c>
      <c r="C4412" t="s">
        <v>8870</v>
      </c>
      <c r="D4412" t="s">
        <v>19</v>
      </c>
      <c r="E4412">
        <v>-731607000</v>
      </c>
      <c r="F4412">
        <v>-1674329000</v>
      </c>
      <c r="G4412">
        <v>-1691162000</v>
      </c>
      <c r="H4412">
        <v>3187935000</v>
      </c>
      <c r="I4412">
        <v>-24837015000</v>
      </c>
      <c r="J4412">
        <v>-12930073000</v>
      </c>
      <c r="P4412">
        <v>1328</v>
      </c>
      <c r="Q4412" t="s">
        <v>8871</v>
      </c>
    </row>
    <row r="4413" spans="1:17" x14ac:dyDescent="0.3">
      <c r="A4413" t="s">
        <v>32</v>
      </c>
      <c r="B4413" t="str">
        <f>"002564"</f>
        <v>002564</v>
      </c>
      <c r="C4413" t="s">
        <v>8872</v>
      </c>
      <c r="D4413" t="s">
        <v>135</v>
      </c>
      <c r="E4413">
        <v>-740791019</v>
      </c>
      <c r="F4413">
        <v>-782319254</v>
      </c>
      <c r="G4413">
        <v>-1048777254</v>
      </c>
      <c r="H4413">
        <v>-423192809</v>
      </c>
      <c r="I4413">
        <v>-719580934</v>
      </c>
      <c r="J4413">
        <v>-680274266</v>
      </c>
      <c r="K4413">
        <v>25902773</v>
      </c>
      <c r="L4413">
        <v>-45185687</v>
      </c>
      <c r="M4413">
        <v>-161236901</v>
      </c>
      <c r="N4413">
        <v>-92663734</v>
      </c>
      <c r="O4413">
        <v>-265579258</v>
      </c>
      <c r="P4413">
        <v>130</v>
      </c>
      <c r="Q4413" t="s">
        <v>8873</v>
      </c>
    </row>
    <row r="4414" spans="1:17" x14ac:dyDescent="0.3">
      <c r="A4414" t="s">
        <v>32</v>
      </c>
      <c r="B4414" t="str">
        <f>"301090"</f>
        <v>301090</v>
      </c>
      <c r="C4414" t="s">
        <v>8874</v>
      </c>
      <c r="D4414" t="s">
        <v>144</v>
      </c>
      <c r="E4414">
        <v>-744358513</v>
      </c>
      <c r="G4414">
        <v>-134180813</v>
      </c>
      <c r="P4414">
        <v>18</v>
      </c>
      <c r="Q4414" t="s">
        <v>8875</v>
      </c>
    </row>
    <row r="4415" spans="1:17" x14ac:dyDescent="0.3">
      <c r="A4415" t="s">
        <v>32</v>
      </c>
      <c r="B4415" t="str">
        <f>"000555"</f>
        <v>000555</v>
      </c>
      <c r="C4415" t="s">
        <v>8876</v>
      </c>
      <c r="D4415" t="s">
        <v>342</v>
      </c>
      <c r="E4415">
        <v>-744455650</v>
      </c>
      <c r="F4415">
        <v>-667747624</v>
      </c>
      <c r="G4415">
        <v>-603808278</v>
      </c>
      <c r="H4415">
        <v>-555882161</v>
      </c>
      <c r="I4415">
        <v>-554353668</v>
      </c>
      <c r="J4415">
        <v>-591542692</v>
      </c>
      <c r="K4415">
        <v>-574981221</v>
      </c>
      <c r="L4415">
        <v>-374269035</v>
      </c>
      <c r="M4415">
        <v>-281526357</v>
      </c>
      <c r="N4415">
        <v>-8756280</v>
      </c>
      <c r="O4415">
        <v>-4271367</v>
      </c>
      <c r="P4415">
        <v>374</v>
      </c>
      <c r="Q4415" t="s">
        <v>8877</v>
      </c>
    </row>
    <row r="4416" spans="1:17" x14ac:dyDescent="0.3">
      <c r="A4416" t="s">
        <v>32</v>
      </c>
      <c r="B4416" t="str">
        <f>"300168"</f>
        <v>300168</v>
      </c>
      <c r="C4416" t="s">
        <v>8878</v>
      </c>
      <c r="D4416" t="s">
        <v>342</v>
      </c>
      <c r="E4416">
        <v>-748477595</v>
      </c>
      <c r="F4416">
        <v>-701221297</v>
      </c>
      <c r="G4416">
        <v>-518551215</v>
      </c>
      <c r="H4416">
        <v>-1009128818</v>
      </c>
      <c r="I4416">
        <v>-699015360</v>
      </c>
      <c r="J4416">
        <v>-430119605</v>
      </c>
      <c r="K4416">
        <v>-317353132</v>
      </c>
      <c r="L4416">
        <v>-326274506</v>
      </c>
      <c r="M4416">
        <v>-255498307</v>
      </c>
      <c r="N4416">
        <v>-155391656</v>
      </c>
      <c r="O4416">
        <v>-111435141</v>
      </c>
      <c r="P4416">
        <v>368</v>
      </c>
      <c r="Q4416" t="s">
        <v>8879</v>
      </c>
    </row>
    <row r="4417" spans="1:17" x14ac:dyDescent="0.3">
      <c r="A4417" t="s">
        <v>17</v>
      </c>
      <c r="B4417" t="str">
        <f>"600298"</f>
        <v>600298</v>
      </c>
      <c r="C4417" t="s">
        <v>8880</v>
      </c>
      <c r="D4417" t="s">
        <v>172</v>
      </c>
      <c r="E4417">
        <v>-755029588</v>
      </c>
      <c r="F4417">
        <v>-720463181</v>
      </c>
      <c r="G4417">
        <v>165853122</v>
      </c>
      <c r="H4417">
        <v>-88275801</v>
      </c>
      <c r="I4417">
        <v>-278956434</v>
      </c>
      <c r="J4417">
        <v>-225925293</v>
      </c>
      <c r="K4417">
        <v>-176625322</v>
      </c>
      <c r="L4417">
        <v>-212001037</v>
      </c>
      <c r="M4417">
        <v>-163511094</v>
      </c>
      <c r="N4417">
        <v>-334567534</v>
      </c>
      <c r="O4417">
        <v>-219162177</v>
      </c>
      <c r="P4417">
        <v>4516</v>
      </c>
      <c r="Q4417" t="s">
        <v>8881</v>
      </c>
    </row>
    <row r="4418" spans="1:17" x14ac:dyDescent="0.3">
      <c r="A4418" t="s">
        <v>32</v>
      </c>
      <c r="B4418" t="str">
        <f>"300413"</f>
        <v>300413</v>
      </c>
      <c r="C4418" t="s">
        <v>8882</v>
      </c>
      <c r="D4418" t="s">
        <v>245</v>
      </c>
      <c r="E4418">
        <v>-755435111</v>
      </c>
      <c r="F4418">
        <v>388878933</v>
      </c>
      <c r="G4418">
        <v>-359011186</v>
      </c>
      <c r="H4418">
        <v>-500794285</v>
      </c>
      <c r="I4418">
        <v>2075535</v>
      </c>
      <c r="J4418">
        <v>6707562</v>
      </c>
      <c r="K4418">
        <v>-10345478</v>
      </c>
      <c r="L4418">
        <v>-52463738</v>
      </c>
      <c r="M4418">
        <v>-51251527</v>
      </c>
      <c r="P4418">
        <v>1145</v>
      </c>
      <c r="Q4418" t="s">
        <v>8883</v>
      </c>
    </row>
    <row r="4419" spans="1:17" x14ac:dyDescent="0.3">
      <c r="A4419" t="s">
        <v>17</v>
      </c>
      <c r="B4419" t="str">
        <f>"601718"</f>
        <v>601718</v>
      </c>
      <c r="C4419" t="s">
        <v>8884</v>
      </c>
      <c r="D4419" t="s">
        <v>130</v>
      </c>
      <c r="E4419">
        <v>-760101302</v>
      </c>
      <c r="F4419">
        <v>236500447</v>
      </c>
      <c r="G4419">
        <v>-592308267</v>
      </c>
      <c r="H4419">
        <v>-764210930</v>
      </c>
      <c r="I4419">
        <v>-428906046</v>
      </c>
      <c r="J4419">
        <v>-1496526660</v>
      </c>
      <c r="K4419">
        <v>-1275785461</v>
      </c>
      <c r="L4419">
        <v>-161250808</v>
      </c>
      <c r="M4419">
        <v>-722891374</v>
      </c>
      <c r="N4419">
        <v>-475964180</v>
      </c>
      <c r="O4419">
        <v>228356882</v>
      </c>
      <c r="P4419">
        <v>180</v>
      </c>
      <c r="Q4419" t="s">
        <v>8885</v>
      </c>
    </row>
    <row r="4420" spans="1:17" x14ac:dyDescent="0.3">
      <c r="A4420" t="s">
        <v>17</v>
      </c>
      <c r="B4420" t="str">
        <f>"603368"</f>
        <v>603368</v>
      </c>
      <c r="C4420" t="s">
        <v>8886</v>
      </c>
      <c r="D4420" t="s">
        <v>98</v>
      </c>
      <c r="E4420">
        <v>-761447250</v>
      </c>
      <c r="F4420">
        <v>-947054311</v>
      </c>
      <c r="G4420">
        <v>-746386422</v>
      </c>
      <c r="H4420">
        <v>-402638338</v>
      </c>
      <c r="I4420">
        <v>-878153058</v>
      </c>
      <c r="J4420">
        <v>-759349429</v>
      </c>
      <c r="K4420">
        <v>-490308450</v>
      </c>
      <c r="L4420">
        <v>-451030492</v>
      </c>
      <c r="M4420">
        <v>-365288076</v>
      </c>
      <c r="P4420">
        <v>532</v>
      </c>
      <c r="Q4420" t="s">
        <v>8887</v>
      </c>
    </row>
    <row r="4421" spans="1:17" x14ac:dyDescent="0.3">
      <c r="A4421" t="s">
        <v>32</v>
      </c>
      <c r="B4421" t="str">
        <f>"002010"</f>
        <v>002010</v>
      </c>
      <c r="C4421" t="s">
        <v>8888</v>
      </c>
      <c r="D4421" t="s">
        <v>46</v>
      </c>
      <c r="E4421">
        <v>-762203680</v>
      </c>
      <c r="F4421">
        <v>-681249467</v>
      </c>
      <c r="G4421">
        <v>-419862792</v>
      </c>
      <c r="H4421">
        <v>-284719365</v>
      </c>
      <c r="I4421">
        <v>-2073400014</v>
      </c>
      <c r="J4421">
        <v>-1233802583</v>
      </c>
      <c r="K4421">
        <v>-555806361</v>
      </c>
      <c r="L4421">
        <v>-12535231</v>
      </c>
      <c r="M4421">
        <v>-158933230</v>
      </c>
      <c r="N4421">
        <v>-179946587</v>
      </c>
      <c r="O4421">
        <v>-90351042</v>
      </c>
      <c r="P4421">
        <v>279</v>
      </c>
      <c r="Q4421" t="s">
        <v>8889</v>
      </c>
    </row>
    <row r="4422" spans="1:17" x14ac:dyDescent="0.3">
      <c r="A4422" t="s">
        <v>17</v>
      </c>
      <c r="B4422" t="str">
        <f>"601226"</f>
        <v>601226</v>
      </c>
      <c r="C4422" t="s">
        <v>8890</v>
      </c>
      <c r="D4422" t="s">
        <v>645</v>
      </c>
      <c r="E4422">
        <v>-762695009</v>
      </c>
      <c r="F4422">
        <v>-689425877</v>
      </c>
      <c r="G4422">
        <v>-152415110</v>
      </c>
      <c r="H4422">
        <v>-155952152</v>
      </c>
      <c r="I4422">
        <v>-391288700</v>
      </c>
      <c r="J4422">
        <v>-325152040</v>
      </c>
      <c r="K4422">
        <v>-222729178</v>
      </c>
      <c r="L4422">
        <v>-675336180</v>
      </c>
      <c r="M4422">
        <v>-343155788</v>
      </c>
      <c r="P4422">
        <v>114</v>
      </c>
      <c r="Q4422" t="s">
        <v>8891</v>
      </c>
    </row>
    <row r="4423" spans="1:17" x14ac:dyDescent="0.3">
      <c r="A4423" t="s">
        <v>32</v>
      </c>
      <c r="B4423" t="str">
        <f>"000011"</f>
        <v>000011</v>
      </c>
      <c r="C4423" t="s">
        <v>8892</v>
      </c>
      <c r="D4423" t="s">
        <v>151</v>
      </c>
      <c r="E4423">
        <v>-763689041</v>
      </c>
      <c r="F4423">
        <v>75300205</v>
      </c>
      <c r="G4423">
        <v>-612692540</v>
      </c>
      <c r="H4423">
        <v>-65405499</v>
      </c>
      <c r="I4423">
        <v>-97886133</v>
      </c>
      <c r="J4423">
        <v>-253122281</v>
      </c>
      <c r="K4423">
        <v>877058836</v>
      </c>
      <c r="L4423">
        <v>-143645836</v>
      </c>
      <c r="M4423">
        <v>-34186085</v>
      </c>
      <c r="N4423">
        <v>93100037</v>
      </c>
      <c r="O4423">
        <v>248516819</v>
      </c>
      <c r="P4423">
        <v>481</v>
      </c>
      <c r="Q4423" t="s">
        <v>8893</v>
      </c>
    </row>
    <row r="4424" spans="1:17" x14ac:dyDescent="0.3">
      <c r="A4424" t="s">
        <v>17</v>
      </c>
      <c r="B4424" t="str">
        <f>"688425"</f>
        <v>688425</v>
      </c>
      <c r="C4424" t="s">
        <v>8894</v>
      </c>
      <c r="D4424" t="s">
        <v>135</v>
      </c>
      <c r="E4424">
        <v>-764736203</v>
      </c>
      <c r="F4424">
        <v>-448063255</v>
      </c>
      <c r="G4424">
        <v>-372985171</v>
      </c>
      <c r="P4424">
        <v>40</v>
      </c>
      <c r="Q4424" t="s">
        <v>8895</v>
      </c>
    </row>
    <row r="4425" spans="1:17" x14ac:dyDescent="0.3">
      <c r="A4425" t="s">
        <v>32</v>
      </c>
      <c r="B4425" t="str">
        <f>"002544"</f>
        <v>002544</v>
      </c>
      <c r="C4425" t="s">
        <v>8896</v>
      </c>
      <c r="D4425" t="s">
        <v>57</v>
      </c>
      <c r="E4425">
        <v>-766849340</v>
      </c>
      <c r="F4425">
        <v>-655843469</v>
      </c>
      <c r="G4425">
        <v>-670258895</v>
      </c>
      <c r="H4425">
        <v>-789252357</v>
      </c>
      <c r="I4425">
        <v>-636488777</v>
      </c>
      <c r="J4425">
        <v>-303146522</v>
      </c>
      <c r="K4425">
        <v>-438681961</v>
      </c>
      <c r="L4425">
        <v>-392839533</v>
      </c>
      <c r="M4425">
        <v>-372952964</v>
      </c>
      <c r="N4425">
        <v>-295015530</v>
      </c>
      <c r="O4425">
        <v>-206576255</v>
      </c>
      <c r="P4425">
        <v>324</v>
      </c>
      <c r="Q4425" t="s">
        <v>8897</v>
      </c>
    </row>
    <row r="4426" spans="1:17" x14ac:dyDescent="0.3">
      <c r="A4426" t="s">
        <v>17</v>
      </c>
      <c r="B4426" t="str">
        <f>"600909"</f>
        <v>600909</v>
      </c>
      <c r="C4426" t="s">
        <v>8898</v>
      </c>
      <c r="D4426" t="s">
        <v>26</v>
      </c>
      <c r="E4426">
        <v>-767142754</v>
      </c>
      <c r="F4426">
        <v>-692514517</v>
      </c>
      <c r="G4426">
        <v>325987929</v>
      </c>
      <c r="H4426">
        <v>5294809929</v>
      </c>
      <c r="I4426">
        <v>1885672436</v>
      </c>
      <c r="J4426">
        <v>1215458319</v>
      </c>
      <c r="K4426">
        <v>-2351676324.0999999</v>
      </c>
      <c r="P4426">
        <v>832</v>
      </c>
      <c r="Q4426" t="s">
        <v>8899</v>
      </c>
    </row>
    <row r="4427" spans="1:17" x14ac:dyDescent="0.3">
      <c r="A4427" t="s">
        <v>17</v>
      </c>
      <c r="B4427" t="str">
        <f>"601968"</f>
        <v>601968</v>
      </c>
      <c r="C4427" t="s">
        <v>8900</v>
      </c>
      <c r="D4427" t="s">
        <v>455</v>
      </c>
      <c r="E4427">
        <v>-769327662</v>
      </c>
      <c r="F4427">
        <v>-293039182</v>
      </c>
      <c r="G4427">
        <v>-71153501</v>
      </c>
      <c r="H4427">
        <v>65376025</v>
      </c>
      <c r="I4427">
        <v>-161993332</v>
      </c>
      <c r="J4427">
        <v>-186903284</v>
      </c>
      <c r="K4427">
        <v>-144844010</v>
      </c>
      <c r="L4427">
        <v>66812000</v>
      </c>
      <c r="P4427">
        <v>108</v>
      </c>
      <c r="Q4427" t="s">
        <v>8901</v>
      </c>
    </row>
    <row r="4428" spans="1:17" x14ac:dyDescent="0.3">
      <c r="A4428" t="s">
        <v>32</v>
      </c>
      <c r="B4428" t="str">
        <f>"002400"</f>
        <v>002400</v>
      </c>
      <c r="C4428" t="s">
        <v>8902</v>
      </c>
      <c r="D4428" t="s">
        <v>245</v>
      </c>
      <c r="E4428">
        <v>-770646833</v>
      </c>
      <c r="F4428">
        <v>-266484531</v>
      </c>
      <c r="G4428">
        <v>-198597557</v>
      </c>
      <c r="H4428">
        <v>-136115205</v>
      </c>
      <c r="I4428">
        <v>12474159</v>
      </c>
      <c r="J4428">
        <v>-507055747</v>
      </c>
      <c r="K4428">
        <v>-144593251</v>
      </c>
      <c r="L4428">
        <v>108409927</v>
      </c>
      <c r="M4428">
        <v>147624338</v>
      </c>
      <c r="N4428">
        <v>72920013</v>
      </c>
      <c r="O4428">
        <v>-32159161</v>
      </c>
      <c r="P4428">
        <v>328</v>
      </c>
      <c r="Q4428" t="s">
        <v>8903</v>
      </c>
    </row>
    <row r="4429" spans="1:17" x14ac:dyDescent="0.3">
      <c r="A4429" t="s">
        <v>17</v>
      </c>
      <c r="B4429" t="str">
        <f>"688567"</f>
        <v>688567</v>
      </c>
      <c r="C4429" t="s">
        <v>8904</v>
      </c>
      <c r="D4429" t="s">
        <v>464</v>
      </c>
      <c r="E4429">
        <v>-772693300</v>
      </c>
      <c r="F4429">
        <v>-42148939</v>
      </c>
      <c r="G4429">
        <v>-1224094594</v>
      </c>
      <c r="P4429">
        <v>107</v>
      </c>
      <c r="Q4429" t="s">
        <v>8905</v>
      </c>
    </row>
    <row r="4430" spans="1:17" x14ac:dyDescent="0.3">
      <c r="A4430" t="s">
        <v>32</v>
      </c>
      <c r="B4430" t="str">
        <f>"300358"</f>
        <v>300358</v>
      </c>
      <c r="C4430" t="s">
        <v>8906</v>
      </c>
      <c r="D4430" t="s">
        <v>98</v>
      </c>
      <c r="E4430">
        <v>-781684665</v>
      </c>
      <c r="F4430">
        <v>116545346</v>
      </c>
      <c r="G4430">
        <v>-100440630</v>
      </c>
      <c r="H4430">
        <v>-68815274</v>
      </c>
      <c r="I4430">
        <v>-56415290</v>
      </c>
      <c r="J4430">
        <v>-80762751</v>
      </c>
      <c r="K4430">
        <v>-72733760</v>
      </c>
      <c r="L4430">
        <v>-60433375</v>
      </c>
      <c r="M4430">
        <v>-33641840</v>
      </c>
      <c r="N4430">
        <v>-6702759</v>
      </c>
      <c r="P4430">
        <v>186</v>
      </c>
      <c r="Q4430" t="s">
        <v>8907</v>
      </c>
    </row>
    <row r="4431" spans="1:17" x14ac:dyDescent="0.3">
      <c r="A4431" t="s">
        <v>17</v>
      </c>
      <c r="B4431" t="str">
        <f>"600637"</f>
        <v>600637</v>
      </c>
      <c r="C4431" t="s">
        <v>8908</v>
      </c>
      <c r="D4431" t="s">
        <v>245</v>
      </c>
      <c r="E4431">
        <v>-784546274</v>
      </c>
      <c r="F4431">
        <v>-304053271</v>
      </c>
      <c r="G4431">
        <v>-692994244</v>
      </c>
      <c r="H4431">
        <v>-382920822</v>
      </c>
      <c r="I4431">
        <v>518110529</v>
      </c>
      <c r="J4431">
        <v>-468910129</v>
      </c>
      <c r="K4431">
        <v>-683519361</v>
      </c>
      <c r="L4431">
        <v>-263556918</v>
      </c>
      <c r="M4431">
        <v>-150919168</v>
      </c>
      <c r="N4431">
        <v>-54113956</v>
      </c>
      <c r="O4431">
        <v>45198022</v>
      </c>
      <c r="P4431">
        <v>442</v>
      </c>
      <c r="Q4431" t="s">
        <v>8909</v>
      </c>
    </row>
    <row r="4432" spans="1:17" x14ac:dyDescent="0.3">
      <c r="A4432" t="s">
        <v>32</v>
      </c>
      <c r="B4432" t="str">
        <f>"300676"</f>
        <v>300676</v>
      </c>
      <c r="C4432" t="s">
        <v>8910</v>
      </c>
      <c r="D4432" t="s">
        <v>98</v>
      </c>
      <c r="E4432">
        <v>-785030391</v>
      </c>
      <c r="F4432">
        <v>101957840</v>
      </c>
      <c r="G4432">
        <v>148770994</v>
      </c>
      <c r="H4432">
        <v>-336415747</v>
      </c>
      <c r="I4432">
        <v>-264486229</v>
      </c>
      <c r="J4432">
        <v>-75218701</v>
      </c>
      <c r="K4432">
        <v>-17004499</v>
      </c>
      <c r="P4432">
        <v>1481</v>
      </c>
      <c r="Q4432" t="s">
        <v>8911</v>
      </c>
    </row>
    <row r="4433" spans="1:17" x14ac:dyDescent="0.3">
      <c r="A4433" t="s">
        <v>32</v>
      </c>
      <c r="B4433" t="str">
        <f>"002215"</f>
        <v>002215</v>
      </c>
      <c r="C4433" t="s">
        <v>8912</v>
      </c>
      <c r="D4433" t="s">
        <v>144</v>
      </c>
      <c r="E4433">
        <v>-785771288</v>
      </c>
      <c r="F4433">
        <v>-294316975</v>
      </c>
      <c r="G4433">
        <v>-201229245</v>
      </c>
      <c r="H4433">
        <v>-133625935</v>
      </c>
      <c r="I4433">
        <v>-354502422</v>
      </c>
      <c r="J4433">
        <v>-129472907</v>
      </c>
      <c r="K4433">
        <v>-163035874</v>
      </c>
      <c r="L4433">
        <v>-84979770</v>
      </c>
      <c r="M4433">
        <v>-141102184</v>
      </c>
      <c r="N4433">
        <v>-91231192</v>
      </c>
      <c r="O4433">
        <v>-110246392</v>
      </c>
      <c r="P4433">
        <v>175</v>
      </c>
      <c r="Q4433" t="s">
        <v>8913</v>
      </c>
    </row>
    <row r="4434" spans="1:17" x14ac:dyDescent="0.3">
      <c r="A4434" t="s">
        <v>32</v>
      </c>
      <c r="B4434" t="str">
        <f>"200539"</f>
        <v>200539</v>
      </c>
      <c r="C4434" t="s">
        <v>8914</v>
      </c>
      <c r="E4434">
        <v>-786407737.81200004</v>
      </c>
      <c r="F4434">
        <v>-1420258246.2360001</v>
      </c>
      <c r="G4434">
        <v>217030184.7396</v>
      </c>
      <c r="H4434">
        <v>1240020877.1417999</v>
      </c>
      <c r="I4434">
        <v>1104182345.0895</v>
      </c>
      <c r="J4434">
        <v>-147666420.06799999</v>
      </c>
      <c r="K4434">
        <v>1371077064.5165999</v>
      </c>
      <c r="L4434">
        <v>1925945381.25</v>
      </c>
      <c r="M4434">
        <v>1983671877.0339999</v>
      </c>
      <c r="N4434">
        <v>1873890453.2981999</v>
      </c>
      <c r="O4434">
        <v>199927842.84</v>
      </c>
      <c r="P4434">
        <v>185</v>
      </c>
      <c r="Q4434" t="s">
        <v>8915</v>
      </c>
    </row>
    <row r="4435" spans="1:17" x14ac:dyDescent="0.3">
      <c r="A4435" t="s">
        <v>32</v>
      </c>
      <c r="B4435" t="str">
        <f>"002791"</f>
        <v>002791</v>
      </c>
      <c r="C4435" t="s">
        <v>8916</v>
      </c>
      <c r="D4435" t="s">
        <v>400</v>
      </c>
      <c r="E4435">
        <v>-790648376</v>
      </c>
      <c r="F4435">
        <v>-760370529</v>
      </c>
      <c r="G4435">
        <v>-492462979</v>
      </c>
      <c r="H4435">
        <v>-429238140</v>
      </c>
      <c r="I4435">
        <v>-336601520</v>
      </c>
      <c r="J4435">
        <v>-215431917</v>
      </c>
      <c r="K4435">
        <v>-115466968</v>
      </c>
      <c r="L4435">
        <v>-127715420</v>
      </c>
      <c r="P4435">
        <v>553</v>
      </c>
      <c r="Q4435" t="s">
        <v>8917</v>
      </c>
    </row>
    <row r="4436" spans="1:17" x14ac:dyDescent="0.3">
      <c r="A4436" t="s">
        <v>17</v>
      </c>
      <c r="B4436" t="str">
        <f>"601019"</f>
        <v>601019</v>
      </c>
      <c r="C4436" t="s">
        <v>8918</v>
      </c>
      <c r="D4436" t="s">
        <v>245</v>
      </c>
      <c r="E4436">
        <v>-794112155</v>
      </c>
      <c r="F4436">
        <v>-867829320</v>
      </c>
      <c r="G4436">
        <v>-701983305</v>
      </c>
      <c r="H4436">
        <v>-369585122</v>
      </c>
      <c r="I4436">
        <v>-372385937</v>
      </c>
      <c r="J4436">
        <v>-19500538</v>
      </c>
      <c r="P4436">
        <v>401</v>
      </c>
      <c r="Q4436" t="s">
        <v>8919</v>
      </c>
    </row>
    <row r="4437" spans="1:17" x14ac:dyDescent="0.3">
      <c r="A4437" t="s">
        <v>32</v>
      </c>
      <c r="B4437" t="str">
        <f>"300001"</f>
        <v>300001</v>
      </c>
      <c r="C4437" t="s">
        <v>8920</v>
      </c>
      <c r="D4437" t="s">
        <v>464</v>
      </c>
      <c r="E4437">
        <v>-796652529</v>
      </c>
      <c r="F4437">
        <v>-589074401</v>
      </c>
      <c r="G4437">
        <v>-592844591</v>
      </c>
      <c r="H4437">
        <v>-169953156</v>
      </c>
      <c r="I4437">
        <v>-50051475</v>
      </c>
      <c r="J4437">
        <v>-624543220</v>
      </c>
      <c r="K4437">
        <v>-335859055</v>
      </c>
      <c r="L4437">
        <v>-131883489</v>
      </c>
      <c r="M4437">
        <v>-167470347</v>
      </c>
      <c r="N4437">
        <v>-62848021</v>
      </c>
      <c r="O4437">
        <v>-51092233</v>
      </c>
      <c r="P4437">
        <v>530</v>
      </c>
      <c r="Q4437" t="s">
        <v>8921</v>
      </c>
    </row>
    <row r="4438" spans="1:17" x14ac:dyDescent="0.3">
      <c r="A4438" t="s">
        <v>32</v>
      </c>
      <c r="B4438" t="str">
        <f>"300454"</f>
        <v>300454</v>
      </c>
      <c r="C4438" t="s">
        <v>8922</v>
      </c>
      <c r="D4438" t="s">
        <v>342</v>
      </c>
      <c r="E4438">
        <v>-798142260</v>
      </c>
      <c r="F4438">
        <v>-464391377</v>
      </c>
      <c r="G4438">
        <v>-932189493</v>
      </c>
      <c r="H4438">
        <v>-423468938</v>
      </c>
      <c r="I4438">
        <v>-260992006</v>
      </c>
      <c r="J4438">
        <v>-107054011</v>
      </c>
      <c r="P4438">
        <v>799</v>
      </c>
      <c r="Q4438" t="s">
        <v>8923</v>
      </c>
    </row>
    <row r="4439" spans="1:17" x14ac:dyDescent="0.3">
      <c r="A4439" t="s">
        <v>17</v>
      </c>
      <c r="B4439" t="str">
        <f>"600094"</f>
        <v>600094</v>
      </c>
      <c r="C4439" t="s">
        <v>8924</v>
      </c>
      <c r="D4439" t="s">
        <v>151</v>
      </c>
      <c r="E4439">
        <v>-798977520</v>
      </c>
      <c r="F4439">
        <v>185085222</v>
      </c>
      <c r="G4439">
        <v>2072101766</v>
      </c>
      <c r="H4439">
        <v>1203182561</v>
      </c>
      <c r="I4439">
        <v>198859444</v>
      </c>
      <c r="J4439">
        <v>241425023</v>
      </c>
      <c r="K4439">
        <v>-2529783153</v>
      </c>
      <c r="L4439">
        <v>-1269892564</v>
      </c>
      <c r="M4439">
        <v>-882221590</v>
      </c>
      <c r="N4439">
        <v>967058581</v>
      </c>
      <c r="O4439">
        <v>-438973039</v>
      </c>
      <c r="P4439">
        <v>159</v>
      </c>
      <c r="Q4439" t="s">
        <v>8925</v>
      </c>
    </row>
    <row r="4440" spans="1:17" x14ac:dyDescent="0.3">
      <c r="A4440" t="s">
        <v>32</v>
      </c>
      <c r="B4440" t="str">
        <f>"000967"</f>
        <v>000967</v>
      </c>
      <c r="C4440" t="s">
        <v>8926</v>
      </c>
      <c r="D4440" t="s">
        <v>1334</v>
      </c>
      <c r="E4440">
        <v>-800629577</v>
      </c>
      <c r="F4440">
        <v>-1364901412</v>
      </c>
      <c r="G4440">
        <v>-316926321</v>
      </c>
      <c r="H4440">
        <v>-930236007</v>
      </c>
      <c r="I4440">
        <v>-542684735</v>
      </c>
      <c r="J4440">
        <v>-113385777</v>
      </c>
      <c r="K4440">
        <v>-12645808</v>
      </c>
      <c r="L4440">
        <v>10682443</v>
      </c>
      <c r="M4440">
        <v>-29851665</v>
      </c>
      <c r="N4440">
        <v>-76231305</v>
      </c>
      <c r="O4440">
        <v>68828232</v>
      </c>
      <c r="P4440">
        <v>329</v>
      </c>
      <c r="Q4440" t="s">
        <v>8927</v>
      </c>
    </row>
    <row r="4441" spans="1:17" x14ac:dyDescent="0.3">
      <c r="A4441" t="s">
        <v>32</v>
      </c>
      <c r="B4441" t="str">
        <f>"000878"</f>
        <v>000878</v>
      </c>
      <c r="C4441" t="s">
        <v>8928</v>
      </c>
      <c r="D4441" t="s">
        <v>121</v>
      </c>
      <c r="E4441">
        <v>-803327711</v>
      </c>
      <c r="F4441">
        <v>-1878909181</v>
      </c>
      <c r="G4441">
        <v>-3441054973</v>
      </c>
      <c r="H4441">
        <v>-33257458</v>
      </c>
      <c r="I4441">
        <v>-577696334</v>
      </c>
      <c r="J4441">
        <v>-500792782</v>
      </c>
      <c r="K4441">
        <v>-1810206946</v>
      </c>
      <c r="L4441">
        <v>-11711822</v>
      </c>
      <c r="M4441">
        <v>233292705</v>
      </c>
      <c r="N4441">
        <v>1231947746</v>
      </c>
      <c r="O4441">
        <v>778575571</v>
      </c>
      <c r="P4441">
        <v>418</v>
      </c>
      <c r="Q4441" t="s">
        <v>8929</v>
      </c>
    </row>
    <row r="4442" spans="1:17" x14ac:dyDescent="0.3">
      <c r="A4442" t="s">
        <v>32</v>
      </c>
      <c r="B4442" t="str">
        <f>"002266"</f>
        <v>002266</v>
      </c>
      <c r="C4442" t="s">
        <v>8930</v>
      </c>
      <c r="D4442" t="s">
        <v>1334</v>
      </c>
      <c r="E4442">
        <v>-803943409</v>
      </c>
      <c r="F4442">
        <v>-110368817</v>
      </c>
      <c r="G4442">
        <v>-119111517</v>
      </c>
      <c r="H4442">
        <v>-104409857</v>
      </c>
      <c r="I4442">
        <v>-502800691</v>
      </c>
      <c r="J4442">
        <v>94579527</v>
      </c>
      <c r="K4442">
        <v>-60056430</v>
      </c>
      <c r="L4442">
        <v>51671761</v>
      </c>
      <c r="M4442">
        <v>-148878089</v>
      </c>
      <c r="N4442">
        <v>-93163900</v>
      </c>
      <c r="O4442">
        <v>5294171</v>
      </c>
      <c r="P4442">
        <v>297</v>
      </c>
      <c r="Q4442" t="s">
        <v>8931</v>
      </c>
    </row>
    <row r="4443" spans="1:17" x14ac:dyDescent="0.3">
      <c r="A4443" t="s">
        <v>17</v>
      </c>
      <c r="B4443" t="str">
        <f>"600619"</f>
        <v>600619</v>
      </c>
      <c r="C4443" t="s">
        <v>8932</v>
      </c>
      <c r="D4443" t="s">
        <v>127</v>
      </c>
      <c r="E4443">
        <v>-808273004</v>
      </c>
      <c r="F4443">
        <v>-847969415</v>
      </c>
      <c r="G4443">
        <v>-990408453</v>
      </c>
      <c r="H4443">
        <v>-616529347</v>
      </c>
      <c r="I4443">
        <v>-703302702</v>
      </c>
      <c r="J4443">
        <v>-652296797</v>
      </c>
      <c r="K4443">
        <v>-212043073</v>
      </c>
      <c r="L4443">
        <v>-38449551</v>
      </c>
      <c r="M4443">
        <v>-300842589</v>
      </c>
      <c r="N4443">
        <v>-369485749</v>
      </c>
      <c r="O4443">
        <v>-23793354</v>
      </c>
      <c r="P4443">
        <v>121</v>
      </c>
      <c r="Q4443" t="s">
        <v>8933</v>
      </c>
    </row>
    <row r="4444" spans="1:17" x14ac:dyDescent="0.3">
      <c r="A4444" t="s">
        <v>17</v>
      </c>
      <c r="B4444" t="str">
        <f>"600707"</f>
        <v>600707</v>
      </c>
      <c r="C4444" t="s">
        <v>8934</v>
      </c>
      <c r="D4444" t="s">
        <v>124</v>
      </c>
      <c r="E4444">
        <v>-811092256</v>
      </c>
      <c r="F4444">
        <v>310707161</v>
      </c>
      <c r="G4444">
        <v>-907832575</v>
      </c>
      <c r="H4444">
        <v>-1438362235</v>
      </c>
      <c r="I4444">
        <v>-3037618162</v>
      </c>
      <c r="J4444">
        <v>-26319240</v>
      </c>
      <c r="K4444">
        <v>-29401411</v>
      </c>
      <c r="L4444">
        <v>-78667881</v>
      </c>
      <c r="M4444">
        <v>-82046218</v>
      </c>
      <c r="N4444">
        <v>-157204978</v>
      </c>
      <c r="O4444">
        <v>-269356864</v>
      </c>
      <c r="P4444">
        <v>251</v>
      </c>
      <c r="Q4444" t="s">
        <v>8935</v>
      </c>
    </row>
    <row r="4445" spans="1:17" x14ac:dyDescent="0.3">
      <c r="A4445" t="s">
        <v>32</v>
      </c>
      <c r="B4445" t="str">
        <f>"002939"</f>
        <v>002939</v>
      </c>
      <c r="C4445" t="s">
        <v>8936</v>
      </c>
      <c r="D4445" t="s">
        <v>26</v>
      </c>
      <c r="E4445">
        <v>-814069705</v>
      </c>
      <c r="F4445">
        <v>-1237114854</v>
      </c>
      <c r="G4445">
        <v>1912511646</v>
      </c>
      <c r="H4445">
        <v>4369969612</v>
      </c>
      <c r="I4445">
        <v>1556695979</v>
      </c>
      <c r="P4445">
        <v>832</v>
      </c>
      <c r="Q4445" t="s">
        <v>8937</v>
      </c>
    </row>
    <row r="4446" spans="1:17" x14ac:dyDescent="0.3">
      <c r="A4446" t="s">
        <v>17</v>
      </c>
      <c r="B4446" t="str">
        <f>"603995"</f>
        <v>603995</v>
      </c>
      <c r="C4446" t="s">
        <v>8938</v>
      </c>
      <c r="D4446" t="s">
        <v>163</v>
      </c>
      <c r="E4446">
        <v>-816827224</v>
      </c>
      <c r="F4446">
        <v>-541494638</v>
      </c>
      <c r="G4446">
        <v>-202291480</v>
      </c>
      <c r="H4446">
        <v>14058353</v>
      </c>
      <c r="P4446">
        <v>128</v>
      </c>
      <c r="Q4446" t="s">
        <v>8939</v>
      </c>
    </row>
    <row r="4447" spans="1:17" x14ac:dyDescent="0.3">
      <c r="A4447" t="s">
        <v>32</v>
      </c>
      <c r="B4447" t="str">
        <f>"001289"</f>
        <v>001289</v>
      </c>
      <c r="C4447" t="s">
        <v>8940</v>
      </c>
      <c r="E4447">
        <v>-817345971</v>
      </c>
      <c r="F4447">
        <v>1242479302</v>
      </c>
      <c r="P4447">
        <v>28</v>
      </c>
      <c r="Q4447" t="s">
        <v>8941</v>
      </c>
    </row>
    <row r="4448" spans="1:17" x14ac:dyDescent="0.3">
      <c r="A4448" t="s">
        <v>32</v>
      </c>
      <c r="B4448" t="str">
        <f>"002455"</f>
        <v>002455</v>
      </c>
      <c r="C4448" t="s">
        <v>8942</v>
      </c>
      <c r="D4448" t="s">
        <v>144</v>
      </c>
      <c r="E4448">
        <v>-820953395</v>
      </c>
      <c r="F4448">
        <v>-421832917</v>
      </c>
      <c r="G4448">
        <v>-160669150</v>
      </c>
      <c r="H4448">
        <v>-93411192</v>
      </c>
      <c r="I4448">
        <v>-2664333</v>
      </c>
      <c r="J4448">
        <v>11999744</v>
      </c>
      <c r="K4448">
        <v>68611829</v>
      </c>
      <c r="L4448">
        <v>72321553</v>
      </c>
      <c r="M4448">
        <v>-50077909</v>
      </c>
      <c r="N4448">
        <v>-13688385</v>
      </c>
      <c r="O4448">
        <v>-68218245</v>
      </c>
      <c r="P4448">
        <v>209</v>
      </c>
      <c r="Q4448" t="s">
        <v>8943</v>
      </c>
    </row>
    <row r="4449" spans="1:17" x14ac:dyDescent="0.3">
      <c r="A4449" t="s">
        <v>17</v>
      </c>
      <c r="B4449" t="str">
        <f>"688185"</f>
        <v>688185</v>
      </c>
      <c r="C4449" t="s">
        <v>8944</v>
      </c>
      <c r="D4449" t="s">
        <v>98</v>
      </c>
      <c r="E4449">
        <v>-827452000</v>
      </c>
      <c r="F4449">
        <v>-309085575</v>
      </c>
      <c r="G4449">
        <v>-73988163</v>
      </c>
      <c r="H4449">
        <v>-69175118</v>
      </c>
      <c r="P4449">
        <v>267</v>
      </c>
      <c r="Q4449" t="s">
        <v>8945</v>
      </c>
    </row>
    <row r="4450" spans="1:17" x14ac:dyDescent="0.3">
      <c r="A4450" t="s">
        <v>32</v>
      </c>
      <c r="B4450" t="str">
        <f>"002152"</f>
        <v>002152</v>
      </c>
      <c r="C4450" t="s">
        <v>8946</v>
      </c>
      <c r="D4450" t="s">
        <v>342</v>
      </c>
      <c r="E4450">
        <v>-831918194</v>
      </c>
      <c r="F4450">
        <v>-567586123</v>
      </c>
      <c r="G4450">
        <v>-777376953</v>
      </c>
      <c r="H4450">
        <v>-579143998</v>
      </c>
      <c r="I4450">
        <v>-460387630</v>
      </c>
      <c r="J4450">
        <v>-588128053</v>
      </c>
      <c r="K4450">
        <v>-419863517</v>
      </c>
      <c r="L4450">
        <v>-705393971</v>
      </c>
      <c r="M4450">
        <v>-537920725</v>
      </c>
      <c r="N4450">
        <v>-383293252</v>
      </c>
      <c r="O4450">
        <v>-256624051</v>
      </c>
      <c r="P4450">
        <v>16880</v>
      </c>
      <c r="Q4450" t="s">
        <v>8947</v>
      </c>
    </row>
    <row r="4451" spans="1:17" x14ac:dyDescent="0.3">
      <c r="A4451" t="s">
        <v>32</v>
      </c>
      <c r="B4451" t="str">
        <f>"200012"</f>
        <v>200012</v>
      </c>
      <c r="C4451" t="s">
        <v>8948</v>
      </c>
      <c r="E4451">
        <v>-840419942.49199998</v>
      </c>
      <c r="F4451">
        <v>127309826.65350001</v>
      </c>
      <c r="G4451">
        <v>-281048156.3427</v>
      </c>
      <c r="H4451">
        <v>11009705.8059</v>
      </c>
      <c r="I4451">
        <v>-62904831.872000001</v>
      </c>
      <c r="J4451">
        <v>93934620.202000007</v>
      </c>
      <c r="K4451">
        <v>70544511.718799993</v>
      </c>
      <c r="L4451">
        <v>-349515883.75</v>
      </c>
      <c r="M4451">
        <v>-391128400.25160003</v>
      </c>
      <c r="N4451">
        <v>-197461446.1128</v>
      </c>
      <c r="O4451">
        <v>-175525997.28299999</v>
      </c>
      <c r="P4451">
        <v>85</v>
      </c>
      <c r="Q4451" t="s">
        <v>8949</v>
      </c>
    </row>
    <row r="4452" spans="1:17" x14ac:dyDescent="0.3">
      <c r="A4452" t="s">
        <v>17</v>
      </c>
      <c r="B4452" t="str">
        <f>"600259"</f>
        <v>600259</v>
      </c>
      <c r="C4452" t="s">
        <v>8950</v>
      </c>
      <c r="D4452" t="s">
        <v>121</v>
      </c>
      <c r="E4452">
        <v>-844561981</v>
      </c>
      <c r="F4452">
        <v>-491317962</v>
      </c>
      <c r="G4452">
        <v>139255183</v>
      </c>
      <c r="H4452">
        <v>97093903</v>
      </c>
      <c r="I4452">
        <v>-70477749</v>
      </c>
      <c r="J4452">
        <v>-214448282</v>
      </c>
      <c r="K4452">
        <v>-64404462</v>
      </c>
      <c r="L4452">
        <v>-106126733</v>
      </c>
      <c r="M4452">
        <v>-183464579</v>
      </c>
      <c r="N4452">
        <v>-224764348</v>
      </c>
      <c r="O4452">
        <v>-81408298</v>
      </c>
      <c r="P4452">
        <v>221</v>
      </c>
      <c r="Q4452" t="s">
        <v>8951</v>
      </c>
    </row>
    <row r="4453" spans="1:17" x14ac:dyDescent="0.3">
      <c r="A4453" t="s">
        <v>17</v>
      </c>
      <c r="B4453" t="str">
        <f>"600366"</f>
        <v>600366</v>
      </c>
      <c r="C4453" t="s">
        <v>8952</v>
      </c>
      <c r="D4453" t="s">
        <v>121</v>
      </c>
      <c r="E4453">
        <v>-849815181</v>
      </c>
      <c r="F4453">
        <v>-195305956</v>
      </c>
      <c r="G4453">
        <v>-56841100</v>
      </c>
      <c r="H4453">
        <v>139775344</v>
      </c>
      <c r="I4453">
        <v>-118329011</v>
      </c>
      <c r="J4453">
        <v>-82849272</v>
      </c>
      <c r="K4453">
        <v>-1708413</v>
      </c>
      <c r="L4453">
        <v>-88122167</v>
      </c>
      <c r="M4453">
        <v>-25886906</v>
      </c>
      <c r="N4453">
        <v>-143056702</v>
      </c>
      <c r="O4453">
        <v>246630993</v>
      </c>
      <c r="P4453">
        <v>237</v>
      </c>
      <c r="Q4453" t="s">
        <v>8953</v>
      </c>
    </row>
    <row r="4454" spans="1:17" x14ac:dyDescent="0.3">
      <c r="A4454" t="s">
        <v>32</v>
      </c>
      <c r="B4454" t="str">
        <f>"001227"</f>
        <v>001227</v>
      </c>
      <c r="C4454" t="s">
        <v>8954</v>
      </c>
      <c r="D4454" t="s">
        <v>19</v>
      </c>
      <c r="E4454">
        <v>-850468210</v>
      </c>
      <c r="F4454">
        <v>2135534214</v>
      </c>
      <c r="P4454">
        <v>31</v>
      </c>
      <c r="Q4454" t="s">
        <v>8955</v>
      </c>
    </row>
    <row r="4455" spans="1:17" x14ac:dyDescent="0.3">
      <c r="A4455" t="s">
        <v>32</v>
      </c>
      <c r="B4455" t="str">
        <f>"300115"</f>
        <v>300115</v>
      </c>
      <c r="C4455" t="s">
        <v>8956</v>
      </c>
      <c r="D4455" t="s">
        <v>124</v>
      </c>
      <c r="E4455">
        <v>-862264735</v>
      </c>
      <c r="F4455">
        <v>-397319049</v>
      </c>
      <c r="G4455">
        <v>262492740</v>
      </c>
      <c r="H4455">
        <v>-148688451</v>
      </c>
      <c r="I4455">
        <v>73326925</v>
      </c>
      <c r="J4455">
        <v>22199358</v>
      </c>
      <c r="K4455">
        <v>163387799</v>
      </c>
      <c r="L4455">
        <v>-67436679</v>
      </c>
      <c r="M4455">
        <v>-18880748</v>
      </c>
      <c r="N4455">
        <v>10335930</v>
      </c>
      <c r="O4455">
        <v>-101552641</v>
      </c>
      <c r="P4455">
        <v>870</v>
      </c>
      <c r="Q4455" t="s">
        <v>8957</v>
      </c>
    </row>
    <row r="4456" spans="1:17" x14ac:dyDescent="0.3">
      <c r="A4456" t="s">
        <v>32</v>
      </c>
      <c r="B4456" t="str">
        <f>"300070"</f>
        <v>300070</v>
      </c>
      <c r="C4456" t="s">
        <v>8958</v>
      </c>
      <c r="D4456" t="s">
        <v>1334</v>
      </c>
      <c r="E4456">
        <v>-863792930</v>
      </c>
      <c r="F4456">
        <v>-1963957590</v>
      </c>
      <c r="G4456">
        <v>-2219637035</v>
      </c>
      <c r="H4456">
        <v>-1994336901</v>
      </c>
      <c r="I4456">
        <v>-3056139967</v>
      </c>
      <c r="J4456">
        <v>-1150722141</v>
      </c>
      <c r="K4456">
        <v>-1363960995</v>
      </c>
      <c r="L4456">
        <v>-531963218</v>
      </c>
      <c r="M4456">
        <v>-302808470</v>
      </c>
      <c r="N4456">
        <v>-170424438</v>
      </c>
      <c r="O4456">
        <v>-199036777</v>
      </c>
      <c r="P4456">
        <v>1163</v>
      </c>
      <c r="Q4456" t="s">
        <v>8959</v>
      </c>
    </row>
    <row r="4457" spans="1:17" x14ac:dyDescent="0.3">
      <c r="A4457" t="s">
        <v>17</v>
      </c>
      <c r="B4457" t="str">
        <f>"605358"</f>
        <v>605358</v>
      </c>
      <c r="C4457" t="s">
        <v>8960</v>
      </c>
      <c r="D4457" t="s">
        <v>124</v>
      </c>
      <c r="E4457">
        <v>-864694178</v>
      </c>
      <c r="F4457">
        <v>-497855214</v>
      </c>
      <c r="G4457">
        <v>-146884299</v>
      </c>
      <c r="P4457">
        <v>289</v>
      </c>
      <c r="Q4457" t="s">
        <v>8961</v>
      </c>
    </row>
    <row r="4458" spans="1:17" x14ac:dyDescent="0.3">
      <c r="A4458" t="s">
        <v>32</v>
      </c>
      <c r="B4458" t="str">
        <f>"001914"</f>
        <v>001914</v>
      </c>
      <c r="C4458" t="s">
        <v>8962</v>
      </c>
      <c r="D4458" t="s">
        <v>151</v>
      </c>
      <c r="E4458">
        <v>-866009287</v>
      </c>
      <c r="F4458">
        <v>-715883295</v>
      </c>
      <c r="G4458">
        <v>-821984405</v>
      </c>
      <c r="H4458">
        <v>-692020164</v>
      </c>
      <c r="I4458">
        <v>-183455260</v>
      </c>
      <c r="J4458">
        <v>510061512</v>
      </c>
      <c r="K4458">
        <v>-510416035</v>
      </c>
      <c r="L4458">
        <v>-530393282</v>
      </c>
      <c r="M4458">
        <v>-2158523218</v>
      </c>
      <c r="N4458">
        <v>-597266222</v>
      </c>
      <c r="O4458">
        <v>-534291329</v>
      </c>
      <c r="P4458">
        <v>265</v>
      </c>
      <c r="Q4458" t="s">
        <v>8963</v>
      </c>
    </row>
    <row r="4459" spans="1:17" x14ac:dyDescent="0.3">
      <c r="A4459" t="s">
        <v>32</v>
      </c>
      <c r="B4459" t="str">
        <f>"000031"</f>
        <v>000031</v>
      </c>
      <c r="C4459" t="s">
        <v>8964</v>
      </c>
      <c r="D4459" t="s">
        <v>151</v>
      </c>
      <c r="E4459">
        <v>-872438161</v>
      </c>
      <c r="F4459">
        <v>-2052390385</v>
      </c>
      <c r="G4459">
        <v>-2848131537</v>
      </c>
      <c r="H4459">
        <v>-776088074</v>
      </c>
      <c r="I4459">
        <v>-2163690257</v>
      </c>
      <c r="J4459">
        <v>-4477819629</v>
      </c>
      <c r="K4459">
        <v>-436313207</v>
      </c>
      <c r="L4459">
        <v>-1601865001</v>
      </c>
      <c r="M4459">
        <v>-1109439805</v>
      </c>
      <c r="N4459">
        <v>1142028382</v>
      </c>
      <c r="O4459">
        <v>-81956164</v>
      </c>
      <c r="P4459">
        <v>328</v>
      </c>
      <c r="Q4459" t="s">
        <v>8965</v>
      </c>
    </row>
    <row r="4460" spans="1:17" x14ac:dyDescent="0.3">
      <c r="A4460" t="s">
        <v>32</v>
      </c>
      <c r="B4460" t="str">
        <f>"000501"</f>
        <v>000501</v>
      </c>
      <c r="C4460" t="s">
        <v>8966</v>
      </c>
      <c r="D4460" t="s">
        <v>218</v>
      </c>
      <c r="E4460">
        <v>-873153550</v>
      </c>
      <c r="F4460">
        <v>265799775</v>
      </c>
      <c r="G4460">
        <v>-658677579</v>
      </c>
      <c r="H4460">
        <v>-170034990</v>
      </c>
      <c r="I4460">
        <v>-1696221308</v>
      </c>
      <c r="J4460">
        <v>-241794926</v>
      </c>
      <c r="K4460">
        <v>-86762037</v>
      </c>
      <c r="L4460">
        <v>-364096708</v>
      </c>
      <c r="M4460">
        <v>-174665352</v>
      </c>
      <c r="N4460">
        <v>328609947</v>
      </c>
      <c r="O4460">
        <v>-373375396</v>
      </c>
      <c r="P4460">
        <v>6225</v>
      </c>
      <c r="Q4460" t="s">
        <v>8967</v>
      </c>
    </row>
    <row r="4461" spans="1:17" x14ac:dyDescent="0.3">
      <c r="A4461" t="s">
        <v>17</v>
      </c>
      <c r="B4461" t="str">
        <f>"600066"</f>
        <v>600066</v>
      </c>
      <c r="C4461" t="s">
        <v>8968</v>
      </c>
      <c r="D4461" t="s">
        <v>199</v>
      </c>
      <c r="E4461">
        <v>-878127947</v>
      </c>
      <c r="F4461">
        <v>-444239111</v>
      </c>
      <c r="G4461">
        <v>-626763465</v>
      </c>
      <c r="H4461">
        <v>-1982625416</v>
      </c>
      <c r="I4461">
        <v>-2424872034</v>
      </c>
      <c r="J4461">
        <v>-3437788702</v>
      </c>
      <c r="K4461">
        <v>-2138255714</v>
      </c>
      <c r="L4461">
        <v>-754344421</v>
      </c>
      <c r="M4461">
        <v>411023710</v>
      </c>
      <c r="N4461">
        <v>-656152643</v>
      </c>
      <c r="O4461">
        <v>486633797</v>
      </c>
      <c r="P4461">
        <v>2894</v>
      </c>
      <c r="Q4461" t="s">
        <v>8969</v>
      </c>
    </row>
    <row r="4462" spans="1:17" x14ac:dyDescent="0.3">
      <c r="A4462" t="s">
        <v>17</v>
      </c>
      <c r="B4462" t="str">
        <f>"600020"</f>
        <v>600020</v>
      </c>
      <c r="C4462" t="s">
        <v>8970</v>
      </c>
      <c r="D4462" t="s">
        <v>46</v>
      </c>
      <c r="E4462">
        <v>-879420899</v>
      </c>
      <c r="F4462">
        <v>604856832</v>
      </c>
      <c r="G4462">
        <v>-153060150</v>
      </c>
      <c r="H4462">
        <v>680080629</v>
      </c>
      <c r="I4462">
        <v>475184217</v>
      </c>
      <c r="J4462">
        <v>-8286125</v>
      </c>
      <c r="K4462">
        <v>-438356919</v>
      </c>
      <c r="L4462">
        <v>-1077315078</v>
      </c>
      <c r="M4462">
        <v>-272832758</v>
      </c>
      <c r="N4462">
        <v>-549533820</v>
      </c>
      <c r="O4462">
        <v>-36361113</v>
      </c>
      <c r="P4462">
        <v>386</v>
      </c>
      <c r="Q4462" t="s">
        <v>8971</v>
      </c>
    </row>
    <row r="4463" spans="1:17" x14ac:dyDescent="0.3">
      <c r="A4463" t="s">
        <v>17</v>
      </c>
      <c r="B4463" t="str">
        <f>"600864"</f>
        <v>600864</v>
      </c>
      <c r="C4463" t="s">
        <v>8972</v>
      </c>
      <c r="D4463" t="s">
        <v>26</v>
      </c>
      <c r="E4463">
        <v>-879494692</v>
      </c>
      <c r="F4463">
        <v>-638796633</v>
      </c>
      <c r="G4463">
        <v>239699085</v>
      </c>
      <c r="H4463">
        <v>2807583012</v>
      </c>
      <c r="I4463">
        <v>291582871</v>
      </c>
      <c r="J4463">
        <v>-2225251971</v>
      </c>
      <c r="K4463">
        <v>-194762676</v>
      </c>
      <c r="L4463">
        <v>-179480774</v>
      </c>
      <c r="M4463">
        <v>-203795071</v>
      </c>
      <c r="N4463">
        <v>-238401292</v>
      </c>
      <c r="O4463">
        <v>-276476562</v>
      </c>
      <c r="P4463">
        <v>412</v>
      </c>
      <c r="Q4463" t="s">
        <v>8973</v>
      </c>
    </row>
    <row r="4464" spans="1:17" x14ac:dyDescent="0.3">
      <c r="A4464" t="s">
        <v>17</v>
      </c>
      <c r="B4464" t="str">
        <f>"600787"</f>
        <v>600787</v>
      </c>
      <c r="C4464" t="s">
        <v>8974</v>
      </c>
      <c r="D4464" t="s">
        <v>46</v>
      </c>
      <c r="E4464">
        <v>-884831446</v>
      </c>
      <c r="F4464">
        <v>-1710876241</v>
      </c>
      <c r="G4464">
        <v>-1582940825</v>
      </c>
      <c r="H4464">
        <v>-845139406</v>
      </c>
      <c r="I4464">
        <v>-1267790515</v>
      </c>
      <c r="J4464">
        <v>-272052596</v>
      </c>
      <c r="K4464">
        <v>-2267099526</v>
      </c>
      <c r="L4464">
        <v>87660018</v>
      </c>
      <c r="M4464">
        <v>-174273574</v>
      </c>
      <c r="N4464">
        <v>-523886602</v>
      </c>
      <c r="O4464">
        <v>77248495</v>
      </c>
      <c r="P4464">
        <v>165</v>
      </c>
      <c r="Q4464" t="s">
        <v>8975</v>
      </c>
    </row>
    <row r="4465" spans="1:17" x14ac:dyDescent="0.3">
      <c r="A4465" t="s">
        <v>17</v>
      </c>
      <c r="B4465" t="str">
        <f>"601137"</f>
        <v>601137</v>
      </c>
      <c r="C4465" t="s">
        <v>8976</v>
      </c>
      <c r="D4465" t="s">
        <v>121</v>
      </c>
      <c r="E4465">
        <v>-886461512</v>
      </c>
      <c r="F4465">
        <v>-561904348</v>
      </c>
      <c r="G4465">
        <v>-110155375</v>
      </c>
      <c r="H4465">
        <v>-261298812</v>
      </c>
      <c r="I4465">
        <v>-132589844</v>
      </c>
      <c r="J4465">
        <v>-124887118</v>
      </c>
      <c r="K4465">
        <v>-563306</v>
      </c>
      <c r="L4465">
        <v>-52019311</v>
      </c>
      <c r="M4465">
        <v>-148192705</v>
      </c>
      <c r="N4465">
        <v>-219388847</v>
      </c>
      <c r="O4465">
        <v>-225482073</v>
      </c>
      <c r="P4465">
        <v>283</v>
      </c>
      <c r="Q4465" t="s">
        <v>8977</v>
      </c>
    </row>
    <row r="4466" spans="1:17" x14ac:dyDescent="0.3">
      <c r="A4466" t="s">
        <v>17</v>
      </c>
      <c r="B4466" t="str">
        <f>"600737"</f>
        <v>600737</v>
      </c>
      <c r="C4466" t="s">
        <v>8978</v>
      </c>
      <c r="D4466" t="s">
        <v>175</v>
      </c>
      <c r="E4466">
        <v>-886561816</v>
      </c>
      <c r="F4466">
        <v>-2059326210</v>
      </c>
      <c r="G4466">
        <v>543400095</v>
      </c>
      <c r="H4466">
        <v>-236621736</v>
      </c>
      <c r="I4466">
        <v>-356655824</v>
      </c>
      <c r="J4466">
        <v>-2617767994</v>
      </c>
      <c r="K4466">
        <v>1731975906</v>
      </c>
      <c r="L4466">
        <v>-386616404</v>
      </c>
      <c r="M4466">
        <v>-174823851</v>
      </c>
      <c r="N4466">
        <v>-239462445</v>
      </c>
      <c r="O4466">
        <v>76516237</v>
      </c>
      <c r="P4466">
        <v>515</v>
      </c>
      <c r="Q4466" t="s">
        <v>8979</v>
      </c>
    </row>
    <row r="4467" spans="1:17" x14ac:dyDescent="0.3">
      <c r="A4467" t="s">
        <v>17</v>
      </c>
      <c r="B4467" t="str">
        <f>"600487"</f>
        <v>600487</v>
      </c>
      <c r="C4467" t="s">
        <v>8980</v>
      </c>
      <c r="D4467" t="s">
        <v>57</v>
      </c>
      <c r="E4467">
        <v>-890830909</v>
      </c>
      <c r="F4467">
        <v>-1154189594</v>
      </c>
      <c r="G4467">
        <v>-1479605312</v>
      </c>
      <c r="H4467">
        <v>-896128358</v>
      </c>
      <c r="I4467">
        <v>-1371834239</v>
      </c>
      <c r="J4467">
        <v>-1064375196</v>
      </c>
      <c r="K4467">
        <v>-641008194</v>
      </c>
      <c r="L4467">
        <v>-249483120</v>
      </c>
      <c r="M4467">
        <v>-282901856</v>
      </c>
      <c r="N4467">
        <v>-279636948</v>
      </c>
      <c r="O4467">
        <v>-579809606</v>
      </c>
      <c r="P4467">
        <v>2803</v>
      </c>
      <c r="Q4467" t="s">
        <v>8981</v>
      </c>
    </row>
    <row r="4468" spans="1:17" x14ac:dyDescent="0.3">
      <c r="A4468" t="s">
        <v>17</v>
      </c>
      <c r="B4468" t="str">
        <f>"600206"</f>
        <v>600206</v>
      </c>
      <c r="C4468" t="s">
        <v>8982</v>
      </c>
      <c r="D4468" t="s">
        <v>124</v>
      </c>
      <c r="E4468">
        <v>-891329532</v>
      </c>
      <c r="F4468">
        <v>-815930000</v>
      </c>
      <c r="G4468">
        <v>-505379226</v>
      </c>
      <c r="H4468">
        <v>-349005511</v>
      </c>
      <c r="I4468">
        <v>-280289752</v>
      </c>
      <c r="J4468">
        <v>-203244198</v>
      </c>
      <c r="K4468">
        <v>-211334427</v>
      </c>
      <c r="L4468">
        <v>-73072619</v>
      </c>
      <c r="M4468">
        <v>-113457868</v>
      </c>
      <c r="N4468">
        <v>-8874076</v>
      </c>
      <c r="O4468">
        <v>14285822</v>
      </c>
      <c r="P4468">
        <v>422</v>
      </c>
      <c r="Q4468" t="s">
        <v>8983</v>
      </c>
    </row>
    <row r="4469" spans="1:17" x14ac:dyDescent="0.3">
      <c r="A4469" t="s">
        <v>32</v>
      </c>
      <c r="B4469" t="str">
        <f>"000981"</f>
        <v>000981</v>
      </c>
      <c r="C4469" t="s">
        <v>8984</v>
      </c>
      <c r="D4469" t="s">
        <v>151</v>
      </c>
      <c r="E4469">
        <v>-899805654</v>
      </c>
      <c r="F4469">
        <v>-371272384</v>
      </c>
      <c r="G4469">
        <v>-5288534</v>
      </c>
      <c r="H4469">
        <v>-304874586</v>
      </c>
      <c r="I4469">
        <v>99139052</v>
      </c>
      <c r="J4469">
        <v>-432886796</v>
      </c>
      <c r="K4469">
        <v>513088549</v>
      </c>
      <c r="L4469">
        <v>-412352486</v>
      </c>
      <c r="M4469">
        <v>-1843207622</v>
      </c>
      <c r="N4469">
        <v>-820004205</v>
      </c>
      <c r="O4469">
        <v>-239613852</v>
      </c>
      <c r="P4469">
        <v>118</v>
      </c>
      <c r="Q4469" t="s">
        <v>8985</v>
      </c>
    </row>
    <row r="4470" spans="1:17" x14ac:dyDescent="0.3">
      <c r="A4470" t="s">
        <v>17</v>
      </c>
      <c r="B4470" t="str">
        <f>"603612"</f>
        <v>603612</v>
      </c>
      <c r="C4470" t="s">
        <v>8986</v>
      </c>
      <c r="D4470" t="s">
        <v>144</v>
      </c>
      <c r="E4470">
        <v>-901221319</v>
      </c>
      <c r="F4470">
        <v>-883900811</v>
      </c>
      <c r="G4470">
        <v>47796570</v>
      </c>
      <c r="H4470">
        <v>-725757152</v>
      </c>
      <c r="I4470">
        <v>-167297076</v>
      </c>
      <c r="J4470">
        <v>85270954</v>
      </c>
      <c r="P4470">
        <v>163</v>
      </c>
      <c r="Q4470" t="s">
        <v>8987</v>
      </c>
    </row>
    <row r="4471" spans="1:17" x14ac:dyDescent="0.3">
      <c r="A4471" t="s">
        <v>17</v>
      </c>
      <c r="B4471" t="str">
        <f>"600567"</f>
        <v>600567</v>
      </c>
      <c r="C4471" t="s">
        <v>8988</v>
      </c>
      <c r="D4471" t="s">
        <v>455</v>
      </c>
      <c r="E4471">
        <v>-901947062</v>
      </c>
      <c r="F4471">
        <v>-1117653943</v>
      </c>
      <c r="G4471">
        <v>-714649269</v>
      </c>
      <c r="H4471">
        <v>-856813605</v>
      </c>
      <c r="I4471">
        <v>-330419509</v>
      </c>
      <c r="J4471">
        <v>-553861811</v>
      </c>
      <c r="K4471">
        <v>57192060</v>
      </c>
      <c r="L4471">
        <v>-194377857</v>
      </c>
      <c r="M4471">
        <v>-318018830</v>
      </c>
      <c r="N4471">
        <v>-414869938</v>
      </c>
      <c r="O4471">
        <v>11630652</v>
      </c>
      <c r="P4471">
        <v>593</v>
      </c>
      <c r="Q4471" t="s">
        <v>8989</v>
      </c>
    </row>
    <row r="4472" spans="1:17" x14ac:dyDescent="0.3">
      <c r="A4472" t="s">
        <v>17</v>
      </c>
      <c r="B4472" t="str">
        <f>"600549"</f>
        <v>600549</v>
      </c>
      <c r="C4472" t="s">
        <v>8990</v>
      </c>
      <c r="D4472" t="s">
        <v>121</v>
      </c>
      <c r="E4472">
        <v>-907661837</v>
      </c>
      <c r="F4472">
        <v>-351412877</v>
      </c>
      <c r="G4472">
        <v>-96650769</v>
      </c>
      <c r="H4472">
        <v>-582463316</v>
      </c>
      <c r="I4472">
        <v>-806674539</v>
      </c>
      <c r="J4472">
        <v>-665231268</v>
      </c>
      <c r="K4472">
        <v>166834528</v>
      </c>
      <c r="L4472">
        <v>-1303952936</v>
      </c>
      <c r="M4472">
        <v>-654643627</v>
      </c>
      <c r="N4472">
        <v>-440294959</v>
      </c>
      <c r="O4472">
        <v>-178056715</v>
      </c>
      <c r="P4472">
        <v>446</v>
      </c>
      <c r="Q4472" t="s">
        <v>8991</v>
      </c>
    </row>
    <row r="4473" spans="1:17" x14ac:dyDescent="0.3">
      <c r="A4473" t="s">
        <v>17</v>
      </c>
      <c r="B4473" t="str">
        <f>"603816"</f>
        <v>603816</v>
      </c>
      <c r="C4473" t="s">
        <v>8992</v>
      </c>
      <c r="D4473" t="s">
        <v>455</v>
      </c>
      <c r="E4473">
        <v>-908762138</v>
      </c>
      <c r="F4473">
        <v>-172158626</v>
      </c>
      <c r="G4473">
        <v>-570535228</v>
      </c>
      <c r="H4473">
        <v>53045361</v>
      </c>
      <c r="I4473">
        <v>-127283233</v>
      </c>
      <c r="J4473">
        <v>28691421</v>
      </c>
      <c r="K4473">
        <v>-7064433</v>
      </c>
      <c r="P4473">
        <v>1964</v>
      </c>
      <c r="Q4473" t="s">
        <v>8993</v>
      </c>
    </row>
    <row r="4474" spans="1:17" x14ac:dyDescent="0.3">
      <c r="A4474" t="s">
        <v>17</v>
      </c>
      <c r="B4474" t="str">
        <f>"688065"</f>
        <v>688065</v>
      </c>
      <c r="C4474" t="s">
        <v>8994</v>
      </c>
      <c r="D4474" t="s">
        <v>144</v>
      </c>
      <c r="E4474">
        <v>-913590565</v>
      </c>
      <c r="F4474">
        <v>54173313</v>
      </c>
      <c r="G4474">
        <v>-146289537</v>
      </c>
      <c r="H4474">
        <v>-79373746</v>
      </c>
      <c r="P4474">
        <v>107</v>
      </c>
      <c r="Q4474" t="s">
        <v>8995</v>
      </c>
    </row>
    <row r="4475" spans="1:17" x14ac:dyDescent="0.3">
      <c r="A4475" t="s">
        <v>17</v>
      </c>
      <c r="B4475" t="str">
        <f>"600638"</f>
        <v>600638</v>
      </c>
      <c r="C4475" t="s">
        <v>8996</v>
      </c>
      <c r="D4475" t="s">
        <v>151</v>
      </c>
      <c r="E4475">
        <v>-915720395</v>
      </c>
      <c r="F4475">
        <v>91808173</v>
      </c>
      <c r="G4475">
        <v>-368047131</v>
      </c>
      <c r="H4475">
        <v>-712478641</v>
      </c>
      <c r="I4475">
        <v>-638152037</v>
      </c>
      <c r="J4475">
        <v>-376290180</v>
      </c>
      <c r="K4475">
        <v>33284328</v>
      </c>
      <c r="L4475">
        <v>170836293</v>
      </c>
      <c r="M4475">
        <v>-148966702</v>
      </c>
      <c r="N4475">
        <v>-191549380</v>
      </c>
      <c r="O4475">
        <v>-121134995</v>
      </c>
      <c r="P4475">
        <v>106</v>
      </c>
      <c r="Q4475" t="s">
        <v>8997</v>
      </c>
    </row>
    <row r="4476" spans="1:17" x14ac:dyDescent="0.3">
      <c r="A4476" t="s">
        <v>17</v>
      </c>
      <c r="B4476" t="str">
        <f>"600282"</f>
        <v>600282</v>
      </c>
      <c r="C4476" t="s">
        <v>8998</v>
      </c>
      <c r="D4476" t="s">
        <v>163</v>
      </c>
      <c r="E4476">
        <v>-921334400</v>
      </c>
      <c r="F4476">
        <v>134658240</v>
      </c>
      <c r="G4476">
        <v>-296018532</v>
      </c>
      <c r="H4476">
        <v>1496521829</v>
      </c>
      <c r="I4476">
        <v>250793833</v>
      </c>
      <c r="J4476">
        <v>77128162</v>
      </c>
      <c r="K4476">
        <v>458519117</v>
      </c>
      <c r="L4476">
        <v>1108968239</v>
      </c>
      <c r="M4476">
        <v>1282873089</v>
      </c>
      <c r="N4476">
        <v>-318227993</v>
      </c>
      <c r="O4476">
        <v>-641114360</v>
      </c>
      <c r="P4476">
        <v>1310</v>
      </c>
      <c r="Q4476" t="s">
        <v>8999</v>
      </c>
    </row>
    <row r="4477" spans="1:17" x14ac:dyDescent="0.3">
      <c r="A4477" t="s">
        <v>32</v>
      </c>
      <c r="B4477" t="str">
        <f>"002793"</f>
        <v>002793</v>
      </c>
      <c r="C4477" t="s">
        <v>9000</v>
      </c>
      <c r="D4477" t="s">
        <v>98</v>
      </c>
      <c r="E4477">
        <v>-922313256</v>
      </c>
      <c r="F4477">
        <v>-314567705</v>
      </c>
      <c r="G4477">
        <v>-253182490</v>
      </c>
      <c r="H4477">
        <v>-32044812</v>
      </c>
      <c r="I4477">
        <v>-71513008</v>
      </c>
      <c r="J4477">
        <v>-44943528</v>
      </c>
      <c r="K4477">
        <v>-2461559</v>
      </c>
      <c r="L4477">
        <v>-9692987</v>
      </c>
      <c r="P4477">
        <v>213</v>
      </c>
      <c r="Q4477" t="s">
        <v>9001</v>
      </c>
    </row>
    <row r="4478" spans="1:17" x14ac:dyDescent="0.3">
      <c r="A4478" t="s">
        <v>32</v>
      </c>
      <c r="B4478" t="str">
        <f>"000065"</f>
        <v>000065</v>
      </c>
      <c r="C4478" t="s">
        <v>9002</v>
      </c>
      <c r="D4478" t="s">
        <v>645</v>
      </c>
      <c r="E4478">
        <v>-927222988</v>
      </c>
      <c r="F4478">
        <v>-597072801</v>
      </c>
      <c r="G4478">
        <v>-615755373</v>
      </c>
      <c r="H4478">
        <v>-474749102</v>
      </c>
      <c r="I4478">
        <v>-325583787</v>
      </c>
      <c r="J4478">
        <v>730965534</v>
      </c>
      <c r="K4478">
        <v>-147223439</v>
      </c>
      <c r="L4478">
        <v>-370401388</v>
      </c>
      <c r="M4478">
        <v>-217024171</v>
      </c>
      <c r="N4478">
        <v>138968130</v>
      </c>
      <c r="O4478">
        <v>4119841</v>
      </c>
      <c r="P4478">
        <v>394</v>
      </c>
      <c r="Q4478" t="s">
        <v>9003</v>
      </c>
    </row>
    <row r="4479" spans="1:17" x14ac:dyDescent="0.3">
      <c r="A4479" t="s">
        <v>17</v>
      </c>
      <c r="B4479" t="str">
        <f>"600887"</f>
        <v>600887</v>
      </c>
      <c r="C4479" t="s">
        <v>9004</v>
      </c>
      <c r="D4479" t="s">
        <v>172</v>
      </c>
      <c r="E4479">
        <v>-927551268</v>
      </c>
      <c r="F4479">
        <v>-375383234</v>
      </c>
      <c r="G4479">
        <v>-3982666580</v>
      </c>
      <c r="H4479">
        <v>-843664156</v>
      </c>
      <c r="I4479">
        <v>280387390</v>
      </c>
      <c r="J4479">
        <v>-1178219213</v>
      </c>
      <c r="K4479">
        <v>276654126</v>
      </c>
      <c r="L4479">
        <v>1037912848</v>
      </c>
      <c r="M4479">
        <v>-2601009568</v>
      </c>
      <c r="N4479">
        <v>121428541</v>
      </c>
      <c r="O4479">
        <v>-1532125384</v>
      </c>
      <c r="P4479">
        <v>72805</v>
      </c>
      <c r="Q4479" t="s">
        <v>9005</v>
      </c>
    </row>
    <row r="4480" spans="1:17" x14ac:dyDescent="0.3">
      <c r="A4480" t="s">
        <v>17</v>
      </c>
      <c r="B4480" t="str">
        <f>"601399"</f>
        <v>601399</v>
      </c>
      <c r="C4480" t="s">
        <v>9006</v>
      </c>
      <c r="D4480" t="s">
        <v>135</v>
      </c>
      <c r="E4480">
        <v>-928290815</v>
      </c>
      <c r="F4480">
        <v>-142930299</v>
      </c>
      <c r="G4480">
        <v>-527258963</v>
      </c>
      <c r="M4480">
        <v>-252371596</v>
      </c>
      <c r="N4480">
        <v>-537538730</v>
      </c>
      <c r="O4480">
        <v>-1134111949</v>
      </c>
      <c r="P4480">
        <v>53</v>
      </c>
      <c r="Q4480" t="s">
        <v>9007</v>
      </c>
    </row>
    <row r="4481" spans="1:17" x14ac:dyDescent="0.3">
      <c r="A4481" t="s">
        <v>17</v>
      </c>
      <c r="B4481" t="str">
        <f>"600765"</f>
        <v>600765</v>
      </c>
      <c r="C4481" t="s">
        <v>9008</v>
      </c>
      <c r="D4481" t="s">
        <v>188</v>
      </c>
      <c r="E4481">
        <v>-934316074</v>
      </c>
      <c r="F4481">
        <v>30268402</v>
      </c>
      <c r="G4481">
        <v>-189866801</v>
      </c>
      <c r="H4481">
        <v>-92288159</v>
      </c>
      <c r="I4481">
        <v>-189201071</v>
      </c>
      <c r="J4481">
        <v>-373288981</v>
      </c>
      <c r="K4481">
        <v>-382315359</v>
      </c>
      <c r="L4481">
        <v>-222984820</v>
      </c>
      <c r="M4481">
        <v>-359332685</v>
      </c>
      <c r="N4481">
        <v>-219511069</v>
      </c>
      <c r="O4481">
        <v>-316450514</v>
      </c>
      <c r="P4481">
        <v>357</v>
      </c>
      <c r="Q4481" t="s">
        <v>9009</v>
      </c>
    </row>
    <row r="4482" spans="1:17" x14ac:dyDescent="0.3">
      <c r="A4482" t="s">
        <v>32</v>
      </c>
      <c r="B4482" t="str">
        <f>"002100"</f>
        <v>002100</v>
      </c>
      <c r="C4482" t="s">
        <v>9010</v>
      </c>
      <c r="D4482" t="s">
        <v>175</v>
      </c>
      <c r="E4482">
        <v>-936116880</v>
      </c>
      <c r="F4482">
        <v>386892536</v>
      </c>
      <c r="G4482">
        <v>426636220</v>
      </c>
      <c r="H4482">
        <v>-315381524</v>
      </c>
      <c r="I4482">
        <v>-226710488</v>
      </c>
      <c r="J4482">
        <v>-59692067</v>
      </c>
      <c r="K4482">
        <v>146318473</v>
      </c>
      <c r="L4482">
        <v>-108199558</v>
      </c>
      <c r="M4482">
        <v>22383652</v>
      </c>
      <c r="N4482">
        <v>-5288737</v>
      </c>
      <c r="O4482">
        <v>-37253837</v>
      </c>
      <c r="P4482">
        <v>737</v>
      </c>
      <c r="Q4482" t="s">
        <v>9011</v>
      </c>
    </row>
    <row r="4483" spans="1:17" x14ac:dyDescent="0.3">
      <c r="A4483" t="s">
        <v>17</v>
      </c>
      <c r="B4483" t="str">
        <f>"600482"</f>
        <v>600482</v>
      </c>
      <c r="C4483" t="s">
        <v>9012</v>
      </c>
      <c r="D4483" t="s">
        <v>188</v>
      </c>
      <c r="E4483">
        <v>-938323784</v>
      </c>
      <c r="F4483">
        <v>-571470394</v>
      </c>
      <c r="G4483">
        <v>-688624383</v>
      </c>
      <c r="H4483">
        <v>-1106692143</v>
      </c>
      <c r="I4483">
        <v>-186180038</v>
      </c>
      <c r="J4483">
        <v>-573318122</v>
      </c>
      <c r="K4483">
        <v>-124363601</v>
      </c>
      <c r="L4483">
        <v>-148492501</v>
      </c>
      <c r="M4483">
        <v>-53953592</v>
      </c>
      <c r="N4483">
        <v>-145876275</v>
      </c>
      <c r="O4483">
        <v>91996449</v>
      </c>
      <c r="P4483">
        <v>339</v>
      </c>
      <c r="Q4483" t="s">
        <v>9013</v>
      </c>
    </row>
    <row r="4484" spans="1:17" x14ac:dyDescent="0.3">
      <c r="A4484" t="s">
        <v>32</v>
      </c>
      <c r="B4484" t="str">
        <f>"200011"</f>
        <v>200011</v>
      </c>
      <c r="C4484" t="s">
        <v>9014</v>
      </c>
      <c r="E4484">
        <v>-942392276.59399998</v>
      </c>
      <c r="F4484">
        <v>89193092.822500005</v>
      </c>
      <c r="G4484">
        <v>-669611676.96599996</v>
      </c>
      <c r="H4484">
        <v>-76465568.880899996</v>
      </c>
      <c r="I4484">
        <v>-122406609.31649999</v>
      </c>
      <c r="J4484">
        <v>-285572557.4242</v>
      </c>
      <c r="K4484">
        <v>1053610779.6868</v>
      </c>
      <c r="L4484">
        <v>-179557295</v>
      </c>
      <c r="M4484">
        <v>-42677908.513999999</v>
      </c>
      <c r="N4484">
        <v>116356426.24259999</v>
      </c>
      <c r="O4484">
        <v>306421237.82700002</v>
      </c>
      <c r="P4484">
        <v>176</v>
      </c>
      <c r="Q4484" t="s">
        <v>9015</v>
      </c>
    </row>
    <row r="4485" spans="1:17" x14ac:dyDescent="0.3">
      <c r="A4485" t="s">
        <v>17</v>
      </c>
      <c r="B4485" t="str">
        <f>"603515"</f>
        <v>603515</v>
      </c>
      <c r="C4485" t="s">
        <v>9016</v>
      </c>
      <c r="D4485" t="s">
        <v>127</v>
      </c>
      <c r="E4485">
        <v>-944236217</v>
      </c>
      <c r="F4485">
        <v>-871609483</v>
      </c>
      <c r="G4485">
        <v>-923585326</v>
      </c>
      <c r="H4485">
        <v>-340574045</v>
      </c>
      <c r="I4485">
        <v>-256138134</v>
      </c>
      <c r="J4485">
        <v>-223653454</v>
      </c>
      <c r="K4485">
        <v>-12388816</v>
      </c>
      <c r="L4485">
        <v>-275234900</v>
      </c>
      <c r="P4485">
        <v>2555</v>
      </c>
      <c r="Q4485" t="s">
        <v>9017</v>
      </c>
    </row>
    <row r="4486" spans="1:17" x14ac:dyDescent="0.3">
      <c r="A4486" t="s">
        <v>17</v>
      </c>
      <c r="B4486" t="str">
        <f>"600387"</f>
        <v>600387</v>
      </c>
      <c r="C4486" t="s">
        <v>9018</v>
      </c>
      <c r="D4486" t="s">
        <v>64</v>
      </c>
      <c r="E4486">
        <v>-953457080</v>
      </c>
      <c r="F4486">
        <v>-1135629444</v>
      </c>
      <c r="G4486">
        <v>-30416358</v>
      </c>
      <c r="H4486">
        <v>27539408</v>
      </c>
      <c r="I4486">
        <v>212309598</v>
      </c>
      <c r="J4486">
        <v>-244546658</v>
      </c>
      <c r="K4486">
        <v>-17575491</v>
      </c>
      <c r="L4486">
        <v>-713814123</v>
      </c>
      <c r="M4486">
        <v>-631439263</v>
      </c>
      <c r="N4486">
        <v>-363890872</v>
      </c>
      <c r="O4486">
        <v>-87631607</v>
      </c>
      <c r="P4486">
        <v>116</v>
      </c>
      <c r="Q4486" t="s">
        <v>9019</v>
      </c>
    </row>
    <row r="4487" spans="1:17" x14ac:dyDescent="0.3">
      <c r="A4487" t="s">
        <v>17</v>
      </c>
      <c r="B4487" t="str">
        <f>"603606"</f>
        <v>603606</v>
      </c>
      <c r="C4487" t="s">
        <v>9020</v>
      </c>
      <c r="D4487" t="s">
        <v>464</v>
      </c>
      <c r="E4487">
        <v>-955879544</v>
      </c>
      <c r="F4487">
        <v>-214464340</v>
      </c>
      <c r="G4487">
        <v>-456715002</v>
      </c>
      <c r="H4487">
        <v>-343420467</v>
      </c>
      <c r="I4487">
        <v>-144354527</v>
      </c>
      <c r="J4487">
        <v>-426619989</v>
      </c>
      <c r="K4487">
        <v>-163962695</v>
      </c>
      <c r="L4487">
        <v>-177030225</v>
      </c>
      <c r="M4487">
        <v>-35510627</v>
      </c>
      <c r="P4487">
        <v>1572</v>
      </c>
      <c r="Q4487" t="s">
        <v>9021</v>
      </c>
    </row>
    <row r="4488" spans="1:17" x14ac:dyDescent="0.3">
      <c r="A4488" t="s">
        <v>17</v>
      </c>
      <c r="B4488" t="str">
        <f>"600629"</f>
        <v>600629</v>
      </c>
      <c r="C4488" t="s">
        <v>9022</v>
      </c>
      <c r="D4488" t="s">
        <v>645</v>
      </c>
      <c r="E4488">
        <v>-957286158</v>
      </c>
      <c r="F4488">
        <v>-649427596</v>
      </c>
      <c r="G4488">
        <v>-504271436</v>
      </c>
      <c r="H4488">
        <v>-494674696</v>
      </c>
      <c r="I4488">
        <v>-462868819</v>
      </c>
      <c r="J4488">
        <v>-475997239</v>
      </c>
      <c r="K4488">
        <v>-387374723</v>
      </c>
      <c r="L4488">
        <v>42467826</v>
      </c>
      <c r="M4488">
        <v>-38320848</v>
      </c>
      <c r="N4488">
        <v>-104248012</v>
      </c>
      <c r="O4488">
        <v>47948965</v>
      </c>
      <c r="P4488">
        <v>151</v>
      </c>
      <c r="Q4488" t="s">
        <v>9023</v>
      </c>
    </row>
    <row r="4489" spans="1:17" x14ac:dyDescent="0.3">
      <c r="A4489" t="s">
        <v>17</v>
      </c>
      <c r="B4489" t="str">
        <f>"605589"</f>
        <v>605589</v>
      </c>
      <c r="C4489" t="s">
        <v>9024</v>
      </c>
      <c r="D4489" t="s">
        <v>144</v>
      </c>
      <c r="E4489">
        <v>-976662252</v>
      </c>
      <c r="F4489">
        <v>-674917237</v>
      </c>
      <c r="G4489">
        <v>158998422</v>
      </c>
      <c r="P4489">
        <v>40</v>
      </c>
      <c r="Q4489" t="s">
        <v>9025</v>
      </c>
    </row>
    <row r="4490" spans="1:17" x14ac:dyDescent="0.3">
      <c r="A4490" t="s">
        <v>32</v>
      </c>
      <c r="B4490" t="str">
        <f>"002065"</f>
        <v>002065</v>
      </c>
      <c r="C4490" t="s">
        <v>9026</v>
      </c>
      <c r="D4490" t="s">
        <v>342</v>
      </c>
      <c r="E4490">
        <v>-981609605</v>
      </c>
      <c r="F4490">
        <v>-897995653</v>
      </c>
      <c r="G4490">
        <v>-653393072</v>
      </c>
      <c r="H4490">
        <v>-851514121</v>
      </c>
      <c r="I4490">
        <v>-734479437</v>
      </c>
      <c r="J4490">
        <v>-578976129</v>
      </c>
      <c r="K4490">
        <v>-640782702</v>
      </c>
      <c r="L4490">
        <v>-527374451</v>
      </c>
      <c r="M4490">
        <v>-484589788</v>
      </c>
      <c r="N4490">
        <v>-170724950</v>
      </c>
      <c r="O4490">
        <v>-175221833</v>
      </c>
      <c r="P4490">
        <v>942</v>
      </c>
      <c r="Q4490" t="s">
        <v>9027</v>
      </c>
    </row>
    <row r="4491" spans="1:17" x14ac:dyDescent="0.3">
      <c r="A4491" t="s">
        <v>17</v>
      </c>
      <c r="B4491" t="str">
        <f>"603906"</f>
        <v>603906</v>
      </c>
      <c r="C4491" t="s">
        <v>9028</v>
      </c>
      <c r="D4491" t="s">
        <v>144</v>
      </c>
      <c r="E4491">
        <v>-981791112</v>
      </c>
      <c r="F4491">
        <v>22717264</v>
      </c>
      <c r="G4491">
        <v>136937213</v>
      </c>
      <c r="H4491">
        <v>103994104</v>
      </c>
      <c r="I4491">
        <v>72961104</v>
      </c>
      <c r="J4491">
        <v>12385598</v>
      </c>
      <c r="K4491">
        <v>11374530</v>
      </c>
      <c r="P4491">
        <v>184</v>
      </c>
      <c r="Q4491" t="s">
        <v>9029</v>
      </c>
    </row>
    <row r="4492" spans="1:17" x14ac:dyDescent="0.3">
      <c r="A4492" t="s">
        <v>17</v>
      </c>
      <c r="B4492" t="str">
        <f>"600718"</f>
        <v>600718</v>
      </c>
      <c r="C4492" t="s">
        <v>9030</v>
      </c>
      <c r="D4492" t="s">
        <v>342</v>
      </c>
      <c r="E4492">
        <v>-987854915</v>
      </c>
      <c r="F4492">
        <v>-905585347</v>
      </c>
      <c r="G4492">
        <v>-1016524289</v>
      </c>
      <c r="H4492">
        <v>-1412324882</v>
      </c>
      <c r="I4492">
        <v>-1280711561</v>
      </c>
      <c r="J4492">
        <v>-1316990823</v>
      </c>
      <c r="K4492">
        <v>-1225476545</v>
      </c>
      <c r="L4492">
        <v>-890312154</v>
      </c>
      <c r="M4492">
        <v>-961609433</v>
      </c>
      <c r="N4492">
        <v>-961055184</v>
      </c>
      <c r="O4492">
        <v>-724717815</v>
      </c>
      <c r="P4492">
        <v>396</v>
      </c>
      <c r="Q4492" t="s">
        <v>9031</v>
      </c>
    </row>
    <row r="4493" spans="1:17" x14ac:dyDescent="0.3">
      <c r="A4493" t="s">
        <v>17</v>
      </c>
      <c r="B4493" t="str">
        <f>"603156"</f>
        <v>603156</v>
      </c>
      <c r="C4493" t="s">
        <v>9032</v>
      </c>
      <c r="D4493" t="s">
        <v>172</v>
      </c>
      <c r="E4493">
        <v>-992598380</v>
      </c>
      <c r="F4493">
        <v>-628370522</v>
      </c>
      <c r="G4493">
        <v>-796386735</v>
      </c>
      <c r="H4493">
        <v>-1038384773</v>
      </c>
      <c r="I4493">
        <v>-784395961</v>
      </c>
      <c r="J4493">
        <v>-1504304931</v>
      </c>
      <c r="P4493">
        <v>1237</v>
      </c>
      <c r="Q4493" t="s">
        <v>9033</v>
      </c>
    </row>
    <row r="4494" spans="1:17" x14ac:dyDescent="0.3">
      <c r="A4494" t="s">
        <v>17</v>
      </c>
      <c r="B4494" t="str">
        <f>"600323"</f>
        <v>600323</v>
      </c>
      <c r="C4494" t="s">
        <v>9034</v>
      </c>
      <c r="D4494" t="s">
        <v>1334</v>
      </c>
      <c r="E4494">
        <v>-999320836</v>
      </c>
      <c r="F4494">
        <v>-462810890</v>
      </c>
      <c r="G4494">
        <v>-863512954</v>
      </c>
      <c r="H4494">
        <v>-725643953</v>
      </c>
      <c r="I4494">
        <v>-61961278</v>
      </c>
      <c r="J4494">
        <v>-101293908</v>
      </c>
      <c r="K4494">
        <v>-116774233</v>
      </c>
      <c r="L4494">
        <v>-94858741</v>
      </c>
      <c r="M4494">
        <v>-87639813</v>
      </c>
      <c r="N4494">
        <v>-55187208</v>
      </c>
      <c r="O4494">
        <v>-9509022</v>
      </c>
      <c r="P4494">
        <v>1149</v>
      </c>
      <c r="Q4494" t="s">
        <v>9035</v>
      </c>
    </row>
    <row r="4495" spans="1:17" x14ac:dyDescent="0.3">
      <c r="A4495" t="s">
        <v>32</v>
      </c>
      <c r="B4495" t="str">
        <f>"002941"</f>
        <v>002941</v>
      </c>
      <c r="C4495" t="s">
        <v>9036</v>
      </c>
      <c r="D4495" t="s">
        <v>645</v>
      </c>
      <c r="E4495">
        <v>-1016905680</v>
      </c>
      <c r="F4495">
        <v>-571049966</v>
      </c>
      <c r="G4495">
        <v>-714896210</v>
      </c>
      <c r="H4495">
        <v>-782734606</v>
      </c>
      <c r="I4495">
        <v>-259354090</v>
      </c>
      <c r="P4495">
        <v>145</v>
      </c>
      <c r="Q4495" t="s">
        <v>9037</v>
      </c>
    </row>
    <row r="4496" spans="1:17" x14ac:dyDescent="0.3">
      <c r="A4496" t="s">
        <v>17</v>
      </c>
      <c r="B4496" t="str">
        <f>"688561"</f>
        <v>688561</v>
      </c>
      <c r="C4496" t="s">
        <v>9038</v>
      </c>
      <c r="D4496" t="s">
        <v>342</v>
      </c>
      <c r="E4496">
        <v>-1021248073</v>
      </c>
      <c r="F4496">
        <v>-665473787</v>
      </c>
      <c r="G4496">
        <v>-429655262</v>
      </c>
      <c r="H4496">
        <v>-515600545</v>
      </c>
      <c r="P4496">
        <v>192</v>
      </c>
      <c r="Q4496" t="s">
        <v>9039</v>
      </c>
    </row>
    <row r="4497" spans="1:17" x14ac:dyDescent="0.3">
      <c r="A4497" t="s">
        <v>32</v>
      </c>
      <c r="B4497" t="str">
        <f>"002567"</f>
        <v>002567</v>
      </c>
      <c r="C4497" t="s">
        <v>9040</v>
      </c>
      <c r="D4497" t="s">
        <v>175</v>
      </c>
      <c r="E4497">
        <v>-1024815945</v>
      </c>
      <c r="F4497">
        <v>-436085034</v>
      </c>
      <c r="G4497">
        <v>-78788908</v>
      </c>
      <c r="H4497">
        <v>-34121039</v>
      </c>
      <c r="I4497">
        <v>-157789445</v>
      </c>
      <c r="J4497">
        <v>-77476129</v>
      </c>
      <c r="K4497">
        <v>87721013</v>
      </c>
      <c r="L4497">
        <v>7372436</v>
      </c>
      <c r="M4497">
        <v>142050900</v>
      </c>
      <c r="N4497">
        <v>-53640201</v>
      </c>
      <c r="O4497">
        <v>-27838226</v>
      </c>
      <c r="P4497">
        <v>451</v>
      </c>
      <c r="Q4497" t="s">
        <v>9041</v>
      </c>
    </row>
    <row r="4498" spans="1:17" x14ac:dyDescent="0.3">
      <c r="A4498" t="s">
        <v>32</v>
      </c>
      <c r="B4498" t="str">
        <f>"000860"</f>
        <v>000860</v>
      </c>
      <c r="C4498" t="s">
        <v>9042</v>
      </c>
      <c r="D4498" t="s">
        <v>172</v>
      </c>
      <c r="E4498">
        <v>-1025936129</v>
      </c>
      <c r="F4498">
        <v>-1238951298</v>
      </c>
      <c r="G4498">
        <v>-914785138</v>
      </c>
      <c r="H4498">
        <v>183817213</v>
      </c>
      <c r="I4498">
        <v>726230118</v>
      </c>
      <c r="J4498">
        <v>577570555</v>
      </c>
      <c r="K4498">
        <v>279847645</v>
      </c>
      <c r="L4498">
        <v>331679927</v>
      </c>
      <c r="M4498">
        <v>291557139</v>
      </c>
      <c r="N4498">
        <v>537880933</v>
      </c>
      <c r="O4498">
        <v>-150348330</v>
      </c>
      <c r="P4498">
        <v>1515</v>
      </c>
      <c r="Q4498" t="s">
        <v>9043</v>
      </c>
    </row>
    <row r="4499" spans="1:17" x14ac:dyDescent="0.3">
      <c r="A4499" t="s">
        <v>32</v>
      </c>
      <c r="B4499" t="str">
        <f>"000911"</f>
        <v>000911</v>
      </c>
      <c r="C4499" t="s">
        <v>9044</v>
      </c>
      <c r="D4499" t="s">
        <v>175</v>
      </c>
      <c r="E4499">
        <v>-1028640829</v>
      </c>
      <c r="F4499">
        <v>-194696593</v>
      </c>
      <c r="G4499">
        <v>-408115223</v>
      </c>
      <c r="H4499">
        <v>-411793229</v>
      </c>
      <c r="I4499">
        <v>-1239801456</v>
      </c>
      <c r="J4499">
        <v>-1244140196</v>
      </c>
      <c r="K4499">
        <v>-1055704083</v>
      </c>
      <c r="L4499">
        <v>-656583413</v>
      </c>
      <c r="M4499">
        <v>-498838934</v>
      </c>
      <c r="N4499">
        <v>-654579303</v>
      </c>
      <c r="O4499">
        <v>-590139061</v>
      </c>
      <c r="P4499">
        <v>334</v>
      </c>
      <c r="Q4499" t="s">
        <v>9045</v>
      </c>
    </row>
    <row r="4500" spans="1:17" x14ac:dyDescent="0.3">
      <c r="A4500" t="s">
        <v>17</v>
      </c>
      <c r="B4500" t="str">
        <f>"688005"</f>
        <v>688005</v>
      </c>
      <c r="C4500" t="s">
        <v>9046</v>
      </c>
      <c r="D4500" t="s">
        <v>464</v>
      </c>
      <c r="E4500">
        <v>-1032943836</v>
      </c>
      <c r="F4500">
        <v>-377488081</v>
      </c>
      <c r="G4500">
        <v>11076092</v>
      </c>
      <c r="H4500">
        <v>-77423502</v>
      </c>
      <c r="I4500">
        <v>-241778633</v>
      </c>
      <c r="P4500">
        <v>318</v>
      </c>
      <c r="Q4500" t="s">
        <v>9047</v>
      </c>
    </row>
    <row r="4501" spans="1:17" x14ac:dyDescent="0.3">
      <c r="A4501" t="s">
        <v>32</v>
      </c>
      <c r="B4501" t="str">
        <f>"000598"</f>
        <v>000598</v>
      </c>
      <c r="C4501" t="s">
        <v>9048</v>
      </c>
      <c r="D4501" t="s">
        <v>1334</v>
      </c>
      <c r="E4501">
        <v>-1035207840</v>
      </c>
      <c r="F4501">
        <v>-998661233</v>
      </c>
      <c r="G4501">
        <v>-683707749</v>
      </c>
      <c r="H4501">
        <v>-334210495</v>
      </c>
      <c r="I4501">
        <v>-227364838</v>
      </c>
      <c r="J4501">
        <v>-72140868</v>
      </c>
      <c r="K4501">
        <v>-264655200</v>
      </c>
      <c r="L4501">
        <v>-221095267</v>
      </c>
      <c r="M4501">
        <v>-20264271</v>
      </c>
      <c r="N4501">
        <v>-156282550</v>
      </c>
      <c r="O4501">
        <v>-139858611</v>
      </c>
      <c r="P4501">
        <v>444</v>
      </c>
      <c r="Q4501" t="s">
        <v>9049</v>
      </c>
    </row>
    <row r="4502" spans="1:17" x14ac:dyDescent="0.3">
      <c r="A4502" t="s">
        <v>17</v>
      </c>
      <c r="B4502" t="str">
        <f>"600278"</f>
        <v>600278</v>
      </c>
      <c r="C4502" t="s">
        <v>9050</v>
      </c>
      <c r="D4502" t="s">
        <v>218</v>
      </c>
      <c r="E4502">
        <v>-1035838387</v>
      </c>
      <c r="F4502">
        <v>-643472317</v>
      </c>
      <c r="G4502">
        <v>108535290</v>
      </c>
      <c r="H4502">
        <v>-190104396</v>
      </c>
      <c r="I4502">
        <v>-373826807</v>
      </c>
      <c r="J4502">
        <v>-188318728</v>
      </c>
      <c r="K4502">
        <v>145304659</v>
      </c>
      <c r="L4502">
        <v>149849999</v>
      </c>
      <c r="M4502">
        <v>-158166757</v>
      </c>
      <c r="N4502">
        <v>-24144612</v>
      </c>
      <c r="O4502">
        <v>12760021</v>
      </c>
      <c r="P4502">
        <v>90</v>
      </c>
      <c r="Q4502" t="s">
        <v>9051</v>
      </c>
    </row>
    <row r="4503" spans="1:17" x14ac:dyDescent="0.3">
      <c r="A4503" t="s">
        <v>17</v>
      </c>
      <c r="B4503" t="str">
        <f>"600098"</f>
        <v>600098</v>
      </c>
      <c r="C4503" t="s">
        <v>9052</v>
      </c>
      <c r="D4503" t="s">
        <v>158</v>
      </c>
      <c r="E4503">
        <v>-1044908979</v>
      </c>
      <c r="F4503">
        <v>-664046595</v>
      </c>
      <c r="G4503">
        <v>-462509889</v>
      </c>
      <c r="H4503">
        <v>488042620</v>
      </c>
      <c r="I4503">
        <v>20892159</v>
      </c>
      <c r="J4503">
        <v>188220853</v>
      </c>
      <c r="K4503">
        <v>-31564032</v>
      </c>
      <c r="L4503">
        <v>783677147</v>
      </c>
      <c r="M4503">
        <v>784197676</v>
      </c>
      <c r="N4503">
        <v>-114588532</v>
      </c>
      <c r="O4503">
        <v>268634152</v>
      </c>
      <c r="P4503">
        <v>192</v>
      </c>
      <c r="Q4503" t="s">
        <v>9053</v>
      </c>
    </row>
    <row r="4504" spans="1:17" x14ac:dyDescent="0.3">
      <c r="A4504" t="s">
        <v>17</v>
      </c>
      <c r="B4504" t="str">
        <f>"600320"</f>
        <v>600320</v>
      </c>
      <c r="C4504" t="s">
        <v>9054</v>
      </c>
      <c r="D4504" t="s">
        <v>135</v>
      </c>
      <c r="E4504">
        <v>-1047270381</v>
      </c>
      <c r="F4504">
        <v>-208612100</v>
      </c>
      <c r="G4504">
        <v>-1213138272</v>
      </c>
      <c r="H4504">
        <v>-244295146</v>
      </c>
      <c r="I4504">
        <v>-484025529</v>
      </c>
      <c r="J4504">
        <v>408922507</v>
      </c>
      <c r="K4504">
        <v>298310924</v>
      </c>
      <c r="L4504">
        <v>-1775729229</v>
      </c>
      <c r="M4504">
        <v>-797539650</v>
      </c>
      <c r="N4504">
        <v>-130041270</v>
      </c>
      <c r="O4504">
        <v>-368948765</v>
      </c>
      <c r="P4504">
        <v>190</v>
      </c>
      <c r="Q4504" t="s">
        <v>9055</v>
      </c>
    </row>
    <row r="4505" spans="1:17" x14ac:dyDescent="0.3">
      <c r="A4505" t="s">
        <v>32</v>
      </c>
      <c r="B4505" t="str">
        <f>"002008"</f>
        <v>002008</v>
      </c>
      <c r="C4505" t="s">
        <v>9056</v>
      </c>
      <c r="D4505" t="s">
        <v>135</v>
      </c>
      <c r="E4505">
        <v>-1059048960</v>
      </c>
      <c r="F4505">
        <v>-164716161</v>
      </c>
      <c r="G4505">
        <v>-453735775</v>
      </c>
      <c r="H4505">
        <v>-429812512</v>
      </c>
      <c r="I4505">
        <v>-339309811</v>
      </c>
      <c r="J4505">
        <v>-647490445</v>
      </c>
      <c r="K4505">
        <v>-304457616</v>
      </c>
      <c r="L4505">
        <v>-45893094</v>
      </c>
      <c r="M4505">
        <v>-141830417</v>
      </c>
      <c r="N4505">
        <v>51270479</v>
      </c>
      <c r="O4505">
        <v>-130660434</v>
      </c>
      <c r="P4505">
        <v>4831</v>
      </c>
      <c r="Q4505" t="s">
        <v>9057</v>
      </c>
    </row>
    <row r="4506" spans="1:17" x14ac:dyDescent="0.3">
      <c r="A4506" t="s">
        <v>32</v>
      </c>
      <c r="B4506" t="str">
        <f>"000895"</f>
        <v>000895</v>
      </c>
      <c r="C4506" t="s">
        <v>9058</v>
      </c>
      <c r="D4506" t="s">
        <v>172</v>
      </c>
      <c r="E4506">
        <v>-1067337728</v>
      </c>
      <c r="F4506">
        <v>949164149</v>
      </c>
      <c r="G4506">
        <v>1630586417</v>
      </c>
      <c r="H4506">
        <v>209435951</v>
      </c>
      <c r="I4506">
        <v>1117400788</v>
      </c>
      <c r="J4506">
        <v>1384331216</v>
      </c>
      <c r="K4506">
        <v>1518359692</v>
      </c>
      <c r="L4506">
        <v>389159211</v>
      </c>
      <c r="M4506">
        <v>-45794327</v>
      </c>
      <c r="N4506">
        <v>480180839</v>
      </c>
      <c r="O4506">
        <v>-259627428</v>
      </c>
      <c r="P4506">
        <v>37260</v>
      </c>
      <c r="Q4506" t="s">
        <v>9059</v>
      </c>
    </row>
    <row r="4507" spans="1:17" x14ac:dyDescent="0.3">
      <c r="A4507" t="s">
        <v>32</v>
      </c>
      <c r="B4507" t="str">
        <f>"200152"</f>
        <v>200152</v>
      </c>
      <c r="C4507" t="s">
        <v>9060</v>
      </c>
      <c r="E4507">
        <v>-1068962198.006</v>
      </c>
      <c r="F4507">
        <v>-698134745.82299995</v>
      </c>
      <c r="G4507">
        <v>-1448520196.5789001</v>
      </c>
      <c r="H4507">
        <v>-759011562.77670002</v>
      </c>
      <c r="I4507">
        <v>-262032371.03999999</v>
      </c>
      <c r="J4507">
        <v>-230142756.76359999</v>
      </c>
      <c r="K4507">
        <v>11432792.5221</v>
      </c>
      <c r="L4507">
        <v>-49149178.75</v>
      </c>
      <c r="M4507">
        <v>-252865514.8152</v>
      </c>
      <c r="N4507">
        <v>-44175275.8248</v>
      </c>
      <c r="O4507">
        <v>71023364.640000001</v>
      </c>
      <c r="P4507">
        <v>112</v>
      </c>
      <c r="Q4507" t="s">
        <v>9061</v>
      </c>
    </row>
    <row r="4508" spans="1:17" x14ac:dyDescent="0.3">
      <c r="A4508" t="s">
        <v>32</v>
      </c>
      <c r="B4508" t="str">
        <f>"000875"</f>
        <v>000875</v>
      </c>
      <c r="C4508" t="s">
        <v>9062</v>
      </c>
      <c r="D4508" t="s">
        <v>158</v>
      </c>
      <c r="E4508">
        <v>-1071999539</v>
      </c>
      <c r="F4508">
        <v>-416323886</v>
      </c>
      <c r="G4508">
        <v>306723640</v>
      </c>
      <c r="H4508">
        <v>429131584</v>
      </c>
      <c r="I4508">
        <v>-708635443</v>
      </c>
      <c r="J4508">
        <v>-289764956</v>
      </c>
      <c r="K4508">
        <v>-501970250</v>
      </c>
      <c r="L4508">
        <v>-143886951</v>
      </c>
      <c r="M4508">
        <v>-139287334</v>
      </c>
      <c r="N4508">
        <v>-95409809</v>
      </c>
      <c r="O4508">
        <v>46493688</v>
      </c>
      <c r="P4508">
        <v>278</v>
      </c>
      <c r="Q4508" t="s">
        <v>9063</v>
      </c>
    </row>
    <row r="4509" spans="1:17" x14ac:dyDescent="0.3">
      <c r="A4509" t="s">
        <v>17</v>
      </c>
      <c r="B4509" t="str">
        <f>"600501"</f>
        <v>600501</v>
      </c>
      <c r="C4509" t="s">
        <v>9064</v>
      </c>
      <c r="D4509" t="s">
        <v>135</v>
      </c>
      <c r="E4509">
        <v>-1076332421</v>
      </c>
      <c r="F4509">
        <v>-577339891</v>
      </c>
      <c r="G4509">
        <v>449752110</v>
      </c>
      <c r="H4509">
        <v>-393700898</v>
      </c>
      <c r="I4509">
        <v>-428906004</v>
      </c>
      <c r="J4509">
        <v>-300593807</v>
      </c>
      <c r="K4509">
        <v>-169785482</v>
      </c>
      <c r="L4509">
        <v>-151096300</v>
      </c>
      <c r="M4509">
        <v>-269374844</v>
      </c>
      <c r="N4509">
        <v>-130105921</v>
      </c>
      <c r="O4509">
        <v>-185192969</v>
      </c>
      <c r="P4509">
        <v>117</v>
      </c>
      <c r="Q4509" t="s">
        <v>9065</v>
      </c>
    </row>
    <row r="4510" spans="1:17" x14ac:dyDescent="0.3">
      <c r="A4510" t="s">
        <v>32</v>
      </c>
      <c r="B4510" t="str">
        <f>"000034"</f>
        <v>000034</v>
      </c>
      <c r="C4510" t="s">
        <v>9066</v>
      </c>
      <c r="D4510" t="s">
        <v>342</v>
      </c>
      <c r="E4510">
        <v>-1077391422</v>
      </c>
      <c r="F4510">
        <v>402374507</v>
      </c>
      <c r="G4510">
        <v>961971276</v>
      </c>
      <c r="H4510">
        <v>242541606</v>
      </c>
      <c r="I4510">
        <v>-155392097</v>
      </c>
      <c r="J4510">
        <v>-135920338</v>
      </c>
      <c r="K4510">
        <v>-20627073</v>
      </c>
      <c r="L4510">
        <v>-16456891</v>
      </c>
      <c r="M4510">
        <v>-8659088</v>
      </c>
      <c r="N4510">
        <v>-10951663</v>
      </c>
      <c r="O4510">
        <v>-12823286</v>
      </c>
      <c r="P4510">
        <v>412</v>
      </c>
      <c r="Q4510" t="s">
        <v>9067</v>
      </c>
    </row>
    <row r="4511" spans="1:17" x14ac:dyDescent="0.3">
      <c r="A4511" t="s">
        <v>32</v>
      </c>
      <c r="B4511" t="str">
        <f>"000544"</f>
        <v>000544</v>
      </c>
      <c r="C4511" t="s">
        <v>9068</v>
      </c>
      <c r="D4511" t="s">
        <v>1334</v>
      </c>
      <c r="E4511">
        <v>-1078545364</v>
      </c>
      <c r="F4511">
        <v>-1169406146</v>
      </c>
      <c r="G4511">
        <v>-1192215914</v>
      </c>
      <c r="H4511">
        <v>-236642994</v>
      </c>
      <c r="I4511">
        <v>-454800789</v>
      </c>
      <c r="J4511">
        <v>-115807336</v>
      </c>
      <c r="K4511">
        <v>-76584802</v>
      </c>
      <c r="L4511">
        <v>-150778260</v>
      </c>
      <c r="M4511">
        <v>-153293197</v>
      </c>
      <c r="N4511">
        <v>-135140100</v>
      </c>
      <c r="O4511">
        <v>-137761990</v>
      </c>
      <c r="P4511">
        <v>247</v>
      </c>
      <c r="Q4511" t="s">
        <v>9069</v>
      </c>
    </row>
    <row r="4512" spans="1:17" x14ac:dyDescent="0.3">
      <c r="A4512" t="s">
        <v>17</v>
      </c>
      <c r="B4512" t="str">
        <f>"600657"</f>
        <v>600657</v>
      </c>
      <c r="C4512" t="s">
        <v>9070</v>
      </c>
      <c r="D4512" t="s">
        <v>151</v>
      </c>
      <c r="E4512">
        <v>-1079572171</v>
      </c>
      <c r="F4512">
        <v>334379063</v>
      </c>
      <c r="G4512">
        <v>-992892942</v>
      </c>
      <c r="H4512">
        <v>-862895105</v>
      </c>
      <c r="I4512">
        <v>-1427887709</v>
      </c>
      <c r="J4512">
        <v>-158217225</v>
      </c>
      <c r="K4512">
        <v>455975669</v>
      </c>
      <c r="L4512">
        <v>-2492278718</v>
      </c>
      <c r="M4512">
        <v>-1627467542</v>
      </c>
      <c r="N4512">
        <v>-907249711</v>
      </c>
      <c r="O4512">
        <v>-466329174</v>
      </c>
      <c r="P4512">
        <v>423</v>
      </c>
      <c r="Q4512" t="s">
        <v>9071</v>
      </c>
    </row>
    <row r="4513" spans="1:17" x14ac:dyDescent="0.3">
      <c r="A4513" t="s">
        <v>32</v>
      </c>
      <c r="B4513" t="str">
        <f>"002797"</f>
        <v>002797</v>
      </c>
      <c r="C4513" t="s">
        <v>9072</v>
      </c>
      <c r="D4513" t="s">
        <v>26</v>
      </c>
      <c r="E4513">
        <v>-1081161035</v>
      </c>
      <c r="F4513">
        <v>969917807</v>
      </c>
      <c r="G4513">
        <v>1534670330</v>
      </c>
      <c r="H4513">
        <v>3842624457</v>
      </c>
      <c r="I4513">
        <v>-113240342</v>
      </c>
      <c r="J4513">
        <v>-2201281</v>
      </c>
      <c r="K4513">
        <v>-1132460902</v>
      </c>
      <c r="L4513">
        <v>1432295638</v>
      </c>
      <c r="P4513">
        <v>838</v>
      </c>
      <c r="Q4513" t="s">
        <v>9073</v>
      </c>
    </row>
    <row r="4514" spans="1:17" x14ac:dyDescent="0.3">
      <c r="A4514" t="s">
        <v>32</v>
      </c>
      <c r="B4514" t="str">
        <f>"000778"</f>
        <v>000778</v>
      </c>
      <c r="C4514" t="s">
        <v>9074</v>
      </c>
      <c r="D4514" t="s">
        <v>163</v>
      </c>
      <c r="E4514">
        <v>-1084848578</v>
      </c>
      <c r="F4514">
        <v>-586385124</v>
      </c>
      <c r="G4514">
        <v>-772863114</v>
      </c>
      <c r="H4514">
        <v>-614655846</v>
      </c>
      <c r="I4514">
        <v>-962011124</v>
      </c>
      <c r="J4514">
        <v>-29666883</v>
      </c>
      <c r="K4514">
        <v>-641042220</v>
      </c>
      <c r="L4514">
        <v>-969293665</v>
      </c>
      <c r="M4514">
        <v>-58102876</v>
      </c>
      <c r="N4514">
        <v>-1474978451</v>
      </c>
      <c r="O4514">
        <v>-2016067949</v>
      </c>
      <c r="P4514">
        <v>676</v>
      </c>
      <c r="Q4514" t="s">
        <v>9075</v>
      </c>
    </row>
    <row r="4515" spans="1:17" x14ac:dyDescent="0.3">
      <c r="A4515" t="s">
        <v>32</v>
      </c>
      <c r="B4515" t="str">
        <f>"000582"</f>
        <v>000582</v>
      </c>
      <c r="C4515" t="s">
        <v>9076</v>
      </c>
      <c r="D4515" t="s">
        <v>46</v>
      </c>
      <c r="E4515">
        <v>-1087085970</v>
      </c>
      <c r="F4515">
        <v>-592930308</v>
      </c>
      <c r="G4515">
        <v>-20533122</v>
      </c>
      <c r="H4515">
        <v>-71976082</v>
      </c>
      <c r="I4515">
        <v>107464551</v>
      </c>
      <c r="J4515">
        <v>47790185</v>
      </c>
      <c r="K4515">
        <v>83299832</v>
      </c>
      <c r="L4515">
        <v>-106538943</v>
      </c>
      <c r="M4515">
        <v>-148442295</v>
      </c>
      <c r="N4515">
        <v>-23279688</v>
      </c>
      <c r="O4515">
        <v>-93418743</v>
      </c>
      <c r="P4515">
        <v>227</v>
      </c>
      <c r="Q4515" t="s">
        <v>9077</v>
      </c>
    </row>
    <row r="4516" spans="1:17" x14ac:dyDescent="0.3">
      <c r="A4516" t="s">
        <v>17</v>
      </c>
      <c r="B4516" t="str">
        <f>"688009"</f>
        <v>688009</v>
      </c>
      <c r="C4516" t="s">
        <v>9078</v>
      </c>
      <c r="D4516" t="s">
        <v>135</v>
      </c>
      <c r="E4516">
        <v>-1093247398</v>
      </c>
      <c r="F4516">
        <v>-1457605396</v>
      </c>
      <c r="G4516">
        <v>-1699344356</v>
      </c>
      <c r="H4516">
        <v>-1265347652</v>
      </c>
      <c r="I4516">
        <v>-545461275</v>
      </c>
      <c r="P4516">
        <v>201</v>
      </c>
      <c r="Q4516" t="s">
        <v>9079</v>
      </c>
    </row>
    <row r="4517" spans="1:17" x14ac:dyDescent="0.3">
      <c r="A4517" t="s">
        <v>32</v>
      </c>
      <c r="B4517" t="str">
        <f>"000581"</f>
        <v>000581</v>
      </c>
      <c r="C4517" t="s">
        <v>9080</v>
      </c>
      <c r="D4517" t="s">
        <v>199</v>
      </c>
      <c r="E4517">
        <v>-1093326059</v>
      </c>
      <c r="F4517">
        <v>-354581251</v>
      </c>
      <c r="G4517">
        <v>170265446</v>
      </c>
      <c r="H4517">
        <v>115980292</v>
      </c>
      <c r="I4517">
        <v>-85044583</v>
      </c>
      <c r="J4517">
        <v>8450386</v>
      </c>
      <c r="K4517">
        <v>-86378049</v>
      </c>
      <c r="L4517">
        <v>-48697879</v>
      </c>
      <c r="M4517">
        <v>-55401605</v>
      </c>
      <c r="N4517">
        <v>43682509</v>
      </c>
      <c r="O4517">
        <v>101425371</v>
      </c>
      <c r="P4517">
        <v>1711</v>
      </c>
      <c r="Q4517" t="s">
        <v>9081</v>
      </c>
    </row>
    <row r="4518" spans="1:17" x14ac:dyDescent="0.3">
      <c r="A4518" t="s">
        <v>32</v>
      </c>
      <c r="B4518" t="str">
        <f>"300428"</f>
        <v>300428</v>
      </c>
      <c r="C4518" t="s">
        <v>9082</v>
      </c>
      <c r="D4518" t="s">
        <v>199</v>
      </c>
      <c r="E4518">
        <v>-1095254966</v>
      </c>
      <c r="F4518">
        <v>-516276558</v>
      </c>
      <c r="G4518">
        <v>26986346</v>
      </c>
      <c r="H4518">
        <v>-36093701</v>
      </c>
      <c r="I4518">
        <v>-73615385</v>
      </c>
      <c r="J4518">
        <v>-22078744</v>
      </c>
      <c r="K4518">
        <v>-37478407</v>
      </c>
      <c r="L4518">
        <v>-31564297</v>
      </c>
      <c r="M4518">
        <v>-31619194</v>
      </c>
      <c r="P4518">
        <v>172</v>
      </c>
      <c r="Q4518" t="s">
        <v>9083</v>
      </c>
    </row>
    <row r="4519" spans="1:17" x14ac:dyDescent="0.3">
      <c r="A4519" t="s">
        <v>17</v>
      </c>
      <c r="B4519" t="str">
        <f>"603501"</f>
        <v>603501</v>
      </c>
      <c r="C4519" t="s">
        <v>9084</v>
      </c>
      <c r="D4519" t="s">
        <v>124</v>
      </c>
      <c r="E4519">
        <v>-1095819001</v>
      </c>
      <c r="F4519">
        <v>299221762</v>
      </c>
      <c r="G4519">
        <v>-309511132</v>
      </c>
      <c r="H4519">
        <v>-68433077</v>
      </c>
      <c r="I4519">
        <v>-198521120</v>
      </c>
      <c r="J4519">
        <v>64872704</v>
      </c>
      <c r="K4519">
        <v>227481</v>
      </c>
      <c r="P4519">
        <v>2200</v>
      </c>
      <c r="Q4519" t="s">
        <v>9085</v>
      </c>
    </row>
    <row r="4520" spans="1:17" x14ac:dyDescent="0.3">
      <c r="A4520" t="s">
        <v>17</v>
      </c>
      <c r="B4520" t="str">
        <f>"600491"</f>
        <v>600491</v>
      </c>
      <c r="C4520" t="s">
        <v>9086</v>
      </c>
      <c r="D4520" t="s">
        <v>645</v>
      </c>
      <c r="E4520">
        <v>-1100550787</v>
      </c>
      <c r="F4520">
        <v>-175216666</v>
      </c>
      <c r="G4520">
        <v>-153110431</v>
      </c>
      <c r="H4520">
        <v>-653322796</v>
      </c>
      <c r="I4520">
        <v>-936825625</v>
      </c>
      <c r="J4520">
        <v>-118621865</v>
      </c>
      <c r="K4520">
        <v>-533551478</v>
      </c>
      <c r="L4520">
        <v>-551453973</v>
      </c>
      <c r="M4520">
        <v>-412759261</v>
      </c>
      <c r="N4520">
        <v>-132439081</v>
      </c>
      <c r="O4520">
        <v>-233960365</v>
      </c>
      <c r="P4520">
        <v>116</v>
      </c>
      <c r="Q4520" t="s">
        <v>9087</v>
      </c>
    </row>
    <row r="4521" spans="1:17" x14ac:dyDescent="0.3">
      <c r="A4521" t="s">
        <v>17</v>
      </c>
      <c r="B4521" t="str">
        <f>"600973"</f>
        <v>600973</v>
      </c>
      <c r="C4521" t="s">
        <v>9088</v>
      </c>
      <c r="D4521" t="s">
        <v>464</v>
      </c>
      <c r="E4521">
        <v>-1108083128</v>
      </c>
      <c r="F4521">
        <v>-1596007321</v>
      </c>
      <c r="G4521">
        <v>-1144818768</v>
      </c>
      <c r="H4521">
        <v>529210913</v>
      </c>
      <c r="I4521">
        <v>-994780363</v>
      </c>
      <c r="J4521">
        <v>-1951407791</v>
      </c>
      <c r="K4521">
        <v>-549846406</v>
      </c>
      <c r="L4521">
        <v>-445207043</v>
      </c>
      <c r="M4521">
        <v>-192192241</v>
      </c>
      <c r="N4521">
        <v>-371862221</v>
      </c>
      <c r="O4521">
        <v>-93933338</v>
      </c>
      <c r="P4521">
        <v>116</v>
      </c>
      <c r="Q4521" t="s">
        <v>9089</v>
      </c>
    </row>
    <row r="4522" spans="1:17" x14ac:dyDescent="0.3">
      <c r="A4522" t="s">
        <v>32</v>
      </c>
      <c r="B4522" t="str">
        <f>"002999"</f>
        <v>002999</v>
      </c>
      <c r="C4522" t="s">
        <v>9090</v>
      </c>
      <c r="D4522" t="s">
        <v>144</v>
      </c>
      <c r="E4522">
        <v>-1110223216</v>
      </c>
      <c r="F4522">
        <v>-940140549</v>
      </c>
      <c r="G4522">
        <v>-262512065</v>
      </c>
      <c r="P4522">
        <v>45</v>
      </c>
      <c r="Q4522" t="s">
        <v>9091</v>
      </c>
    </row>
    <row r="4523" spans="1:17" x14ac:dyDescent="0.3">
      <c r="A4523" t="s">
        <v>17</v>
      </c>
      <c r="B4523" t="str">
        <f>"603260"</f>
        <v>603260</v>
      </c>
      <c r="C4523" t="s">
        <v>9092</v>
      </c>
      <c r="D4523" t="s">
        <v>144</v>
      </c>
      <c r="E4523">
        <v>-1117416725</v>
      </c>
      <c r="F4523">
        <v>-60396347</v>
      </c>
      <c r="G4523">
        <v>87725347</v>
      </c>
      <c r="H4523">
        <v>-270038778</v>
      </c>
      <c r="I4523">
        <v>-749880327</v>
      </c>
      <c r="J4523">
        <v>194512282</v>
      </c>
      <c r="P4523">
        <v>700</v>
      </c>
      <c r="Q4523" t="s">
        <v>9093</v>
      </c>
    </row>
    <row r="4524" spans="1:17" x14ac:dyDescent="0.3">
      <c r="A4524" t="s">
        <v>17</v>
      </c>
      <c r="B4524" t="str">
        <f>"600515"</f>
        <v>600515</v>
      </c>
      <c r="C4524" t="s">
        <v>9094</v>
      </c>
      <c r="D4524" t="s">
        <v>151</v>
      </c>
      <c r="E4524">
        <v>-1118064708</v>
      </c>
      <c r="F4524">
        <v>256523273</v>
      </c>
      <c r="G4524">
        <v>229568415</v>
      </c>
      <c r="H4524">
        <v>1717056064</v>
      </c>
      <c r="I4524">
        <v>1484752081</v>
      </c>
      <c r="J4524">
        <v>-363178641</v>
      </c>
      <c r="K4524">
        <v>-53511243</v>
      </c>
      <c r="L4524">
        <v>56433976</v>
      </c>
      <c r="M4524">
        <v>106793696</v>
      </c>
      <c r="N4524">
        <v>12685602</v>
      </c>
      <c r="O4524">
        <v>-19097005</v>
      </c>
      <c r="P4524">
        <v>163</v>
      </c>
      <c r="Q4524" t="s">
        <v>9095</v>
      </c>
    </row>
    <row r="4525" spans="1:17" x14ac:dyDescent="0.3">
      <c r="A4525" t="s">
        <v>17</v>
      </c>
      <c r="B4525" t="str">
        <f>"601099"</f>
        <v>601099</v>
      </c>
      <c r="C4525" t="s">
        <v>9096</v>
      </c>
      <c r="D4525" t="s">
        <v>26</v>
      </c>
      <c r="E4525">
        <v>-1122906907</v>
      </c>
      <c r="F4525">
        <v>-370385965</v>
      </c>
      <c r="G4525">
        <v>1072702957</v>
      </c>
      <c r="H4525">
        <v>2004586105</v>
      </c>
      <c r="I4525">
        <v>-185752988</v>
      </c>
      <c r="J4525">
        <v>2773679522</v>
      </c>
      <c r="K4525">
        <v>-2029846963</v>
      </c>
      <c r="L4525">
        <v>944335867</v>
      </c>
      <c r="M4525">
        <v>7364965</v>
      </c>
      <c r="N4525">
        <v>155212552</v>
      </c>
      <c r="O4525">
        <v>-369096902</v>
      </c>
      <c r="P4525">
        <v>738</v>
      </c>
      <c r="Q4525" t="s">
        <v>9097</v>
      </c>
    </row>
    <row r="4526" spans="1:17" x14ac:dyDescent="0.3">
      <c r="A4526" t="s">
        <v>17</v>
      </c>
      <c r="B4526" t="str">
        <f>"600871"</f>
        <v>600871</v>
      </c>
      <c r="C4526" t="s">
        <v>9098</v>
      </c>
      <c r="D4526" t="s">
        <v>64</v>
      </c>
      <c r="E4526">
        <v>-1127220000</v>
      </c>
      <c r="F4526">
        <v>-432407000</v>
      </c>
      <c r="G4526">
        <v>-1334001000</v>
      </c>
      <c r="H4526">
        <v>-1204183000</v>
      </c>
      <c r="I4526">
        <v>-2079304000</v>
      </c>
      <c r="J4526">
        <v>-1410436000</v>
      </c>
      <c r="K4526">
        <v>-2060728000</v>
      </c>
      <c r="L4526">
        <v>-1819966000</v>
      </c>
      <c r="M4526">
        <v>158981000</v>
      </c>
      <c r="N4526">
        <v>-603382000</v>
      </c>
      <c r="O4526">
        <v>-659879000</v>
      </c>
      <c r="P4526">
        <v>172</v>
      </c>
      <c r="Q4526" t="s">
        <v>9099</v>
      </c>
    </row>
    <row r="4527" spans="1:17" x14ac:dyDescent="0.3">
      <c r="A4527" t="s">
        <v>32</v>
      </c>
      <c r="B4527" t="str">
        <f>"300244"</f>
        <v>300244</v>
      </c>
      <c r="C4527" t="s">
        <v>9100</v>
      </c>
      <c r="D4527" t="s">
        <v>98</v>
      </c>
      <c r="E4527">
        <v>-1127524962</v>
      </c>
      <c r="F4527">
        <v>-499697160</v>
      </c>
      <c r="G4527">
        <v>-375239514</v>
      </c>
      <c r="H4527">
        <v>-403013643</v>
      </c>
      <c r="I4527">
        <v>-388489550</v>
      </c>
      <c r="J4527">
        <v>-270477079</v>
      </c>
      <c r="K4527">
        <v>-160356137</v>
      </c>
      <c r="L4527">
        <v>-133791024</v>
      </c>
      <c r="M4527">
        <v>-38601030</v>
      </c>
      <c r="N4527">
        <v>-49491424</v>
      </c>
      <c r="O4527">
        <v>-79626815</v>
      </c>
      <c r="P4527">
        <v>1268</v>
      </c>
      <c r="Q4527" t="s">
        <v>9101</v>
      </c>
    </row>
    <row r="4528" spans="1:17" x14ac:dyDescent="0.3">
      <c r="A4528" t="s">
        <v>32</v>
      </c>
      <c r="B4528" t="str">
        <f>"000521"</f>
        <v>000521</v>
      </c>
      <c r="C4528" t="s">
        <v>9102</v>
      </c>
      <c r="D4528" t="s">
        <v>127</v>
      </c>
      <c r="E4528">
        <v>-1127910618</v>
      </c>
      <c r="F4528">
        <v>-1054569871</v>
      </c>
      <c r="G4528">
        <v>-1068838462</v>
      </c>
      <c r="H4528">
        <v>-1058728408</v>
      </c>
      <c r="I4528">
        <v>-879940553</v>
      </c>
      <c r="J4528">
        <v>485218909</v>
      </c>
      <c r="K4528">
        <v>103466086</v>
      </c>
      <c r="L4528">
        <v>-162407952</v>
      </c>
      <c r="M4528">
        <v>-295294119</v>
      </c>
      <c r="N4528">
        <v>-126920718</v>
      </c>
      <c r="O4528">
        <v>-181629759</v>
      </c>
      <c r="P4528">
        <v>181</v>
      </c>
      <c r="Q4528" t="s">
        <v>9103</v>
      </c>
    </row>
    <row r="4529" spans="1:17" x14ac:dyDescent="0.3">
      <c r="A4529" t="s">
        <v>17</v>
      </c>
      <c r="B4529" t="str">
        <f>"601139"</f>
        <v>601139</v>
      </c>
      <c r="C4529" t="s">
        <v>9104</v>
      </c>
      <c r="D4529" t="s">
        <v>158</v>
      </c>
      <c r="E4529">
        <v>-1141803189</v>
      </c>
      <c r="F4529">
        <v>-162102915</v>
      </c>
      <c r="G4529">
        <v>-180777906</v>
      </c>
      <c r="H4529">
        <v>-161456696</v>
      </c>
      <c r="I4529">
        <v>-71619449</v>
      </c>
      <c r="J4529">
        <v>-279600286</v>
      </c>
      <c r="K4529">
        <v>-212803790</v>
      </c>
      <c r="L4529">
        <v>-519901558</v>
      </c>
      <c r="M4529">
        <v>-117695248</v>
      </c>
      <c r="N4529">
        <v>42398121</v>
      </c>
      <c r="O4529">
        <v>-316248288</v>
      </c>
      <c r="P4529">
        <v>475</v>
      </c>
      <c r="Q4529" t="s">
        <v>9105</v>
      </c>
    </row>
    <row r="4530" spans="1:17" x14ac:dyDescent="0.3">
      <c r="A4530" t="s">
        <v>17</v>
      </c>
      <c r="B4530" t="str">
        <f>"600821"</f>
        <v>600821</v>
      </c>
      <c r="C4530" t="s">
        <v>9106</v>
      </c>
      <c r="D4530" t="s">
        <v>218</v>
      </c>
      <c r="E4530">
        <v>-1143490900</v>
      </c>
      <c r="F4530">
        <v>-123140056</v>
      </c>
      <c r="G4530">
        <v>-13906660</v>
      </c>
      <c r="H4530">
        <v>-20912585</v>
      </c>
      <c r="I4530">
        <v>3573999</v>
      </c>
      <c r="J4530">
        <v>-44563132</v>
      </c>
      <c r="K4530">
        <v>14504964</v>
      </c>
      <c r="L4530">
        <v>-29176915</v>
      </c>
      <c r="M4530">
        <v>29733755</v>
      </c>
      <c r="N4530">
        <v>51250570</v>
      </c>
      <c r="O4530">
        <v>-100318253</v>
      </c>
      <c r="P4530">
        <v>126</v>
      </c>
      <c r="Q4530" t="s">
        <v>9107</v>
      </c>
    </row>
    <row r="4531" spans="1:17" x14ac:dyDescent="0.3">
      <c r="A4531" t="s">
        <v>32</v>
      </c>
      <c r="B4531" t="str">
        <f>"000727"</f>
        <v>000727</v>
      </c>
      <c r="C4531" t="s">
        <v>9108</v>
      </c>
      <c r="D4531" t="s">
        <v>124</v>
      </c>
      <c r="E4531">
        <v>-1143923106</v>
      </c>
      <c r="F4531">
        <v>-1217108067</v>
      </c>
      <c r="G4531">
        <v>-72805616</v>
      </c>
      <c r="H4531">
        <v>313860900</v>
      </c>
      <c r="I4531">
        <v>-209139429</v>
      </c>
      <c r="J4531">
        <v>-1192256741</v>
      </c>
      <c r="K4531">
        <v>-1475856215</v>
      </c>
      <c r="L4531">
        <v>-4807019638</v>
      </c>
      <c r="M4531">
        <v>-17638007</v>
      </c>
      <c r="N4531">
        <v>-17770813</v>
      </c>
      <c r="O4531">
        <v>59926549</v>
      </c>
      <c r="P4531">
        <v>197</v>
      </c>
      <c r="Q4531" t="s">
        <v>9109</v>
      </c>
    </row>
    <row r="4532" spans="1:17" x14ac:dyDescent="0.3">
      <c r="A4532" t="s">
        <v>17</v>
      </c>
      <c r="B4532" t="str">
        <f>"688223"</f>
        <v>688223</v>
      </c>
      <c r="C4532" t="s">
        <v>9110</v>
      </c>
      <c r="D4532" t="s">
        <v>124</v>
      </c>
      <c r="E4532">
        <v>-1144217752</v>
      </c>
      <c r="P4532">
        <v>29</v>
      </c>
      <c r="Q4532" t="s">
        <v>9111</v>
      </c>
    </row>
    <row r="4533" spans="1:17" x14ac:dyDescent="0.3">
      <c r="A4533" t="s">
        <v>17</v>
      </c>
      <c r="B4533" t="str">
        <f>"603927"</f>
        <v>603927</v>
      </c>
      <c r="C4533" t="s">
        <v>9112</v>
      </c>
      <c r="D4533" t="s">
        <v>342</v>
      </c>
      <c r="E4533">
        <v>-1145552586</v>
      </c>
      <c r="F4533">
        <v>-1028360339</v>
      </c>
      <c r="G4533">
        <v>-809858291</v>
      </c>
      <c r="H4533">
        <v>-937111624</v>
      </c>
      <c r="I4533">
        <v>-746683180</v>
      </c>
      <c r="P4533">
        <v>823</v>
      </c>
      <c r="Q4533" t="s">
        <v>9113</v>
      </c>
    </row>
    <row r="4534" spans="1:17" x14ac:dyDescent="0.3">
      <c r="A4534" t="s">
        <v>17</v>
      </c>
      <c r="B4534" t="str">
        <f>"600415"</f>
        <v>600415</v>
      </c>
      <c r="C4534" t="s">
        <v>9114</v>
      </c>
      <c r="D4534" t="s">
        <v>218</v>
      </c>
      <c r="E4534">
        <v>-1146668203</v>
      </c>
      <c r="F4534">
        <v>-829343923</v>
      </c>
      <c r="G4534">
        <v>-755501259</v>
      </c>
      <c r="H4534">
        <v>-2402724640</v>
      </c>
      <c r="I4534">
        <v>-794340777</v>
      </c>
      <c r="J4534">
        <v>-926045147</v>
      </c>
      <c r="K4534">
        <v>-649786477</v>
      </c>
      <c r="L4534">
        <v>-595569126</v>
      </c>
      <c r="M4534">
        <v>-709127274</v>
      </c>
      <c r="N4534">
        <v>-1390749810</v>
      </c>
      <c r="O4534">
        <v>-560859644</v>
      </c>
      <c r="P4534">
        <v>327</v>
      </c>
      <c r="Q4534" t="s">
        <v>9115</v>
      </c>
    </row>
    <row r="4535" spans="1:17" x14ac:dyDescent="0.3">
      <c r="A4535" t="s">
        <v>17</v>
      </c>
      <c r="B4535" t="str">
        <f>"600570"</f>
        <v>600570</v>
      </c>
      <c r="C4535" t="s">
        <v>9116</v>
      </c>
      <c r="D4535" t="s">
        <v>342</v>
      </c>
      <c r="E4535">
        <v>-1170275869</v>
      </c>
      <c r="F4535">
        <v>-938489645</v>
      </c>
      <c r="G4535">
        <v>-801747114</v>
      </c>
      <c r="H4535">
        <v>-656360628</v>
      </c>
      <c r="I4535">
        <v>-577687784</v>
      </c>
      <c r="J4535">
        <v>-434419902</v>
      </c>
      <c r="K4535">
        <v>-350623421</v>
      </c>
      <c r="L4535">
        <v>-41827054</v>
      </c>
      <c r="M4535">
        <v>-230905690</v>
      </c>
      <c r="N4535">
        <v>-159218768</v>
      </c>
      <c r="O4535">
        <v>-138949962</v>
      </c>
      <c r="P4535">
        <v>2780</v>
      </c>
      <c r="Q4535" t="s">
        <v>9117</v>
      </c>
    </row>
    <row r="4536" spans="1:17" x14ac:dyDescent="0.3">
      <c r="A4536" t="s">
        <v>32</v>
      </c>
      <c r="B4536" t="str">
        <f>"300737"</f>
        <v>300737</v>
      </c>
      <c r="C4536" t="s">
        <v>9118</v>
      </c>
      <c r="D4536" t="s">
        <v>400</v>
      </c>
      <c r="E4536">
        <v>-1176457362</v>
      </c>
      <c r="F4536">
        <v>-383137127</v>
      </c>
      <c r="G4536">
        <v>-339174178</v>
      </c>
      <c r="H4536">
        <v>-466741990</v>
      </c>
      <c r="I4536">
        <v>-129482719</v>
      </c>
      <c r="J4536">
        <v>-175202882</v>
      </c>
      <c r="P4536">
        <v>459</v>
      </c>
      <c r="Q4536" t="s">
        <v>9119</v>
      </c>
    </row>
    <row r="4537" spans="1:17" x14ac:dyDescent="0.3">
      <c r="A4537" t="s">
        <v>32</v>
      </c>
      <c r="B4537" t="str">
        <f>"002185"</f>
        <v>002185</v>
      </c>
      <c r="C4537" t="s">
        <v>9120</v>
      </c>
      <c r="D4537" t="s">
        <v>124</v>
      </c>
      <c r="E4537">
        <v>-1177963850</v>
      </c>
      <c r="F4537">
        <v>-440727660</v>
      </c>
      <c r="G4537">
        <v>-394968605</v>
      </c>
      <c r="H4537">
        <v>-164894283</v>
      </c>
      <c r="I4537">
        <v>-375593270</v>
      </c>
      <c r="J4537">
        <v>-317928223</v>
      </c>
      <c r="K4537">
        <v>-244822014</v>
      </c>
      <c r="L4537">
        <v>-109945068</v>
      </c>
      <c r="M4537">
        <v>-85239276</v>
      </c>
      <c r="N4537">
        <v>-62197837</v>
      </c>
      <c r="O4537">
        <v>-49149548</v>
      </c>
      <c r="P4537">
        <v>1176</v>
      </c>
      <c r="Q4537" t="s">
        <v>9121</v>
      </c>
    </row>
    <row r="4538" spans="1:17" x14ac:dyDescent="0.3">
      <c r="A4538" t="s">
        <v>32</v>
      </c>
      <c r="B4538" t="str">
        <f>"000932"</f>
        <v>000932</v>
      </c>
      <c r="C4538" t="s">
        <v>9122</v>
      </c>
      <c r="D4538" t="s">
        <v>163</v>
      </c>
      <c r="E4538">
        <v>-1179589750</v>
      </c>
      <c r="F4538">
        <v>-4346045403</v>
      </c>
      <c r="G4538">
        <v>-1049350312</v>
      </c>
      <c r="H4538">
        <v>-736514355</v>
      </c>
      <c r="I4538">
        <v>1047529709</v>
      </c>
      <c r="J4538">
        <v>636797260</v>
      </c>
      <c r="K4538">
        <v>-134668983</v>
      </c>
      <c r="L4538">
        <v>406627858</v>
      </c>
      <c r="M4538">
        <v>1228259228</v>
      </c>
      <c r="N4538">
        <v>718963300</v>
      </c>
      <c r="O4538">
        <v>823703523</v>
      </c>
      <c r="P4538">
        <v>1040</v>
      </c>
      <c r="Q4538" t="s">
        <v>9123</v>
      </c>
    </row>
    <row r="4539" spans="1:17" x14ac:dyDescent="0.3">
      <c r="A4539" t="s">
        <v>17</v>
      </c>
      <c r="B4539" t="str">
        <f>"601375"</f>
        <v>601375</v>
      </c>
      <c r="C4539" t="s">
        <v>9124</v>
      </c>
      <c r="D4539" t="s">
        <v>26</v>
      </c>
      <c r="E4539">
        <v>-1186846590</v>
      </c>
      <c r="F4539">
        <v>69914407</v>
      </c>
      <c r="G4539">
        <v>1165249540</v>
      </c>
      <c r="H4539">
        <v>3396279350</v>
      </c>
      <c r="I4539">
        <v>-405133813</v>
      </c>
      <c r="J4539">
        <v>-2430196937</v>
      </c>
      <c r="K4539">
        <v>552951991</v>
      </c>
      <c r="P4539">
        <v>690</v>
      </c>
      <c r="Q4539" t="s">
        <v>9125</v>
      </c>
    </row>
    <row r="4540" spans="1:17" x14ac:dyDescent="0.3">
      <c r="A4540" t="s">
        <v>32</v>
      </c>
      <c r="B4540" t="str">
        <f>"000401"</f>
        <v>000401</v>
      </c>
      <c r="C4540" t="s">
        <v>9126</v>
      </c>
      <c r="D4540" t="s">
        <v>400</v>
      </c>
      <c r="E4540">
        <v>-1187967994</v>
      </c>
      <c r="F4540">
        <v>8216591</v>
      </c>
      <c r="G4540">
        <v>-489375594</v>
      </c>
      <c r="H4540">
        <v>124416968</v>
      </c>
      <c r="I4540">
        <v>120732670</v>
      </c>
      <c r="J4540">
        <v>-195769612</v>
      </c>
      <c r="K4540">
        <v>-431637211</v>
      </c>
      <c r="L4540">
        <v>-76526600</v>
      </c>
      <c r="M4540">
        <v>40930009</v>
      </c>
      <c r="N4540">
        <v>-405800696</v>
      </c>
      <c r="O4540">
        <v>-1535375808</v>
      </c>
      <c r="P4540">
        <v>826</v>
      </c>
      <c r="Q4540" t="s">
        <v>9127</v>
      </c>
    </row>
    <row r="4541" spans="1:17" x14ac:dyDescent="0.3">
      <c r="A4541" t="s">
        <v>32</v>
      </c>
      <c r="B4541" t="str">
        <f>"000600"</f>
        <v>000600</v>
      </c>
      <c r="C4541" t="s">
        <v>9128</v>
      </c>
      <c r="D4541" t="s">
        <v>158</v>
      </c>
      <c r="E4541">
        <v>-1190620973</v>
      </c>
      <c r="F4541">
        <v>132951043</v>
      </c>
      <c r="G4541">
        <v>252018074</v>
      </c>
      <c r="H4541">
        <v>217840222</v>
      </c>
      <c r="I4541">
        <v>260621735</v>
      </c>
      <c r="J4541">
        <v>-631199291</v>
      </c>
      <c r="K4541">
        <v>371594790</v>
      </c>
      <c r="L4541">
        <v>-112344638</v>
      </c>
      <c r="M4541">
        <v>528929839</v>
      </c>
      <c r="N4541">
        <v>123688036</v>
      </c>
      <c r="O4541">
        <v>-389039285</v>
      </c>
      <c r="P4541">
        <v>312</v>
      </c>
      <c r="Q4541" t="s">
        <v>9129</v>
      </c>
    </row>
    <row r="4542" spans="1:17" x14ac:dyDescent="0.3">
      <c r="A4542" t="s">
        <v>17</v>
      </c>
      <c r="B4542" t="str">
        <f>"600901"</f>
        <v>600901</v>
      </c>
      <c r="C4542" t="s">
        <v>9130</v>
      </c>
      <c r="D4542" t="s">
        <v>26</v>
      </c>
      <c r="E4542">
        <v>-1199182746</v>
      </c>
      <c r="F4542">
        <v>1684094093</v>
      </c>
      <c r="G4542">
        <v>-649014179</v>
      </c>
      <c r="H4542">
        <v>-266638411</v>
      </c>
      <c r="I4542">
        <v>-4453753903</v>
      </c>
      <c r="J4542">
        <v>-1156618253</v>
      </c>
      <c r="P4542">
        <v>475</v>
      </c>
      <c r="Q4542" t="s">
        <v>9131</v>
      </c>
    </row>
    <row r="4543" spans="1:17" x14ac:dyDescent="0.3">
      <c r="A4543" t="s">
        <v>32</v>
      </c>
      <c r="B4543" t="str">
        <f>"000626"</f>
        <v>000626</v>
      </c>
      <c r="C4543" t="s">
        <v>9132</v>
      </c>
      <c r="D4543" t="s">
        <v>46</v>
      </c>
      <c r="E4543">
        <v>-1205057522</v>
      </c>
      <c r="F4543">
        <v>-223206804</v>
      </c>
      <c r="G4543">
        <v>-108233456</v>
      </c>
      <c r="H4543">
        <v>-255121880</v>
      </c>
      <c r="I4543">
        <v>-1317862116</v>
      </c>
      <c r="J4543">
        <v>-607392401</v>
      </c>
      <c r="K4543">
        <v>-356293976</v>
      </c>
      <c r="L4543">
        <v>-580060552</v>
      </c>
      <c r="M4543">
        <v>-974105734</v>
      </c>
      <c r="N4543">
        <v>-386250660</v>
      </c>
      <c r="O4543">
        <v>-210158512</v>
      </c>
      <c r="P4543">
        <v>125</v>
      </c>
      <c r="Q4543" t="s">
        <v>9133</v>
      </c>
    </row>
    <row r="4544" spans="1:17" x14ac:dyDescent="0.3">
      <c r="A4544" t="s">
        <v>17</v>
      </c>
      <c r="B4544" t="str">
        <f>"600835"</f>
        <v>600835</v>
      </c>
      <c r="C4544" t="s">
        <v>9134</v>
      </c>
      <c r="D4544" t="s">
        <v>135</v>
      </c>
      <c r="E4544">
        <v>-1205971215</v>
      </c>
      <c r="F4544">
        <v>-1521537260</v>
      </c>
      <c r="G4544">
        <v>-1839257752</v>
      </c>
      <c r="H4544">
        <v>-1643595324</v>
      </c>
      <c r="I4544">
        <v>-1251925592</v>
      </c>
      <c r="J4544">
        <v>-302219015</v>
      </c>
      <c r="K4544">
        <v>-8073360</v>
      </c>
      <c r="L4544">
        <v>-230486432</v>
      </c>
      <c r="M4544">
        <v>-119330780</v>
      </c>
      <c r="N4544">
        <v>-698113627</v>
      </c>
      <c r="O4544">
        <v>-153739403</v>
      </c>
      <c r="P4544">
        <v>661</v>
      </c>
      <c r="Q4544" t="s">
        <v>9135</v>
      </c>
    </row>
    <row r="4545" spans="1:17" x14ac:dyDescent="0.3">
      <c r="A4545" t="s">
        <v>32</v>
      </c>
      <c r="B4545" t="str">
        <f>"000156"</f>
        <v>000156</v>
      </c>
      <c r="C4545" t="s">
        <v>9136</v>
      </c>
      <c r="D4545" t="s">
        <v>245</v>
      </c>
      <c r="E4545">
        <v>-1209241864</v>
      </c>
      <c r="F4545">
        <v>-525204271</v>
      </c>
      <c r="G4545">
        <v>-335523415</v>
      </c>
      <c r="H4545">
        <v>-112580815</v>
      </c>
      <c r="I4545">
        <v>-137815707</v>
      </c>
      <c r="J4545">
        <v>-215927418</v>
      </c>
      <c r="K4545">
        <v>-156565728</v>
      </c>
      <c r="L4545">
        <v>-107945352</v>
      </c>
      <c r="M4545">
        <v>-42339388</v>
      </c>
      <c r="N4545">
        <v>-38712056</v>
      </c>
      <c r="O4545">
        <v>-6276290</v>
      </c>
      <c r="P4545">
        <v>309</v>
      </c>
      <c r="Q4545" t="s">
        <v>9137</v>
      </c>
    </row>
    <row r="4546" spans="1:17" x14ac:dyDescent="0.3">
      <c r="A4546" t="s">
        <v>32</v>
      </c>
      <c r="B4546" t="str">
        <f>"000042"</f>
        <v>000042</v>
      </c>
      <c r="C4546" t="s">
        <v>9138</v>
      </c>
      <c r="D4546" t="s">
        <v>151</v>
      </c>
      <c r="E4546">
        <v>-1210341028</v>
      </c>
      <c r="F4546">
        <v>-108890911</v>
      </c>
      <c r="G4546">
        <v>624201776</v>
      </c>
      <c r="H4546">
        <v>-33578643</v>
      </c>
      <c r="I4546">
        <v>-261138624</v>
      </c>
      <c r="J4546">
        <v>207568828</v>
      </c>
      <c r="K4546">
        <v>-982256836</v>
      </c>
      <c r="L4546">
        <v>-636136542</v>
      </c>
      <c r="M4546">
        <v>-185626256</v>
      </c>
      <c r="N4546">
        <v>9043537</v>
      </c>
      <c r="O4546">
        <v>-281960905</v>
      </c>
      <c r="P4546">
        <v>121</v>
      </c>
      <c r="Q4546" t="s">
        <v>9139</v>
      </c>
    </row>
    <row r="4547" spans="1:17" x14ac:dyDescent="0.3">
      <c r="A4547" t="s">
        <v>32</v>
      </c>
      <c r="B4547" t="str">
        <f>"000903"</f>
        <v>000903</v>
      </c>
      <c r="C4547" t="s">
        <v>9140</v>
      </c>
      <c r="D4547" t="s">
        <v>199</v>
      </c>
      <c r="E4547">
        <v>-1214350862</v>
      </c>
      <c r="F4547">
        <v>-468412412</v>
      </c>
      <c r="G4547">
        <v>144198697</v>
      </c>
      <c r="H4547">
        <v>405719358</v>
      </c>
      <c r="I4547">
        <v>-481882315</v>
      </c>
      <c r="J4547">
        <v>-236545010</v>
      </c>
      <c r="K4547">
        <v>30608996</v>
      </c>
      <c r="L4547">
        <v>-28797945</v>
      </c>
      <c r="M4547">
        <v>13171282</v>
      </c>
      <c r="N4547">
        <v>137037823</v>
      </c>
      <c r="O4547">
        <v>-149677749</v>
      </c>
      <c r="P4547">
        <v>155</v>
      </c>
      <c r="Q4547" t="s">
        <v>9141</v>
      </c>
    </row>
    <row r="4548" spans="1:17" x14ac:dyDescent="0.3">
      <c r="A4548" t="s">
        <v>17</v>
      </c>
      <c r="B4548" t="str">
        <f>"601901"</f>
        <v>601901</v>
      </c>
      <c r="C4548" t="s">
        <v>9142</v>
      </c>
      <c r="D4548" t="s">
        <v>26</v>
      </c>
      <c r="E4548">
        <v>-1218588532</v>
      </c>
      <c r="F4548">
        <v>1151026544</v>
      </c>
      <c r="G4548">
        <v>8677094505</v>
      </c>
      <c r="H4548">
        <v>19975072528</v>
      </c>
      <c r="I4548">
        <v>-1484085756</v>
      </c>
      <c r="J4548">
        <v>1962307845</v>
      </c>
      <c r="K4548">
        <v>-12872650340</v>
      </c>
      <c r="L4548">
        <v>5272957903</v>
      </c>
      <c r="M4548">
        <v>1457656842</v>
      </c>
      <c r="N4548">
        <v>1058107889</v>
      </c>
      <c r="O4548">
        <v>964407738</v>
      </c>
      <c r="P4548">
        <v>931</v>
      </c>
      <c r="Q4548" t="s">
        <v>9143</v>
      </c>
    </row>
    <row r="4549" spans="1:17" x14ac:dyDescent="0.3">
      <c r="A4549" t="s">
        <v>32</v>
      </c>
      <c r="B4549" t="str">
        <f>"002171"</f>
        <v>002171</v>
      </c>
      <c r="C4549" t="s">
        <v>9144</v>
      </c>
      <c r="D4549" t="s">
        <v>121</v>
      </c>
      <c r="E4549">
        <v>-1221813027</v>
      </c>
      <c r="F4549">
        <v>-981916495</v>
      </c>
      <c r="G4549">
        <v>-275127920</v>
      </c>
      <c r="H4549">
        <v>-419074306</v>
      </c>
      <c r="I4549">
        <v>-346400680</v>
      </c>
      <c r="J4549">
        <v>-207721934</v>
      </c>
      <c r="K4549">
        <v>-82406451</v>
      </c>
      <c r="L4549">
        <v>-279352012</v>
      </c>
      <c r="M4549">
        <v>-104957525</v>
      </c>
      <c r="N4549">
        <v>-63299388</v>
      </c>
      <c r="O4549">
        <v>-114285007</v>
      </c>
      <c r="P4549">
        <v>237</v>
      </c>
      <c r="Q4549" t="s">
        <v>9145</v>
      </c>
    </row>
    <row r="4550" spans="1:17" x14ac:dyDescent="0.3">
      <c r="A4550" t="s">
        <v>32</v>
      </c>
      <c r="B4550" t="str">
        <f>"000158"</f>
        <v>000158</v>
      </c>
      <c r="C4550" t="s">
        <v>9146</v>
      </c>
      <c r="D4550" t="s">
        <v>342</v>
      </c>
      <c r="E4550">
        <v>-1223308104</v>
      </c>
      <c r="F4550">
        <v>-728721184</v>
      </c>
      <c r="G4550">
        <v>-520111532</v>
      </c>
      <c r="H4550">
        <v>-830312000</v>
      </c>
      <c r="I4550">
        <v>-1004428220</v>
      </c>
      <c r="J4550">
        <v>-556333325</v>
      </c>
      <c r="K4550">
        <v>-823283036</v>
      </c>
      <c r="L4550">
        <v>-50383427</v>
      </c>
      <c r="M4550">
        <v>-161882994</v>
      </c>
      <c r="N4550">
        <v>-190709197</v>
      </c>
      <c r="O4550">
        <v>-71565462</v>
      </c>
      <c r="P4550">
        <v>295</v>
      </c>
      <c r="Q4550" t="s">
        <v>9147</v>
      </c>
    </row>
    <row r="4551" spans="1:17" x14ac:dyDescent="0.3">
      <c r="A4551" t="s">
        <v>32</v>
      </c>
      <c r="B4551" t="str">
        <f>"000021"</f>
        <v>000021</v>
      </c>
      <c r="C4551" t="s">
        <v>9148</v>
      </c>
      <c r="D4551" t="s">
        <v>124</v>
      </c>
      <c r="E4551">
        <v>-1229040561</v>
      </c>
      <c r="F4551">
        <v>-569164426</v>
      </c>
      <c r="G4551">
        <v>-190326691</v>
      </c>
      <c r="H4551">
        <v>-224137630</v>
      </c>
      <c r="I4551">
        <v>-111174617</v>
      </c>
      <c r="J4551">
        <v>-105335417</v>
      </c>
      <c r="K4551">
        <v>-100851465</v>
      </c>
      <c r="L4551">
        <v>-486404793</v>
      </c>
      <c r="M4551">
        <v>46010654</v>
      </c>
      <c r="N4551">
        <v>-17933689</v>
      </c>
      <c r="O4551">
        <v>-14708277</v>
      </c>
      <c r="P4551">
        <v>442</v>
      </c>
      <c r="Q4551" t="s">
        <v>9149</v>
      </c>
    </row>
    <row r="4552" spans="1:17" x14ac:dyDescent="0.3">
      <c r="A4552" t="s">
        <v>32</v>
      </c>
      <c r="B4552" t="str">
        <f>"002396"</f>
        <v>002396</v>
      </c>
      <c r="C4552" t="s">
        <v>9150</v>
      </c>
      <c r="D4552" t="s">
        <v>57</v>
      </c>
      <c r="E4552">
        <v>-1230714828</v>
      </c>
      <c r="F4552">
        <v>-1182321363</v>
      </c>
      <c r="G4552">
        <v>-1593618918</v>
      </c>
      <c r="H4552">
        <v>-948828902</v>
      </c>
      <c r="I4552">
        <v>-745938499</v>
      </c>
      <c r="J4552">
        <v>-628159023</v>
      </c>
      <c r="K4552">
        <v>-577651264</v>
      </c>
      <c r="L4552">
        <v>-343799220</v>
      </c>
      <c r="M4552">
        <v>-336763409</v>
      </c>
      <c r="N4552">
        <v>-328621446</v>
      </c>
      <c r="O4552">
        <v>-219160161</v>
      </c>
      <c r="P4552">
        <v>3695</v>
      </c>
      <c r="Q4552" t="s">
        <v>9151</v>
      </c>
    </row>
    <row r="4553" spans="1:17" x14ac:dyDescent="0.3">
      <c r="A4553" t="s">
        <v>32</v>
      </c>
      <c r="B4553" t="str">
        <f>"002812"</f>
        <v>002812</v>
      </c>
      <c r="C4553" t="s">
        <v>9152</v>
      </c>
      <c r="D4553" t="s">
        <v>464</v>
      </c>
      <c r="E4553">
        <v>-1233899088</v>
      </c>
      <c r="F4553">
        <v>-283139271</v>
      </c>
      <c r="G4553">
        <v>-405457637</v>
      </c>
      <c r="H4553">
        <v>-359666454</v>
      </c>
      <c r="I4553">
        <v>-165766079</v>
      </c>
      <c r="J4553">
        <v>-50091290</v>
      </c>
      <c r="K4553">
        <v>-59456422</v>
      </c>
      <c r="P4553">
        <v>1586</v>
      </c>
      <c r="Q4553" t="s">
        <v>9153</v>
      </c>
    </row>
    <row r="4554" spans="1:17" x14ac:dyDescent="0.3">
      <c r="A4554" t="s">
        <v>32</v>
      </c>
      <c r="B4554" t="str">
        <f>"300772"</f>
        <v>300772</v>
      </c>
      <c r="C4554" t="s">
        <v>9154</v>
      </c>
      <c r="D4554" t="s">
        <v>464</v>
      </c>
      <c r="E4554">
        <v>-1237734308</v>
      </c>
      <c r="F4554">
        <v>-1135452841</v>
      </c>
      <c r="G4554">
        <v>77029008</v>
      </c>
      <c r="H4554">
        <v>-123448860</v>
      </c>
      <c r="I4554">
        <v>-291815380</v>
      </c>
      <c r="P4554">
        <v>178</v>
      </c>
      <c r="Q4554" t="s">
        <v>9155</v>
      </c>
    </row>
    <row r="4555" spans="1:17" x14ac:dyDescent="0.3">
      <c r="A4555" t="s">
        <v>17</v>
      </c>
      <c r="B4555" t="str">
        <f>"600623"</f>
        <v>600623</v>
      </c>
      <c r="C4555" t="s">
        <v>9156</v>
      </c>
      <c r="D4555" t="s">
        <v>144</v>
      </c>
      <c r="E4555">
        <v>-1239259688</v>
      </c>
      <c r="F4555">
        <v>-1045492707</v>
      </c>
      <c r="G4555">
        <v>-1034239302</v>
      </c>
      <c r="H4555">
        <v>-574982630</v>
      </c>
      <c r="I4555">
        <v>-1584759243</v>
      </c>
      <c r="J4555">
        <v>644895733</v>
      </c>
      <c r="K4555">
        <v>245827465</v>
      </c>
      <c r="L4555">
        <v>246211082</v>
      </c>
      <c r="M4555">
        <v>-442180906</v>
      </c>
      <c r="N4555">
        <v>-520547436</v>
      </c>
      <c r="O4555">
        <v>-421238588</v>
      </c>
      <c r="P4555">
        <v>241</v>
      </c>
      <c r="Q4555" t="s">
        <v>9157</v>
      </c>
    </row>
    <row r="4556" spans="1:17" x14ac:dyDescent="0.3">
      <c r="A4556" t="s">
        <v>17</v>
      </c>
      <c r="B4556" t="str">
        <f>"600588"</f>
        <v>600588</v>
      </c>
      <c r="C4556" t="s">
        <v>9158</v>
      </c>
      <c r="D4556" t="s">
        <v>342</v>
      </c>
      <c r="E4556">
        <v>-1251931977</v>
      </c>
      <c r="F4556">
        <v>-1008803573</v>
      </c>
      <c r="G4556">
        <v>-1056422365</v>
      </c>
      <c r="H4556">
        <v>-695214482</v>
      </c>
      <c r="I4556">
        <v>-587485857</v>
      </c>
      <c r="J4556">
        <v>-779534179</v>
      </c>
      <c r="K4556">
        <v>-606000972</v>
      </c>
      <c r="L4556">
        <v>-577463420</v>
      </c>
      <c r="M4556">
        <v>-577734067</v>
      </c>
      <c r="N4556">
        <v>-537088740</v>
      </c>
      <c r="O4556">
        <v>-445738666</v>
      </c>
      <c r="P4556">
        <v>4577</v>
      </c>
      <c r="Q4556" t="s">
        <v>9159</v>
      </c>
    </row>
    <row r="4557" spans="1:17" x14ac:dyDescent="0.3">
      <c r="A4557" t="s">
        <v>32</v>
      </c>
      <c r="B4557" t="str">
        <f>"300316"</f>
        <v>300316</v>
      </c>
      <c r="C4557" t="s">
        <v>9160</v>
      </c>
      <c r="D4557" t="s">
        <v>464</v>
      </c>
      <c r="E4557">
        <v>-1262296672</v>
      </c>
      <c r="F4557">
        <v>6507069</v>
      </c>
      <c r="G4557">
        <v>421558878</v>
      </c>
      <c r="H4557">
        <v>-137318673</v>
      </c>
      <c r="I4557">
        <v>-208870247</v>
      </c>
      <c r="J4557">
        <v>-135058500</v>
      </c>
      <c r="K4557">
        <v>-35421541</v>
      </c>
      <c r="L4557">
        <v>-79730857</v>
      </c>
      <c r="M4557">
        <v>-23357621</v>
      </c>
      <c r="N4557">
        <v>11981731</v>
      </c>
      <c r="O4557">
        <v>-18296266</v>
      </c>
      <c r="P4557">
        <v>1072</v>
      </c>
      <c r="Q4557" t="s">
        <v>9161</v>
      </c>
    </row>
    <row r="4558" spans="1:17" x14ac:dyDescent="0.3">
      <c r="A4558" t="s">
        <v>17</v>
      </c>
      <c r="B4558" t="str">
        <f>"603019"</f>
        <v>603019</v>
      </c>
      <c r="C4558" t="s">
        <v>9162</v>
      </c>
      <c r="D4558" t="s">
        <v>342</v>
      </c>
      <c r="E4558">
        <v>-1266896013</v>
      </c>
      <c r="F4558">
        <v>-396257499</v>
      </c>
      <c r="G4558">
        <v>-138733231</v>
      </c>
      <c r="H4558">
        <v>516183780</v>
      </c>
      <c r="I4558">
        <v>-311211452</v>
      </c>
      <c r="J4558">
        <v>-144880911</v>
      </c>
      <c r="K4558">
        <v>-352655844</v>
      </c>
      <c r="L4558">
        <v>-361098049</v>
      </c>
      <c r="M4558">
        <v>-254895751</v>
      </c>
      <c r="P4558">
        <v>1209</v>
      </c>
      <c r="Q4558" t="s">
        <v>9163</v>
      </c>
    </row>
    <row r="4559" spans="1:17" x14ac:dyDescent="0.3">
      <c r="A4559" t="s">
        <v>17</v>
      </c>
      <c r="B4559" t="str">
        <f>"600850"</f>
        <v>600850</v>
      </c>
      <c r="C4559" t="s">
        <v>9164</v>
      </c>
      <c r="D4559" t="s">
        <v>342</v>
      </c>
      <c r="E4559">
        <v>-1287052942</v>
      </c>
      <c r="F4559">
        <v>-726307571</v>
      </c>
      <c r="G4559">
        <v>-771729131</v>
      </c>
      <c r="H4559">
        <v>-411727280</v>
      </c>
      <c r="I4559">
        <v>-596819048</v>
      </c>
      <c r="J4559">
        <v>-353319138</v>
      </c>
      <c r="K4559">
        <v>-418975573</v>
      </c>
      <c r="L4559">
        <v>-134436304</v>
      </c>
      <c r="M4559">
        <v>-280612212</v>
      </c>
      <c r="N4559">
        <v>-277492911</v>
      </c>
      <c r="O4559">
        <v>-96585057</v>
      </c>
      <c r="P4559">
        <v>322</v>
      </c>
      <c r="Q4559" t="s">
        <v>9165</v>
      </c>
    </row>
    <row r="4560" spans="1:17" x14ac:dyDescent="0.3">
      <c r="A4560" t="s">
        <v>17</v>
      </c>
      <c r="B4560" t="str">
        <f>"601127"</f>
        <v>601127</v>
      </c>
      <c r="C4560" t="s">
        <v>9166</v>
      </c>
      <c r="D4560" t="s">
        <v>199</v>
      </c>
      <c r="E4560">
        <v>-1290531230</v>
      </c>
      <c r="F4560">
        <v>-358345212</v>
      </c>
      <c r="G4560">
        <v>-863128101</v>
      </c>
      <c r="H4560">
        <v>-954567440</v>
      </c>
      <c r="I4560">
        <v>317745664</v>
      </c>
      <c r="J4560">
        <v>474268299</v>
      </c>
      <c r="K4560">
        <v>102846230</v>
      </c>
      <c r="L4560">
        <v>25332100</v>
      </c>
      <c r="P4560">
        <v>476</v>
      </c>
      <c r="Q4560" t="s">
        <v>9167</v>
      </c>
    </row>
    <row r="4561" spans="1:17" x14ac:dyDescent="0.3">
      <c r="A4561" t="s">
        <v>32</v>
      </c>
      <c r="B4561" t="str">
        <f>"000411"</f>
        <v>000411</v>
      </c>
      <c r="C4561" t="s">
        <v>9168</v>
      </c>
      <c r="D4561" t="s">
        <v>98</v>
      </c>
      <c r="E4561">
        <v>-1303735545</v>
      </c>
      <c r="F4561">
        <v>-1293350713</v>
      </c>
      <c r="G4561">
        <v>-1172324382</v>
      </c>
      <c r="H4561">
        <v>-1119143234</v>
      </c>
      <c r="I4561">
        <v>-1389505205</v>
      </c>
      <c r="J4561">
        <v>-1110363214</v>
      </c>
      <c r="K4561">
        <v>-830806747</v>
      </c>
      <c r="L4561">
        <v>-883799505</v>
      </c>
      <c r="M4561">
        <v>-617023972</v>
      </c>
      <c r="N4561">
        <v>-519583787</v>
      </c>
      <c r="O4561">
        <v>-501836180</v>
      </c>
      <c r="P4561">
        <v>236</v>
      </c>
      <c r="Q4561" t="s">
        <v>9169</v>
      </c>
    </row>
    <row r="4562" spans="1:17" x14ac:dyDescent="0.3">
      <c r="A4562" t="s">
        <v>17</v>
      </c>
      <c r="B4562" t="str">
        <f>"600639"</f>
        <v>600639</v>
      </c>
      <c r="C4562" t="s">
        <v>9170</v>
      </c>
      <c r="D4562" t="s">
        <v>151</v>
      </c>
      <c r="E4562">
        <v>-1303889147</v>
      </c>
      <c r="F4562">
        <v>-675410313</v>
      </c>
      <c r="G4562">
        <v>-1676889981</v>
      </c>
      <c r="H4562">
        <v>-904000601</v>
      </c>
      <c r="I4562">
        <v>-713991292</v>
      </c>
      <c r="J4562">
        <v>-11531338</v>
      </c>
      <c r="K4562">
        <v>-281866160</v>
      </c>
      <c r="L4562">
        <v>-155841113</v>
      </c>
      <c r="M4562">
        <v>11966465</v>
      </c>
      <c r="N4562">
        <v>-135638733</v>
      </c>
      <c r="O4562">
        <v>-56086280</v>
      </c>
      <c r="P4562">
        <v>189</v>
      </c>
      <c r="Q4562" t="s">
        <v>9171</v>
      </c>
    </row>
    <row r="4563" spans="1:17" x14ac:dyDescent="0.3">
      <c r="A4563" t="s">
        <v>32</v>
      </c>
      <c r="B4563" t="str">
        <f>"002375"</f>
        <v>002375</v>
      </c>
      <c r="C4563" t="s">
        <v>9172</v>
      </c>
      <c r="D4563" t="s">
        <v>645</v>
      </c>
      <c r="E4563">
        <v>-1304925243</v>
      </c>
      <c r="F4563">
        <v>-1085856201</v>
      </c>
      <c r="G4563">
        <v>-1102144792</v>
      </c>
      <c r="H4563">
        <v>-685632831</v>
      </c>
      <c r="I4563">
        <v>-912997705</v>
      </c>
      <c r="J4563">
        <v>-932407868</v>
      </c>
      <c r="K4563">
        <v>-1048947076</v>
      </c>
      <c r="L4563">
        <v>-963491773</v>
      </c>
      <c r="M4563">
        <v>-857659616</v>
      </c>
      <c r="N4563">
        <v>-807692351</v>
      </c>
      <c r="O4563">
        <v>-640706598</v>
      </c>
      <c r="P4563">
        <v>176</v>
      </c>
      <c r="Q4563" t="s">
        <v>9173</v>
      </c>
    </row>
    <row r="4564" spans="1:17" x14ac:dyDescent="0.3">
      <c r="A4564" t="s">
        <v>17</v>
      </c>
      <c r="B4564" t="str">
        <f>"600372"</f>
        <v>600372</v>
      </c>
      <c r="C4564" t="s">
        <v>9174</v>
      </c>
      <c r="D4564" t="s">
        <v>188</v>
      </c>
      <c r="E4564">
        <v>-1310512760</v>
      </c>
      <c r="F4564">
        <v>-356306288</v>
      </c>
      <c r="G4564">
        <v>-512332816</v>
      </c>
      <c r="H4564">
        <v>-324167536</v>
      </c>
      <c r="I4564">
        <v>-354448312</v>
      </c>
      <c r="J4564">
        <v>-724890177</v>
      </c>
      <c r="K4564">
        <v>-556788750</v>
      </c>
      <c r="L4564">
        <v>-594946030</v>
      </c>
      <c r="M4564">
        <v>-420889911</v>
      </c>
      <c r="N4564">
        <v>-219331856</v>
      </c>
      <c r="O4564">
        <v>-281840041</v>
      </c>
      <c r="P4564">
        <v>433</v>
      </c>
      <c r="Q4564" t="s">
        <v>9175</v>
      </c>
    </row>
    <row r="4565" spans="1:17" x14ac:dyDescent="0.3">
      <c r="A4565" t="s">
        <v>32</v>
      </c>
      <c r="B4565" t="str">
        <f>"002387"</f>
        <v>002387</v>
      </c>
      <c r="C4565" t="s">
        <v>9176</v>
      </c>
      <c r="D4565" t="s">
        <v>124</v>
      </c>
      <c r="E4565">
        <v>-1312379025</v>
      </c>
      <c r="F4565">
        <v>578801078</v>
      </c>
      <c r="G4565">
        <v>-942147378</v>
      </c>
      <c r="H4565">
        <v>-1294336059</v>
      </c>
      <c r="I4565">
        <v>-2618403217</v>
      </c>
      <c r="J4565">
        <v>-196484199</v>
      </c>
      <c r="K4565">
        <v>-80809806</v>
      </c>
      <c r="L4565">
        <v>-15609859</v>
      </c>
      <c r="M4565">
        <v>-310975764</v>
      </c>
      <c r="N4565">
        <v>-157717003</v>
      </c>
      <c r="O4565">
        <v>-176290640</v>
      </c>
      <c r="P4565">
        <v>274</v>
      </c>
      <c r="Q4565" t="s">
        <v>9177</v>
      </c>
    </row>
    <row r="4566" spans="1:17" x14ac:dyDescent="0.3">
      <c r="A4566" t="s">
        <v>17</v>
      </c>
      <c r="B4566" t="str">
        <f>"600703"</f>
        <v>600703</v>
      </c>
      <c r="C4566" t="s">
        <v>9178</v>
      </c>
      <c r="D4566" t="s">
        <v>124</v>
      </c>
      <c r="E4566">
        <v>-1312644808</v>
      </c>
      <c r="F4566">
        <v>-1160084815</v>
      </c>
      <c r="G4566">
        <v>-524110521</v>
      </c>
      <c r="H4566">
        <v>-691116190</v>
      </c>
      <c r="I4566">
        <v>-131570904</v>
      </c>
      <c r="J4566">
        <v>-35375259</v>
      </c>
      <c r="K4566">
        <v>204533114</v>
      </c>
      <c r="L4566">
        <v>-480966481</v>
      </c>
      <c r="M4566">
        <v>-263813193</v>
      </c>
      <c r="N4566">
        <v>132690226</v>
      </c>
      <c r="O4566">
        <v>-167358045</v>
      </c>
      <c r="P4566">
        <v>2761</v>
      </c>
      <c r="Q4566" t="s">
        <v>9179</v>
      </c>
    </row>
    <row r="4567" spans="1:17" x14ac:dyDescent="0.3">
      <c r="A4567" t="s">
        <v>17</v>
      </c>
      <c r="B4567" t="str">
        <f>"600511"</f>
        <v>600511</v>
      </c>
      <c r="C4567" t="s">
        <v>9180</v>
      </c>
      <c r="D4567" t="s">
        <v>98</v>
      </c>
      <c r="E4567">
        <v>-1330000731</v>
      </c>
      <c r="F4567">
        <v>-1213542006</v>
      </c>
      <c r="G4567">
        <v>-1166998924</v>
      </c>
      <c r="H4567">
        <v>-876582773</v>
      </c>
      <c r="I4567">
        <v>5611277</v>
      </c>
      <c r="J4567">
        <v>59982177</v>
      </c>
      <c r="K4567">
        <v>229186000</v>
      </c>
      <c r="L4567">
        <v>217308008</v>
      </c>
      <c r="M4567">
        <v>23945369</v>
      </c>
      <c r="N4567">
        <v>13749920</v>
      </c>
      <c r="O4567">
        <v>18656343</v>
      </c>
      <c r="P4567">
        <v>24746</v>
      </c>
      <c r="Q4567" t="s">
        <v>9181</v>
      </c>
    </row>
    <row r="4568" spans="1:17" x14ac:dyDescent="0.3">
      <c r="A4568" t="s">
        <v>32</v>
      </c>
      <c r="B4568" t="str">
        <f>"000926"</f>
        <v>000926</v>
      </c>
      <c r="C4568" t="s">
        <v>9182</v>
      </c>
      <c r="D4568" t="s">
        <v>151</v>
      </c>
      <c r="E4568">
        <v>-1336698378</v>
      </c>
      <c r="F4568">
        <v>915303832</v>
      </c>
      <c r="G4568">
        <v>-550892015</v>
      </c>
      <c r="H4568">
        <v>400895953</v>
      </c>
      <c r="I4568">
        <v>-1268928561</v>
      </c>
      <c r="J4568">
        <v>-201446737</v>
      </c>
      <c r="K4568">
        <v>-1233189165</v>
      </c>
      <c r="L4568">
        <v>-1101910451</v>
      </c>
      <c r="M4568">
        <v>-696276489</v>
      </c>
      <c r="N4568">
        <v>855272952</v>
      </c>
      <c r="O4568">
        <v>317530987</v>
      </c>
      <c r="P4568">
        <v>239</v>
      </c>
      <c r="Q4568" t="s">
        <v>9183</v>
      </c>
    </row>
    <row r="4569" spans="1:17" x14ac:dyDescent="0.3">
      <c r="A4569" t="s">
        <v>32</v>
      </c>
      <c r="B4569" t="str">
        <f>"301236"</f>
        <v>301236</v>
      </c>
      <c r="C4569" t="s">
        <v>9184</v>
      </c>
      <c r="E4569">
        <v>-1337007141</v>
      </c>
      <c r="P4569">
        <v>4</v>
      </c>
      <c r="Q4569" t="s">
        <v>9185</v>
      </c>
    </row>
    <row r="4570" spans="1:17" x14ac:dyDescent="0.3">
      <c r="A4570" t="s">
        <v>32</v>
      </c>
      <c r="B4570" t="str">
        <f>"300450"</f>
        <v>300450</v>
      </c>
      <c r="C4570" t="s">
        <v>9186</v>
      </c>
      <c r="D4570" t="s">
        <v>464</v>
      </c>
      <c r="E4570">
        <v>-1344248756</v>
      </c>
      <c r="F4570">
        <v>97730131</v>
      </c>
      <c r="G4570">
        <v>-258043081</v>
      </c>
      <c r="H4570">
        <v>-69038047</v>
      </c>
      <c r="I4570">
        <v>-506951994</v>
      </c>
      <c r="J4570">
        <v>-7986658</v>
      </c>
      <c r="K4570">
        <v>-115876361</v>
      </c>
      <c r="L4570">
        <v>60192182</v>
      </c>
      <c r="M4570">
        <v>24046</v>
      </c>
      <c r="P4570">
        <v>9753</v>
      </c>
      <c r="Q4570" t="s">
        <v>9187</v>
      </c>
    </row>
    <row r="4571" spans="1:17" x14ac:dyDescent="0.3">
      <c r="A4571" t="s">
        <v>32</v>
      </c>
      <c r="B4571" t="str">
        <f>"000728"</f>
        <v>000728</v>
      </c>
      <c r="C4571" t="s">
        <v>9188</v>
      </c>
      <c r="D4571" t="s">
        <v>26</v>
      </c>
      <c r="E4571">
        <v>-1345796436</v>
      </c>
      <c r="F4571">
        <v>-3309304460</v>
      </c>
      <c r="G4571">
        <v>3767229759</v>
      </c>
      <c r="H4571">
        <v>5748452263</v>
      </c>
      <c r="I4571">
        <v>355818303</v>
      </c>
      <c r="J4571">
        <v>15420789</v>
      </c>
      <c r="K4571">
        <v>1097446722</v>
      </c>
      <c r="L4571">
        <v>1486129309</v>
      </c>
      <c r="M4571">
        <v>226845898</v>
      </c>
      <c r="N4571">
        <v>-2356465315</v>
      </c>
      <c r="O4571">
        <v>37985835</v>
      </c>
      <c r="P4571">
        <v>1900</v>
      </c>
      <c r="Q4571" t="s">
        <v>9189</v>
      </c>
    </row>
    <row r="4572" spans="1:17" x14ac:dyDescent="0.3">
      <c r="A4572" t="s">
        <v>32</v>
      </c>
      <c r="B4572" t="str">
        <f>"200581"</f>
        <v>200581</v>
      </c>
      <c r="C4572" t="s">
        <v>9190</v>
      </c>
      <c r="E4572">
        <v>-1349164356.806</v>
      </c>
      <c r="F4572">
        <v>-420001491.80949998</v>
      </c>
      <c r="G4572">
        <v>186083105.93340001</v>
      </c>
      <c r="H4572">
        <v>135592559.37720001</v>
      </c>
      <c r="I4572">
        <v>-106348251.0415</v>
      </c>
      <c r="J4572">
        <v>9533725.4852000009</v>
      </c>
      <c r="K4572">
        <v>-103765950.26369999</v>
      </c>
      <c r="L4572">
        <v>-60872348.75</v>
      </c>
      <c r="M4572">
        <v>-69163363.681999996</v>
      </c>
      <c r="N4572">
        <v>54594399.748199999</v>
      </c>
      <c r="O4572">
        <v>125057482.443</v>
      </c>
      <c r="P4572">
        <v>448</v>
      </c>
      <c r="Q4572" t="s">
        <v>9191</v>
      </c>
    </row>
    <row r="4573" spans="1:17" x14ac:dyDescent="0.3">
      <c r="A4573" t="s">
        <v>17</v>
      </c>
      <c r="B4573" t="str">
        <f>"600643"</f>
        <v>600643</v>
      </c>
      <c r="C4573" t="s">
        <v>9192</v>
      </c>
      <c r="D4573" t="s">
        <v>26</v>
      </c>
      <c r="E4573">
        <v>-1350571652</v>
      </c>
      <c r="F4573">
        <v>-2176214237</v>
      </c>
      <c r="G4573">
        <v>-285752919</v>
      </c>
      <c r="H4573">
        <v>-120169602</v>
      </c>
      <c r="I4573">
        <v>-2179773562</v>
      </c>
      <c r="J4573">
        <v>-377262822</v>
      </c>
      <c r="K4573">
        <v>794104635</v>
      </c>
      <c r="L4573">
        <v>-79407215</v>
      </c>
      <c r="M4573">
        <v>83291807</v>
      </c>
      <c r="N4573">
        <v>106787448</v>
      </c>
      <c r="O4573">
        <v>-19426686</v>
      </c>
      <c r="P4573">
        <v>344</v>
      </c>
      <c r="Q4573" t="s">
        <v>9193</v>
      </c>
    </row>
    <row r="4574" spans="1:17" x14ac:dyDescent="0.3">
      <c r="A4574" t="s">
        <v>32</v>
      </c>
      <c r="B4574" t="str">
        <f>"000498"</f>
        <v>000498</v>
      </c>
      <c r="C4574" t="s">
        <v>9194</v>
      </c>
      <c r="D4574" t="s">
        <v>645</v>
      </c>
      <c r="E4574">
        <v>-1353946176</v>
      </c>
      <c r="F4574">
        <v>151625876</v>
      </c>
      <c r="G4574">
        <v>-1069978745</v>
      </c>
      <c r="H4574">
        <v>-937470493</v>
      </c>
      <c r="I4574">
        <v>-367773833</v>
      </c>
      <c r="J4574">
        <v>-70669600</v>
      </c>
      <c r="K4574">
        <v>169737867</v>
      </c>
      <c r="L4574">
        <v>-484236566</v>
      </c>
      <c r="M4574">
        <v>-378750211</v>
      </c>
      <c r="N4574">
        <v>-75116781</v>
      </c>
      <c r="O4574">
        <v>-1191704</v>
      </c>
      <c r="P4574">
        <v>277</v>
      </c>
      <c r="Q4574" t="s">
        <v>9195</v>
      </c>
    </row>
    <row r="4575" spans="1:17" x14ac:dyDescent="0.3">
      <c r="A4575" t="s">
        <v>17</v>
      </c>
      <c r="B4575" t="str">
        <f>"601012"</f>
        <v>601012</v>
      </c>
      <c r="C4575" t="s">
        <v>9196</v>
      </c>
      <c r="D4575" t="s">
        <v>464</v>
      </c>
      <c r="E4575">
        <v>-1360629077</v>
      </c>
      <c r="F4575">
        <v>-2713077670</v>
      </c>
      <c r="G4575">
        <v>-1417963889</v>
      </c>
      <c r="H4575">
        <v>420588844</v>
      </c>
      <c r="I4575">
        <v>-1508445029</v>
      </c>
      <c r="J4575">
        <v>-1457922405</v>
      </c>
      <c r="K4575">
        <v>-501758264</v>
      </c>
      <c r="L4575">
        <v>-254837247</v>
      </c>
      <c r="M4575">
        <v>-31326331</v>
      </c>
      <c r="N4575">
        <v>-65858254</v>
      </c>
      <c r="O4575">
        <v>28547298</v>
      </c>
      <c r="P4575">
        <v>6947</v>
      </c>
      <c r="Q4575" t="s">
        <v>9197</v>
      </c>
    </row>
    <row r="4576" spans="1:17" x14ac:dyDescent="0.3">
      <c r="A4576" t="s">
        <v>17</v>
      </c>
      <c r="B4576" t="str">
        <f>"688187"</f>
        <v>688187</v>
      </c>
      <c r="C4576" t="s">
        <v>9198</v>
      </c>
      <c r="D4576" t="s">
        <v>135</v>
      </c>
      <c r="E4576">
        <v>-1361185110</v>
      </c>
      <c r="P4576">
        <v>59</v>
      </c>
      <c r="Q4576" t="s">
        <v>9199</v>
      </c>
    </row>
    <row r="4577" spans="1:17" x14ac:dyDescent="0.3">
      <c r="A4577" t="s">
        <v>32</v>
      </c>
      <c r="B4577" t="str">
        <f>"000009"</f>
        <v>000009</v>
      </c>
      <c r="C4577" t="s">
        <v>9200</v>
      </c>
      <c r="D4577" t="s">
        <v>464</v>
      </c>
      <c r="E4577">
        <v>-1370733867</v>
      </c>
      <c r="F4577">
        <v>-55620029</v>
      </c>
      <c r="G4577">
        <v>-51855201</v>
      </c>
      <c r="H4577">
        <v>44834319</v>
      </c>
      <c r="I4577">
        <v>-257946437</v>
      </c>
      <c r="J4577">
        <v>3718140</v>
      </c>
      <c r="K4577">
        <v>-69128098</v>
      </c>
      <c r="L4577">
        <v>-241458403</v>
      </c>
      <c r="M4577">
        <v>68116041</v>
      </c>
      <c r="N4577">
        <v>-189217652</v>
      </c>
      <c r="O4577">
        <v>-278545082</v>
      </c>
      <c r="P4577">
        <v>468</v>
      </c>
      <c r="Q4577" t="s">
        <v>9201</v>
      </c>
    </row>
    <row r="4578" spans="1:17" x14ac:dyDescent="0.3">
      <c r="A4578" t="s">
        <v>17</v>
      </c>
      <c r="B4578" t="str">
        <f>"600026"</f>
        <v>600026</v>
      </c>
      <c r="C4578" t="s">
        <v>9202</v>
      </c>
      <c r="D4578" t="s">
        <v>46</v>
      </c>
      <c r="E4578">
        <v>-1387272486</v>
      </c>
      <c r="F4578">
        <v>-1214726648</v>
      </c>
      <c r="G4578">
        <v>-440890937</v>
      </c>
      <c r="H4578">
        <v>1444188931</v>
      </c>
      <c r="I4578">
        <v>-397576934</v>
      </c>
      <c r="J4578">
        <v>204351681</v>
      </c>
      <c r="K4578">
        <v>613443483</v>
      </c>
      <c r="L4578">
        <v>187384943</v>
      </c>
      <c r="M4578">
        <v>-1081778606</v>
      </c>
      <c r="N4578">
        <v>-663196311</v>
      </c>
      <c r="O4578">
        <v>-1429599272</v>
      </c>
      <c r="P4578">
        <v>401</v>
      </c>
      <c r="Q4578" t="s">
        <v>9203</v>
      </c>
    </row>
    <row r="4579" spans="1:17" x14ac:dyDescent="0.3">
      <c r="A4579" t="s">
        <v>17</v>
      </c>
      <c r="B4579" t="str">
        <f>"600284"</f>
        <v>600284</v>
      </c>
      <c r="C4579" t="s">
        <v>9204</v>
      </c>
      <c r="D4579" t="s">
        <v>645</v>
      </c>
      <c r="E4579">
        <v>-1388188709</v>
      </c>
      <c r="F4579">
        <v>-697316553</v>
      </c>
      <c r="G4579">
        <v>-2096987253</v>
      </c>
      <c r="H4579">
        <v>-243061205</v>
      </c>
      <c r="I4579">
        <v>-110582205</v>
      </c>
      <c r="J4579">
        <v>-10645364</v>
      </c>
      <c r="K4579">
        <v>-365885332</v>
      </c>
      <c r="L4579">
        <v>-433636902</v>
      </c>
      <c r="M4579">
        <v>-364803853</v>
      </c>
      <c r="N4579">
        <v>-252993903</v>
      </c>
      <c r="O4579">
        <v>-214449785</v>
      </c>
      <c r="P4579">
        <v>172</v>
      </c>
      <c r="Q4579" t="s">
        <v>9205</v>
      </c>
    </row>
    <row r="4580" spans="1:17" x14ac:dyDescent="0.3">
      <c r="A4580" t="s">
        <v>32</v>
      </c>
      <c r="B4580" t="str">
        <f>"200521"</f>
        <v>200521</v>
      </c>
      <c r="C4580" t="s">
        <v>9206</v>
      </c>
      <c r="E4580">
        <v>-1391841702.612</v>
      </c>
      <c r="F4580">
        <v>-1249138012.1995001</v>
      </c>
      <c r="G4580">
        <v>-1168133555.1198001</v>
      </c>
      <c r="H4580">
        <v>-1237759381.7927999</v>
      </c>
      <c r="I4580">
        <v>-1100365661.5265</v>
      </c>
      <c r="J4580">
        <v>547423973.13380003</v>
      </c>
      <c r="K4580">
        <v>124293809.1118</v>
      </c>
      <c r="L4580">
        <v>-203009940</v>
      </c>
      <c r="M4580">
        <v>-368645178.15960002</v>
      </c>
      <c r="N4580">
        <v>-158625513.35640001</v>
      </c>
      <c r="O4580">
        <v>-223949492.847</v>
      </c>
      <c r="P4580">
        <v>23</v>
      </c>
      <c r="Q4580" t="s">
        <v>9207</v>
      </c>
    </row>
    <row r="4581" spans="1:17" x14ac:dyDescent="0.3">
      <c r="A4581" t="s">
        <v>32</v>
      </c>
      <c r="B4581" t="str">
        <f>"002081"</f>
        <v>002081</v>
      </c>
      <c r="C4581" t="s">
        <v>9208</v>
      </c>
      <c r="D4581" t="s">
        <v>645</v>
      </c>
      <c r="E4581">
        <v>-1399427979</v>
      </c>
      <c r="F4581">
        <v>-1744081347</v>
      </c>
      <c r="G4581">
        <v>-1923417861</v>
      </c>
      <c r="H4581">
        <v>-974456387</v>
      </c>
      <c r="I4581">
        <v>-1125402395</v>
      </c>
      <c r="J4581">
        <v>-356563229</v>
      </c>
      <c r="K4581">
        <v>-496958956</v>
      </c>
      <c r="L4581">
        <v>-1156508525</v>
      </c>
      <c r="M4581">
        <v>-736470989</v>
      </c>
      <c r="N4581">
        <v>-575028419</v>
      </c>
      <c r="O4581">
        <v>-532347556</v>
      </c>
      <c r="P4581">
        <v>18140</v>
      </c>
      <c r="Q4581" t="s">
        <v>9209</v>
      </c>
    </row>
    <row r="4582" spans="1:17" x14ac:dyDescent="0.3">
      <c r="A4582" t="s">
        <v>32</v>
      </c>
      <c r="B4582" t="str">
        <f>"000035"</f>
        <v>000035</v>
      </c>
      <c r="C4582" t="s">
        <v>9210</v>
      </c>
      <c r="D4582" t="s">
        <v>1334</v>
      </c>
      <c r="E4582">
        <v>-1414156226</v>
      </c>
      <c r="F4582">
        <v>-200943803</v>
      </c>
      <c r="G4582">
        <v>-217159357</v>
      </c>
      <c r="H4582">
        <v>-514969341</v>
      </c>
      <c r="I4582">
        <v>-452909944</v>
      </c>
      <c r="J4582">
        <v>-202316561</v>
      </c>
      <c r="K4582">
        <v>-130254947</v>
      </c>
      <c r="L4582">
        <v>-101702696</v>
      </c>
      <c r="M4582">
        <v>-4562341</v>
      </c>
      <c r="N4582">
        <v>-57430</v>
      </c>
      <c r="O4582">
        <v>-327263790</v>
      </c>
      <c r="P4582">
        <v>198</v>
      </c>
      <c r="Q4582" t="s">
        <v>9211</v>
      </c>
    </row>
    <row r="4583" spans="1:17" x14ac:dyDescent="0.3">
      <c r="A4583" t="s">
        <v>32</v>
      </c>
      <c r="B4583" t="str">
        <f>"002097"</f>
        <v>002097</v>
      </c>
      <c r="C4583" t="s">
        <v>9212</v>
      </c>
      <c r="D4583" t="s">
        <v>135</v>
      </c>
      <c r="E4583">
        <v>-1429059433</v>
      </c>
      <c r="F4583">
        <v>-412562706</v>
      </c>
      <c r="G4583">
        <v>-590180968</v>
      </c>
      <c r="H4583">
        <v>-170128866</v>
      </c>
      <c r="I4583">
        <v>14828294</v>
      </c>
      <c r="J4583">
        <v>-247845072</v>
      </c>
      <c r="K4583">
        <v>-13691097</v>
      </c>
      <c r="L4583">
        <v>-46520335</v>
      </c>
      <c r="M4583">
        <v>120728275</v>
      </c>
      <c r="N4583">
        <v>-76737275</v>
      </c>
      <c r="O4583">
        <v>-135057217</v>
      </c>
      <c r="P4583">
        <v>217</v>
      </c>
      <c r="Q4583" t="s">
        <v>9213</v>
      </c>
    </row>
    <row r="4584" spans="1:17" x14ac:dyDescent="0.3">
      <c r="A4584" t="s">
        <v>32</v>
      </c>
      <c r="B4584" t="str">
        <f>"002385"</f>
        <v>002385</v>
      </c>
      <c r="C4584" t="s">
        <v>9214</v>
      </c>
      <c r="D4584" t="s">
        <v>175</v>
      </c>
      <c r="E4584">
        <v>-1440106241</v>
      </c>
      <c r="F4584">
        <v>-1164404082</v>
      </c>
      <c r="G4584">
        <v>-526274809</v>
      </c>
      <c r="H4584">
        <v>-359350688</v>
      </c>
      <c r="I4584">
        <v>-1140584151</v>
      </c>
      <c r="J4584">
        <v>-809479621</v>
      </c>
      <c r="K4584">
        <v>-756651906</v>
      </c>
      <c r="L4584">
        <v>-931185933</v>
      </c>
      <c r="M4584">
        <v>-904275201</v>
      </c>
      <c r="N4584">
        <v>-449944264</v>
      </c>
      <c r="O4584">
        <v>-330705116</v>
      </c>
      <c r="P4584">
        <v>890</v>
      </c>
      <c r="Q4584" t="s">
        <v>9215</v>
      </c>
    </row>
    <row r="4585" spans="1:17" x14ac:dyDescent="0.3">
      <c r="A4585" t="s">
        <v>17</v>
      </c>
      <c r="B4585" t="str">
        <f>"600271"</f>
        <v>600271</v>
      </c>
      <c r="C4585" t="s">
        <v>9216</v>
      </c>
      <c r="D4585" t="s">
        <v>342</v>
      </c>
      <c r="E4585">
        <v>-1444337375</v>
      </c>
      <c r="F4585">
        <v>-693642887</v>
      </c>
      <c r="G4585">
        <v>-1011654662</v>
      </c>
      <c r="H4585">
        <v>-1368231951</v>
      </c>
      <c r="I4585">
        <v>-1075381863</v>
      </c>
      <c r="J4585">
        <v>-704820893</v>
      </c>
      <c r="K4585">
        <v>-1171825558</v>
      </c>
      <c r="L4585">
        <v>-1143034758</v>
      </c>
      <c r="M4585">
        <v>-650130909</v>
      </c>
      <c r="N4585">
        <v>-165228962</v>
      </c>
      <c r="O4585">
        <v>-394610351</v>
      </c>
      <c r="P4585">
        <v>16700</v>
      </c>
      <c r="Q4585" t="s">
        <v>9217</v>
      </c>
    </row>
    <row r="4586" spans="1:17" x14ac:dyDescent="0.3">
      <c r="A4586" t="s">
        <v>32</v>
      </c>
      <c r="B4586" t="str">
        <f>"002594"</f>
        <v>002594</v>
      </c>
      <c r="C4586" t="s">
        <v>9218</v>
      </c>
      <c r="D4586" t="s">
        <v>199</v>
      </c>
      <c r="E4586">
        <v>-1446391000</v>
      </c>
      <c r="F4586">
        <v>-3995040000</v>
      </c>
      <c r="G4586">
        <v>1083350000</v>
      </c>
      <c r="H4586">
        <v>-4384019000</v>
      </c>
      <c r="I4586">
        <v>-4246744000</v>
      </c>
      <c r="J4586">
        <v>-5697377000</v>
      </c>
      <c r="K4586">
        <v>-3965427000</v>
      </c>
      <c r="L4586">
        <v>2943662000</v>
      </c>
      <c r="M4586">
        <v>-2282710000</v>
      </c>
      <c r="N4586">
        <v>-494752000</v>
      </c>
      <c r="O4586">
        <v>2001784000</v>
      </c>
      <c r="P4586">
        <v>5221</v>
      </c>
      <c r="Q4586" t="s">
        <v>9219</v>
      </c>
    </row>
    <row r="4587" spans="1:17" x14ac:dyDescent="0.3">
      <c r="A4587" t="s">
        <v>32</v>
      </c>
      <c r="B4587" t="str">
        <f>"002110"</f>
        <v>002110</v>
      </c>
      <c r="C4587" t="s">
        <v>9220</v>
      </c>
      <c r="D4587" t="s">
        <v>163</v>
      </c>
      <c r="E4587">
        <v>-1477782787</v>
      </c>
      <c r="F4587">
        <v>-4041835109</v>
      </c>
      <c r="G4587">
        <v>-11561487</v>
      </c>
      <c r="H4587">
        <v>-564411406</v>
      </c>
      <c r="I4587">
        <v>70127257</v>
      </c>
      <c r="J4587">
        <v>530572634</v>
      </c>
      <c r="K4587">
        <v>412887214</v>
      </c>
      <c r="L4587">
        <v>384057147</v>
      </c>
      <c r="M4587">
        <v>879534076</v>
      </c>
      <c r="N4587">
        <v>98518393</v>
      </c>
      <c r="O4587">
        <v>-842134571</v>
      </c>
      <c r="P4587">
        <v>1174</v>
      </c>
      <c r="Q4587" t="s">
        <v>9221</v>
      </c>
    </row>
    <row r="4588" spans="1:17" x14ac:dyDescent="0.3">
      <c r="A4588" t="s">
        <v>17</v>
      </c>
      <c r="B4588" t="str">
        <f>"603288"</f>
        <v>603288</v>
      </c>
      <c r="C4588" t="s">
        <v>9222</v>
      </c>
      <c r="D4588" t="s">
        <v>172</v>
      </c>
      <c r="E4588">
        <v>-1498092180</v>
      </c>
      <c r="F4588">
        <v>-353148658</v>
      </c>
      <c r="G4588">
        <v>325005611</v>
      </c>
      <c r="H4588">
        <v>-39211928</v>
      </c>
      <c r="I4588">
        <v>395376934</v>
      </c>
      <c r="J4588">
        <v>-166597302</v>
      </c>
      <c r="K4588">
        <v>-47568115</v>
      </c>
      <c r="L4588">
        <v>-770881975</v>
      </c>
      <c r="M4588">
        <v>-516921825</v>
      </c>
      <c r="N4588">
        <v>-768417158</v>
      </c>
      <c r="P4588">
        <v>54149</v>
      </c>
      <c r="Q4588" t="s">
        <v>9223</v>
      </c>
    </row>
    <row r="4589" spans="1:17" x14ac:dyDescent="0.3">
      <c r="A4589" t="s">
        <v>32</v>
      </c>
      <c r="B4589" t="str">
        <f>"000016"</f>
        <v>000016</v>
      </c>
      <c r="C4589" t="s">
        <v>9224</v>
      </c>
      <c r="D4589" t="s">
        <v>127</v>
      </c>
      <c r="E4589">
        <v>-1498698043</v>
      </c>
      <c r="F4589">
        <v>-2173842523</v>
      </c>
      <c r="G4589">
        <v>-2017140094</v>
      </c>
      <c r="H4589">
        <v>-738975387</v>
      </c>
      <c r="I4589">
        <v>-1106862319</v>
      </c>
      <c r="J4589">
        <v>-1624712002</v>
      </c>
      <c r="K4589">
        <v>273569352</v>
      </c>
      <c r="L4589">
        <v>203789675</v>
      </c>
      <c r="M4589">
        <v>380599027</v>
      </c>
      <c r="N4589">
        <v>397775979</v>
      </c>
      <c r="O4589">
        <v>419783603</v>
      </c>
      <c r="P4589">
        <v>266</v>
      </c>
      <c r="Q4589" t="s">
        <v>9225</v>
      </c>
    </row>
    <row r="4590" spans="1:17" x14ac:dyDescent="0.3">
      <c r="A4590" t="s">
        <v>17</v>
      </c>
      <c r="B4590" t="str">
        <f>"600791"</f>
        <v>600791</v>
      </c>
      <c r="C4590" t="s">
        <v>9226</v>
      </c>
      <c r="D4590" t="s">
        <v>151</v>
      </c>
      <c r="E4590">
        <v>-1501134619</v>
      </c>
      <c r="F4590">
        <v>230718783</v>
      </c>
      <c r="G4590">
        <v>-370923608</v>
      </c>
      <c r="H4590">
        <v>-1103674087</v>
      </c>
      <c r="I4590">
        <v>-13025823</v>
      </c>
      <c r="J4590">
        <v>16291509</v>
      </c>
      <c r="K4590">
        <v>-233611315</v>
      </c>
      <c r="L4590">
        <v>-21027991</v>
      </c>
      <c r="M4590">
        <v>350954133</v>
      </c>
      <c r="N4590">
        <v>28304645</v>
      </c>
      <c r="O4590">
        <v>-487066272</v>
      </c>
      <c r="P4590">
        <v>105</v>
      </c>
      <c r="Q4590" t="s">
        <v>9227</v>
      </c>
    </row>
    <row r="4591" spans="1:17" x14ac:dyDescent="0.3">
      <c r="A4591" t="s">
        <v>17</v>
      </c>
      <c r="B4591" t="str">
        <f>"601212"</f>
        <v>601212</v>
      </c>
      <c r="C4591" t="s">
        <v>9228</v>
      </c>
      <c r="D4591" t="s">
        <v>121</v>
      </c>
      <c r="E4591">
        <v>-1511996090</v>
      </c>
      <c r="F4591">
        <v>-750612741</v>
      </c>
      <c r="G4591">
        <v>507265642</v>
      </c>
      <c r="H4591">
        <v>685700046</v>
      </c>
      <c r="I4591">
        <v>246511172</v>
      </c>
      <c r="J4591">
        <v>-532683626</v>
      </c>
      <c r="K4591">
        <v>-1356123676</v>
      </c>
      <c r="P4591">
        <v>185</v>
      </c>
      <c r="Q4591" t="s">
        <v>9229</v>
      </c>
    </row>
    <row r="4592" spans="1:17" x14ac:dyDescent="0.3">
      <c r="A4592" t="s">
        <v>17</v>
      </c>
      <c r="B4592" t="str">
        <f>"600489"</f>
        <v>600489</v>
      </c>
      <c r="C4592" t="s">
        <v>9230</v>
      </c>
      <c r="D4592" t="s">
        <v>121</v>
      </c>
      <c r="E4592">
        <v>-1512689413</v>
      </c>
      <c r="F4592">
        <v>-1905453984</v>
      </c>
      <c r="G4592">
        <v>-1220857141</v>
      </c>
      <c r="H4592">
        <v>-785082325</v>
      </c>
      <c r="I4592">
        <v>-198594431</v>
      </c>
      <c r="J4592">
        <v>205684318</v>
      </c>
      <c r="K4592">
        <v>713300351</v>
      </c>
      <c r="L4592">
        <v>-1152593092</v>
      </c>
      <c r="M4592">
        <v>-266338299</v>
      </c>
      <c r="N4592">
        <v>-13147588</v>
      </c>
      <c r="O4592">
        <v>201877846</v>
      </c>
      <c r="P4592">
        <v>454</v>
      </c>
      <c r="Q4592" t="s">
        <v>9231</v>
      </c>
    </row>
    <row r="4593" spans="1:17" x14ac:dyDescent="0.3">
      <c r="A4593" t="s">
        <v>32</v>
      </c>
      <c r="B4593" t="str">
        <f>"002307"</f>
        <v>002307</v>
      </c>
      <c r="C4593" t="s">
        <v>9232</v>
      </c>
      <c r="D4593" t="s">
        <v>645</v>
      </c>
      <c r="E4593">
        <v>-1517562739</v>
      </c>
      <c r="F4593">
        <v>-1662720513</v>
      </c>
      <c r="G4593">
        <v>-784046312</v>
      </c>
      <c r="H4593">
        <v>-891957527</v>
      </c>
      <c r="I4593">
        <v>-378625530</v>
      </c>
      <c r="J4593">
        <v>-604503196</v>
      </c>
      <c r="K4593">
        <v>-91077065</v>
      </c>
      <c r="L4593">
        <v>-273202665</v>
      </c>
      <c r="M4593">
        <v>-119578518</v>
      </c>
      <c r="N4593">
        <v>-146140960</v>
      </c>
      <c r="O4593">
        <v>-51300406</v>
      </c>
      <c r="P4593">
        <v>90</v>
      </c>
      <c r="Q4593" t="s">
        <v>9233</v>
      </c>
    </row>
    <row r="4594" spans="1:17" x14ac:dyDescent="0.3">
      <c r="A4594" t="s">
        <v>32</v>
      </c>
      <c r="B4594" t="str">
        <f>"002368"</f>
        <v>002368</v>
      </c>
      <c r="C4594" t="s">
        <v>9234</v>
      </c>
      <c r="D4594" t="s">
        <v>342</v>
      </c>
      <c r="E4594">
        <v>-1527154439</v>
      </c>
      <c r="F4594">
        <v>-2001746019</v>
      </c>
      <c r="G4594">
        <v>-912970215</v>
      </c>
      <c r="H4594">
        <v>-1027973059</v>
      </c>
      <c r="I4594">
        <v>-536725278</v>
      </c>
      <c r="J4594">
        <v>-366699877</v>
      </c>
      <c r="K4594">
        <v>-619887971</v>
      </c>
      <c r="L4594">
        <v>-815234177</v>
      </c>
      <c r="M4594">
        <v>-694748461</v>
      </c>
      <c r="N4594">
        <v>-423526174</v>
      </c>
      <c r="O4594">
        <v>-102830728</v>
      </c>
      <c r="P4594">
        <v>373</v>
      </c>
      <c r="Q4594" t="s">
        <v>9235</v>
      </c>
    </row>
    <row r="4595" spans="1:17" x14ac:dyDescent="0.3">
      <c r="A4595" t="s">
        <v>32</v>
      </c>
      <c r="B4595" t="str">
        <f>"002157"</f>
        <v>002157</v>
      </c>
      <c r="C4595" t="s">
        <v>9236</v>
      </c>
      <c r="D4595" t="s">
        <v>175</v>
      </c>
      <c r="E4595">
        <v>-1538712515</v>
      </c>
      <c r="F4595">
        <v>-5185887515</v>
      </c>
      <c r="G4595">
        <v>-2989605519</v>
      </c>
      <c r="H4595">
        <v>-596858106</v>
      </c>
      <c r="I4595">
        <v>-830977088</v>
      </c>
      <c r="J4595">
        <v>-976984875</v>
      </c>
      <c r="K4595">
        <v>-88042191</v>
      </c>
      <c r="L4595">
        <v>171183463</v>
      </c>
      <c r="M4595">
        <v>-226234491</v>
      </c>
      <c r="N4595">
        <v>-348180709</v>
      </c>
      <c r="O4595">
        <v>-56597455</v>
      </c>
      <c r="P4595">
        <v>1128</v>
      </c>
      <c r="Q4595" t="s">
        <v>9237</v>
      </c>
    </row>
    <row r="4596" spans="1:17" x14ac:dyDescent="0.3">
      <c r="A4596" t="s">
        <v>32</v>
      </c>
      <c r="B4596" t="str">
        <f>"002276"</f>
        <v>002276</v>
      </c>
      <c r="C4596" t="s">
        <v>9238</v>
      </c>
      <c r="D4596" t="s">
        <v>464</v>
      </c>
      <c r="E4596">
        <v>-1566067682</v>
      </c>
      <c r="F4596">
        <v>-662509738</v>
      </c>
      <c r="G4596">
        <v>-223156581</v>
      </c>
      <c r="H4596">
        <v>-278128624</v>
      </c>
      <c r="I4596">
        <v>-341247707</v>
      </c>
      <c r="J4596">
        <v>-461152570</v>
      </c>
      <c r="K4596">
        <v>-237042636</v>
      </c>
      <c r="L4596">
        <v>-160406204</v>
      </c>
      <c r="M4596">
        <v>-212976211</v>
      </c>
      <c r="N4596">
        <v>-30044790</v>
      </c>
      <c r="O4596">
        <v>-137160237</v>
      </c>
      <c r="P4596">
        <v>255</v>
      </c>
      <c r="Q4596" t="s">
        <v>9239</v>
      </c>
    </row>
    <row r="4597" spans="1:17" x14ac:dyDescent="0.3">
      <c r="A4597" t="s">
        <v>17</v>
      </c>
      <c r="B4597" t="str">
        <f>"600848"</f>
        <v>600848</v>
      </c>
      <c r="C4597" t="s">
        <v>9240</v>
      </c>
      <c r="D4597" t="s">
        <v>151</v>
      </c>
      <c r="E4597">
        <v>-1567355309</v>
      </c>
      <c r="F4597">
        <v>-719833144</v>
      </c>
      <c r="G4597">
        <v>-879510239</v>
      </c>
      <c r="H4597">
        <v>-421877008</v>
      </c>
      <c r="I4597">
        <v>-1105540972</v>
      </c>
      <c r="J4597">
        <v>-105157133</v>
      </c>
      <c r="K4597">
        <v>-172646774</v>
      </c>
      <c r="L4597">
        <v>-104514126</v>
      </c>
      <c r="M4597">
        <v>-97173757</v>
      </c>
      <c r="N4597">
        <v>-71322059</v>
      </c>
      <c r="O4597">
        <v>-66288649</v>
      </c>
      <c r="P4597">
        <v>271</v>
      </c>
      <c r="Q4597" t="s">
        <v>9241</v>
      </c>
    </row>
    <row r="4598" spans="1:17" x14ac:dyDescent="0.3">
      <c r="A4598" t="s">
        <v>17</v>
      </c>
      <c r="B4598" t="str">
        <f>"601155"</f>
        <v>601155</v>
      </c>
      <c r="C4598" t="s">
        <v>9242</v>
      </c>
      <c r="D4598" t="s">
        <v>151</v>
      </c>
      <c r="E4598">
        <v>-1568865728</v>
      </c>
      <c r="F4598">
        <v>-8584664203</v>
      </c>
      <c r="G4598">
        <v>-9629627602</v>
      </c>
      <c r="H4598">
        <v>-13556706953</v>
      </c>
      <c r="I4598">
        <v>-3842007672</v>
      </c>
      <c r="J4598">
        <v>-6131115014</v>
      </c>
      <c r="K4598">
        <v>-934377199</v>
      </c>
      <c r="L4598">
        <v>-3144125712</v>
      </c>
      <c r="P4598">
        <v>7594</v>
      </c>
      <c r="Q4598" t="s">
        <v>9243</v>
      </c>
    </row>
    <row r="4599" spans="1:17" x14ac:dyDescent="0.3">
      <c r="A4599" t="s">
        <v>17</v>
      </c>
      <c r="B4599" t="str">
        <f>"600038"</f>
        <v>600038</v>
      </c>
      <c r="C4599" t="s">
        <v>9244</v>
      </c>
      <c r="D4599" t="s">
        <v>188</v>
      </c>
      <c r="E4599">
        <v>-1571754184</v>
      </c>
      <c r="F4599">
        <v>-259579778</v>
      </c>
      <c r="G4599">
        <v>42478769</v>
      </c>
      <c r="H4599">
        <v>87132796</v>
      </c>
      <c r="I4599">
        <v>-325901510</v>
      </c>
      <c r="J4599">
        <v>523710987</v>
      </c>
      <c r="K4599">
        <v>220168028</v>
      </c>
      <c r="L4599">
        <v>-1341645455</v>
      </c>
      <c r="M4599">
        <v>-769878060</v>
      </c>
      <c r="N4599">
        <v>-331972384</v>
      </c>
      <c r="O4599">
        <v>4388557</v>
      </c>
      <c r="P4599">
        <v>447</v>
      </c>
      <c r="Q4599" t="s">
        <v>9245</v>
      </c>
    </row>
    <row r="4600" spans="1:17" x14ac:dyDescent="0.3">
      <c r="A4600" t="s">
        <v>17</v>
      </c>
      <c r="B4600" t="str">
        <f>"600528"</f>
        <v>600528</v>
      </c>
      <c r="C4600" t="s">
        <v>9246</v>
      </c>
      <c r="D4600" t="s">
        <v>135</v>
      </c>
      <c r="E4600">
        <v>-1593844802</v>
      </c>
      <c r="F4600">
        <v>-1503365454</v>
      </c>
      <c r="G4600">
        <v>-1237424148</v>
      </c>
      <c r="H4600">
        <v>-1195879680</v>
      </c>
      <c r="I4600">
        <v>-972107122</v>
      </c>
      <c r="J4600">
        <v>-756916381</v>
      </c>
      <c r="K4600">
        <v>-1441549538</v>
      </c>
      <c r="L4600">
        <v>-1073753749</v>
      </c>
      <c r="M4600">
        <v>-459331449</v>
      </c>
      <c r="N4600">
        <v>-1451938655</v>
      </c>
      <c r="O4600">
        <v>-938578590</v>
      </c>
      <c r="P4600">
        <v>253</v>
      </c>
      <c r="Q4600" t="s">
        <v>9247</v>
      </c>
    </row>
    <row r="4601" spans="1:17" x14ac:dyDescent="0.3">
      <c r="A4601" t="s">
        <v>32</v>
      </c>
      <c r="B4601" t="str">
        <f>"000928"</f>
        <v>000928</v>
      </c>
      <c r="C4601" t="s">
        <v>9248</v>
      </c>
      <c r="D4601" t="s">
        <v>645</v>
      </c>
      <c r="E4601">
        <v>-1601621915</v>
      </c>
      <c r="F4601">
        <v>-2162612203</v>
      </c>
      <c r="G4601">
        <v>-777149989</v>
      </c>
      <c r="H4601">
        <v>310662418</v>
      </c>
      <c r="I4601">
        <v>108692973</v>
      </c>
      <c r="J4601">
        <v>268060275</v>
      </c>
      <c r="K4601">
        <v>-622987493</v>
      </c>
      <c r="L4601">
        <v>-139670</v>
      </c>
      <c r="M4601">
        <v>24558737</v>
      </c>
      <c r="N4601">
        <v>-21900273</v>
      </c>
      <c r="O4601">
        <v>28071673</v>
      </c>
      <c r="P4601">
        <v>271</v>
      </c>
      <c r="Q4601" t="s">
        <v>9249</v>
      </c>
    </row>
    <row r="4602" spans="1:17" x14ac:dyDescent="0.3">
      <c r="A4602" t="s">
        <v>32</v>
      </c>
      <c r="B4602" t="str">
        <f>"002371"</f>
        <v>002371</v>
      </c>
      <c r="C4602" t="s">
        <v>9250</v>
      </c>
      <c r="D4602" t="s">
        <v>124</v>
      </c>
      <c r="E4602">
        <v>-1618807919</v>
      </c>
      <c r="F4602">
        <v>527837328</v>
      </c>
      <c r="G4602">
        <v>431049752</v>
      </c>
      <c r="H4602">
        <v>-316325242</v>
      </c>
      <c r="I4602">
        <v>-376854726</v>
      </c>
      <c r="J4602">
        <v>-40032854</v>
      </c>
      <c r="K4602">
        <v>-28951346</v>
      </c>
      <c r="L4602">
        <v>-66002685</v>
      </c>
      <c r="M4602">
        <v>-125749628</v>
      </c>
      <c r="N4602">
        <v>-65289907</v>
      </c>
      <c r="O4602">
        <v>-152437354</v>
      </c>
      <c r="P4602">
        <v>1587</v>
      </c>
      <c r="Q4602" t="s">
        <v>9251</v>
      </c>
    </row>
    <row r="4603" spans="1:17" x14ac:dyDescent="0.3">
      <c r="A4603" t="s">
        <v>17</v>
      </c>
      <c r="B4603" t="str">
        <f>"600667"</f>
        <v>600667</v>
      </c>
      <c r="C4603" t="s">
        <v>9252</v>
      </c>
      <c r="D4603" t="s">
        <v>124</v>
      </c>
      <c r="E4603">
        <v>-1634525385</v>
      </c>
      <c r="F4603">
        <v>-839562105</v>
      </c>
      <c r="G4603">
        <v>-985795887</v>
      </c>
      <c r="H4603">
        <v>-801489594</v>
      </c>
      <c r="I4603">
        <v>-730148286</v>
      </c>
      <c r="J4603">
        <v>-401719052</v>
      </c>
      <c r="K4603">
        <v>-301231829</v>
      </c>
      <c r="L4603">
        <v>-405466362</v>
      </c>
      <c r="M4603">
        <v>-276744524</v>
      </c>
      <c r="N4603">
        <v>-179448915</v>
      </c>
      <c r="O4603">
        <v>282039778</v>
      </c>
      <c r="P4603">
        <v>445</v>
      </c>
      <c r="Q4603" t="s">
        <v>9253</v>
      </c>
    </row>
    <row r="4604" spans="1:17" x14ac:dyDescent="0.3">
      <c r="A4604" t="s">
        <v>17</v>
      </c>
      <c r="B4604" t="str">
        <f>"600884"</f>
        <v>600884</v>
      </c>
      <c r="C4604" t="s">
        <v>9254</v>
      </c>
      <c r="D4604" t="s">
        <v>464</v>
      </c>
      <c r="E4604">
        <v>-1636851005</v>
      </c>
      <c r="F4604">
        <v>-1212037458</v>
      </c>
      <c r="G4604">
        <v>-271116866</v>
      </c>
      <c r="H4604">
        <v>-896078511</v>
      </c>
      <c r="I4604">
        <v>-601659908</v>
      </c>
      <c r="J4604">
        <v>-526332228</v>
      </c>
      <c r="K4604">
        <v>-295608728</v>
      </c>
      <c r="L4604">
        <v>-70381107</v>
      </c>
      <c r="M4604">
        <v>-136699617</v>
      </c>
      <c r="N4604">
        <v>-14152765</v>
      </c>
      <c r="O4604">
        <v>-44402549</v>
      </c>
      <c r="P4604">
        <v>758</v>
      </c>
      <c r="Q4604" t="s">
        <v>9255</v>
      </c>
    </row>
    <row r="4605" spans="1:17" x14ac:dyDescent="0.3">
      <c r="A4605" t="s">
        <v>17</v>
      </c>
      <c r="B4605" t="str">
        <f>"600335"</f>
        <v>600335</v>
      </c>
      <c r="C4605" t="s">
        <v>9256</v>
      </c>
      <c r="D4605" t="s">
        <v>199</v>
      </c>
      <c r="E4605">
        <v>-1661463200</v>
      </c>
      <c r="F4605">
        <v>616648727</v>
      </c>
      <c r="G4605">
        <v>-3204707581</v>
      </c>
      <c r="H4605">
        <v>-97754013</v>
      </c>
      <c r="I4605">
        <v>-2635712062</v>
      </c>
      <c r="J4605">
        <v>-1510938996</v>
      </c>
      <c r="K4605">
        <v>1955853465</v>
      </c>
      <c r="L4605">
        <v>-534392699</v>
      </c>
      <c r="M4605">
        <v>1991959038</v>
      </c>
      <c r="N4605">
        <v>1561845488</v>
      </c>
      <c r="O4605">
        <v>-1916035092</v>
      </c>
      <c r="P4605">
        <v>150</v>
      </c>
      <c r="Q4605" t="s">
        <v>9257</v>
      </c>
    </row>
    <row r="4606" spans="1:17" x14ac:dyDescent="0.3">
      <c r="A4606" t="s">
        <v>17</v>
      </c>
      <c r="B4606" t="str">
        <f>"688728"</f>
        <v>688728</v>
      </c>
      <c r="C4606" t="s">
        <v>9258</v>
      </c>
      <c r="D4606" t="s">
        <v>124</v>
      </c>
      <c r="E4606">
        <v>-1695702864</v>
      </c>
      <c r="F4606">
        <v>303837845</v>
      </c>
      <c r="G4606">
        <v>-401662736</v>
      </c>
      <c r="P4606">
        <v>58</v>
      </c>
      <c r="Q4606" t="s">
        <v>9259</v>
      </c>
    </row>
    <row r="4607" spans="1:17" x14ac:dyDescent="0.3">
      <c r="A4607" t="s">
        <v>17</v>
      </c>
      <c r="B4607" t="str">
        <f>"603259"</f>
        <v>603259</v>
      </c>
      <c r="C4607" t="s">
        <v>9260</v>
      </c>
      <c r="D4607" t="s">
        <v>98</v>
      </c>
      <c r="E4607">
        <v>-1709701492</v>
      </c>
      <c r="F4607">
        <v>-399272669</v>
      </c>
      <c r="G4607">
        <v>713642988</v>
      </c>
      <c r="H4607">
        <v>-354269069</v>
      </c>
      <c r="I4607">
        <v>-427885893</v>
      </c>
      <c r="J4607">
        <v>-65702738</v>
      </c>
      <c r="P4607">
        <v>3988</v>
      </c>
      <c r="Q4607" t="s">
        <v>9261</v>
      </c>
    </row>
    <row r="4608" spans="1:17" x14ac:dyDescent="0.3">
      <c r="A4608" t="s">
        <v>17</v>
      </c>
      <c r="B4608" t="str">
        <f>"600309"</f>
        <v>600309</v>
      </c>
      <c r="C4608" t="s">
        <v>9262</v>
      </c>
      <c r="D4608" t="s">
        <v>144</v>
      </c>
      <c r="E4608">
        <v>-1719341153</v>
      </c>
      <c r="F4608">
        <v>-3142196697</v>
      </c>
      <c r="G4608">
        <v>-2373569752</v>
      </c>
      <c r="H4608">
        <v>130179498</v>
      </c>
      <c r="I4608">
        <v>2033903173</v>
      </c>
      <c r="J4608">
        <v>-872705118</v>
      </c>
      <c r="K4608">
        <v>1077113770</v>
      </c>
      <c r="L4608">
        <v>-1521347279</v>
      </c>
      <c r="M4608">
        <v>-2260153582</v>
      </c>
      <c r="N4608">
        <v>-622101720</v>
      </c>
      <c r="O4608">
        <v>104991674</v>
      </c>
      <c r="P4608">
        <v>7477</v>
      </c>
      <c r="Q4608" t="s">
        <v>9263</v>
      </c>
    </row>
    <row r="4609" spans="1:17" x14ac:dyDescent="0.3">
      <c r="A4609" t="s">
        <v>17</v>
      </c>
      <c r="B4609" t="str">
        <f>"600879"</f>
        <v>600879</v>
      </c>
      <c r="C4609" t="s">
        <v>9264</v>
      </c>
      <c r="D4609" t="s">
        <v>188</v>
      </c>
      <c r="E4609">
        <v>-1743092694</v>
      </c>
      <c r="F4609">
        <v>-723913251</v>
      </c>
      <c r="G4609">
        <v>-528654189</v>
      </c>
      <c r="H4609">
        <v>-706395342</v>
      </c>
      <c r="I4609">
        <v>-863282380</v>
      </c>
      <c r="J4609">
        <v>-859122678</v>
      </c>
      <c r="K4609">
        <v>-453477893</v>
      </c>
      <c r="L4609">
        <v>-412017938</v>
      </c>
      <c r="M4609">
        <v>-277771062</v>
      </c>
      <c r="N4609">
        <v>-213904381</v>
      </c>
      <c r="O4609">
        <v>-293530258</v>
      </c>
      <c r="P4609">
        <v>359</v>
      </c>
      <c r="Q4609" t="s">
        <v>9265</v>
      </c>
    </row>
    <row r="4610" spans="1:17" x14ac:dyDescent="0.3">
      <c r="A4610" t="s">
        <v>32</v>
      </c>
      <c r="B4610" t="str">
        <f>"002013"</f>
        <v>002013</v>
      </c>
      <c r="C4610" t="s">
        <v>9266</v>
      </c>
      <c r="D4610" t="s">
        <v>188</v>
      </c>
      <c r="E4610">
        <v>-1743557882</v>
      </c>
      <c r="F4610">
        <v>-167620953</v>
      </c>
      <c r="G4610">
        <v>-587807750</v>
      </c>
      <c r="H4610">
        <v>-599285241</v>
      </c>
      <c r="I4610">
        <v>-670490110</v>
      </c>
      <c r="J4610">
        <v>-436294746</v>
      </c>
      <c r="K4610">
        <v>-493680729</v>
      </c>
      <c r="L4610">
        <v>-738449565</v>
      </c>
      <c r="M4610">
        <v>-569231111</v>
      </c>
      <c r="N4610">
        <v>-453940554</v>
      </c>
      <c r="O4610">
        <v>4213306</v>
      </c>
      <c r="P4610">
        <v>659</v>
      </c>
      <c r="Q4610" t="s">
        <v>9267</v>
      </c>
    </row>
    <row r="4611" spans="1:17" x14ac:dyDescent="0.3">
      <c r="A4611" t="s">
        <v>32</v>
      </c>
      <c r="B4611" t="str">
        <f>"002230"</f>
        <v>002230</v>
      </c>
      <c r="C4611" t="s">
        <v>9268</v>
      </c>
      <c r="D4611" t="s">
        <v>342</v>
      </c>
      <c r="E4611">
        <v>-1746831777</v>
      </c>
      <c r="F4611">
        <v>-1548208302</v>
      </c>
      <c r="G4611">
        <v>-1064571938</v>
      </c>
      <c r="H4611">
        <v>-984731726</v>
      </c>
      <c r="I4611">
        <v>-1038587859</v>
      </c>
      <c r="J4611">
        <v>-763051738</v>
      </c>
      <c r="K4611">
        <v>-373932844</v>
      </c>
      <c r="L4611">
        <v>-455844821</v>
      </c>
      <c r="M4611">
        <v>-179264586</v>
      </c>
      <c r="N4611">
        <v>-143384745</v>
      </c>
      <c r="O4611">
        <v>-91077290</v>
      </c>
      <c r="P4611">
        <v>3021</v>
      </c>
      <c r="Q4611" t="s">
        <v>9269</v>
      </c>
    </row>
    <row r="4612" spans="1:17" x14ac:dyDescent="0.3">
      <c r="A4612" t="s">
        <v>32</v>
      </c>
      <c r="B4612" t="str">
        <f>"002305"</f>
        <v>002305</v>
      </c>
      <c r="C4612" t="s">
        <v>9270</v>
      </c>
      <c r="D4612" t="s">
        <v>151</v>
      </c>
      <c r="E4612">
        <v>-1768910868</v>
      </c>
      <c r="F4612">
        <v>-895602964</v>
      </c>
      <c r="G4612">
        <v>-1000847693</v>
      </c>
      <c r="H4612">
        <v>-293805104</v>
      </c>
      <c r="I4612">
        <v>-5641146</v>
      </c>
      <c r="J4612">
        <v>-1078061861</v>
      </c>
      <c r="K4612">
        <v>-51721255</v>
      </c>
      <c r="L4612">
        <v>-1526232135</v>
      </c>
      <c r="M4612">
        <v>-313193880</v>
      </c>
      <c r="N4612">
        <v>-476746609</v>
      </c>
      <c r="O4612">
        <v>-247320158</v>
      </c>
      <c r="P4612">
        <v>107</v>
      </c>
      <c r="Q4612" t="s">
        <v>9271</v>
      </c>
    </row>
    <row r="4613" spans="1:17" x14ac:dyDescent="0.3">
      <c r="A4613" t="s">
        <v>32</v>
      </c>
      <c r="B4613" t="str">
        <f>"000948"</f>
        <v>000948</v>
      </c>
      <c r="C4613" t="s">
        <v>9272</v>
      </c>
      <c r="D4613" t="s">
        <v>342</v>
      </c>
      <c r="E4613">
        <v>-1783480981</v>
      </c>
      <c r="F4613">
        <v>-727442572</v>
      </c>
      <c r="G4613">
        <v>-736752379</v>
      </c>
      <c r="H4613">
        <v>-559714213</v>
      </c>
      <c r="I4613">
        <v>-545740390</v>
      </c>
      <c r="J4613">
        <v>-425671268</v>
      </c>
      <c r="K4613">
        <v>-374963519</v>
      </c>
      <c r="L4613">
        <v>-304291846</v>
      </c>
      <c r="M4613">
        <v>-334657652</v>
      </c>
      <c r="N4613">
        <v>-256383721</v>
      </c>
      <c r="O4613">
        <v>-340305778</v>
      </c>
      <c r="P4613">
        <v>213</v>
      </c>
      <c r="Q4613" t="s">
        <v>9273</v>
      </c>
    </row>
    <row r="4614" spans="1:17" x14ac:dyDescent="0.3">
      <c r="A4614" t="s">
        <v>17</v>
      </c>
      <c r="B4614" t="str">
        <f>"600406"</f>
        <v>600406</v>
      </c>
      <c r="C4614" t="s">
        <v>9274</v>
      </c>
      <c r="D4614" t="s">
        <v>464</v>
      </c>
      <c r="E4614">
        <v>-1786018729</v>
      </c>
      <c r="F4614">
        <v>-2132078240</v>
      </c>
      <c r="G4614">
        <v>-846135715</v>
      </c>
      <c r="H4614">
        <v>-1824966048</v>
      </c>
      <c r="I4614">
        <v>-1239411187</v>
      </c>
      <c r="J4614">
        <v>-738040185</v>
      </c>
      <c r="K4614">
        <v>-784093692</v>
      </c>
      <c r="L4614">
        <v>-537640526</v>
      </c>
      <c r="M4614">
        <v>-584867580</v>
      </c>
      <c r="N4614">
        <v>-346033911</v>
      </c>
      <c r="O4614">
        <v>-329318848</v>
      </c>
      <c r="P4614">
        <v>2125</v>
      </c>
      <c r="Q4614" t="s">
        <v>9275</v>
      </c>
    </row>
    <row r="4615" spans="1:17" x14ac:dyDescent="0.3">
      <c r="A4615" t="s">
        <v>32</v>
      </c>
      <c r="B4615" t="str">
        <f>"002203"</f>
        <v>002203</v>
      </c>
      <c r="C4615" t="s">
        <v>9276</v>
      </c>
      <c r="D4615" t="s">
        <v>121</v>
      </c>
      <c r="E4615">
        <v>-1790694693</v>
      </c>
      <c r="F4615">
        <v>-1423584329</v>
      </c>
      <c r="G4615">
        <v>384268195</v>
      </c>
      <c r="H4615">
        <v>55322323</v>
      </c>
      <c r="I4615">
        <v>514341587</v>
      </c>
      <c r="J4615">
        <v>-677609606</v>
      </c>
      <c r="K4615">
        <v>-179416207</v>
      </c>
      <c r="L4615">
        <v>-328308849</v>
      </c>
      <c r="M4615">
        <v>221405534</v>
      </c>
      <c r="N4615">
        <v>82531364</v>
      </c>
      <c r="O4615">
        <v>-300174888</v>
      </c>
      <c r="P4615">
        <v>239</v>
      </c>
      <c r="Q4615" t="s">
        <v>9277</v>
      </c>
    </row>
    <row r="4616" spans="1:17" x14ac:dyDescent="0.3">
      <c r="A4616" t="s">
        <v>32</v>
      </c>
      <c r="B4616" t="str">
        <f>"300014"</f>
        <v>300014</v>
      </c>
      <c r="C4616" t="s">
        <v>9278</v>
      </c>
      <c r="D4616" t="s">
        <v>464</v>
      </c>
      <c r="E4616">
        <v>-1803154376</v>
      </c>
      <c r="F4616">
        <v>-991071132</v>
      </c>
      <c r="G4616">
        <v>-226250907</v>
      </c>
      <c r="H4616">
        <v>-119282276</v>
      </c>
      <c r="I4616">
        <v>-307990017</v>
      </c>
      <c r="J4616">
        <v>-500454140</v>
      </c>
      <c r="K4616">
        <v>-181608292</v>
      </c>
      <c r="L4616">
        <v>-15977536</v>
      </c>
      <c r="M4616">
        <v>-14386567</v>
      </c>
      <c r="N4616">
        <v>-13153127</v>
      </c>
      <c r="O4616">
        <v>-21499573</v>
      </c>
      <c r="P4616">
        <v>2494</v>
      </c>
      <c r="Q4616" t="s">
        <v>9279</v>
      </c>
    </row>
    <row r="4617" spans="1:17" x14ac:dyDescent="0.3">
      <c r="A4617" t="s">
        <v>17</v>
      </c>
      <c r="B4617" t="str">
        <f>"600649"</f>
        <v>600649</v>
      </c>
      <c r="C4617" t="s">
        <v>9280</v>
      </c>
      <c r="D4617" t="s">
        <v>151</v>
      </c>
      <c r="E4617">
        <v>-1804049484</v>
      </c>
      <c r="F4617">
        <v>-5287718173</v>
      </c>
      <c r="G4617">
        <v>-3268324866</v>
      </c>
      <c r="H4617">
        <v>-2833452920</v>
      </c>
      <c r="I4617">
        <v>8398600</v>
      </c>
      <c r="J4617">
        <v>-114713388</v>
      </c>
      <c r="K4617">
        <v>-974542422</v>
      </c>
      <c r="L4617">
        <v>-242304676</v>
      </c>
      <c r="M4617">
        <v>-746371394</v>
      </c>
      <c r="N4617">
        <v>75484973</v>
      </c>
      <c r="O4617">
        <v>-1254239773</v>
      </c>
      <c r="P4617">
        <v>205</v>
      </c>
      <c r="Q4617" t="s">
        <v>9281</v>
      </c>
    </row>
    <row r="4618" spans="1:17" x14ac:dyDescent="0.3">
      <c r="A4618" t="s">
        <v>17</v>
      </c>
      <c r="B4618" t="str">
        <f>"600177"</f>
        <v>600177</v>
      </c>
      <c r="C4618" t="s">
        <v>9282</v>
      </c>
      <c r="D4618" t="s">
        <v>130</v>
      </c>
      <c r="E4618">
        <v>-1807013246</v>
      </c>
      <c r="F4618">
        <v>-1231982789</v>
      </c>
      <c r="G4618">
        <v>652668104</v>
      </c>
      <c r="H4618">
        <v>-28861589</v>
      </c>
      <c r="I4618">
        <v>-99182013</v>
      </c>
      <c r="J4618">
        <v>-57972562</v>
      </c>
      <c r="K4618">
        <v>57902616</v>
      </c>
      <c r="L4618">
        <v>1089866185</v>
      </c>
      <c r="M4618">
        <v>187730401</v>
      </c>
      <c r="N4618">
        <v>1257465974</v>
      </c>
      <c r="O4618">
        <v>421554889</v>
      </c>
      <c r="P4618">
        <v>1574</v>
      </c>
      <c r="Q4618" t="s">
        <v>9283</v>
      </c>
    </row>
    <row r="4619" spans="1:17" x14ac:dyDescent="0.3">
      <c r="A4619" t="s">
        <v>17</v>
      </c>
      <c r="B4619" t="str">
        <f>"601686"</f>
        <v>601686</v>
      </c>
      <c r="C4619" t="s">
        <v>9284</v>
      </c>
      <c r="D4619" t="s">
        <v>163</v>
      </c>
      <c r="E4619">
        <v>-1807073939</v>
      </c>
      <c r="F4619">
        <v>-1372270811</v>
      </c>
      <c r="G4619">
        <v>-1153345587</v>
      </c>
      <c r="P4619">
        <v>57</v>
      </c>
      <c r="Q4619" t="s">
        <v>9285</v>
      </c>
    </row>
    <row r="4620" spans="1:17" x14ac:dyDescent="0.3">
      <c r="A4620" t="s">
        <v>17</v>
      </c>
      <c r="B4620" t="str">
        <f>"601888"</f>
        <v>601888</v>
      </c>
      <c r="C4620" t="s">
        <v>9286</v>
      </c>
      <c r="D4620" t="s">
        <v>218</v>
      </c>
      <c r="E4620">
        <v>-1813743181</v>
      </c>
      <c r="F4620">
        <v>-179722392</v>
      </c>
      <c r="G4620">
        <v>-950022493</v>
      </c>
      <c r="H4620">
        <v>2838277959</v>
      </c>
      <c r="I4620">
        <v>2035351084</v>
      </c>
      <c r="J4620">
        <v>238704772</v>
      </c>
      <c r="K4620">
        <v>846555753</v>
      </c>
      <c r="L4620">
        <v>308705285</v>
      </c>
      <c r="M4620">
        <v>330001212</v>
      </c>
      <c r="N4620">
        <v>576940228</v>
      </c>
      <c r="O4620">
        <v>268739193</v>
      </c>
      <c r="P4620">
        <v>6133</v>
      </c>
      <c r="Q4620" t="s">
        <v>9287</v>
      </c>
    </row>
    <row r="4621" spans="1:17" x14ac:dyDescent="0.3">
      <c r="A4621" t="s">
        <v>32</v>
      </c>
      <c r="B4621" t="str">
        <f>"002929"</f>
        <v>002929</v>
      </c>
      <c r="C4621" t="s">
        <v>9288</v>
      </c>
      <c r="D4621" t="s">
        <v>57</v>
      </c>
      <c r="E4621">
        <v>-1831314854</v>
      </c>
      <c r="F4621">
        <v>-431054824</v>
      </c>
      <c r="G4621">
        <v>53862465</v>
      </c>
      <c r="H4621">
        <v>-210389303</v>
      </c>
      <c r="I4621">
        <v>-401281150</v>
      </c>
      <c r="J4621">
        <v>-396289558</v>
      </c>
      <c r="P4621">
        <v>271</v>
      </c>
      <c r="Q4621" t="s">
        <v>9289</v>
      </c>
    </row>
    <row r="4622" spans="1:17" x14ac:dyDescent="0.3">
      <c r="A4622" t="s">
        <v>17</v>
      </c>
      <c r="B4622" t="str">
        <f>"601598"</f>
        <v>601598</v>
      </c>
      <c r="C4622" t="s">
        <v>9290</v>
      </c>
      <c r="D4622" t="s">
        <v>46</v>
      </c>
      <c r="E4622">
        <v>-1836624867</v>
      </c>
      <c r="F4622">
        <v>-2419113922</v>
      </c>
      <c r="G4622">
        <v>-1206936056</v>
      </c>
      <c r="H4622">
        <v>-1459950754</v>
      </c>
      <c r="I4622">
        <v>-1741842121</v>
      </c>
      <c r="P4622">
        <v>316</v>
      </c>
      <c r="Q4622" t="s">
        <v>9291</v>
      </c>
    </row>
    <row r="4623" spans="1:17" x14ac:dyDescent="0.3">
      <c r="A4623" t="s">
        <v>17</v>
      </c>
      <c r="B4623" t="str">
        <f>"600655"</f>
        <v>600655</v>
      </c>
      <c r="C4623" t="s">
        <v>9292</v>
      </c>
      <c r="D4623" t="s">
        <v>218</v>
      </c>
      <c r="E4623">
        <v>-1838134676</v>
      </c>
      <c r="F4623">
        <v>-1181984869</v>
      </c>
      <c r="G4623">
        <v>-106702276</v>
      </c>
      <c r="H4623">
        <v>1572046004</v>
      </c>
      <c r="I4623">
        <v>-285386835</v>
      </c>
      <c r="J4623">
        <v>101734603</v>
      </c>
      <c r="K4623">
        <v>-807330539</v>
      </c>
      <c r="L4623">
        <v>-1161043771</v>
      </c>
      <c r="M4623">
        <v>307146647</v>
      </c>
      <c r="N4623">
        <v>378493815</v>
      </c>
      <c r="O4623">
        <v>862455664</v>
      </c>
      <c r="P4623">
        <v>409</v>
      </c>
      <c r="Q4623" t="s">
        <v>9293</v>
      </c>
    </row>
    <row r="4624" spans="1:17" x14ac:dyDescent="0.3">
      <c r="A4624" t="s">
        <v>32</v>
      </c>
      <c r="B4624" t="str">
        <f>"200016"</f>
        <v>200016</v>
      </c>
      <c r="C4624" t="s">
        <v>9294</v>
      </c>
      <c r="E4624">
        <v>-1849393385.062</v>
      </c>
      <c r="F4624">
        <v>-2574916468.4935002</v>
      </c>
      <c r="G4624">
        <v>-2204532408.7326002</v>
      </c>
      <c r="H4624">
        <v>-863936124.94169998</v>
      </c>
      <c r="I4624">
        <v>-1384131329.9094999</v>
      </c>
      <c r="J4624">
        <v>-1833000080.6564</v>
      </c>
      <c r="K4624">
        <v>328638862.55760002</v>
      </c>
      <c r="L4624">
        <v>254737093.75</v>
      </c>
      <c r="M4624">
        <v>475139825.30680001</v>
      </c>
      <c r="N4624">
        <v>497140418.55419999</v>
      </c>
      <c r="O4624">
        <v>517593182.49900001</v>
      </c>
      <c r="P4624">
        <v>36</v>
      </c>
      <c r="Q4624" t="s">
        <v>9295</v>
      </c>
    </row>
    <row r="4625" spans="1:17" x14ac:dyDescent="0.3">
      <c r="A4625" t="s">
        <v>17</v>
      </c>
      <c r="B4625" t="str">
        <f>"601021"</f>
        <v>601021</v>
      </c>
      <c r="C4625" t="s">
        <v>9296</v>
      </c>
      <c r="D4625" t="s">
        <v>46</v>
      </c>
      <c r="E4625">
        <v>-1851428548</v>
      </c>
      <c r="F4625">
        <v>-1193735351</v>
      </c>
      <c r="G4625">
        <v>-1982700339</v>
      </c>
      <c r="H4625">
        <v>-198170891</v>
      </c>
      <c r="I4625">
        <v>-645611774</v>
      </c>
      <c r="J4625">
        <v>-728017020</v>
      </c>
      <c r="K4625">
        <v>-589584215</v>
      </c>
      <c r="L4625">
        <v>-494499500</v>
      </c>
      <c r="M4625">
        <v>-852668100</v>
      </c>
      <c r="P4625">
        <v>1019</v>
      </c>
      <c r="Q4625" t="s">
        <v>9297</v>
      </c>
    </row>
    <row r="4626" spans="1:17" x14ac:dyDescent="0.3">
      <c r="A4626" t="s">
        <v>32</v>
      </c>
      <c r="B4626" t="str">
        <f>"002080"</f>
        <v>002080</v>
      </c>
      <c r="C4626" t="s">
        <v>9298</v>
      </c>
      <c r="D4626" t="s">
        <v>400</v>
      </c>
      <c r="E4626">
        <v>-1861630823</v>
      </c>
      <c r="F4626">
        <v>-570177080</v>
      </c>
      <c r="G4626">
        <v>-564182947</v>
      </c>
      <c r="H4626">
        <v>-943278831</v>
      </c>
      <c r="I4626">
        <v>-523230273</v>
      </c>
      <c r="J4626">
        <v>-444390122</v>
      </c>
      <c r="K4626">
        <v>-209248745</v>
      </c>
      <c r="L4626">
        <v>305109079</v>
      </c>
      <c r="M4626">
        <v>-227656841</v>
      </c>
      <c r="N4626">
        <v>-147809426</v>
      </c>
      <c r="O4626">
        <v>-276394718</v>
      </c>
      <c r="P4626">
        <v>913</v>
      </c>
      <c r="Q4626" t="s">
        <v>9299</v>
      </c>
    </row>
    <row r="4627" spans="1:17" x14ac:dyDescent="0.3">
      <c r="A4627" t="s">
        <v>17</v>
      </c>
      <c r="B4627" t="str">
        <f>"600713"</f>
        <v>600713</v>
      </c>
      <c r="C4627" t="s">
        <v>9300</v>
      </c>
      <c r="D4627" t="s">
        <v>98</v>
      </c>
      <c r="E4627">
        <v>-1891477227</v>
      </c>
      <c r="F4627">
        <v>-1766049438</v>
      </c>
      <c r="G4627">
        <v>-2006032777</v>
      </c>
      <c r="H4627">
        <v>-1704716589</v>
      </c>
      <c r="I4627">
        <v>-1253167964</v>
      </c>
      <c r="J4627">
        <v>-1033688104</v>
      </c>
      <c r="K4627">
        <v>-680082422</v>
      </c>
      <c r="L4627">
        <v>-322284640</v>
      </c>
      <c r="M4627">
        <v>-194010261</v>
      </c>
      <c r="N4627">
        <v>-103341177</v>
      </c>
      <c r="O4627">
        <v>333559605</v>
      </c>
      <c r="P4627">
        <v>188</v>
      </c>
      <c r="Q4627" t="s">
        <v>9301</v>
      </c>
    </row>
    <row r="4628" spans="1:17" x14ac:dyDescent="0.3">
      <c r="A4628" t="s">
        <v>17</v>
      </c>
      <c r="B4628" t="str">
        <f>"600536"</f>
        <v>600536</v>
      </c>
      <c r="C4628" t="s">
        <v>9302</v>
      </c>
      <c r="D4628" t="s">
        <v>342</v>
      </c>
      <c r="E4628">
        <v>-1933815350</v>
      </c>
      <c r="F4628">
        <v>-1292761589</v>
      </c>
      <c r="G4628">
        <v>-1001525540</v>
      </c>
      <c r="H4628">
        <v>-464422702</v>
      </c>
      <c r="I4628">
        <v>-581731116</v>
      </c>
      <c r="J4628">
        <v>-938355113</v>
      </c>
      <c r="K4628">
        <v>-598350850</v>
      </c>
      <c r="L4628">
        <v>-245067799</v>
      </c>
      <c r="M4628">
        <v>-413107734</v>
      </c>
      <c r="N4628">
        <v>-326050631</v>
      </c>
      <c r="O4628">
        <v>-351470526</v>
      </c>
      <c r="P4628">
        <v>623</v>
      </c>
      <c r="Q4628" t="s">
        <v>9303</v>
      </c>
    </row>
    <row r="4629" spans="1:17" x14ac:dyDescent="0.3">
      <c r="A4629" t="s">
        <v>32</v>
      </c>
      <c r="B4629" t="str">
        <f>"300498"</f>
        <v>300498</v>
      </c>
      <c r="C4629" t="s">
        <v>9304</v>
      </c>
      <c r="D4629" t="s">
        <v>175</v>
      </c>
      <c r="E4629">
        <v>-1941901613</v>
      </c>
      <c r="F4629">
        <v>-4766547780</v>
      </c>
      <c r="G4629">
        <v>285415564</v>
      </c>
      <c r="H4629">
        <v>-2140893495</v>
      </c>
      <c r="I4629">
        <v>-1276664903</v>
      </c>
      <c r="J4629">
        <v>-475831901</v>
      </c>
      <c r="K4629">
        <v>1377792464</v>
      </c>
      <c r="L4629">
        <v>-473107058</v>
      </c>
      <c r="P4629">
        <v>2457</v>
      </c>
      <c r="Q4629" t="s">
        <v>9305</v>
      </c>
    </row>
    <row r="4630" spans="1:17" x14ac:dyDescent="0.3">
      <c r="A4630" t="s">
        <v>17</v>
      </c>
      <c r="B4630" t="str">
        <f>"600801"</f>
        <v>600801</v>
      </c>
      <c r="C4630" t="s">
        <v>9306</v>
      </c>
      <c r="D4630" t="s">
        <v>400</v>
      </c>
      <c r="E4630">
        <v>-1954590284</v>
      </c>
      <c r="F4630">
        <v>-586571004</v>
      </c>
      <c r="G4630">
        <v>-374756702</v>
      </c>
      <c r="H4630">
        <v>595696015</v>
      </c>
      <c r="I4630">
        <v>171175892</v>
      </c>
      <c r="J4630">
        <v>44648008</v>
      </c>
      <c r="K4630">
        <v>54541518</v>
      </c>
      <c r="L4630">
        <v>-436279189</v>
      </c>
      <c r="M4630">
        <v>54519971</v>
      </c>
      <c r="N4630">
        <v>-261414537</v>
      </c>
      <c r="O4630">
        <v>-305134216</v>
      </c>
      <c r="P4630">
        <v>1597</v>
      </c>
      <c r="Q4630" t="s">
        <v>9307</v>
      </c>
    </row>
    <row r="4631" spans="1:17" x14ac:dyDescent="0.3">
      <c r="A4631" t="s">
        <v>17</v>
      </c>
      <c r="B4631" t="str">
        <f>"600079"</f>
        <v>600079</v>
      </c>
      <c r="C4631" t="s">
        <v>9308</v>
      </c>
      <c r="D4631" t="s">
        <v>98</v>
      </c>
      <c r="E4631">
        <v>-1959778090</v>
      </c>
      <c r="F4631">
        <v>-465769484</v>
      </c>
      <c r="G4631">
        <v>-287991011</v>
      </c>
      <c r="H4631">
        <v>-217620435</v>
      </c>
      <c r="I4631">
        <v>-834704092</v>
      </c>
      <c r="J4631">
        <v>-784989040</v>
      </c>
      <c r="K4631">
        <v>-196130508</v>
      </c>
      <c r="L4631">
        <v>-68493859</v>
      </c>
      <c r="M4631">
        <v>-26237371</v>
      </c>
      <c r="N4631">
        <v>-296035457</v>
      </c>
      <c r="O4631">
        <v>-237629982</v>
      </c>
      <c r="P4631">
        <v>942</v>
      </c>
      <c r="Q4631" t="s">
        <v>9309</v>
      </c>
    </row>
    <row r="4632" spans="1:17" x14ac:dyDescent="0.3">
      <c r="A4632" t="s">
        <v>17</v>
      </c>
      <c r="B4632" t="str">
        <f>"601886"</f>
        <v>601886</v>
      </c>
      <c r="C4632" t="s">
        <v>9310</v>
      </c>
      <c r="D4632" t="s">
        <v>645</v>
      </c>
      <c r="E4632">
        <v>-1962220236</v>
      </c>
      <c r="F4632">
        <v>-1534120332</v>
      </c>
      <c r="G4632">
        <v>-1720493874</v>
      </c>
      <c r="H4632">
        <v>-1016290860</v>
      </c>
      <c r="I4632">
        <v>-823691782</v>
      </c>
      <c r="J4632">
        <v>-404282956</v>
      </c>
      <c r="K4632">
        <v>-887068555</v>
      </c>
      <c r="L4632">
        <v>-845770912</v>
      </c>
      <c r="M4632">
        <v>-259486591</v>
      </c>
      <c r="N4632">
        <v>-917159333</v>
      </c>
      <c r="O4632">
        <v>-752535952</v>
      </c>
      <c r="P4632">
        <v>177</v>
      </c>
      <c r="Q4632" t="s">
        <v>9311</v>
      </c>
    </row>
    <row r="4633" spans="1:17" x14ac:dyDescent="0.3">
      <c r="A4633" t="s">
        <v>32</v>
      </c>
      <c r="B4633" t="str">
        <f>"000701"</f>
        <v>000701</v>
      </c>
      <c r="C4633" t="s">
        <v>9312</v>
      </c>
      <c r="D4633" t="s">
        <v>124</v>
      </c>
      <c r="E4633">
        <v>-2017409266</v>
      </c>
      <c r="F4633">
        <v>-4739864062</v>
      </c>
      <c r="G4633">
        <v>-2972335402</v>
      </c>
      <c r="H4633">
        <v>-6128695389</v>
      </c>
      <c r="I4633">
        <v>-5755327731</v>
      </c>
      <c r="J4633">
        <v>-6019125027</v>
      </c>
      <c r="K4633">
        <v>-4161414317</v>
      </c>
      <c r="L4633">
        <v>-3370132808</v>
      </c>
      <c r="M4633">
        <v>-1981509248</v>
      </c>
      <c r="N4633">
        <v>-741913833</v>
      </c>
      <c r="O4633">
        <v>-509843039</v>
      </c>
      <c r="P4633">
        <v>120</v>
      </c>
      <c r="Q4633" t="s">
        <v>9313</v>
      </c>
    </row>
    <row r="4634" spans="1:17" x14ac:dyDescent="0.3">
      <c r="A4634" t="s">
        <v>32</v>
      </c>
      <c r="B4634" t="str">
        <f>"300274"</f>
        <v>300274</v>
      </c>
      <c r="C4634" t="s">
        <v>9314</v>
      </c>
      <c r="D4634" t="s">
        <v>464</v>
      </c>
      <c r="E4634">
        <v>-2035522991</v>
      </c>
      <c r="F4634">
        <v>-2649209113</v>
      </c>
      <c r="G4634">
        <v>-971415537</v>
      </c>
      <c r="H4634">
        <v>-810510835</v>
      </c>
      <c r="I4634">
        <v>-1444960426</v>
      </c>
      <c r="J4634">
        <v>-747521079</v>
      </c>
      <c r="K4634">
        <v>-439522651</v>
      </c>
      <c r="L4634">
        <v>-173701108</v>
      </c>
      <c r="M4634">
        <v>-105931584</v>
      </c>
      <c r="N4634">
        <v>-45280231</v>
      </c>
      <c r="O4634">
        <v>-94629171</v>
      </c>
      <c r="P4634">
        <v>2195</v>
      </c>
      <c r="Q4634" t="s">
        <v>9315</v>
      </c>
    </row>
    <row r="4635" spans="1:17" x14ac:dyDescent="0.3">
      <c r="A4635" t="s">
        <v>32</v>
      </c>
      <c r="B4635" t="str">
        <f>"002670"</f>
        <v>002670</v>
      </c>
      <c r="C4635" t="s">
        <v>9316</v>
      </c>
      <c r="D4635" t="s">
        <v>26</v>
      </c>
      <c r="E4635">
        <v>-2046844782</v>
      </c>
      <c r="F4635">
        <v>1536510708</v>
      </c>
      <c r="G4635">
        <v>2723310788</v>
      </c>
      <c r="H4635">
        <v>1649080899</v>
      </c>
      <c r="I4635">
        <v>1353007021</v>
      </c>
      <c r="J4635">
        <v>711154346</v>
      </c>
      <c r="K4635">
        <v>14386778</v>
      </c>
      <c r="L4635">
        <v>16410385</v>
      </c>
      <c r="M4635">
        <v>-40172394</v>
      </c>
      <c r="N4635">
        <v>-32045472</v>
      </c>
      <c r="O4635">
        <v>-64309892</v>
      </c>
      <c r="P4635">
        <v>580</v>
      </c>
      <c r="Q4635" t="s">
        <v>9317</v>
      </c>
    </row>
    <row r="4636" spans="1:17" x14ac:dyDescent="0.3">
      <c r="A4636" t="s">
        <v>17</v>
      </c>
      <c r="B4636" t="str">
        <f>"603071"</f>
        <v>603071</v>
      </c>
      <c r="C4636" t="s">
        <v>9318</v>
      </c>
      <c r="D4636" t="s">
        <v>158</v>
      </c>
      <c r="E4636">
        <v>-2088627477</v>
      </c>
      <c r="P4636">
        <v>19</v>
      </c>
      <c r="Q4636" t="s">
        <v>9319</v>
      </c>
    </row>
    <row r="4637" spans="1:17" x14ac:dyDescent="0.3">
      <c r="A4637" t="s">
        <v>17</v>
      </c>
      <c r="B4637" t="str">
        <f>"600510"</f>
        <v>600510</v>
      </c>
      <c r="C4637" t="s">
        <v>9320</v>
      </c>
      <c r="D4637" t="s">
        <v>151</v>
      </c>
      <c r="E4637">
        <v>-2101264940</v>
      </c>
      <c r="F4637">
        <v>-1191143359</v>
      </c>
      <c r="G4637">
        <v>-222650742</v>
      </c>
      <c r="H4637">
        <v>-912512023</v>
      </c>
      <c r="I4637">
        <v>94660504</v>
      </c>
      <c r="J4637">
        <v>-279589426</v>
      </c>
      <c r="K4637">
        <v>-614803775</v>
      </c>
      <c r="L4637">
        <v>-933416362</v>
      </c>
      <c r="M4637">
        <v>-1227151056</v>
      </c>
      <c r="N4637">
        <v>-1019549919</v>
      </c>
      <c r="O4637">
        <v>-715740494</v>
      </c>
      <c r="P4637">
        <v>240</v>
      </c>
      <c r="Q4637" t="s">
        <v>9321</v>
      </c>
    </row>
    <row r="4638" spans="1:17" x14ac:dyDescent="0.3">
      <c r="A4638" t="s">
        <v>32</v>
      </c>
      <c r="B4638" t="str">
        <f>"000032"</f>
        <v>000032</v>
      </c>
      <c r="C4638" t="s">
        <v>9322</v>
      </c>
      <c r="D4638" t="s">
        <v>57</v>
      </c>
      <c r="E4638">
        <v>-2106925072</v>
      </c>
      <c r="F4638">
        <v>-24218134</v>
      </c>
      <c r="G4638">
        <v>-55708703</v>
      </c>
      <c r="H4638">
        <v>16983399</v>
      </c>
      <c r="I4638">
        <v>-5191125</v>
      </c>
      <c r="J4638">
        <v>9085485</v>
      </c>
      <c r="K4638">
        <v>-49665042</v>
      </c>
      <c r="L4638">
        <v>19568447</v>
      </c>
      <c r="M4638">
        <v>1364426</v>
      </c>
      <c r="N4638">
        <v>8223764</v>
      </c>
      <c r="O4638">
        <v>-21642757</v>
      </c>
      <c r="P4638">
        <v>121</v>
      </c>
      <c r="Q4638" t="s">
        <v>9323</v>
      </c>
    </row>
    <row r="4639" spans="1:17" x14ac:dyDescent="0.3">
      <c r="A4639" t="s">
        <v>32</v>
      </c>
      <c r="B4639" t="str">
        <f>"000828"</f>
        <v>000828</v>
      </c>
      <c r="C4639" t="s">
        <v>9324</v>
      </c>
      <c r="D4639" t="s">
        <v>46</v>
      </c>
      <c r="E4639">
        <v>-2112511636</v>
      </c>
      <c r="F4639">
        <v>-68845576</v>
      </c>
      <c r="G4639">
        <v>1450487245</v>
      </c>
      <c r="H4639">
        <v>336983484</v>
      </c>
      <c r="I4639">
        <v>77381412</v>
      </c>
      <c r="J4639">
        <v>-36286215</v>
      </c>
      <c r="K4639">
        <v>230844503</v>
      </c>
      <c r="L4639">
        <v>-593310598</v>
      </c>
      <c r="M4639">
        <v>-189526458</v>
      </c>
      <c r="N4639">
        <v>112809170</v>
      </c>
      <c r="O4639">
        <v>129532010</v>
      </c>
      <c r="P4639">
        <v>961</v>
      </c>
      <c r="Q4639" t="s">
        <v>9325</v>
      </c>
    </row>
    <row r="4640" spans="1:17" x14ac:dyDescent="0.3">
      <c r="A4640" t="s">
        <v>32</v>
      </c>
      <c r="B4640" t="str">
        <f>"002156"</f>
        <v>002156</v>
      </c>
      <c r="C4640" t="s">
        <v>9326</v>
      </c>
      <c r="D4640" t="s">
        <v>124</v>
      </c>
      <c r="E4640">
        <v>-2115640297</v>
      </c>
      <c r="F4640">
        <v>-1438040688</v>
      </c>
      <c r="G4640">
        <v>-730174074</v>
      </c>
      <c r="H4640">
        <v>-329813925</v>
      </c>
      <c r="I4640">
        <v>-654201276</v>
      </c>
      <c r="J4640">
        <v>-218340241</v>
      </c>
      <c r="K4640">
        <v>-241005952</v>
      </c>
      <c r="L4640">
        <v>-137882141</v>
      </c>
      <c r="M4640">
        <v>-12782432</v>
      </c>
      <c r="N4640">
        <v>-40362246</v>
      </c>
      <c r="O4640">
        <v>-82280909</v>
      </c>
      <c r="P4640">
        <v>771</v>
      </c>
      <c r="Q4640" t="s">
        <v>9327</v>
      </c>
    </row>
    <row r="4641" spans="1:17" x14ac:dyDescent="0.3">
      <c r="A4641" t="s">
        <v>17</v>
      </c>
      <c r="B4641" t="str">
        <f>"600100"</f>
        <v>600100</v>
      </c>
      <c r="C4641" t="s">
        <v>9328</v>
      </c>
      <c r="D4641" t="s">
        <v>342</v>
      </c>
      <c r="E4641">
        <v>-2139147879</v>
      </c>
      <c r="F4641">
        <v>-1908603703</v>
      </c>
      <c r="G4641">
        <v>-2543995408</v>
      </c>
      <c r="H4641">
        <v>-2118323554</v>
      </c>
      <c r="I4641">
        <v>-2437744934</v>
      </c>
      <c r="J4641">
        <v>-2860445223</v>
      </c>
      <c r="K4641">
        <v>-2841297170</v>
      </c>
      <c r="L4641">
        <v>-2230236100</v>
      </c>
      <c r="M4641">
        <v>-1281812461</v>
      </c>
      <c r="N4641">
        <v>-1198363035</v>
      </c>
      <c r="O4641">
        <v>-1155748315</v>
      </c>
      <c r="P4641">
        <v>321</v>
      </c>
      <c r="Q4641" t="s">
        <v>9329</v>
      </c>
    </row>
    <row r="4642" spans="1:17" x14ac:dyDescent="0.3">
      <c r="A4642" t="s">
        <v>32</v>
      </c>
      <c r="B4642" t="str">
        <f>"002221"</f>
        <v>002221</v>
      </c>
      <c r="C4642" t="s">
        <v>9330</v>
      </c>
      <c r="D4642" t="s">
        <v>64</v>
      </c>
      <c r="E4642">
        <v>-2140799034</v>
      </c>
      <c r="F4642">
        <v>-1119704776</v>
      </c>
      <c r="G4642">
        <v>-1095271814</v>
      </c>
      <c r="H4642">
        <v>-599421378</v>
      </c>
      <c r="I4642">
        <v>-512260295</v>
      </c>
      <c r="J4642">
        <v>-661810383</v>
      </c>
      <c r="K4642">
        <v>-915574559</v>
      </c>
      <c r="L4642">
        <v>-1351092420</v>
      </c>
      <c r="M4642">
        <v>512413731</v>
      </c>
      <c r="N4642">
        <v>349823806</v>
      </c>
      <c r="O4642">
        <v>-56546475</v>
      </c>
      <c r="P4642">
        <v>391</v>
      </c>
      <c r="Q4642" t="s">
        <v>9331</v>
      </c>
    </row>
    <row r="4643" spans="1:17" x14ac:dyDescent="0.3">
      <c r="A4643" t="s">
        <v>32</v>
      </c>
      <c r="B4643" t="str">
        <f>"002092"</f>
        <v>002092</v>
      </c>
      <c r="C4643" t="s">
        <v>9332</v>
      </c>
      <c r="D4643" t="s">
        <v>144</v>
      </c>
      <c r="E4643">
        <v>-2143068068</v>
      </c>
      <c r="F4643">
        <v>-203659525</v>
      </c>
      <c r="G4643">
        <v>-843374039</v>
      </c>
      <c r="H4643">
        <v>-398382759</v>
      </c>
      <c r="I4643">
        <v>-662669503</v>
      </c>
      <c r="J4643">
        <v>-1556501379</v>
      </c>
      <c r="K4643">
        <v>-515693351</v>
      </c>
      <c r="L4643">
        <v>-438934194</v>
      </c>
      <c r="M4643">
        <v>-474264084</v>
      </c>
      <c r="N4643">
        <v>67362742</v>
      </c>
      <c r="O4643">
        <v>-1199832157</v>
      </c>
      <c r="P4643">
        <v>521</v>
      </c>
      <c r="Q4643" t="s">
        <v>9333</v>
      </c>
    </row>
    <row r="4644" spans="1:17" x14ac:dyDescent="0.3">
      <c r="A4644" t="s">
        <v>32</v>
      </c>
      <c r="B4644" t="str">
        <f>"000066"</f>
        <v>000066</v>
      </c>
      <c r="C4644" t="s">
        <v>9334</v>
      </c>
      <c r="D4644" t="s">
        <v>342</v>
      </c>
      <c r="E4644">
        <v>-2165645809</v>
      </c>
      <c r="F4644">
        <v>-2009742532</v>
      </c>
      <c r="G4644">
        <v>-672795349</v>
      </c>
      <c r="H4644">
        <v>-335798834</v>
      </c>
      <c r="I4644">
        <v>-367893405</v>
      </c>
      <c r="J4644">
        <v>-607924408</v>
      </c>
      <c r="K4644">
        <v>1300114480</v>
      </c>
      <c r="L4644">
        <v>-2350248997</v>
      </c>
      <c r="M4644">
        <v>303123959</v>
      </c>
      <c r="N4644">
        <v>-510875938</v>
      </c>
      <c r="O4644">
        <v>-127063837</v>
      </c>
      <c r="P4644">
        <v>712</v>
      </c>
      <c r="Q4644" t="s">
        <v>9335</v>
      </c>
    </row>
    <row r="4645" spans="1:17" x14ac:dyDescent="0.3">
      <c r="A4645" t="s">
        <v>32</v>
      </c>
      <c r="B4645" t="str">
        <f>"002314"</f>
        <v>002314</v>
      </c>
      <c r="C4645" t="s">
        <v>9336</v>
      </c>
      <c r="D4645" t="s">
        <v>151</v>
      </c>
      <c r="E4645">
        <v>-2250360326</v>
      </c>
      <c r="F4645">
        <v>-1783075457</v>
      </c>
      <c r="G4645">
        <v>-4817451826</v>
      </c>
      <c r="H4645">
        <v>79283348</v>
      </c>
      <c r="I4645">
        <v>-1852021589</v>
      </c>
      <c r="J4645">
        <v>-471211027</v>
      </c>
      <c r="K4645">
        <v>1367065240</v>
      </c>
      <c r="L4645">
        <v>-32853587</v>
      </c>
      <c r="M4645">
        <v>-39591058</v>
      </c>
      <c r="N4645">
        <v>-9987647</v>
      </c>
      <c r="O4645">
        <v>-105093181</v>
      </c>
      <c r="P4645">
        <v>206</v>
      </c>
      <c r="Q4645" t="s">
        <v>9337</v>
      </c>
    </row>
    <row r="4646" spans="1:17" x14ac:dyDescent="0.3">
      <c r="A4646" t="s">
        <v>17</v>
      </c>
      <c r="B4646" t="str">
        <f>"605222"</f>
        <v>605222</v>
      </c>
      <c r="C4646" t="s">
        <v>9338</v>
      </c>
      <c r="D4646" t="s">
        <v>464</v>
      </c>
      <c r="E4646">
        <v>-2304326713</v>
      </c>
      <c r="F4646">
        <v>-769931260</v>
      </c>
      <c r="G4646">
        <v>-671808488</v>
      </c>
      <c r="H4646">
        <v>-356879033</v>
      </c>
      <c r="P4646">
        <v>110</v>
      </c>
      <c r="Q4646" t="s">
        <v>9339</v>
      </c>
    </row>
    <row r="4647" spans="1:17" x14ac:dyDescent="0.3">
      <c r="A4647" t="s">
        <v>17</v>
      </c>
      <c r="B4647" t="str">
        <f>"600688"</f>
        <v>600688</v>
      </c>
      <c r="C4647" t="s">
        <v>9340</v>
      </c>
      <c r="D4647" t="s">
        <v>64</v>
      </c>
      <c r="E4647">
        <v>-2348737000</v>
      </c>
      <c r="F4647">
        <v>-856976000</v>
      </c>
      <c r="G4647">
        <v>-4261394000</v>
      </c>
      <c r="H4647">
        <v>-1378721000</v>
      </c>
      <c r="I4647">
        <v>1443639000</v>
      </c>
      <c r="J4647">
        <v>2766970000</v>
      </c>
      <c r="K4647">
        <v>1765253000</v>
      </c>
      <c r="L4647">
        <v>-1169987000</v>
      </c>
      <c r="M4647">
        <v>131225000</v>
      </c>
      <c r="N4647">
        <v>2824408000</v>
      </c>
      <c r="O4647">
        <v>-3695094000</v>
      </c>
      <c r="P4647">
        <v>585</v>
      </c>
      <c r="Q4647" t="s">
        <v>9341</v>
      </c>
    </row>
    <row r="4648" spans="1:17" x14ac:dyDescent="0.3">
      <c r="A4648" t="s">
        <v>32</v>
      </c>
      <c r="B4648" t="str">
        <f>"000987"</f>
        <v>000987</v>
      </c>
      <c r="C4648" t="s">
        <v>9342</v>
      </c>
      <c r="D4648" t="s">
        <v>26</v>
      </c>
      <c r="E4648">
        <v>-2351342541</v>
      </c>
      <c r="F4648">
        <v>-383766109</v>
      </c>
      <c r="G4648">
        <v>-1429502691</v>
      </c>
      <c r="H4648">
        <v>2849177356</v>
      </c>
      <c r="I4648">
        <v>-1315394357</v>
      </c>
      <c r="J4648">
        <v>-1216308186</v>
      </c>
      <c r="K4648">
        <v>-74781637</v>
      </c>
      <c r="L4648">
        <v>-148527338</v>
      </c>
      <c r="M4648">
        <v>-175219514</v>
      </c>
      <c r="N4648">
        <v>-48535006</v>
      </c>
      <c r="O4648">
        <v>-134566056</v>
      </c>
      <c r="P4648">
        <v>520</v>
      </c>
      <c r="Q4648" t="s">
        <v>9343</v>
      </c>
    </row>
    <row r="4649" spans="1:17" x14ac:dyDescent="0.3">
      <c r="A4649" t="s">
        <v>17</v>
      </c>
      <c r="B4649" t="str">
        <f>"600939"</f>
        <v>600939</v>
      </c>
      <c r="C4649" t="s">
        <v>9344</v>
      </c>
      <c r="D4649" t="s">
        <v>645</v>
      </c>
      <c r="E4649">
        <v>-2351963382</v>
      </c>
      <c r="F4649">
        <v>-3278434040</v>
      </c>
      <c r="G4649">
        <v>-728993418</v>
      </c>
      <c r="H4649">
        <v>-1077944984</v>
      </c>
      <c r="I4649">
        <v>-988319923</v>
      </c>
      <c r="J4649">
        <v>-453190560</v>
      </c>
      <c r="K4649">
        <v>-907707277</v>
      </c>
      <c r="P4649">
        <v>125</v>
      </c>
      <c r="Q4649" t="s">
        <v>9345</v>
      </c>
    </row>
    <row r="4650" spans="1:17" x14ac:dyDescent="0.3">
      <c r="A4650" t="s">
        <v>17</v>
      </c>
      <c r="B4650" t="str">
        <f>"600970"</f>
        <v>600970</v>
      </c>
      <c r="C4650" t="s">
        <v>9346</v>
      </c>
      <c r="D4650" t="s">
        <v>645</v>
      </c>
      <c r="E4650">
        <v>-2369097572</v>
      </c>
      <c r="F4650">
        <v>-1485043645</v>
      </c>
      <c r="G4650">
        <v>-1266165055</v>
      </c>
      <c r="H4650">
        <v>-1414896439</v>
      </c>
      <c r="I4650">
        <v>-1093578463</v>
      </c>
      <c r="J4650">
        <v>99255083</v>
      </c>
      <c r="K4650">
        <v>420821413</v>
      </c>
      <c r="L4650">
        <v>-787783069</v>
      </c>
      <c r="M4650">
        <v>-1353875797</v>
      </c>
      <c r="N4650">
        <v>-710477996</v>
      </c>
      <c r="O4650">
        <v>599554593</v>
      </c>
      <c r="P4650">
        <v>853</v>
      </c>
      <c r="Q4650" t="s">
        <v>9347</v>
      </c>
    </row>
    <row r="4651" spans="1:17" x14ac:dyDescent="0.3">
      <c r="A4651" t="s">
        <v>32</v>
      </c>
      <c r="B4651" t="str">
        <f>"000553"</f>
        <v>000553</v>
      </c>
      <c r="C4651" t="s">
        <v>9348</v>
      </c>
      <c r="D4651" t="s">
        <v>144</v>
      </c>
      <c r="E4651">
        <v>-2395039000</v>
      </c>
      <c r="F4651">
        <v>-1416807000</v>
      </c>
      <c r="G4651">
        <v>-732632000</v>
      </c>
      <c r="H4651">
        <v>-1546150000</v>
      </c>
      <c r="I4651">
        <v>-177775000</v>
      </c>
      <c r="J4651">
        <v>-13713561</v>
      </c>
      <c r="K4651">
        <v>-32279340</v>
      </c>
      <c r="L4651">
        <v>-107144211</v>
      </c>
      <c r="M4651">
        <v>28783182</v>
      </c>
      <c r="N4651">
        <v>32346208</v>
      </c>
      <c r="O4651">
        <v>-46769956</v>
      </c>
      <c r="P4651">
        <v>227</v>
      </c>
      <c r="Q4651" t="s">
        <v>9349</v>
      </c>
    </row>
    <row r="4652" spans="1:17" x14ac:dyDescent="0.3">
      <c r="A4652" t="s">
        <v>17</v>
      </c>
      <c r="B4652" t="str">
        <f>"600967"</f>
        <v>600967</v>
      </c>
      <c r="C4652" t="s">
        <v>9350</v>
      </c>
      <c r="D4652" t="s">
        <v>188</v>
      </c>
      <c r="E4652">
        <v>-2427727845</v>
      </c>
      <c r="F4652">
        <v>262292737</v>
      </c>
      <c r="G4652">
        <v>-303340761</v>
      </c>
      <c r="H4652">
        <v>828626479</v>
      </c>
      <c r="I4652">
        <v>1184722069</v>
      </c>
      <c r="J4652">
        <v>618604039</v>
      </c>
      <c r="K4652">
        <v>-36267682</v>
      </c>
      <c r="L4652">
        <v>-266286998</v>
      </c>
      <c r="M4652">
        <v>-371872838</v>
      </c>
      <c r="N4652">
        <v>94830498</v>
      </c>
      <c r="O4652">
        <v>-195625916</v>
      </c>
      <c r="P4652">
        <v>286</v>
      </c>
      <c r="Q4652" t="s">
        <v>9351</v>
      </c>
    </row>
    <row r="4653" spans="1:17" x14ac:dyDescent="0.3">
      <c r="A4653" t="s">
        <v>32</v>
      </c>
      <c r="B4653" t="str">
        <f>"000402"</f>
        <v>000402</v>
      </c>
      <c r="C4653" t="s">
        <v>9352</v>
      </c>
      <c r="D4653" t="s">
        <v>151</v>
      </c>
      <c r="E4653">
        <v>-2431482379</v>
      </c>
      <c r="F4653">
        <v>4604695791</v>
      </c>
      <c r="G4653">
        <v>-4602151299</v>
      </c>
      <c r="H4653">
        <v>2106423899</v>
      </c>
      <c r="I4653">
        <v>-7643934883</v>
      </c>
      <c r="J4653">
        <v>904307044</v>
      </c>
      <c r="K4653">
        <v>-902953566</v>
      </c>
      <c r="L4653">
        <v>-4324294751</v>
      </c>
      <c r="M4653">
        <v>-2008437170</v>
      </c>
      <c r="N4653">
        <v>-83371358</v>
      </c>
      <c r="O4653">
        <v>-388342126</v>
      </c>
      <c r="P4653">
        <v>974</v>
      </c>
      <c r="Q4653" t="s">
        <v>9353</v>
      </c>
    </row>
    <row r="4654" spans="1:17" x14ac:dyDescent="0.3">
      <c r="A4654" t="s">
        <v>32</v>
      </c>
      <c r="B4654" t="str">
        <f>"000938"</f>
        <v>000938</v>
      </c>
      <c r="C4654" t="s">
        <v>9354</v>
      </c>
      <c r="D4654" t="s">
        <v>342</v>
      </c>
      <c r="E4654">
        <v>-2445294268</v>
      </c>
      <c r="F4654">
        <v>-960233010</v>
      </c>
      <c r="G4654">
        <v>-2587933419</v>
      </c>
      <c r="H4654">
        <v>-3621891344</v>
      </c>
      <c r="I4654">
        <v>34953164</v>
      </c>
      <c r="J4654">
        <v>-747343239</v>
      </c>
      <c r="K4654">
        <v>-395662869</v>
      </c>
      <c r="L4654">
        <v>-538930725</v>
      </c>
      <c r="M4654">
        <v>-513374107</v>
      </c>
      <c r="N4654">
        <v>-434210863</v>
      </c>
      <c r="O4654">
        <v>-366854761</v>
      </c>
      <c r="P4654">
        <v>3895</v>
      </c>
      <c r="Q4654" t="s">
        <v>9355</v>
      </c>
    </row>
    <row r="4655" spans="1:17" x14ac:dyDescent="0.3">
      <c r="A4655" t="s">
        <v>17</v>
      </c>
      <c r="B4655" t="str">
        <f>"600150"</f>
        <v>600150</v>
      </c>
      <c r="C4655" t="s">
        <v>9356</v>
      </c>
      <c r="D4655" t="s">
        <v>188</v>
      </c>
      <c r="E4655">
        <v>-2445796563</v>
      </c>
      <c r="F4655">
        <v>446718103</v>
      </c>
      <c r="G4655">
        <v>-4853603295</v>
      </c>
      <c r="H4655">
        <v>13531633</v>
      </c>
      <c r="I4655">
        <v>18276424</v>
      </c>
      <c r="J4655">
        <v>-426063061</v>
      </c>
      <c r="K4655">
        <v>-1963722356</v>
      </c>
      <c r="L4655">
        <v>-979402300</v>
      </c>
      <c r="M4655">
        <v>380339748</v>
      </c>
      <c r="N4655">
        <v>-870738907</v>
      </c>
      <c r="O4655">
        <v>-1741163383</v>
      </c>
      <c r="P4655">
        <v>469</v>
      </c>
      <c r="Q4655" t="s">
        <v>9357</v>
      </c>
    </row>
    <row r="4656" spans="1:17" x14ac:dyDescent="0.3">
      <c r="A4656" t="s">
        <v>17</v>
      </c>
      <c r="B4656" t="str">
        <f>"688599"</f>
        <v>688599</v>
      </c>
      <c r="C4656" t="s">
        <v>9358</v>
      </c>
      <c r="D4656" t="s">
        <v>464</v>
      </c>
      <c r="E4656">
        <v>-2464173868</v>
      </c>
      <c r="F4656">
        <v>-4152433449</v>
      </c>
      <c r="G4656">
        <v>-538890644</v>
      </c>
      <c r="P4656">
        <v>371</v>
      </c>
      <c r="Q4656" t="s">
        <v>9359</v>
      </c>
    </row>
    <row r="4657" spans="1:17" x14ac:dyDescent="0.3">
      <c r="A4657" t="s">
        <v>17</v>
      </c>
      <c r="B4657" t="str">
        <f>"600853"</f>
        <v>600853</v>
      </c>
      <c r="C4657" t="s">
        <v>9360</v>
      </c>
      <c r="D4657" t="s">
        <v>645</v>
      </c>
      <c r="E4657">
        <v>-2468499942</v>
      </c>
      <c r="F4657">
        <v>-1658506424</v>
      </c>
      <c r="G4657">
        <v>-269533210</v>
      </c>
      <c r="H4657">
        <v>-632806990</v>
      </c>
      <c r="I4657">
        <v>-193103789</v>
      </c>
      <c r="J4657">
        <v>-587046016</v>
      </c>
      <c r="K4657">
        <v>-547161996</v>
      </c>
      <c r="L4657">
        <v>-129017232</v>
      </c>
      <c r="M4657">
        <v>-327020040</v>
      </c>
      <c r="N4657">
        <v>78041225</v>
      </c>
      <c r="O4657">
        <v>2770363</v>
      </c>
      <c r="P4657">
        <v>94</v>
      </c>
      <c r="Q4657" t="s">
        <v>9361</v>
      </c>
    </row>
    <row r="4658" spans="1:17" x14ac:dyDescent="0.3">
      <c r="A4658" t="s">
        <v>17</v>
      </c>
      <c r="B4658" t="str">
        <f>"600362"</f>
        <v>600362</v>
      </c>
      <c r="C4658" t="s">
        <v>9362</v>
      </c>
      <c r="D4658" t="s">
        <v>121</v>
      </c>
      <c r="E4658">
        <v>-2480384037</v>
      </c>
      <c r="F4658">
        <v>-2298277024</v>
      </c>
      <c r="G4658">
        <v>-98282803</v>
      </c>
      <c r="H4658">
        <v>357325197</v>
      </c>
      <c r="I4658">
        <v>296477507</v>
      </c>
      <c r="J4658">
        <v>347413453</v>
      </c>
      <c r="K4658">
        <v>381424533</v>
      </c>
      <c r="L4658">
        <v>-129914682</v>
      </c>
      <c r="M4658">
        <v>71256241</v>
      </c>
      <c r="N4658">
        <v>680681464</v>
      </c>
      <c r="O4658">
        <v>702664885</v>
      </c>
      <c r="P4658">
        <v>911</v>
      </c>
      <c r="Q4658" t="s">
        <v>9363</v>
      </c>
    </row>
    <row r="4659" spans="1:17" x14ac:dyDescent="0.3">
      <c r="A4659" t="s">
        <v>32</v>
      </c>
      <c r="B4659" t="str">
        <f>"000090"</f>
        <v>000090</v>
      </c>
      <c r="C4659" t="s">
        <v>9364</v>
      </c>
      <c r="D4659" t="s">
        <v>151</v>
      </c>
      <c r="E4659">
        <v>-2484664209</v>
      </c>
      <c r="F4659">
        <v>1707195646</v>
      </c>
      <c r="G4659">
        <v>-1334310901</v>
      </c>
      <c r="H4659">
        <v>-17420231</v>
      </c>
      <c r="I4659">
        <v>-82378967</v>
      </c>
      <c r="J4659">
        <v>-365469498</v>
      </c>
      <c r="K4659">
        <v>-238969860</v>
      </c>
      <c r="L4659">
        <v>-235282608</v>
      </c>
      <c r="M4659">
        <v>-500236009</v>
      </c>
      <c r="N4659">
        <v>-191782891</v>
      </c>
      <c r="O4659">
        <v>-78254329</v>
      </c>
      <c r="P4659">
        <v>424</v>
      </c>
      <c r="Q4659" t="s">
        <v>9365</v>
      </c>
    </row>
    <row r="4660" spans="1:17" x14ac:dyDescent="0.3">
      <c r="A4660" t="s">
        <v>17</v>
      </c>
      <c r="B4660" t="str">
        <f>"600522"</f>
        <v>600522</v>
      </c>
      <c r="C4660" t="s">
        <v>9366</v>
      </c>
      <c r="D4660" t="s">
        <v>57</v>
      </c>
      <c r="E4660">
        <v>-2556364024</v>
      </c>
      <c r="F4660">
        <v>-1882654866</v>
      </c>
      <c r="G4660">
        <v>-2702609220</v>
      </c>
      <c r="H4660">
        <v>-1711159112</v>
      </c>
      <c r="I4660">
        <v>-1063844824</v>
      </c>
      <c r="J4660">
        <v>-1757429876</v>
      </c>
      <c r="K4660">
        <v>-855556171</v>
      </c>
      <c r="L4660">
        <v>30855043</v>
      </c>
      <c r="M4660">
        <v>82861135</v>
      </c>
      <c r="N4660">
        <v>-226238234</v>
      </c>
      <c r="O4660">
        <v>-181540447</v>
      </c>
      <c r="P4660">
        <v>1221</v>
      </c>
      <c r="Q4660" t="s">
        <v>9367</v>
      </c>
    </row>
    <row r="4661" spans="1:17" x14ac:dyDescent="0.3">
      <c r="A4661" t="s">
        <v>17</v>
      </c>
      <c r="B4661" t="str">
        <f>"600760"</f>
        <v>600760</v>
      </c>
      <c r="C4661" t="s">
        <v>9368</v>
      </c>
      <c r="D4661" t="s">
        <v>188</v>
      </c>
      <c r="E4661">
        <v>-2620134618</v>
      </c>
      <c r="F4661">
        <v>-1925333422</v>
      </c>
      <c r="G4661">
        <v>-560636478</v>
      </c>
      <c r="H4661">
        <v>149875955</v>
      </c>
      <c r="I4661">
        <v>-227210866</v>
      </c>
      <c r="J4661">
        <v>15366364</v>
      </c>
      <c r="K4661">
        <v>-1096956</v>
      </c>
      <c r="L4661">
        <v>88684470</v>
      </c>
      <c r="M4661">
        <v>-44902479</v>
      </c>
      <c r="N4661">
        <v>-5236056</v>
      </c>
      <c r="O4661">
        <v>-60429766</v>
      </c>
      <c r="P4661">
        <v>828</v>
      </c>
      <c r="Q4661" t="s">
        <v>9369</v>
      </c>
    </row>
    <row r="4662" spans="1:17" x14ac:dyDescent="0.3">
      <c r="A4662" t="s">
        <v>17</v>
      </c>
      <c r="B4662" t="str">
        <f>"600710"</f>
        <v>600710</v>
      </c>
      <c r="C4662" t="s">
        <v>9370</v>
      </c>
      <c r="D4662" t="s">
        <v>218</v>
      </c>
      <c r="E4662">
        <v>-2634367764</v>
      </c>
      <c r="F4662">
        <v>-5097418210</v>
      </c>
      <c r="G4662">
        <v>-3726985349</v>
      </c>
      <c r="H4662">
        <v>1383908110</v>
      </c>
      <c r="I4662">
        <v>-605416558</v>
      </c>
      <c r="J4662">
        <v>-2131161314</v>
      </c>
      <c r="K4662">
        <v>-38859632</v>
      </c>
      <c r="L4662">
        <v>-52588603</v>
      </c>
      <c r="M4662">
        <v>-124923607</v>
      </c>
      <c r="N4662">
        <v>-39294255</v>
      </c>
      <c r="O4662">
        <v>-36961134</v>
      </c>
      <c r="P4662">
        <v>166</v>
      </c>
      <c r="Q4662" t="s">
        <v>9371</v>
      </c>
    </row>
    <row r="4663" spans="1:17" x14ac:dyDescent="0.3">
      <c r="A4663" t="s">
        <v>32</v>
      </c>
      <c r="B4663" t="str">
        <f>"300769"</f>
        <v>300769</v>
      </c>
      <c r="C4663" t="s">
        <v>9372</v>
      </c>
      <c r="D4663" t="s">
        <v>464</v>
      </c>
      <c r="E4663">
        <v>-2636332632</v>
      </c>
      <c r="F4663">
        <v>-541879173</v>
      </c>
      <c r="G4663">
        <v>-119958856</v>
      </c>
      <c r="H4663">
        <v>-6414980</v>
      </c>
      <c r="I4663">
        <v>31710051</v>
      </c>
      <c r="P4663">
        <v>325</v>
      </c>
      <c r="Q4663" t="s">
        <v>9373</v>
      </c>
    </row>
    <row r="4664" spans="1:17" x14ac:dyDescent="0.3">
      <c r="A4664" t="s">
        <v>17</v>
      </c>
      <c r="B4664" t="str">
        <f>"603993"</f>
        <v>603993</v>
      </c>
      <c r="C4664" t="s">
        <v>9374</v>
      </c>
      <c r="D4664" t="s">
        <v>121</v>
      </c>
      <c r="E4664">
        <v>-2658733291</v>
      </c>
      <c r="F4664">
        <v>1887301275</v>
      </c>
      <c r="G4664">
        <v>5387788279</v>
      </c>
      <c r="H4664">
        <v>-20711017</v>
      </c>
      <c r="I4664">
        <v>2293397000</v>
      </c>
      <c r="J4664">
        <v>1271656351</v>
      </c>
      <c r="K4664">
        <v>195407738</v>
      </c>
      <c r="L4664">
        <v>-139151383</v>
      </c>
      <c r="M4664">
        <v>380113119</v>
      </c>
      <c r="N4664">
        <v>230955999</v>
      </c>
      <c r="O4664">
        <v>493599498</v>
      </c>
      <c r="P4664">
        <v>1124</v>
      </c>
      <c r="Q4664" t="s">
        <v>9375</v>
      </c>
    </row>
    <row r="4665" spans="1:17" x14ac:dyDescent="0.3">
      <c r="A4665" t="s">
        <v>17</v>
      </c>
      <c r="B4665" t="str">
        <f>"600498"</f>
        <v>600498</v>
      </c>
      <c r="C4665" t="s">
        <v>9376</v>
      </c>
      <c r="D4665" t="s">
        <v>57</v>
      </c>
      <c r="E4665">
        <v>-2695719229</v>
      </c>
      <c r="F4665">
        <v>-2307656751</v>
      </c>
      <c r="G4665">
        <v>-3609368803</v>
      </c>
      <c r="H4665">
        <v>-2051553464</v>
      </c>
      <c r="I4665">
        <v>-3172864078</v>
      </c>
      <c r="J4665">
        <v>-2294911972</v>
      </c>
      <c r="K4665">
        <v>-2201081898</v>
      </c>
      <c r="L4665">
        <v>-961224724</v>
      </c>
      <c r="M4665">
        <v>-778134440</v>
      </c>
      <c r="N4665">
        <v>-1272461178</v>
      </c>
      <c r="O4665">
        <v>-1049314680</v>
      </c>
      <c r="P4665">
        <v>853</v>
      </c>
      <c r="Q4665" t="s">
        <v>9377</v>
      </c>
    </row>
    <row r="4666" spans="1:17" x14ac:dyDescent="0.3">
      <c r="A4666" t="s">
        <v>17</v>
      </c>
      <c r="B4666" t="str">
        <f>"600841"</f>
        <v>600841</v>
      </c>
      <c r="C4666" t="s">
        <v>9378</v>
      </c>
      <c r="D4666" t="s">
        <v>199</v>
      </c>
      <c r="E4666">
        <v>-2700175306</v>
      </c>
      <c r="F4666">
        <v>-270824425</v>
      </c>
      <c r="G4666">
        <v>-194051610</v>
      </c>
      <c r="H4666">
        <v>-165558361</v>
      </c>
      <c r="I4666">
        <v>-23647976</v>
      </c>
      <c r="J4666">
        <v>-114602802</v>
      </c>
      <c r="K4666">
        <v>-177131396</v>
      </c>
      <c r="L4666">
        <v>302358</v>
      </c>
      <c r="M4666">
        <v>-229814979</v>
      </c>
      <c r="N4666">
        <v>-247849015</v>
      </c>
      <c r="O4666">
        <v>-231914361</v>
      </c>
      <c r="P4666">
        <v>88</v>
      </c>
      <c r="Q4666" t="s">
        <v>9379</v>
      </c>
    </row>
    <row r="4667" spans="1:17" x14ac:dyDescent="0.3">
      <c r="A4667" t="s">
        <v>17</v>
      </c>
      <c r="B4667" t="str">
        <f>"688660"</f>
        <v>688660</v>
      </c>
      <c r="C4667" t="s">
        <v>9380</v>
      </c>
      <c r="D4667" t="s">
        <v>464</v>
      </c>
      <c r="E4667">
        <v>-2709358426</v>
      </c>
      <c r="F4667">
        <v>-1910617679</v>
      </c>
      <c r="G4667">
        <v>521902273</v>
      </c>
      <c r="P4667">
        <v>54</v>
      </c>
      <c r="Q4667" t="s">
        <v>9381</v>
      </c>
    </row>
    <row r="4668" spans="1:17" x14ac:dyDescent="0.3">
      <c r="A4668" t="s">
        <v>32</v>
      </c>
      <c r="B4668" t="str">
        <f>"002302"</f>
        <v>002302</v>
      </c>
      <c r="C4668" t="s">
        <v>9382</v>
      </c>
      <c r="D4668" t="s">
        <v>400</v>
      </c>
      <c r="E4668">
        <v>-2714268032</v>
      </c>
      <c r="F4668">
        <v>-2121035969</v>
      </c>
      <c r="G4668">
        <v>-1859755787</v>
      </c>
      <c r="H4668">
        <v>-1141483048</v>
      </c>
      <c r="I4668">
        <v>-1936778821</v>
      </c>
      <c r="J4668">
        <v>-1535630681</v>
      </c>
      <c r="K4668">
        <v>-1011983716</v>
      </c>
      <c r="L4668">
        <v>-700014296</v>
      </c>
      <c r="M4668">
        <v>-450887514</v>
      </c>
      <c r="N4668">
        <v>-559886582</v>
      </c>
      <c r="O4668">
        <v>-73650758</v>
      </c>
      <c r="P4668">
        <v>201</v>
      </c>
      <c r="Q4668" t="s">
        <v>9383</v>
      </c>
    </row>
    <row r="4669" spans="1:17" x14ac:dyDescent="0.3">
      <c r="A4669" t="s">
        <v>32</v>
      </c>
      <c r="B4669" t="str">
        <f>"000059"</f>
        <v>000059</v>
      </c>
      <c r="C4669" t="s">
        <v>9384</v>
      </c>
      <c r="D4669" t="s">
        <v>64</v>
      </c>
      <c r="E4669">
        <v>-2717026380</v>
      </c>
      <c r="F4669">
        <v>-1157029154</v>
      </c>
      <c r="G4669">
        <v>-3414095453</v>
      </c>
      <c r="H4669">
        <v>-893204257</v>
      </c>
      <c r="I4669">
        <v>-1784909724</v>
      </c>
      <c r="J4669">
        <v>-766833225</v>
      </c>
      <c r="K4669">
        <v>939107223</v>
      </c>
      <c r="L4669">
        <v>2542931737</v>
      </c>
      <c r="M4669">
        <v>-2116310891</v>
      </c>
      <c r="N4669">
        <v>-798532883</v>
      </c>
      <c r="O4669">
        <v>1692320937</v>
      </c>
      <c r="P4669">
        <v>387</v>
      </c>
      <c r="Q4669" t="s">
        <v>9385</v>
      </c>
    </row>
    <row r="4670" spans="1:17" x14ac:dyDescent="0.3">
      <c r="A4670" t="s">
        <v>17</v>
      </c>
      <c r="B4670" t="str">
        <f>"600143"</f>
        <v>600143</v>
      </c>
      <c r="C4670" t="s">
        <v>9386</v>
      </c>
      <c r="D4670" t="s">
        <v>144</v>
      </c>
      <c r="E4670">
        <v>-2729216775</v>
      </c>
      <c r="F4670">
        <v>-1217982383</v>
      </c>
      <c r="G4670">
        <v>251569203</v>
      </c>
      <c r="H4670">
        <v>573346083</v>
      </c>
      <c r="I4670">
        <v>-307921557</v>
      </c>
      <c r="J4670">
        <v>-1458365126</v>
      </c>
      <c r="K4670">
        <v>-149308119</v>
      </c>
      <c r="L4670">
        <v>-182251510</v>
      </c>
      <c r="M4670">
        <v>-234904638</v>
      </c>
      <c r="N4670">
        <v>-124502993</v>
      </c>
      <c r="O4670">
        <v>7225566</v>
      </c>
      <c r="P4670">
        <v>1349</v>
      </c>
      <c r="Q4670" t="s">
        <v>9387</v>
      </c>
    </row>
    <row r="4671" spans="1:17" x14ac:dyDescent="0.3">
      <c r="A4671" t="s">
        <v>17</v>
      </c>
      <c r="B4671" t="str">
        <f>"601877"</f>
        <v>601877</v>
      </c>
      <c r="C4671" t="s">
        <v>9388</v>
      </c>
      <c r="D4671" t="s">
        <v>464</v>
      </c>
      <c r="E4671">
        <v>-2770976599</v>
      </c>
      <c r="F4671">
        <v>-2522869183</v>
      </c>
      <c r="G4671">
        <v>-2494590130</v>
      </c>
      <c r="H4671">
        <v>-939096700</v>
      </c>
      <c r="I4671">
        <v>-421079049</v>
      </c>
      <c r="J4671">
        <v>-1237658841</v>
      </c>
      <c r="K4671">
        <v>355806966</v>
      </c>
      <c r="L4671">
        <v>34784330</v>
      </c>
      <c r="M4671">
        <v>-369061350</v>
      </c>
      <c r="N4671">
        <v>-759189465</v>
      </c>
      <c r="O4671">
        <v>-9654588</v>
      </c>
      <c r="P4671">
        <v>34818</v>
      </c>
      <c r="Q4671" t="s">
        <v>9389</v>
      </c>
    </row>
    <row r="4672" spans="1:17" x14ac:dyDescent="0.3">
      <c r="A4672" t="s">
        <v>32</v>
      </c>
      <c r="B4672" t="str">
        <f>"002236"</f>
        <v>002236</v>
      </c>
      <c r="C4672" t="s">
        <v>9390</v>
      </c>
      <c r="D4672" t="s">
        <v>342</v>
      </c>
      <c r="E4672">
        <v>-2792448972</v>
      </c>
      <c r="F4672">
        <v>-1624181194</v>
      </c>
      <c r="G4672">
        <v>-1317741308</v>
      </c>
      <c r="H4672">
        <v>-1859901688</v>
      </c>
      <c r="I4672">
        <v>-1387173339</v>
      </c>
      <c r="J4672">
        <v>-1488914046</v>
      </c>
      <c r="K4672">
        <v>-843986134</v>
      </c>
      <c r="L4672">
        <v>-665930506</v>
      </c>
      <c r="M4672">
        <v>-703297789</v>
      </c>
      <c r="N4672">
        <v>-260627787</v>
      </c>
      <c r="O4672">
        <v>-256374596</v>
      </c>
      <c r="P4672">
        <v>32898</v>
      </c>
      <c r="Q4672" t="s">
        <v>9391</v>
      </c>
    </row>
    <row r="4673" spans="1:17" x14ac:dyDescent="0.3">
      <c r="A4673" t="s">
        <v>32</v>
      </c>
      <c r="B4673" t="str">
        <f>"000666"</f>
        <v>000666</v>
      </c>
      <c r="C4673" t="s">
        <v>9392</v>
      </c>
      <c r="D4673" t="s">
        <v>26</v>
      </c>
      <c r="E4673">
        <v>-2801556885</v>
      </c>
      <c r="F4673">
        <v>-7370457706</v>
      </c>
      <c r="G4673">
        <v>-4188039397</v>
      </c>
      <c r="H4673">
        <v>-3119138922</v>
      </c>
      <c r="I4673">
        <v>-1180809073</v>
      </c>
      <c r="J4673">
        <v>-2148514004</v>
      </c>
      <c r="K4673">
        <v>-1677010262</v>
      </c>
      <c r="L4673">
        <v>176103774</v>
      </c>
      <c r="M4673">
        <v>450046792</v>
      </c>
      <c r="N4673">
        <v>464148123</v>
      </c>
      <c r="O4673">
        <v>403384260</v>
      </c>
      <c r="P4673">
        <v>186</v>
      </c>
      <c r="Q4673" t="s">
        <v>9393</v>
      </c>
    </row>
    <row r="4674" spans="1:17" x14ac:dyDescent="0.3">
      <c r="A4674" t="s">
        <v>17</v>
      </c>
      <c r="B4674" t="str">
        <f>"601808"</f>
        <v>601808</v>
      </c>
      <c r="C4674" t="s">
        <v>9394</v>
      </c>
      <c r="D4674" t="s">
        <v>64</v>
      </c>
      <c r="E4674">
        <v>-2817399451</v>
      </c>
      <c r="F4674">
        <v>-1567103492</v>
      </c>
      <c r="G4674">
        <v>929476546</v>
      </c>
      <c r="H4674">
        <v>-641512170</v>
      </c>
      <c r="I4674">
        <v>-1025145490</v>
      </c>
      <c r="J4674">
        <v>-758881673</v>
      </c>
      <c r="K4674">
        <v>316666867</v>
      </c>
      <c r="L4674">
        <v>-1211381590</v>
      </c>
      <c r="M4674">
        <v>-780851994</v>
      </c>
      <c r="N4674">
        <v>-606290476</v>
      </c>
      <c r="O4674">
        <v>928955262</v>
      </c>
      <c r="P4674">
        <v>411</v>
      </c>
      <c r="Q4674" t="s">
        <v>9395</v>
      </c>
    </row>
    <row r="4675" spans="1:17" x14ac:dyDescent="0.3">
      <c r="A4675" t="s">
        <v>32</v>
      </c>
      <c r="B4675" t="str">
        <f>"000800"</f>
        <v>000800</v>
      </c>
      <c r="C4675" t="s">
        <v>9396</v>
      </c>
      <c r="D4675" t="s">
        <v>199</v>
      </c>
      <c r="E4675">
        <v>-2825109548</v>
      </c>
      <c r="F4675">
        <v>3501608134</v>
      </c>
      <c r="G4675">
        <v>-2431081135</v>
      </c>
      <c r="H4675">
        <v>-45330782</v>
      </c>
      <c r="I4675">
        <v>511864425</v>
      </c>
      <c r="J4675">
        <v>463198551</v>
      </c>
      <c r="K4675">
        <v>-725431835</v>
      </c>
      <c r="L4675">
        <v>58891592</v>
      </c>
      <c r="M4675">
        <v>-11074897</v>
      </c>
      <c r="N4675">
        <v>-463637940</v>
      </c>
      <c r="O4675">
        <v>-8427715</v>
      </c>
      <c r="P4675">
        <v>446</v>
      </c>
      <c r="Q4675" t="s">
        <v>9397</v>
      </c>
    </row>
    <row r="4676" spans="1:17" x14ac:dyDescent="0.3">
      <c r="A4676" t="s">
        <v>17</v>
      </c>
      <c r="B4676" t="str">
        <f>"600998"</f>
        <v>600998</v>
      </c>
      <c r="C4676" t="s">
        <v>9398</v>
      </c>
      <c r="D4676" t="s">
        <v>98</v>
      </c>
      <c r="E4676">
        <v>-2830735821</v>
      </c>
      <c r="F4676">
        <v>-2765654702</v>
      </c>
      <c r="G4676">
        <v>-2790219911</v>
      </c>
      <c r="H4676">
        <v>-3562514301</v>
      </c>
      <c r="I4676">
        <v>-4718232399</v>
      </c>
      <c r="J4676">
        <v>-2884431076</v>
      </c>
      <c r="K4676">
        <v>-3825845270</v>
      </c>
      <c r="L4676">
        <v>-2646013739</v>
      </c>
      <c r="M4676">
        <v>-2468723779</v>
      </c>
      <c r="N4676">
        <v>-1057495442</v>
      </c>
      <c r="O4676">
        <v>-1074800521</v>
      </c>
      <c r="P4676">
        <v>612</v>
      </c>
      <c r="Q4676" t="s">
        <v>9399</v>
      </c>
    </row>
    <row r="4677" spans="1:17" x14ac:dyDescent="0.3">
      <c r="A4677" t="s">
        <v>17</v>
      </c>
      <c r="B4677" t="str">
        <f>"601068"</f>
        <v>601068</v>
      </c>
      <c r="C4677" t="s">
        <v>9400</v>
      </c>
      <c r="D4677" t="s">
        <v>645</v>
      </c>
      <c r="E4677">
        <v>-2870866672</v>
      </c>
      <c r="F4677">
        <v>-2025655129</v>
      </c>
      <c r="G4677">
        <v>-2657389280</v>
      </c>
      <c r="H4677">
        <v>-1341804033</v>
      </c>
      <c r="I4677">
        <v>-1294241590</v>
      </c>
      <c r="J4677">
        <v>-1134426800</v>
      </c>
      <c r="P4677">
        <v>109</v>
      </c>
      <c r="Q4677" t="s">
        <v>9401</v>
      </c>
    </row>
    <row r="4678" spans="1:17" x14ac:dyDescent="0.3">
      <c r="A4678" t="s">
        <v>17</v>
      </c>
      <c r="B4678" t="str">
        <f>"600029"</f>
        <v>600029</v>
      </c>
      <c r="C4678" t="s">
        <v>9402</v>
      </c>
      <c r="D4678" t="s">
        <v>46</v>
      </c>
      <c r="E4678">
        <v>-2907000000</v>
      </c>
      <c r="F4678">
        <v>-3779000000</v>
      </c>
      <c r="G4678">
        <v>-9324000000</v>
      </c>
      <c r="H4678">
        <v>192000000</v>
      </c>
      <c r="I4678">
        <v>3340000000</v>
      </c>
      <c r="J4678">
        <v>2337000000</v>
      </c>
      <c r="K4678">
        <v>2302000000</v>
      </c>
      <c r="L4678">
        <v>1518000000</v>
      </c>
      <c r="M4678">
        <v>-1987000000</v>
      </c>
      <c r="N4678">
        <v>273000000</v>
      </c>
      <c r="O4678">
        <v>-3370000000</v>
      </c>
      <c r="P4678">
        <v>1137</v>
      </c>
      <c r="Q4678" t="s">
        <v>9403</v>
      </c>
    </row>
    <row r="4679" spans="1:17" x14ac:dyDescent="0.3">
      <c r="A4679" t="s">
        <v>17</v>
      </c>
      <c r="B4679" t="str">
        <f>"601236"</f>
        <v>601236</v>
      </c>
      <c r="C4679" t="s">
        <v>9404</v>
      </c>
      <c r="D4679" t="s">
        <v>26</v>
      </c>
      <c r="E4679">
        <v>-2907500363</v>
      </c>
      <c r="F4679">
        <v>1917613351</v>
      </c>
      <c r="G4679">
        <v>-233066905</v>
      </c>
      <c r="H4679">
        <v>-1988416000</v>
      </c>
      <c r="I4679">
        <v>-1532524100</v>
      </c>
      <c r="P4679">
        <v>879</v>
      </c>
      <c r="Q4679" t="s">
        <v>9405</v>
      </c>
    </row>
    <row r="4680" spans="1:17" x14ac:dyDescent="0.3">
      <c r="A4680" t="s">
        <v>32</v>
      </c>
      <c r="B4680" t="str">
        <f>"002311"</f>
        <v>002311</v>
      </c>
      <c r="C4680" t="s">
        <v>9406</v>
      </c>
      <c r="D4680" t="s">
        <v>175</v>
      </c>
      <c r="E4680">
        <v>-2915264625</v>
      </c>
      <c r="F4680">
        <v>-1912602325</v>
      </c>
      <c r="G4680">
        <v>-866836877</v>
      </c>
      <c r="H4680">
        <v>-1215192388</v>
      </c>
      <c r="I4680">
        <v>-250838108</v>
      </c>
      <c r="J4680">
        <v>-527790225</v>
      </c>
      <c r="K4680">
        <v>292883034</v>
      </c>
      <c r="L4680">
        <v>-124911132</v>
      </c>
      <c r="M4680">
        <v>888480263</v>
      </c>
      <c r="N4680">
        <v>-2071127</v>
      </c>
      <c r="O4680">
        <v>103745713</v>
      </c>
      <c r="P4680">
        <v>1933</v>
      </c>
      <c r="Q4680" t="s">
        <v>9407</v>
      </c>
    </row>
    <row r="4681" spans="1:17" x14ac:dyDescent="0.3">
      <c r="A4681" t="s">
        <v>32</v>
      </c>
      <c r="B4681" t="str">
        <f>"200553"</f>
        <v>200553</v>
      </c>
      <c r="C4681" t="s">
        <v>9408</v>
      </c>
      <c r="E4681">
        <v>-2955478126</v>
      </c>
      <c r="F4681">
        <v>-1678207891.5</v>
      </c>
      <c r="G4681">
        <v>-800693512.79999995</v>
      </c>
      <c r="H4681">
        <v>-1807603965</v>
      </c>
      <c r="I4681">
        <v>-222307637.5</v>
      </c>
      <c r="J4681">
        <v>-15471639.520199999</v>
      </c>
      <c r="K4681">
        <v>-38777171.141999997</v>
      </c>
      <c r="L4681">
        <v>-133930263.75</v>
      </c>
      <c r="M4681">
        <v>35932924.408799998</v>
      </c>
      <c r="N4681">
        <v>40426290.758400001</v>
      </c>
      <c r="O4681">
        <v>-57667355.748000003</v>
      </c>
      <c r="P4681">
        <v>58</v>
      </c>
      <c r="Q4681" t="s">
        <v>9409</v>
      </c>
    </row>
    <row r="4682" spans="1:17" x14ac:dyDescent="0.3">
      <c r="A4682" t="s">
        <v>32</v>
      </c>
      <c r="B4682" t="str">
        <f>"000550"</f>
        <v>000550</v>
      </c>
      <c r="C4682" t="s">
        <v>9410</v>
      </c>
      <c r="D4682" t="s">
        <v>199</v>
      </c>
      <c r="E4682">
        <v>-2968887078</v>
      </c>
      <c r="F4682">
        <v>-2487684438</v>
      </c>
      <c r="G4682">
        <v>-3389643739</v>
      </c>
      <c r="H4682">
        <v>-597194851</v>
      </c>
      <c r="I4682">
        <v>-1621158964</v>
      </c>
      <c r="J4682">
        <v>-1084867981</v>
      </c>
      <c r="K4682">
        <v>-417515191</v>
      </c>
      <c r="L4682">
        <v>-542207275</v>
      </c>
      <c r="M4682">
        <v>342801811</v>
      </c>
      <c r="N4682">
        <v>671815311</v>
      </c>
      <c r="O4682">
        <v>447349665</v>
      </c>
      <c r="P4682">
        <v>595</v>
      </c>
      <c r="Q4682" t="s">
        <v>9411</v>
      </c>
    </row>
    <row r="4683" spans="1:17" x14ac:dyDescent="0.3">
      <c r="A4683" t="s">
        <v>32</v>
      </c>
      <c r="B4683" t="str">
        <f>"002074"</f>
        <v>002074</v>
      </c>
      <c r="C4683" t="s">
        <v>9412</v>
      </c>
      <c r="D4683" t="s">
        <v>464</v>
      </c>
      <c r="E4683">
        <v>-2972635144</v>
      </c>
      <c r="F4683">
        <v>-541353345</v>
      </c>
      <c r="G4683">
        <v>-1410161316</v>
      </c>
      <c r="H4683">
        <v>-645241354</v>
      </c>
      <c r="I4683">
        <v>-1137588882</v>
      </c>
      <c r="J4683">
        <v>-889471642</v>
      </c>
      <c r="K4683">
        <v>-373215754</v>
      </c>
      <c r="L4683">
        <v>-27343232</v>
      </c>
      <c r="M4683">
        <v>-38426217</v>
      </c>
      <c r="N4683">
        <v>4246234</v>
      </c>
      <c r="O4683">
        <v>-27682230</v>
      </c>
      <c r="P4683">
        <v>1003</v>
      </c>
      <c r="Q4683" t="s">
        <v>9413</v>
      </c>
    </row>
    <row r="4684" spans="1:17" x14ac:dyDescent="0.3">
      <c r="A4684" t="s">
        <v>32</v>
      </c>
      <c r="B4684" t="str">
        <f>"002340"</f>
        <v>002340</v>
      </c>
      <c r="C4684" t="s">
        <v>9414</v>
      </c>
      <c r="D4684" t="s">
        <v>464</v>
      </c>
      <c r="E4684">
        <v>-2992290833</v>
      </c>
      <c r="F4684">
        <v>-658633951</v>
      </c>
      <c r="G4684">
        <v>-53388808</v>
      </c>
      <c r="H4684">
        <v>-627351625</v>
      </c>
      <c r="I4684">
        <v>-59299625</v>
      </c>
      <c r="J4684">
        <v>-284388097</v>
      </c>
      <c r="K4684">
        <v>-311358433</v>
      </c>
      <c r="L4684">
        <v>-791713262</v>
      </c>
      <c r="M4684">
        <v>-549206554</v>
      </c>
      <c r="N4684">
        <v>-436443702</v>
      </c>
      <c r="O4684">
        <v>-384120999</v>
      </c>
      <c r="P4684">
        <v>1303</v>
      </c>
      <c r="Q4684" t="s">
        <v>9415</v>
      </c>
    </row>
    <row r="4685" spans="1:17" x14ac:dyDescent="0.3">
      <c r="A4685" t="s">
        <v>17</v>
      </c>
      <c r="B4685" t="str">
        <f>"601607"</f>
        <v>601607</v>
      </c>
      <c r="C4685" t="s">
        <v>9416</v>
      </c>
      <c r="D4685" t="s">
        <v>98</v>
      </c>
      <c r="E4685">
        <v>-3006641924</v>
      </c>
      <c r="F4685">
        <v>-1670089610</v>
      </c>
      <c r="G4685">
        <v>-1333548710</v>
      </c>
      <c r="H4685">
        <v>-256108136</v>
      </c>
      <c r="I4685">
        <v>-361039912</v>
      </c>
      <c r="J4685">
        <v>-2957889</v>
      </c>
      <c r="K4685">
        <v>127576646</v>
      </c>
      <c r="L4685">
        <v>-538781543</v>
      </c>
      <c r="M4685">
        <v>-652837585</v>
      </c>
      <c r="N4685">
        <v>-511340624</v>
      </c>
      <c r="O4685">
        <v>-122324191</v>
      </c>
      <c r="P4685">
        <v>1370</v>
      </c>
      <c r="Q4685" t="s">
        <v>9417</v>
      </c>
    </row>
    <row r="4686" spans="1:17" x14ac:dyDescent="0.3">
      <c r="A4686" t="s">
        <v>32</v>
      </c>
      <c r="B4686" t="str">
        <f>"000927"</f>
        <v>000927</v>
      </c>
      <c r="C4686" t="s">
        <v>9418</v>
      </c>
      <c r="D4686" t="s">
        <v>199</v>
      </c>
      <c r="E4686">
        <v>-3008789594</v>
      </c>
      <c r="F4686">
        <v>-1412988292</v>
      </c>
      <c r="G4686">
        <v>-74626595</v>
      </c>
      <c r="H4686">
        <v>-289720277</v>
      </c>
      <c r="I4686">
        <v>-428163217</v>
      </c>
      <c r="J4686">
        <v>-511055225</v>
      </c>
      <c r="K4686">
        <v>-563501770</v>
      </c>
      <c r="L4686">
        <v>-142206548</v>
      </c>
      <c r="M4686">
        <v>-344686141</v>
      </c>
      <c r="N4686">
        <v>-119275193</v>
      </c>
      <c r="O4686">
        <v>-278609578</v>
      </c>
      <c r="P4686">
        <v>131</v>
      </c>
      <c r="Q4686" t="s">
        <v>9419</v>
      </c>
    </row>
    <row r="4687" spans="1:17" x14ac:dyDescent="0.3">
      <c r="A4687" t="s">
        <v>17</v>
      </c>
      <c r="B4687" t="str">
        <f>"601989"</f>
        <v>601989</v>
      </c>
      <c r="C4687" t="s">
        <v>9420</v>
      </c>
      <c r="D4687" t="s">
        <v>188</v>
      </c>
      <c r="E4687">
        <v>-3023665687</v>
      </c>
      <c r="F4687">
        <v>-506868526</v>
      </c>
      <c r="G4687">
        <v>-76982106</v>
      </c>
      <c r="H4687">
        <v>-3389537119</v>
      </c>
      <c r="I4687">
        <v>-360395129</v>
      </c>
      <c r="J4687">
        <v>-1636270085</v>
      </c>
      <c r="K4687">
        <v>-3849159626</v>
      </c>
      <c r="L4687">
        <v>1100267288</v>
      </c>
      <c r="M4687">
        <v>-3398319116</v>
      </c>
      <c r="N4687">
        <v>-3137909344</v>
      </c>
      <c r="O4687">
        <v>-5068925748</v>
      </c>
      <c r="P4687">
        <v>669</v>
      </c>
      <c r="Q4687" t="s">
        <v>9421</v>
      </c>
    </row>
    <row r="4688" spans="1:17" x14ac:dyDescent="0.3">
      <c r="A4688" t="s">
        <v>32</v>
      </c>
      <c r="B4688" t="str">
        <f>"002129"</f>
        <v>002129</v>
      </c>
      <c r="C4688" t="s">
        <v>9422</v>
      </c>
      <c r="D4688" t="s">
        <v>464</v>
      </c>
      <c r="E4688">
        <v>-3058534462</v>
      </c>
      <c r="F4688">
        <v>-329176438</v>
      </c>
      <c r="G4688">
        <v>-404249268</v>
      </c>
      <c r="H4688">
        <v>-1071514318</v>
      </c>
      <c r="I4688">
        <v>-1418653731</v>
      </c>
      <c r="J4688">
        <v>-194212127</v>
      </c>
      <c r="K4688">
        <v>-799749030</v>
      </c>
      <c r="L4688">
        <v>-325681157</v>
      </c>
      <c r="M4688">
        <v>-23237284</v>
      </c>
      <c r="N4688">
        <v>-200261202</v>
      </c>
      <c r="O4688">
        <v>-173228512</v>
      </c>
      <c r="P4688">
        <v>1523</v>
      </c>
      <c r="Q4688" t="s">
        <v>9423</v>
      </c>
    </row>
    <row r="4689" spans="1:17" x14ac:dyDescent="0.3">
      <c r="A4689" t="s">
        <v>32</v>
      </c>
      <c r="B4689" t="str">
        <f>"002304"</f>
        <v>002304</v>
      </c>
      <c r="C4689" t="s">
        <v>9424</v>
      </c>
      <c r="D4689" t="s">
        <v>172</v>
      </c>
      <c r="E4689">
        <v>-3175281167</v>
      </c>
      <c r="F4689">
        <v>2864273655</v>
      </c>
      <c r="G4689">
        <v>-410548683</v>
      </c>
      <c r="H4689">
        <v>64324198</v>
      </c>
      <c r="I4689">
        <v>1799604735</v>
      </c>
      <c r="J4689">
        <v>1077768933</v>
      </c>
      <c r="K4689">
        <v>2324369858</v>
      </c>
      <c r="L4689">
        <v>2235941922</v>
      </c>
      <c r="M4689">
        <v>776429645</v>
      </c>
      <c r="N4689">
        <v>921867645</v>
      </c>
      <c r="O4689">
        <v>2400023745</v>
      </c>
      <c r="P4689">
        <v>52727</v>
      </c>
      <c r="Q4689" t="s">
        <v>9425</v>
      </c>
    </row>
    <row r="4690" spans="1:17" x14ac:dyDescent="0.3">
      <c r="A4690" t="s">
        <v>17</v>
      </c>
      <c r="B4690" t="str">
        <f>"603799"</f>
        <v>603799</v>
      </c>
      <c r="C4690" t="s">
        <v>9426</v>
      </c>
      <c r="D4690" t="s">
        <v>121</v>
      </c>
      <c r="E4690">
        <v>-3207823168</v>
      </c>
      <c r="F4690">
        <v>-23756108</v>
      </c>
      <c r="G4690">
        <v>-1156719032</v>
      </c>
      <c r="H4690">
        <v>-390978648</v>
      </c>
      <c r="I4690">
        <v>-367948162</v>
      </c>
      <c r="J4690">
        <v>-290191807</v>
      </c>
      <c r="K4690">
        <v>-165691467</v>
      </c>
      <c r="L4690">
        <v>-440076389</v>
      </c>
      <c r="M4690">
        <v>-646390063</v>
      </c>
      <c r="P4690">
        <v>1518</v>
      </c>
      <c r="Q4690" t="s">
        <v>9427</v>
      </c>
    </row>
    <row r="4691" spans="1:17" x14ac:dyDescent="0.3">
      <c r="A4691" t="s">
        <v>17</v>
      </c>
      <c r="B4691" t="str">
        <f>"688819"</f>
        <v>688819</v>
      </c>
      <c r="C4691" t="s">
        <v>9428</v>
      </c>
      <c r="D4691" t="s">
        <v>464</v>
      </c>
      <c r="E4691">
        <v>-3208628718</v>
      </c>
      <c r="F4691">
        <v>-2966248642</v>
      </c>
      <c r="P4691">
        <v>160</v>
      </c>
      <c r="Q4691" t="s">
        <v>9429</v>
      </c>
    </row>
    <row r="4692" spans="1:17" x14ac:dyDescent="0.3">
      <c r="A4692" t="s">
        <v>17</v>
      </c>
      <c r="B4692" t="str">
        <f>"600500"</f>
        <v>600500</v>
      </c>
      <c r="C4692" t="s">
        <v>9430</v>
      </c>
      <c r="D4692" t="s">
        <v>144</v>
      </c>
      <c r="E4692">
        <v>-3241541515</v>
      </c>
      <c r="F4692">
        <v>-4825807520</v>
      </c>
      <c r="G4692">
        <v>-2667468752</v>
      </c>
      <c r="H4692">
        <v>-1219820767</v>
      </c>
      <c r="I4692">
        <v>-2325594778</v>
      </c>
      <c r="J4692">
        <v>-2402346342</v>
      </c>
      <c r="K4692">
        <v>-510755649</v>
      </c>
      <c r="L4692">
        <v>-2324082775</v>
      </c>
      <c r="M4692">
        <v>-407396175</v>
      </c>
      <c r="N4692">
        <v>-784851516</v>
      </c>
      <c r="O4692">
        <v>-2404440944</v>
      </c>
      <c r="P4692">
        <v>285</v>
      </c>
      <c r="Q4692" t="s">
        <v>9431</v>
      </c>
    </row>
    <row r="4693" spans="1:17" x14ac:dyDescent="0.3">
      <c r="A4693" t="s">
        <v>32</v>
      </c>
      <c r="B4693" t="str">
        <f>"000950"</f>
        <v>000950</v>
      </c>
      <c r="C4693" t="s">
        <v>9432</v>
      </c>
      <c r="D4693" t="s">
        <v>98</v>
      </c>
      <c r="E4693">
        <v>-3242451511</v>
      </c>
      <c r="F4693">
        <v>-2635875064</v>
      </c>
      <c r="G4693">
        <v>-2073904390</v>
      </c>
      <c r="H4693">
        <v>-1759464753</v>
      </c>
      <c r="I4693">
        <v>-1511932424</v>
      </c>
      <c r="J4693">
        <v>22956270</v>
      </c>
      <c r="K4693">
        <v>-12334543</v>
      </c>
      <c r="L4693">
        <v>-89170150</v>
      </c>
      <c r="M4693">
        <v>-234162318</v>
      </c>
      <c r="N4693">
        <v>-290953900</v>
      </c>
      <c r="O4693">
        <v>-57549112</v>
      </c>
      <c r="P4693">
        <v>145</v>
      </c>
      <c r="Q4693" t="s">
        <v>9433</v>
      </c>
    </row>
    <row r="4694" spans="1:17" x14ac:dyDescent="0.3">
      <c r="A4694" t="s">
        <v>32</v>
      </c>
      <c r="B4694" t="str">
        <f>"002475"</f>
        <v>002475</v>
      </c>
      <c r="C4694" t="s">
        <v>9434</v>
      </c>
      <c r="D4694" t="s">
        <v>124</v>
      </c>
      <c r="E4694">
        <v>-3243333854</v>
      </c>
      <c r="F4694">
        <v>-3199698075</v>
      </c>
      <c r="G4694">
        <v>-811014730</v>
      </c>
      <c r="H4694">
        <v>8050791</v>
      </c>
      <c r="I4694">
        <v>942314720</v>
      </c>
      <c r="J4694">
        <v>-349499880</v>
      </c>
      <c r="K4694">
        <v>109811472</v>
      </c>
      <c r="L4694">
        <v>-307886583</v>
      </c>
      <c r="M4694">
        <v>-145620713</v>
      </c>
      <c r="N4694">
        <v>-110162985</v>
      </c>
      <c r="O4694">
        <v>30150332</v>
      </c>
      <c r="P4694">
        <v>5901</v>
      </c>
      <c r="Q4694" t="s">
        <v>9435</v>
      </c>
    </row>
    <row r="4695" spans="1:17" x14ac:dyDescent="0.3">
      <c r="A4695" t="s">
        <v>17</v>
      </c>
      <c r="B4695" t="str">
        <f>"600058"</f>
        <v>600058</v>
      </c>
      <c r="C4695" t="s">
        <v>9436</v>
      </c>
      <c r="D4695" t="s">
        <v>218</v>
      </c>
      <c r="E4695">
        <v>-3248571080</v>
      </c>
      <c r="F4695">
        <v>-1510718906</v>
      </c>
      <c r="G4695">
        <v>-605728862</v>
      </c>
      <c r="H4695">
        <v>88844375</v>
      </c>
      <c r="I4695">
        <v>-2258778582</v>
      </c>
      <c r="J4695">
        <v>-1204353365</v>
      </c>
      <c r="K4695">
        <v>-848378268</v>
      </c>
      <c r="L4695">
        <v>-530153814</v>
      </c>
      <c r="M4695">
        <v>-3465696556</v>
      </c>
      <c r="N4695">
        <v>-1287579472</v>
      </c>
      <c r="O4695">
        <v>1387870558</v>
      </c>
      <c r="P4695">
        <v>139</v>
      </c>
      <c r="Q4695" t="s">
        <v>9437</v>
      </c>
    </row>
    <row r="4696" spans="1:17" x14ac:dyDescent="0.3">
      <c r="A4696" t="s">
        <v>17</v>
      </c>
      <c r="B4696" t="str">
        <f>"600036"</f>
        <v>600036</v>
      </c>
      <c r="C4696" t="s">
        <v>9438</v>
      </c>
      <c r="D4696" t="s">
        <v>19</v>
      </c>
      <c r="E4696">
        <v>-3254000000</v>
      </c>
      <c r="F4696">
        <v>-35874000000</v>
      </c>
      <c r="G4696">
        <v>86508000000</v>
      </c>
      <c r="H4696">
        <v>-174114000000</v>
      </c>
      <c r="I4696">
        <v>-58855000000</v>
      </c>
      <c r="J4696">
        <v>-216170000000</v>
      </c>
      <c r="K4696">
        <v>-287251000000</v>
      </c>
      <c r="L4696">
        <v>27903000000</v>
      </c>
      <c r="M4696">
        <v>56274000000</v>
      </c>
      <c r="N4696">
        <v>2574000000</v>
      </c>
      <c r="O4696">
        <v>2566000000</v>
      </c>
      <c r="P4696">
        <v>68597</v>
      </c>
      <c r="Q4696" t="s">
        <v>9439</v>
      </c>
    </row>
    <row r="4697" spans="1:17" x14ac:dyDescent="0.3">
      <c r="A4697" t="s">
        <v>32</v>
      </c>
      <c r="B4697" t="str">
        <f>"002061"</f>
        <v>002061</v>
      </c>
      <c r="C4697" t="s">
        <v>9440</v>
      </c>
      <c r="D4697" t="s">
        <v>645</v>
      </c>
      <c r="E4697">
        <v>-3287696665</v>
      </c>
      <c r="F4697">
        <v>-2401691201</v>
      </c>
      <c r="G4697">
        <v>-426185771</v>
      </c>
      <c r="H4697">
        <v>-692935388</v>
      </c>
      <c r="I4697">
        <v>197995252</v>
      </c>
      <c r="J4697">
        <v>66387580</v>
      </c>
      <c r="K4697">
        <v>19770943</v>
      </c>
      <c r="L4697">
        <v>-18487420</v>
      </c>
      <c r="M4697">
        <v>-31157177</v>
      </c>
      <c r="N4697">
        <v>-242020024</v>
      </c>
      <c r="O4697">
        <v>-161027846</v>
      </c>
      <c r="P4697">
        <v>215</v>
      </c>
      <c r="Q4697" t="s">
        <v>9441</v>
      </c>
    </row>
    <row r="4698" spans="1:17" x14ac:dyDescent="0.3">
      <c r="A4698" t="s">
        <v>17</v>
      </c>
      <c r="B4698" t="str">
        <f>"600820"</f>
        <v>600820</v>
      </c>
      <c r="C4698" t="s">
        <v>9442</v>
      </c>
      <c r="D4698" t="s">
        <v>645</v>
      </c>
      <c r="E4698">
        <v>-3289434335</v>
      </c>
      <c r="F4698">
        <v>-7237074191</v>
      </c>
      <c r="G4698">
        <v>-5405328887</v>
      </c>
      <c r="H4698">
        <v>-3182239362</v>
      </c>
      <c r="I4698">
        <v>-3615736292</v>
      </c>
      <c r="J4698">
        <v>-1747631694</v>
      </c>
      <c r="K4698">
        <v>-1046597665</v>
      </c>
      <c r="L4698">
        <v>-2130916917</v>
      </c>
      <c r="M4698">
        <v>-1286505116</v>
      </c>
      <c r="N4698">
        <v>-1720845346</v>
      </c>
      <c r="O4698">
        <v>-936698369</v>
      </c>
      <c r="P4698">
        <v>685</v>
      </c>
      <c r="Q4698" t="s">
        <v>9443</v>
      </c>
    </row>
    <row r="4699" spans="1:17" x14ac:dyDescent="0.3">
      <c r="A4699" t="s">
        <v>17</v>
      </c>
      <c r="B4699" t="str">
        <f>"600039"</f>
        <v>600039</v>
      </c>
      <c r="C4699" t="s">
        <v>9444</v>
      </c>
      <c r="D4699" t="s">
        <v>645</v>
      </c>
      <c r="E4699">
        <v>-3326973927</v>
      </c>
      <c r="F4699">
        <v>-3112363661</v>
      </c>
      <c r="G4699">
        <v>-2152688666</v>
      </c>
      <c r="H4699">
        <v>-1139692579</v>
      </c>
      <c r="I4699">
        <v>-1480033310</v>
      </c>
      <c r="J4699">
        <v>-613210197</v>
      </c>
      <c r="K4699">
        <v>-547502734</v>
      </c>
      <c r="L4699">
        <v>-320955054</v>
      </c>
      <c r="M4699">
        <v>-934527892</v>
      </c>
      <c r="N4699">
        <v>142155140</v>
      </c>
      <c r="O4699">
        <v>10258839</v>
      </c>
      <c r="P4699">
        <v>484</v>
      </c>
      <c r="Q4699" t="s">
        <v>9445</v>
      </c>
    </row>
    <row r="4700" spans="1:17" x14ac:dyDescent="0.3">
      <c r="A4700" t="s">
        <v>17</v>
      </c>
      <c r="B4700" t="str">
        <f>"600376"</f>
        <v>600376</v>
      </c>
      <c r="C4700" t="s">
        <v>9446</v>
      </c>
      <c r="D4700" t="s">
        <v>151</v>
      </c>
      <c r="E4700">
        <v>-3387907055</v>
      </c>
      <c r="F4700">
        <v>1522393427</v>
      </c>
      <c r="G4700">
        <v>-4802067585</v>
      </c>
      <c r="H4700">
        <v>-10582605780</v>
      </c>
      <c r="I4700">
        <v>-882113744</v>
      </c>
      <c r="J4700">
        <v>-3943824813</v>
      </c>
      <c r="K4700">
        <v>-1329704678</v>
      </c>
      <c r="L4700">
        <v>-2286369198</v>
      </c>
      <c r="M4700">
        <v>-547666211</v>
      </c>
      <c r="N4700">
        <v>812601414</v>
      </c>
      <c r="O4700">
        <v>-103860139</v>
      </c>
      <c r="P4700">
        <v>1101</v>
      </c>
      <c r="Q4700" t="s">
        <v>9447</v>
      </c>
    </row>
    <row r="4701" spans="1:17" x14ac:dyDescent="0.3">
      <c r="A4701" t="s">
        <v>17</v>
      </c>
      <c r="B4701" t="str">
        <f>"600905"</f>
        <v>600905</v>
      </c>
      <c r="C4701" t="s">
        <v>9448</v>
      </c>
      <c r="D4701" t="s">
        <v>158</v>
      </c>
      <c r="E4701">
        <v>-3591378925</v>
      </c>
      <c r="F4701">
        <v>-2380009363</v>
      </c>
      <c r="G4701">
        <v>-1958776092</v>
      </c>
      <c r="P4701">
        <v>659</v>
      </c>
      <c r="Q4701" t="s">
        <v>9449</v>
      </c>
    </row>
    <row r="4702" spans="1:17" x14ac:dyDescent="0.3">
      <c r="A4702" t="s">
        <v>17</v>
      </c>
      <c r="B4702" t="str">
        <f>"600585"</f>
        <v>600585</v>
      </c>
      <c r="C4702" t="s">
        <v>9450</v>
      </c>
      <c r="D4702" t="s">
        <v>400</v>
      </c>
      <c r="E4702">
        <v>-3598181737</v>
      </c>
      <c r="F4702">
        <v>3073023226</v>
      </c>
      <c r="G4702">
        <v>906461224</v>
      </c>
      <c r="H4702">
        <v>3103496136</v>
      </c>
      <c r="I4702">
        <v>2180794425</v>
      </c>
      <c r="J4702">
        <v>1422179882</v>
      </c>
      <c r="K4702">
        <v>1218365191</v>
      </c>
      <c r="L4702">
        <v>-700300164</v>
      </c>
      <c r="M4702">
        <v>843078384</v>
      </c>
      <c r="N4702">
        <v>1092781181</v>
      </c>
      <c r="O4702">
        <v>-4803972</v>
      </c>
      <c r="P4702">
        <v>8410</v>
      </c>
      <c r="Q4702" t="s">
        <v>9451</v>
      </c>
    </row>
    <row r="4703" spans="1:17" x14ac:dyDescent="0.3">
      <c r="A4703" t="s">
        <v>32</v>
      </c>
      <c r="B4703" t="str">
        <f>"002459"</f>
        <v>002459</v>
      </c>
      <c r="C4703" t="s">
        <v>9452</v>
      </c>
      <c r="D4703" t="s">
        <v>464</v>
      </c>
      <c r="E4703">
        <v>-3611269766</v>
      </c>
      <c r="F4703">
        <v>-2079628872</v>
      </c>
      <c r="G4703">
        <v>-891821409</v>
      </c>
      <c r="H4703">
        <v>-29707263</v>
      </c>
      <c r="I4703">
        <v>-28136149</v>
      </c>
      <c r="J4703">
        <v>-27556881</v>
      </c>
      <c r="K4703">
        <v>13293705</v>
      </c>
      <c r="L4703">
        <v>-43959462</v>
      </c>
      <c r="M4703">
        <v>63354041</v>
      </c>
      <c r="N4703">
        <v>57479375</v>
      </c>
      <c r="O4703">
        <v>-96994125</v>
      </c>
      <c r="P4703">
        <v>1227</v>
      </c>
      <c r="Q4703" t="s">
        <v>9453</v>
      </c>
    </row>
    <row r="4704" spans="1:17" x14ac:dyDescent="0.3">
      <c r="A4704" t="s">
        <v>32</v>
      </c>
      <c r="B4704" t="str">
        <f>"002673"</f>
        <v>002673</v>
      </c>
      <c r="C4704" t="s">
        <v>9454</v>
      </c>
      <c r="D4704" t="s">
        <v>26</v>
      </c>
      <c r="E4704">
        <v>-3611715993</v>
      </c>
      <c r="F4704">
        <v>-5745263718</v>
      </c>
      <c r="G4704">
        <v>1605658932</v>
      </c>
      <c r="H4704">
        <v>4610171590</v>
      </c>
      <c r="I4704">
        <v>870506222</v>
      </c>
      <c r="J4704">
        <v>29615424</v>
      </c>
      <c r="K4704">
        <v>-2400227121</v>
      </c>
      <c r="L4704">
        <v>820289432</v>
      </c>
      <c r="M4704">
        <v>308569641</v>
      </c>
      <c r="N4704">
        <v>-397451522</v>
      </c>
      <c r="O4704">
        <v>20068336</v>
      </c>
      <c r="P4704">
        <v>1135</v>
      </c>
      <c r="Q4704" t="s">
        <v>9455</v>
      </c>
    </row>
    <row r="4705" spans="1:17" x14ac:dyDescent="0.3">
      <c r="A4705" t="s">
        <v>32</v>
      </c>
      <c r="B4705" t="str">
        <f>"200550"</f>
        <v>200550</v>
      </c>
      <c r="C4705" t="s">
        <v>9456</v>
      </c>
      <c r="E4705">
        <v>-3663606654.2519999</v>
      </c>
      <c r="F4705">
        <v>-2946662216.8109999</v>
      </c>
      <c r="G4705">
        <v>-3704541642.3530998</v>
      </c>
      <c r="H4705">
        <v>-698180500.30410004</v>
      </c>
      <c r="I4705">
        <v>-2027259284.4820001</v>
      </c>
      <c r="J4705">
        <v>-1223948056.1642001</v>
      </c>
      <c r="K4705">
        <v>-501560998.9483</v>
      </c>
      <c r="L4705">
        <v>-677759093.75</v>
      </c>
      <c r="M4705">
        <v>427953780.8524</v>
      </c>
      <c r="N4705">
        <v>839634775.68780005</v>
      </c>
      <c r="O4705">
        <v>551582136.94500005</v>
      </c>
      <c r="P4705">
        <v>154</v>
      </c>
      <c r="Q4705" t="s">
        <v>9457</v>
      </c>
    </row>
    <row r="4706" spans="1:17" x14ac:dyDescent="0.3">
      <c r="A4706" t="s">
        <v>17</v>
      </c>
      <c r="B4706" t="str">
        <f>"600875"</f>
        <v>600875</v>
      </c>
      <c r="C4706" t="s">
        <v>9458</v>
      </c>
      <c r="D4706" t="s">
        <v>464</v>
      </c>
      <c r="E4706">
        <v>-3666832581</v>
      </c>
      <c r="F4706">
        <v>-3804853958</v>
      </c>
      <c r="G4706">
        <v>-799930713</v>
      </c>
      <c r="H4706">
        <v>-4193912214</v>
      </c>
      <c r="I4706">
        <v>-1609144814</v>
      </c>
      <c r="J4706">
        <v>-902547019</v>
      </c>
      <c r="K4706">
        <v>-5068288</v>
      </c>
      <c r="L4706">
        <v>-2491817150</v>
      </c>
      <c r="M4706">
        <v>-1029861941</v>
      </c>
      <c r="N4706">
        <v>-98000223</v>
      </c>
      <c r="O4706">
        <v>-2760898837</v>
      </c>
      <c r="P4706">
        <v>483</v>
      </c>
      <c r="Q4706" t="s">
        <v>9459</v>
      </c>
    </row>
    <row r="4707" spans="1:17" x14ac:dyDescent="0.3">
      <c r="A4707" t="s">
        <v>17</v>
      </c>
      <c r="B4707" t="str">
        <f>"600663"</f>
        <v>600663</v>
      </c>
      <c r="C4707" t="s">
        <v>9460</v>
      </c>
      <c r="D4707" t="s">
        <v>151</v>
      </c>
      <c r="E4707">
        <v>-3673155401</v>
      </c>
      <c r="F4707">
        <v>924256115</v>
      </c>
      <c r="G4707">
        <v>-2423365161</v>
      </c>
      <c r="H4707">
        <v>-1073179684</v>
      </c>
      <c r="I4707">
        <v>-2631407965</v>
      </c>
      <c r="J4707">
        <v>-85584093</v>
      </c>
      <c r="K4707">
        <v>28370365</v>
      </c>
      <c r="L4707">
        <v>-700308917</v>
      </c>
      <c r="M4707">
        <v>-1493270025</v>
      </c>
      <c r="N4707">
        <v>203949569</v>
      </c>
      <c r="O4707">
        <v>739170070</v>
      </c>
      <c r="P4707">
        <v>701</v>
      </c>
      <c r="Q4707" t="s">
        <v>9461</v>
      </c>
    </row>
    <row r="4708" spans="1:17" x14ac:dyDescent="0.3">
      <c r="A4708" t="s">
        <v>17</v>
      </c>
      <c r="B4708" t="str">
        <f>"600008"</f>
        <v>600008</v>
      </c>
      <c r="C4708" t="s">
        <v>9462</v>
      </c>
      <c r="D4708" t="s">
        <v>1334</v>
      </c>
      <c r="E4708">
        <v>-3685786277</v>
      </c>
      <c r="F4708">
        <v>-3757127092</v>
      </c>
      <c r="G4708">
        <v>-2697335610</v>
      </c>
      <c r="H4708">
        <v>-3220639958</v>
      </c>
      <c r="I4708">
        <v>-2048338317</v>
      </c>
      <c r="J4708">
        <v>-838944270</v>
      </c>
      <c r="K4708">
        <v>-1426553122</v>
      </c>
      <c r="L4708">
        <v>-932901063</v>
      </c>
      <c r="M4708">
        <v>-820768275</v>
      </c>
      <c r="N4708">
        <v>-408921901</v>
      </c>
      <c r="O4708">
        <v>-296624891</v>
      </c>
      <c r="P4708">
        <v>445</v>
      </c>
      <c r="Q4708" t="s">
        <v>9463</v>
      </c>
    </row>
    <row r="4709" spans="1:17" x14ac:dyDescent="0.3">
      <c r="A4709" t="s">
        <v>32</v>
      </c>
      <c r="B4709" t="str">
        <f>"300122"</f>
        <v>300122</v>
      </c>
      <c r="C4709" t="s">
        <v>9464</v>
      </c>
      <c r="D4709" t="s">
        <v>98</v>
      </c>
      <c r="E4709">
        <v>-3726354109</v>
      </c>
      <c r="F4709">
        <v>-602390609</v>
      </c>
      <c r="G4709">
        <v>-624096406</v>
      </c>
      <c r="H4709">
        <v>-520620889</v>
      </c>
      <c r="I4709">
        <v>7049977</v>
      </c>
      <c r="J4709">
        <v>-66740268</v>
      </c>
      <c r="K4709">
        <v>-102009488</v>
      </c>
      <c r="L4709">
        <v>-106278257</v>
      </c>
      <c r="M4709">
        <v>-128008955</v>
      </c>
      <c r="N4709">
        <v>-59756818</v>
      </c>
      <c r="O4709">
        <v>-48114283</v>
      </c>
      <c r="P4709">
        <v>3431</v>
      </c>
      <c r="Q4709" t="s">
        <v>9465</v>
      </c>
    </row>
    <row r="4710" spans="1:17" x14ac:dyDescent="0.3">
      <c r="A4710" t="s">
        <v>17</v>
      </c>
      <c r="B4710" t="str">
        <f>"600221"</f>
        <v>600221</v>
      </c>
      <c r="C4710" t="s">
        <v>9466</v>
      </c>
      <c r="D4710" t="s">
        <v>46</v>
      </c>
      <c r="E4710">
        <v>-3752100000</v>
      </c>
      <c r="F4710">
        <v>686827000</v>
      </c>
      <c r="G4710">
        <v>-1752591000</v>
      </c>
      <c r="H4710">
        <v>1754021000</v>
      </c>
      <c r="I4710">
        <v>-1766428000</v>
      </c>
      <c r="J4710">
        <v>3361394000</v>
      </c>
      <c r="K4710">
        <v>5536419000</v>
      </c>
      <c r="L4710">
        <v>481313000</v>
      </c>
      <c r="M4710">
        <v>3061289000</v>
      </c>
      <c r="N4710">
        <v>593613000</v>
      </c>
      <c r="O4710">
        <v>-898725000</v>
      </c>
      <c r="P4710">
        <v>427</v>
      </c>
      <c r="Q4710" t="s">
        <v>9467</v>
      </c>
    </row>
    <row r="4711" spans="1:17" x14ac:dyDescent="0.3">
      <c r="A4711" t="s">
        <v>32</v>
      </c>
      <c r="B4711" t="str">
        <f>"000858"</f>
        <v>000858</v>
      </c>
      <c r="C4711" t="s">
        <v>9468</v>
      </c>
      <c r="D4711" t="s">
        <v>172</v>
      </c>
      <c r="E4711">
        <v>-3861246607</v>
      </c>
      <c r="F4711">
        <v>5065206332</v>
      </c>
      <c r="G4711">
        <v>-1346230030</v>
      </c>
      <c r="H4711">
        <v>7831939534</v>
      </c>
      <c r="I4711">
        <v>2249671219</v>
      </c>
      <c r="J4711">
        <v>1778325845</v>
      </c>
      <c r="K4711">
        <v>660838472</v>
      </c>
      <c r="L4711">
        <v>1830837886</v>
      </c>
      <c r="M4711">
        <v>-2266638915</v>
      </c>
      <c r="N4711">
        <v>992903134</v>
      </c>
      <c r="O4711">
        <v>1535239988</v>
      </c>
      <c r="P4711">
        <v>11640</v>
      </c>
      <c r="Q4711" t="s">
        <v>9469</v>
      </c>
    </row>
    <row r="4712" spans="1:17" x14ac:dyDescent="0.3">
      <c r="A4712" t="s">
        <v>17</v>
      </c>
      <c r="B4712" t="str">
        <f>"600683"</f>
        <v>600683</v>
      </c>
      <c r="C4712" t="s">
        <v>9470</v>
      </c>
      <c r="D4712" t="s">
        <v>151</v>
      </c>
      <c r="E4712">
        <v>-3868406784</v>
      </c>
      <c r="F4712">
        <v>1028521804</v>
      </c>
      <c r="G4712">
        <v>406814825</v>
      </c>
      <c r="H4712">
        <v>-479193919</v>
      </c>
      <c r="I4712">
        <v>-1385894856</v>
      </c>
      <c r="J4712">
        <v>409682008</v>
      </c>
      <c r="K4712">
        <v>433745463</v>
      </c>
      <c r="L4712">
        <v>598678239</v>
      </c>
      <c r="M4712">
        <v>-352306270</v>
      </c>
      <c r="N4712">
        <v>-9585740699</v>
      </c>
      <c r="O4712">
        <v>61938099</v>
      </c>
      <c r="P4712">
        <v>224</v>
      </c>
      <c r="Q4712" t="s">
        <v>9471</v>
      </c>
    </row>
    <row r="4713" spans="1:17" x14ac:dyDescent="0.3">
      <c r="A4713" t="s">
        <v>17</v>
      </c>
      <c r="B4713" t="str">
        <f>"603225"</f>
        <v>603225</v>
      </c>
      <c r="C4713" t="s">
        <v>9472</v>
      </c>
      <c r="D4713" t="s">
        <v>144</v>
      </c>
      <c r="E4713">
        <v>-3894634073</v>
      </c>
      <c r="F4713">
        <v>-2604707554</v>
      </c>
      <c r="G4713">
        <v>-3433913161</v>
      </c>
      <c r="H4713">
        <v>-2181852694</v>
      </c>
      <c r="I4713">
        <v>-732604113</v>
      </c>
      <c r="J4713">
        <v>-706503222</v>
      </c>
      <c r="K4713">
        <v>-395918208</v>
      </c>
      <c r="P4713">
        <v>388</v>
      </c>
      <c r="Q4713" t="s">
        <v>9473</v>
      </c>
    </row>
    <row r="4714" spans="1:17" x14ac:dyDescent="0.3">
      <c r="A4714" t="s">
        <v>17</v>
      </c>
      <c r="B4714" t="str">
        <f>"601609"</f>
        <v>601609</v>
      </c>
      <c r="C4714" t="s">
        <v>9474</v>
      </c>
      <c r="D4714" t="s">
        <v>121</v>
      </c>
      <c r="E4714">
        <v>-3942407765</v>
      </c>
      <c r="F4714">
        <v>-4097529558</v>
      </c>
      <c r="G4714">
        <v>-2081212283</v>
      </c>
      <c r="P4714">
        <v>106</v>
      </c>
      <c r="Q4714" t="s">
        <v>9475</v>
      </c>
    </row>
    <row r="4715" spans="1:17" x14ac:dyDescent="0.3">
      <c r="A4715" t="s">
        <v>17</v>
      </c>
      <c r="B4715" t="str">
        <f>"600893"</f>
        <v>600893</v>
      </c>
      <c r="C4715" t="s">
        <v>9476</v>
      </c>
      <c r="D4715" t="s">
        <v>188</v>
      </c>
      <c r="E4715">
        <v>-4134907595</v>
      </c>
      <c r="F4715">
        <v>-3240850623</v>
      </c>
      <c r="G4715">
        <v>-1997129474</v>
      </c>
      <c r="H4715">
        <v>-1087196488</v>
      </c>
      <c r="I4715">
        <v>-1948264806</v>
      </c>
      <c r="J4715">
        <v>-789704003</v>
      </c>
      <c r="K4715">
        <v>-3556942715</v>
      </c>
      <c r="L4715">
        <v>-3240356781</v>
      </c>
      <c r="M4715">
        <v>-699959925</v>
      </c>
      <c r="N4715">
        <v>-433712192</v>
      </c>
      <c r="O4715">
        <v>-518314828</v>
      </c>
      <c r="P4715">
        <v>1086</v>
      </c>
      <c r="Q4715" t="s">
        <v>9477</v>
      </c>
    </row>
    <row r="4716" spans="1:17" x14ac:dyDescent="0.3">
      <c r="A4716" t="s">
        <v>32</v>
      </c>
      <c r="B4716" t="str">
        <f>"000768"</f>
        <v>000768</v>
      </c>
      <c r="C4716" t="s">
        <v>9478</v>
      </c>
      <c r="D4716" t="s">
        <v>188</v>
      </c>
      <c r="E4716">
        <v>-4178580550</v>
      </c>
      <c r="F4716">
        <v>-6022954735</v>
      </c>
      <c r="G4716">
        <v>-2832698034</v>
      </c>
      <c r="H4716">
        <v>-3118958861</v>
      </c>
      <c r="I4716">
        <v>-729210617</v>
      </c>
      <c r="J4716">
        <v>494108936</v>
      </c>
      <c r="K4716">
        <v>-32186911</v>
      </c>
      <c r="L4716">
        <v>-1535776180</v>
      </c>
      <c r="M4716">
        <v>-1388546915</v>
      </c>
      <c r="N4716">
        <v>-2224817022</v>
      </c>
      <c r="O4716">
        <v>-1522601089</v>
      </c>
      <c r="P4716">
        <v>662</v>
      </c>
      <c r="Q4716" t="s">
        <v>9479</v>
      </c>
    </row>
    <row r="4717" spans="1:17" x14ac:dyDescent="0.3">
      <c r="A4717" t="s">
        <v>32</v>
      </c>
      <c r="B4717" t="str">
        <f>"300919"</f>
        <v>300919</v>
      </c>
      <c r="C4717" t="s">
        <v>9480</v>
      </c>
      <c r="D4717" t="s">
        <v>464</v>
      </c>
      <c r="E4717">
        <v>-4229373309</v>
      </c>
      <c r="F4717">
        <v>-1139109417</v>
      </c>
      <c r="G4717">
        <v>-296173625</v>
      </c>
      <c r="P4717">
        <v>175</v>
      </c>
      <c r="Q4717" t="s">
        <v>9481</v>
      </c>
    </row>
    <row r="4718" spans="1:17" x14ac:dyDescent="0.3">
      <c r="A4718" t="s">
        <v>17</v>
      </c>
      <c r="B4718" t="str">
        <f>"600502"</f>
        <v>600502</v>
      </c>
      <c r="C4718" t="s">
        <v>9482</v>
      </c>
      <c r="D4718" t="s">
        <v>645</v>
      </c>
      <c r="E4718">
        <v>-4241337514</v>
      </c>
      <c r="F4718">
        <v>-3078716750</v>
      </c>
      <c r="G4718">
        <v>-3272798123</v>
      </c>
      <c r="H4718">
        <v>-2318297276</v>
      </c>
      <c r="I4718">
        <v>-213602493</v>
      </c>
      <c r="J4718">
        <v>-422911011</v>
      </c>
      <c r="K4718">
        <v>-557477157</v>
      </c>
      <c r="L4718">
        <v>-370138700</v>
      </c>
      <c r="M4718">
        <v>-166889387</v>
      </c>
      <c r="N4718">
        <v>-234611454</v>
      </c>
      <c r="O4718">
        <v>-333081586</v>
      </c>
      <c r="P4718">
        <v>410</v>
      </c>
      <c r="Q4718" t="s">
        <v>9483</v>
      </c>
    </row>
    <row r="4719" spans="1:17" x14ac:dyDescent="0.3">
      <c r="A4719" t="s">
        <v>32</v>
      </c>
      <c r="B4719" t="str">
        <f>"000627"</f>
        <v>000627</v>
      </c>
      <c r="C4719" t="s">
        <v>9484</v>
      </c>
      <c r="D4719" t="s">
        <v>26</v>
      </c>
      <c r="E4719">
        <v>-4244159967</v>
      </c>
      <c r="F4719">
        <v>1672357459</v>
      </c>
      <c r="G4719">
        <v>5066390556</v>
      </c>
      <c r="H4719">
        <v>16413899955</v>
      </c>
      <c r="I4719">
        <v>15123361150</v>
      </c>
      <c r="J4719">
        <v>8964769880</v>
      </c>
      <c r="K4719">
        <v>-549032639</v>
      </c>
      <c r="L4719">
        <v>-9106966</v>
      </c>
      <c r="M4719">
        <v>312976888</v>
      </c>
      <c r="N4719">
        <v>-37362081</v>
      </c>
      <c r="O4719">
        <v>-17268781</v>
      </c>
      <c r="P4719">
        <v>288</v>
      </c>
      <c r="Q4719" t="s">
        <v>9485</v>
      </c>
    </row>
    <row r="4720" spans="1:17" x14ac:dyDescent="0.3">
      <c r="A4720" t="s">
        <v>17</v>
      </c>
      <c r="B4720" t="str">
        <f>"600839"</f>
        <v>600839</v>
      </c>
      <c r="C4720" t="s">
        <v>9486</v>
      </c>
      <c r="D4720" t="s">
        <v>127</v>
      </c>
      <c r="E4720">
        <v>-4521968253</v>
      </c>
      <c r="F4720">
        <v>-2936681209</v>
      </c>
      <c r="G4720">
        <v>-2281931072</v>
      </c>
      <c r="H4720">
        <v>-2864778390</v>
      </c>
      <c r="I4720">
        <v>-1798293642</v>
      </c>
      <c r="J4720">
        <v>-1968196686</v>
      </c>
      <c r="K4720">
        <v>189997244</v>
      </c>
      <c r="L4720">
        <v>-252484892</v>
      </c>
      <c r="M4720">
        <v>-84198728</v>
      </c>
      <c r="N4720">
        <v>-917018743</v>
      </c>
      <c r="O4720">
        <v>-945567168</v>
      </c>
      <c r="P4720">
        <v>272</v>
      </c>
      <c r="Q4720" t="s">
        <v>9487</v>
      </c>
    </row>
    <row r="4721" spans="1:17" x14ac:dyDescent="0.3">
      <c r="A4721" t="s">
        <v>32</v>
      </c>
      <c r="B4721" t="str">
        <f>"300750"</f>
        <v>300750</v>
      </c>
      <c r="C4721" t="s">
        <v>9488</v>
      </c>
      <c r="D4721" t="s">
        <v>464</v>
      </c>
      <c r="E4721">
        <v>-4531367400</v>
      </c>
      <c r="F4721">
        <v>2063828970</v>
      </c>
      <c r="G4721">
        <v>1070009765</v>
      </c>
      <c r="H4721">
        <v>2956986892</v>
      </c>
      <c r="I4721">
        <v>-4937446111</v>
      </c>
      <c r="J4721">
        <v>-2265373887</v>
      </c>
      <c r="P4721">
        <v>4828</v>
      </c>
      <c r="Q4721" t="s">
        <v>9489</v>
      </c>
    </row>
    <row r="4722" spans="1:17" x14ac:dyDescent="0.3">
      <c r="A4722" t="s">
        <v>32</v>
      </c>
      <c r="B4722" t="str">
        <f>"002761"</f>
        <v>002761</v>
      </c>
      <c r="C4722" t="s">
        <v>9490</v>
      </c>
      <c r="D4722" t="s">
        <v>645</v>
      </c>
      <c r="E4722">
        <v>-4665145335</v>
      </c>
      <c r="F4722">
        <v>-4472812496</v>
      </c>
      <c r="G4722">
        <v>-3300892031</v>
      </c>
      <c r="H4722">
        <v>-59750741</v>
      </c>
      <c r="I4722">
        <v>-55150324</v>
      </c>
      <c r="J4722">
        <v>-54185456</v>
      </c>
      <c r="K4722">
        <v>-64933963</v>
      </c>
      <c r="L4722">
        <v>-22319500</v>
      </c>
      <c r="M4722">
        <v>9365100</v>
      </c>
      <c r="P4722">
        <v>195</v>
      </c>
      <c r="Q4722" t="s">
        <v>9491</v>
      </c>
    </row>
    <row r="4723" spans="1:17" x14ac:dyDescent="0.3">
      <c r="A4723" t="s">
        <v>32</v>
      </c>
      <c r="B4723" t="str">
        <f>"001979"</f>
        <v>001979</v>
      </c>
      <c r="C4723" t="s">
        <v>9492</v>
      </c>
      <c r="D4723" t="s">
        <v>151</v>
      </c>
      <c r="E4723">
        <v>-4708532160</v>
      </c>
      <c r="F4723">
        <v>-14863991812</v>
      </c>
      <c r="G4723">
        <v>-17166897551</v>
      </c>
      <c r="H4723">
        <v>-9517693980</v>
      </c>
      <c r="I4723">
        <v>-9556943141</v>
      </c>
      <c r="J4723">
        <v>-11354445729</v>
      </c>
      <c r="K4723">
        <v>-2033633016</v>
      </c>
      <c r="L4723">
        <v>-7398647967</v>
      </c>
      <c r="P4723">
        <v>1456</v>
      </c>
      <c r="Q4723" t="s">
        <v>9493</v>
      </c>
    </row>
    <row r="4724" spans="1:17" x14ac:dyDescent="0.3">
      <c r="A4724" t="s">
        <v>32</v>
      </c>
      <c r="B4724" t="str">
        <f>"002415"</f>
        <v>002415</v>
      </c>
      <c r="C4724" t="s">
        <v>9494</v>
      </c>
      <c r="D4724" t="s">
        <v>342</v>
      </c>
      <c r="E4724">
        <v>-4808683095</v>
      </c>
      <c r="F4724">
        <v>-2612761923</v>
      </c>
      <c r="G4724">
        <v>-4524259093</v>
      </c>
      <c r="H4724">
        <v>-3418308608</v>
      </c>
      <c r="I4724">
        <v>-4670287644</v>
      </c>
      <c r="J4724">
        <v>-3331942523</v>
      </c>
      <c r="K4724">
        <v>-1656616184</v>
      </c>
      <c r="L4724">
        <v>-2796558768</v>
      </c>
      <c r="M4724">
        <v>-1123400950</v>
      </c>
      <c r="N4724">
        <v>-713665125</v>
      </c>
      <c r="O4724">
        <v>-554670104</v>
      </c>
      <c r="P4724">
        <v>63223</v>
      </c>
      <c r="Q4724" t="s">
        <v>9495</v>
      </c>
    </row>
    <row r="4725" spans="1:17" x14ac:dyDescent="0.3">
      <c r="A4725" t="s">
        <v>32</v>
      </c>
      <c r="B4725" t="str">
        <f>"000877"</f>
        <v>000877</v>
      </c>
      <c r="C4725" t="s">
        <v>9496</v>
      </c>
      <c r="D4725" t="s">
        <v>400</v>
      </c>
      <c r="E4725">
        <v>-4840195502</v>
      </c>
      <c r="F4725">
        <v>-65986663</v>
      </c>
      <c r="G4725">
        <v>-172984071</v>
      </c>
      <c r="H4725">
        <v>17675926</v>
      </c>
      <c r="I4725">
        <v>-95211668</v>
      </c>
      <c r="J4725">
        <v>-100589994</v>
      </c>
      <c r="K4725">
        <v>-75642103</v>
      </c>
      <c r="L4725">
        <v>-192954823</v>
      </c>
      <c r="M4725">
        <v>-470997297</v>
      </c>
      <c r="N4725">
        <v>-883919280</v>
      </c>
      <c r="O4725">
        <v>-914016173</v>
      </c>
      <c r="P4725">
        <v>743</v>
      </c>
      <c r="Q4725" t="s">
        <v>9497</v>
      </c>
    </row>
    <row r="4726" spans="1:17" x14ac:dyDescent="0.3">
      <c r="A4726" t="s">
        <v>17</v>
      </c>
      <c r="B4726" t="str">
        <f>"600803"</f>
        <v>600803</v>
      </c>
      <c r="C4726" t="s">
        <v>9498</v>
      </c>
      <c r="D4726" t="s">
        <v>158</v>
      </c>
      <c r="E4726">
        <v>-4842990000</v>
      </c>
      <c r="F4726">
        <v>-934830000</v>
      </c>
      <c r="G4726">
        <v>260796687</v>
      </c>
      <c r="H4726">
        <v>374205239</v>
      </c>
      <c r="I4726">
        <v>-549478257</v>
      </c>
      <c r="J4726">
        <v>14493487</v>
      </c>
      <c r="K4726">
        <v>-198845144</v>
      </c>
      <c r="L4726">
        <v>198728029</v>
      </c>
      <c r="M4726">
        <v>114047024</v>
      </c>
      <c r="N4726">
        <v>-34185336</v>
      </c>
      <c r="O4726">
        <v>-101767714</v>
      </c>
      <c r="P4726">
        <v>577</v>
      </c>
      <c r="Q4726" t="s">
        <v>9499</v>
      </c>
    </row>
    <row r="4727" spans="1:17" x14ac:dyDescent="0.3">
      <c r="A4727" t="s">
        <v>17</v>
      </c>
      <c r="B4727" t="str">
        <f>"600736"</f>
        <v>600736</v>
      </c>
      <c r="C4727" t="s">
        <v>9500</v>
      </c>
      <c r="D4727" t="s">
        <v>151</v>
      </c>
      <c r="E4727">
        <v>-4858581411</v>
      </c>
      <c r="F4727">
        <v>-592948471</v>
      </c>
      <c r="G4727">
        <v>-3171183817</v>
      </c>
      <c r="H4727">
        <v>-1779981577</v>
      </c>
      <c r="I4727">
        <v>-2367406014</v>
      </c>
      <c r="J4727">
        <v>57809644</v>
      </c>
      <c r="K4727">
        <v>426403551</v>
      </c>
      <c r="L4727">
        <v>-763841848</v>
      </c>
      <c r="M4727">
        <v>-589025439</v>
      </c>
      <c r="N4727">
        <v>-213128453</v>
      </c>
      <c r="O4727">
        <v>-159537792</v>
      </c>
      <c r="P4727">
        <v>142</v>
      </c>
      <c r="Q4727" t="s">
        <v>9501</v>
      </c>
    </row>
    <row r="4728" spans="1:17" x14ac:dyDescent="0.3">
      <c r="A4728" t="s">
        <v>17</v>
      </c>
      <c r="B4728" t="str">
        <f>"601238"</f>
        <v>601238</v>
      </c>
      <c r="C4728" t="s">
        <v>9502</v>
      </c>
      <c r="D4728" t="s">
        <v>199</v>
      </c>
      <c r="E4728">
        <v>-4904229553</v>
      </c>
      <c r="F4728">
        <v>-6897281100</v>
      </c>
      <c r="G4728">
        <v>-8425377772</v>
      </c>
      <c r="H4728">
        <v>-9777196973</v>
      </c>
      <c r="I4728">
        <v>-3691925080</v>
      </c>
      <c r="J4728">
        <v>2149197105</v>
      </c>
      <c r="K4728">
        <v>174940479</v>
      </c>
      <c r="L4728">
        <v>-1126406499</v>
      </c>
      <c r="M4728">
        <v>-801899908</v>
      </c>
      <c r="N4728">
        <v>-275608220</v>
      </c>
      <c r="O4728">
        <v>-727598360</v>
      </c>
      <c r="P4728">
        <v>1300</v>
      </c>
      <c r="Q4728" t="s">
        <v>9503</v>
      </c>
    </row>
    <row r="4729" spans="1:17" x14ac:dyDescent="0.3">
      <c r="A4729" t="s">
        <v>32</v>
      </c>
      <c r="B4729" t="str">
        <f>"000876"</f>
        <v>000876</v>
      </c>
      <c r="C4729" t="s">
        <v>9504</v>
      </c>
      <c r="D4729" t="s">
        <v>175</v>
      </c>
      <c r="E4729">
        <v>-5065362133</v>
      </c>
      <c r="F4729">
        <v>-10074279455</v>
      </c>
      <c r="G4729">
        <v>-4733150575</v>
      </c>
      <c r="H4729">
        <v>-1192429717</v>
      </c>
      <c r="I4729">
        <v>-703371584</v>
      </c>
      <c r="J4729">
        <v>-221788224</v>
      </c>
      <c r="K4729">
        <v>574400981</v>
      </c>
      <c r="L4729">
        <v>-17865640</v>
      </c>
      <c r="M4729">
        <v>-692601033</v>
      </c>
      <c r="N4729">
        <v>-548839109</v>
      </c>
      <c r="O4729">
        <v>489712054</v>
      </c>
      <c r="P4729">
        <v>2609</v>
      </c>
      <c r="Q4729" t="s">
        <v>9505</v>
      </c>
    </row>
    <row r="4730" spans="1:17" x14ac:dyDescent="0.3">
      <c r="A4730" t="s">
        <v>32</v>
      </c>
      <c r="B4730" t="str">
        <f>"000703"</f>
        <v>000703</v>
      </c>
      <c r="C4730" t="s">
        <v>9506</v>
      </c>
      <c r="D4730" t="s">
        <v>64</v>
      </c>
      <c r="E4730">
        <v>-5068585892</v>
      </c>
      <c r="F4730">
        <v>-3044011815</v>
      </c>
      <c r="G4730">
        <v>-2493539636</v>
      </c>
      <c r="H4730">
        <v>-4526549173</v>
      </c>
      <c r="I4730">
        <v>-3057329048</v>
      </c>
      <c r="J4730">
        <v>-1092455555</v>
      </c>
      <c r="K4730">
        <v>1480957890</v>
      </c>
      <c r="L4730">
        <v>64948591</v>
      </c>
      <c r="M4730">
        <v>-21720898</v>
      </c>
      <c r="N4730">
        <v>602684411</v>
      </c>
      <c r="O4730">
        <v>271128085</v>
      </c>
      <c r="P4730">
        <v>582</v>
      </c>
      <c r="Q4730" t="s">
        <v>9507</v>
      </c>
    </row>
    <row r="4731" spans="1:17" x14ac:dyDescent="0.3">
      <c r="A4731" t="s">
        <v>17</v>
      </c>
      <c r="B4731" t="str">
        <f>"601456"</f>
        <v>601456</v>
      </c>
      <c r="C4731" t="s">
        <v>9508</v>
      </c>
      <c r="D4731" t="s">
        <v>26</v>
      </c>
      <c r="E4731">
        <v>-5073041010</v>
      </c>
      <c r="F4731">
        <v>-216106202</v>
      </c>
      <c r="G4731">
        <v>-1122662000</v>
      </c>
      <c r="P4731">
        <v>310</v>
      </c>
      <c r="Q4731" t="s">
        <v>9509</v>
      </c>
    </row>
    <row r="4732" spans="1:17" x14ac:dyDescent="0.3">
      <c r="A4732" t="s">
        <v>32</v>
      </c>
      <c r="B4732" t="str">
        <f>"002958"</f>
        <v>002958</v>
      </c>
      <c r="C4732" t="s">
        <v>9510</v>
      </c>
      <c r="D4732" t="s">
        <v>19</v>
      </c>
      <c r="E4732">
        <v>-5300701000</v>
      </c>
      <c r="F4732">
        <v>-11556614000</v>
      </c>
      <c r="G4732">
        <v>-6261690000</v>
      </c>
      <c r="H4732">
        <v>-1573814000</v>
      </c>
      <c r="I4732">
        <v>-1599111000</v>
      </c>
      <c r="P4732">
        <v>416</v>
      </c>
      <c r="Q4732" t="s">
        <v>9511</v>
      </c>
    </row>
    <row r="4733" spans="1:17" x14ac:dyDescent="0.3">
      <c r="A4733" t="s">
        <v>17</v>
      </c>
      <c r="B4733" t="str">
        <f>"600115"</f>
        <v>600115</v>
      </c>
      <c r="C4733" t="s">
        <v>9512</v>
      </c>
      <c r="D4733" t="s">
        <v>46</v>
      </c>
      <c r="E4733">
        <v>-5325000000</v>
      </c>
      <c r="F4733">
        <v>-2341000000</v>
      </c>
      <c r="G4733">
        <v>-7529000000</v>
      </c>
      <c r="H4733">
        <v>-1089000000</v>
      </c>
      <c r="I4733">
        <v>2248000000</v>
      </c>
      <c r="J4733">
        <v>-2744000000</v>
      </c>
      <c r="K4733">
        <v>232000000</v>
      </c>
      <c r="L4733">
        <v>-2254000000</v>
      </c>
      <c r="M4733">
        <v>-2800000000</v>
      </c>
      <c r="N4733">
        <v>-2902056000</v>
      </c>
      <c r="O4733">
        <v>760705000</v>
      </c>
      <c r="P4733">
        <v>690</v>
      </c>
      <c r="Q4733" t="s">
        <v>9513</v>
      </c>
    </row>
    <row r="4734" spans="1:17" x14ac:dyDescent="0.3">
      <c r="A4734" t="s">
        <v>17</v>
      </c>
      <c r="B4734" t="str">
        <f>"601577"</f>
        <v>601577</v>
      </c>
      <c r="C4734" t="s">
        <v>9514</v>
      </c>
      <c r="D4734" t="s">
        <v>19</v>
      </c>
      <c r="E4734">
        <v>-5360259000</v>
      </c>
      <c r="F4734">
        <v>-11465341000</v>
      </c>
      <c r="G4734">
        <v>-12171883000</v>
      </c>
      <c r="H4734">
        <v>12225704000</v>
      </c>
      <c r="I4734">
        <v>-24902835000</v>
      </c>
      <c r="J4734">
        <v>1661645000</v>
      </c>
      <c r="P4734">
        <v>927</v>
      </c>
      <c r="Q4734" t="s">
        <v>9515</v>
      </c>
    </row>
    <row r="4735" spans="1:17" x14ac:dyDescent="0.3">
      <c r="A4735" t="s">
        <v>17</v>
      </c>
      <c r="B4735" t="str">
        <f>"601615"</f>
        <v>601615</v>
      </c>
      <c r="C4735" t="s">
        <v>9516</v>
      </c>
      <c r="D4735" t="s">
        <v>464</v>
      </c>
      <c r="E4735">
        <v>-5502570237</v>
      </c>
      <c r="F4735">
        <v>-2363234744</v>
      </c>
      <c r="G4735">
        <v>868023004</v>
      </c>
      <c r="H4735">
        <v>-923161925</v>
      </c>
      <c r="I4735">
        <v>-1199101200</v>
      </c>
      <c r="P4735">
        <v>1068</v>
      </c>
      <c r="Q4735" t="s">
        <v>9517</v>
      </c>
    </row>
    <row r="4736" spans="1:17" x14ac:dyDescent="0.3">
      <c r="A4736" t="s">
        <v>32</v>
      </c>
      <c r="B4736" t="str">
        <f>"002202"</f>
        <v>002202</v>
      </c>
      <c r="C4736" t="s">
        <v>9518</v>
      </c>
      <c r="D4736" t="s">
        <v>464</v>
      </c>
      <c r="E4736">
        <v>-5810551777</v>
      </c>
      <c r="F4736">
        <v>-5036253860</v>
      </c>
      <c r="G4736">
        <v>-564303374</v>
      </c>
      <c r="H4736">
        <v>-3689568541</v>
      </c>
      <c r="I4736">
        <v>-2721671238</v>
      </c>
      <c r="J4736">
        <v>-3098401673</v>
      </c>
      <c r="K4736">
        <v>-3821730042</v>
      </c>
      <c r="L4736">
        <v>-2379458690</v>
      </c>
      <c r="M4736">
        <v>-2362516917</v>
      </c>
      <c r="N4736">
        <v>-1380952898</v>
      </c>
      <c r="O4736">
        <v>-1983124125</v>
      </c>
      <c r="P4736">
        <v>1283</v>
      </c>
      <c r="Q4736" t="s">
        <v>9519</v>
      </c>
    </row>
    <row r="4737" spans="1:17" x14ac:dyDescent="0.3">
      <c r="A4737" t="s">
        <v>32</v>
      </c>
      <c r="B4737" t="str">
        <f>"002714"</f>
        <v>002714</v>
      </c>
      <c r="C4737" t="s">
        <v>9520</v>
      </c>
      <c r="D4737" t="s">
        <v>175</v>
      </c>
      <c r="E4737">
        <v>-5970823446</v>
      </c>
      <c r="F4737">
        <v>-9734189724</v>
      </c>
      <c r="G4737">
        <v>-3418330199</v>
      </c>
      <c r="H4737">
        <v>-1695852907</v>
      </c>
      <c r="I4737">
        <v>-2085120376</v>
      </c>
      <c r="J4737">
        <v>-1138571674</v>
      </c>
      <c r="K4737">
        <v>-736348912</v>
      </c>
      <c r="L4737">
        <v>-264172741</v>
      </c>
      <c r="M4737">
        <v>-163314024</v>
      </c>
      <c r="N4737">
        <v>-261369461</v>
      </c>
      <c r="P4737">
        <v>4956</v>
      </c>
      <c r="Q4737" t="s">
        <v>9521</v>
      </c>
    </row>
    <row r="4738" spans="1:17" x14ac:dyDescent="0.3">
      <c r="A4738" t="s">
        <v>32</v>
      </c>
      <c r="B4738" t="str">
        <f>"000338"</f>
        <v>000338</v>
      </c>
      <c r="C4738" t="s">
        <v>9522</v>
      </c>
      <c r="D4738" t="s">
        <v>199</v>
      </c>
      <c r="E4738">
        <v>-6474184728</v>
      </c>
      <c r="F4738">
        <v>-3811454311</v>
      </c>
      <c r="G4738">
        <v>-10952736476</v>
      </c>
      <c r="H4738">
        <v>-2391311754</v>
      </c>
      <c r="I4738">
        <v>-1504805946</v>
      </c>
      <c r="J4738">
        <v>-1082092205</v>
      </c>
      <c r="K4738">
        <v>-548941379</v>
      </c>
      <c r="L4738">
        <v>-3048757561</v>
      </c>
      <c r="M4738">
        <v>-1756983237</v>
      </c>
      <c r="N4738">
        <v>-1687966544</v>
      </c>
      <c r="O4738">
        <v>-3496483316</v>
      </c>
      <c r="P4738">
        <v>3423</v>
      </c>
      <c r="Q4738" t="s">
        <v>9523</v>
      </c>
    </row>
    <row r="4739" spans="1:17" x14ac:dyDescent="0.3">
      <c r="A4739" t="s">
        <v>32</v>
      </c>
      <c r="B4739" t="str">
        <f>"000301"</f>
        <v>000301</v>
      </c>
      <c r="C4739" t="s">
        <v>9524</v>
      </c>
      <c r="D4739" t="s">
        <v>64</v>
      </c>
      <c r="E4739">
        <v>-6523618337</v>
      </c>
      <c r="F4739">
        <v>-6261689941</v>
      </c>
      <c r="G4739">
        <v>-3272796371</v>
      </c>
      <c r="H4739">
        <v>-39735880</v>
      </c>
      <c r="I4739">
        <v>12113069</v>
      </c>
      <c r="J4739">
        <v>48090668</v>
      </c>
      <c r="K4739">
        <v>-170170067</v>
      </c>
      <c r="L4739">
        <v>-95432796</v>
      </c>
      <c r="M4739">
        <v>-52683174</v>
      </c>
      <c r="N4739">
        <v>-55044720</v>
      </c>
      <c r="O4739">
        <v>-77452210</v>
      </c>
      <c r="P4739">
        <v>396</v>
      </c>
      <c r="Q4739" t="s">
        <v>9525</v>
      </c>
    </row>
    <row r="4740" spans="1:17" x14ac:dyDescent="0.3">
      <c r="A4740" t="s">
        <v>32</v>
      </c>
      <c r="B4740" t="str">
        <f>"002271"</f>
        <v>002271</v>
      </c>
      <c r="C4740" t="s">
        <v>9526</v>
      </c>
      <c r="D4740" t="s">
        <v>400</v>
      </c>
      <c r="E4740">
        <v>-6608749517</v>
      </c>
      <c r="F4740">
        <v>-3256863757</v>
      </c>
      <c r="G4740">
        <v>-2568735908</v>
      </c>
      <c r="H4740">
        <v>-3645848136</v>
      </c>
      <c r="I4740">
        <v>-1196637089</v>
      </c>
      <c r="J4740">
        <v>-407297315</v>
      </c>
      <c r="K4740">
        <v>104469006</v>
      </c>
      <c r="L4740">
        <v>-179705491</v>
      </c>
      <c r="M4740">
        <v>-210244229</v>
      </c>
      <c r="N4740">
        <v>-196769503</v>
      </c>
      <c r="O4740">
        <v>-266473401</v>
      </c>
      <c r="P4740">
        <v>22869</v>
      </c>
      <c r="Q4740" t="s">
        <v>9527</v>
      </c>
    </row>
    <row r="4741" spans="1:17" x14ac:dyDescent="0.3">
      <c r="A4741" t="s">
        <v>17</v>
      </c>
      <c r="B4741" t="str">
        <f>"601233"</f>
        <v>601233</v>
      </c>
      <c r="C4741" t="s">
        <v>9528</v>
      </c>
      <c r="D4741" t="s">
        <v>64</v>
      </c>
      <c r="E4741">
        <v>-6881493176</v>
      </c>
      <c r="F4741">
        <v>-4512671772</v>
      </c>
      <c r="G4741">
        <v>-4776083447</v>
      </c>
      <c r="H4741">
        <v>1640846762</v>
      </c>
      <c r="I4741">
        <v>-1976120985</v>
      </c>
      <c r="J4741">
        <v>-2183821525</v>
      </c>
      <c r="K4741">
        <v>-1287011401</v>
      </c>
      <c r="L4741">
        <v>-1448048273</v>
      </c>
      <c r="M4741">
        <v>-76873090</v>
      </c>
      <c r="N4741">
        <v>-990110343</v>
      </c>
      <c r="O4741">
        <v>-961919308</v>
      </c>
      <c r="P4741">
        <v>807</v>
      </c>
      <c r="Q4741" t="s">
        <v>9529</v>
      </c>
    </row>
    <row r="4742" spans="1:17" x14ac:dyDescent="0.3">
      <c r="A4742" t="s">
        <v>32</v>
      </c>
      <c r="B4742" t="str">
        <f>"000100"</f>
        <v>000100</v>
      </c>
      <c r="C4742" t="s">
        <v>9530</v>
      </c>
      <c r="D4742" t="s">
        <v>124</v>
      </c>
      <c r="E4742">
        <v>-7073762277</v>
      </c>
      <c r="F4742">
        <v>478484215</v>
      </c>
      <c r="G4742">
        <v>-2683657506</v>
      </c>
      <c r="H4742">
        <v>-4472766516</v>
      </c>
      <c r="I4742">
        <v>-2330477472</v>
      </c>
      <c r="J4742">
        <v>102840238</v>
      </c>
      <c r="K4742">
        <v>-5341759633</v>
      </c>
      <c r="L4742">
        <v>-4518659296</v>
      </c>
      <c r="M4742">
        <v>429532367</v>
      </c>
      <c r="N4742">
        <v>-376992257</v>
      </c>
      <c r="O4742">
        <v>-2453746956</v>
      </c>
      <c r="P4742">
        <v>2194</v>
      </c>
      <c r="Q4742" t="s">
        <v>9531</v>
      </c>
    </row>
    <row r="4743" spans="1:17" x14ac:dyDescent="0.3">
      <c r="A4743" t="s">
        <v>17</v>
      </c>
      <c r="B4743" t="str">
        <f>"601117"</f>
        <v>601117</v>
      </c>
      <c r="C4743" t="s">
        <v>9532</v>
      </c>
      <c r="D4743" t="s">
        <v>645</v>
      </c>
      <c r="E4743">
        <v>-7557513135</v>
      </c>
      <c r="F4743">
        <v>-2047518085</v>
      </c>
      <c r="G4743">
        <v>-6325966541</v>
      </c>
      <c r="H4743">
        <v>-3176562582</v>
      </c>
      <c r="I4743">
        <v>-620997735</v>
      </c>
      <c r="J4743">
        <v>-1986344476</v>
      </c>
      <c r="K4743">
        <v>-1149645948</v>
      </c>
      <c r="L4743">
        <v>-2138087285</v>
      </c>
      <c r="M4743">
        <v>-3109982303</v>
      </c>
      <c r="N4743">
        <v>-1131162985</v>
      </c>
      <c r="O4743">
        <v>-76897105</v>
      </c>
      <c r="P4743">
        <v>717</v>
      </c>
      <c r="Q4743" t="s">
        <v>9533</v>
      </c>
    </row>
    <row r="4744" spans="1:17" x14ac:dyDescent="0.3">
      <c r="A4744" t="s">
        <v>17</v>
      </c>
      <c r="B4744" t="str">
        <f>"601997"</f>
        <v>601997</v>
      </c>
      <c r="C4744" t="s">
        <v>9534</v>
      </c>
      <c r="D4744" t="s">
        <v>19</v>
      </c>
      <c r="E4744">
        <v>-7828546000</v>
      </c>
      <c r="F4744">
        <v>-1472585000</v>
      </c>
      <c r="G4744">
        <v>-5384970000</v>
      </c>
      <c r="H4744">
        <v>980376000</v>
      </c>
      <c r="I4744">
        <v>-22924069000</v>
      </c>
      <c r="J4744">
        <v>7668338000</v>
      </c>
      <c r="K4744">
        <v>11217442000</v>
      </c>
      <c r="L4744">
        <v>8039734000</v>
      </c>
      <c r="P4744">
        <v>2051</v>
      </c>
      <c r="Q4744" t="s">
        <v>9535</v>
      </c>
    </row>
    <row r="4745" spans="1:17" x14ac:dyDescent="0.3">
      <c r="A4745" t="s">
        <v>17</v>
      </c>
      <c r="B4745" t="str">
        <f>"600519"</f>
        <v>600519</v>
      </c>
      <c r="C4745" t="s">
        <v>9536</v>
      </c>
      <c r="D4745" t="s">
        <v>172</v>
      </c>
      <c r="E4745">
        <v>-8099133022</v>
      </c>
      <c r="F4745">
        <v>-2895770668</v>
      </c>
      <c r="G4745">
        <v>1888646988</v>
      </c>
      <c r="H4745">
        <v>579727711</v>
      </c>
      <c r="I4745">
        <v>4360861856</v>
      </c>
      <c r="J4745">
        <v>5801605837</v>
      </c>
      <c r="K4745">
        <v>7069075092</v>
      </c>
      <c r="L4745">
        <v>1245903302</v>
      </c>
      <c r="M4745">
        <v>-1850878788</v>
      </c>
      <c r="N4745">
        <v>-334710174</v>
      </c>
      <c r="O4745">
        <v>660685958</v>
      </c>
      <c r="P4745">
        <v>71986</v>
      </c>
      <c r="Q4745" t="s">
        <v>9537</v>
      </c>
    </row>
    <row r="4746" spans="1:17" x14ac:dyDescent="0.3">
      <c r="A4746" t="s">
        <v>17</v>
      </c>
      <c r="B4746" t="str">
        <f>"601111"</f>
        <v>601111</v>
      </c>
      <c r="C4746" t="s">
        <v>9538</v>
      </c>
      <c r="D4746" t="s">
        <v>46</v>
      </c>
      <c r="E4746">
        <v>-8891752000</v>
      </c>
      <c r="F4746">
        <v>-1808526000</v>
      </c>
      <c r="G4746">
        <v>-11520155000</v>
      </c>
      <c r="H4746">
        <v>4413069000</v>
      </c>
      <c r="I4746">
        <v>3162203000</v>
      </c>
      <c r="J4746">
        <v>-487294000</v>
      </c>
      <c r="K4746">
        <v>-50039000</v>
      </c>
      <c r="L4746">
        <v>2498010000</v>
      </c>
      <c r="M4746">
        <v>-846262000</v>
      </c>
      <c r="N4746">
        <v>-3830890000</v>
      </c>
      <c r="O4746">
        <v>-2370872000</v>
      </c>
      <c r="P4746">
        <v>1108</v>
      </c>
      <c r="Q4746" t="s">
        <v>9539</v>
      </c>
    </row>
    <row r="4747" spans="1:17" x14ac:dyDescent="0.3">
      <c r="A4747" t="s">
        <v>17</v>
      </c>
      <c r="B4747" t="str">
        <f>"600297"</f>
        <v>600297</v>
      </c>
      <c r="C4747" t="s">
        <v>9540</v>
      </c>
      <c r="D4747" t="s">
        <v>199</v>
      </c>
      <c r="E4747">
        <v>-8893432289</v>
      </c>
      <c r="F4747">
        <v>-9260592824</v>
      </c>
      <c r="G4747">
        <v>-11879879331</v>
      </c>
      <c r="H4747">
        <v>-11183527718</v>
      </c>
      <c r="I4747">
        <v>-11214074511</v>
      </c>
      <c r="J4747">
        <v>-7504977723</v>
      </c>
      <c r="K4747">
        <v>-4576451963</v>
      </c>
      <c r="L4747">
        <v>11166637</v>
      </c>
      <c r="M4747">
        <v>-8580929</v>
      </c>
      <c r="N4747">
        <v>10414563</v>
      </c>
      <c r="O4747">
        <v>-8633450</v>
      </c>
      <c r="P4747">
        <v>469</v>
      </c>
      <c r="Q4747" t="s">
        <v>9541</v>
      </c>
    </row>
    <row r="4748" spans="1:17" x14ac:dyDescent="0.3">
      <c r="A4748" t="s">
        <v>32</v>
      </c>
      <c r="B4748" t="str">
        <f>"000906"</f>
        <v>000906</v>
      </c>
      <c r="C4748" t="s">
        <v>9542</v>
      </c>
      <c r="D4748" t="s">
        <v>46</v>
      </c>
      <c r="E4748">
        <v>-8936098690</v>
      </c>
      <c r="F4748">
        <v>-5409656472</v>
      </c>
      <c r="G4748">
        <v>-6914632081</v>
      </c>
      <c r="H4748">
        <v>-1462197764</v>
      </c>
      <c r="I4748">
        <v>-1011414378</v>
      </c>
      <c r="J4748">
        <v>-747217615</v>
      </c>
      <c r="K4748">
        <v>-633556781</v>
      </c>
      <c r="L4748">
        <v>-109958706</v>
      </c>
      <c r="M4748">
        <v>-105385704</v>
      </c>
      <c r="N4748">
        <v>-332827070</v>
      </c>
      <c r="O4748">
        <v>-164971349</v>
      </c>
      <c r="P4748">
        <v>239</v>
      </c>
      <c r="Q4748" t="s">
        <v>9543</v>
      </c>
    </row>
    <row r="4749" spans="1:17" x14ac:dyDescent="0.3">
      <c r="A4749" t="s">
        <v>17</v>
      </c>
      <c r="B4749" t="str">
        <f>"601766"</f>
        <v>601766</v>
      </c>
      <c r="C4749" t="s">
        <v>9544</v>
      </c>
      <c r="D4749" t="s">
        <v>135</v>
      </c>
      <c r="E4749">
        <v>-9267871000</v>
      </c>
      <c r="F4749">
        <v>-14028360000</v>
      </c>
      <c r="G4749">
        <v>-10287511000</v>
      </c>
      <c r="H4749">
        <v>-5693362000</v>
      </c>
      <c r="I4749">
        <v>-11051015000</v>
      </c>
      <c r="J4749">
        <v>-17268220000</v>
      </c>
      <c r="K4749">
        <v>-6197403000</v>
      </c>
      <c r="L4749">
        <v>-3799375385</v>
      </c>
      <c r="M4749">
        <v>1139755000</v>
      </c>
      <c r="N4749">
        <v>-3095892000</v>
      </c>
      <c r="O4749">
        <v>-6703831000</v>
      </c>
      <c r="P4749">
        <v>1205</v>
      </c>
      <c r="Q4749" t="s">
        <v>9545</v>
      </c>
    </row>
    <row r="4750" spans="1:17" x14ac:dyDescent="0.3">
      <c r="A4750" t="s">
        <v>17</v>
      </c>
      <c r="B4750" t="str">
        <f>"601727"</f>
        <v>601727</v>
      </c>
      <c r="C4750" t="s">
        <v>9546</v>
      </c>
      <c r="D4750" t="s">
        <v>464</v>
      </c>
      <c r="E4750">
        <v>-10014387000</v>
      </c>
      <c r="F4750">
        <v>-14445876000</v>
      </c>
      <c r="G4750">
        <v>-13017359000</v>
      </c>
      <c r="H4750">
        <v>-12013262000</v>
      </c>
      <c r="I4750">
        <v>-9263366000</v>
      </c>
      <c r="J4750">
        <v>-7517613000</v>
      </c>
      <c r="K4750">
        <v>-4188010000</v>
      </c>
      <c r="L4750">
        <v>-4012145000</v>
      </c>
      <c r="M4750">
        <v>-2986994000</v>
      </c>
      <c r="N4750">
        <v>-4098775000</v>
      </c>
      <c r="O4750">
        <v>-4768616000</v>
      </c>
      <c r="P4750">
        <v>551</v>
      </c>
      <c r="Q4750" t="s">
        <v>9547</v>
      </c>
    </row>
    <row r="4751" spans="1:17" x14ac:dyDescent="0.3">
      <c r="A4751" t="s">
        <v>32</v>
      </c>
      <c r="B4751" t="str">
        <f>"002736"</f>
        <v>002736</v>
      </c>
      <c r="C4751" t="s">
        <v>9548</v>
      </c>
      <c r="D4751" t="s">
        <v>26</v>
      </c>
      <c r="E4751">
        <v>-10218948894</v>
      </c>
      <c r="F4751">
        <v>-210077677</v>
      </c>
      <c r="G4751">
        <v>11066540498</v>
      </c>
      <c r="H4751">
        <v>20251460280</v>
      </c>
      <c r="I4751">
        <v>2855070788</v>
      </c>
      <c r="J4751">
        <v>-2492326307</v>
      </c>
      <c r="K4751">
        <v>-4982404338</v>
      </c>
      <c r="L4751">
        <v>3977805380</v>
      </c>
      <c r="M4751">
        <v>645136075.55999994</v>
      </c>
      <c r="P4751">
        <v>2389</v>
      </c>
      <c r="Q4751" t="s">
        <v>9549</v>
      </c>
    </row>
    <row r="4752" spans="1:17" x14ac:dyDescent="0.3">
      <c r="A4752" t="s">
        <v>17</v>
      </c>
      <c r="B4752" t="str">
        <f>"600339"</f>
        <v>600339</v>
      </c>
      <c r="C4752" t="s">
        <v>9550</v>
      </c>
      <c r="D4752" t="s">
        <v>64</v>
      </c>
      <c r="E4752">
        <v>-10438276006</v>
      </c>
      <c r="F4752">
        <v>-5511312989</v>
      </c>
      <c r="G4752">
        <v>-7465221663</v>
      </c>
      <c r="H4752">
        <v>-4746768181</v>
      </c>
      <c r="I4752">
        <v>1260276611</v>
      </c>
      <c r="J4752">
        <v>-5639742550</v>
      </c>
      <c r="K4752">
        <v>143754389</v>
      </c>
      <c r="L4752">
        <v>92231512</v>
      </c>
      <c r="M4752">
        <v>-8694304</v>
      </c>
      <c r="N4752">
        <v>70887948</v>
      </c>
      <c r="O4752">
        <v>131110866</v>
      </c>
      <c r="P4752">
        <v>232</v>
      </c>
      <c r="Q4752" t="s">
        <v>9551</v>
      </c>
    </row>
    <row r="4753" spans="1:17" x14ac:dyDescent="0.3">
      <c r="A4753" t="s">
        <v>32</v>
      </c>
      <c r="B4753" t="str">
        <f>"002244"</f>
        <v>002244</v>
      </c>
      <c r="C4753" t="s">
        <v>9552</v>
      </c>
      <c r="D4753" t="s">
        <v>151</v>
      </c>
      <c r="E4753">
        <v>-11520142405</v>
      </c>
      <c r="F4753">
        <v>-658790678</v>
      </c>
      <c r="G4753">
        <v>-2565200880</v>
      </c>
      <c r="H4753">
        <v>221226156</v>
      </c>
      <c r="I4753">
        <v>-10325082905</v>
      </c>
      <c r="J4753">
        <v>2455179633</v>
      </c>
      <c r="K4753">
        <v>3718257961</v>
      </c>
      <c r="L4753">
        <v>-448660496</v>
      </c>
      <c r="M4753">
        <v>-1495758478</v>
      </c>
      <c r="N4753">
        <v>1542965644</v>
      </c>
      <c r="O4753">
        <v>125277045</v>
      </c>
      <c r="P4753">
        <v>403</v>
      </c>
      <c r="Q4753" t="s">
        <v>9553</v>
      </c>
    </row>
    <row r="4754" spans="1:17" x14ac:dyDescent="0.3">
      <c r="A4754" t="s">
        <v>32</v>
      </c>
      <c r="B4754" t="str">
        <f>"000537"</f>
        <v>000537</v>
      </c>
      <c r="C4754" t="s">
        <v>9554</v>
      </c>
      <c r="D4754" t="s">
        <v>151</v>
      </c>
      <c r="E4754">
        <v>-11594015501</v>
      </c>
      <c r="F4754">
        <v>-208262810</v>
      </c>
      <c r="G4754">
        <v>-2633314987</v>
      </c>
      <c r="H4754">
        <v>-1563244574</v>
      </c>
      <c r="I4754">
        <v>-496997054</v>
      </c>
      <c r="J4754">
        <v>910219685</v>
      </c>
      <c r="K4754">
        <v>-1225084472</v>
      </c>
      <c r="L4754">
        <v>-178595275</v>
      </c>
      <c r="M4754">
        <v>37438020</v>
      </c>
      <c r="N4754">
        <v>122776250</v>
      </c>
      <c r="O4754">
        <v>193001742</v>
      </c>
      <c r="P4754">
        <v>604</v>
      </c>
      <c r="Q4754" t="s">
        <v>9555</v>
      </c>
    </row>
    <row r="4755" spans="1:17" x14ac:dyDescent="0.3">
      <c r="A4755" t="s">
        <v>17</v>
      </c>
      <c r="B4755" t="str">
        <f>"601611"</f>
        <v>601611</v>
      </c>
      <c r="C4755" t="s">
        <v>9556</v>
      </c>
      <c r="D4755" t="s">
        <v>645</v>
      </c>
      <c r="E4755">
        <v>-12374547876</v>
      </c>
      <c r="F4755">
        <v>-6530352880</v>
      </c>
      <c r="G4755">
        <v>-6278789626</v>
      </c>
      <c r="H4755">
        <v>-5149032838</v>
      </c>
      <c r="I4755">
        <v>-4183552469</v>
      </c>
      <c r="J4755">
        <v>-3366249526</v>
      </c>
      <c r="K4755">
        <v>-4501948577</v>
      </c>
      <c r="L4755">
        <v>-2248265500</v>
      </c>
      <c r="P4755">
        <v>346</v>
      </c>
      <c r="Q4755" t="s">
        <v>9557</v>
      </c>
    </row>
    <row r="4756" spans="1:17" x14ac:dyDescent="0.3">
      <c r="A4756" t="s">
        <v>32</v>
      </c>
      <c r="B4756" t="str">
        <f>"000617"</f>
        <v>000617</v>
      </c>
      <c r="C4756" t="s">
        <v>9558</v>
      </c>
      <c r="D4756" t="s">
        <v>26</v>
      </c>
      <c r="E4756">
        <v>-12531814370</v>
      </c>
      <c r="F4756">
        <v>-31765234044</v>
      </c>
      <c r="G4756">
        <v>-54079226466</v>
      </c>
      <c r="H4756">
        <v>-5237755927</v>
      </c>
      <c r="I4756">
        <v>-61816960868</v>
      </c>
      <c r="J4756">
        <v>-23680145739</v>
      </c>
      <c r="K4756">
        <v>-63032372</v>
      </c>
      <c r="L4756">
        <v>-69677426</v>
      </c>
      <c r="M4756">
        <v>-108434022</v>
      </c>
      <c r="N4756">
        <v>2752381</v>
      </c>
      <c r="O4756">
        <v>-78843869</v>
      </c>
      <c r="P4756">
        <v>234</v>
      </c>
      <c r="Q4756" t="s">
        <v>9559</v>
      </c>
    </row>
    <row r="4757" spans="1:17" x14ac:dyDescent="0.3">
      <c r="A4757" t="s">
        <v>17</v>
      </c>
      <c r="B4757" t="str">
        <f>"600104"</f>
        <v>600104</v>
      </c>
      <c r="C4757" t="s">
        <v>9560</v>
      </c>
      <c r="D4757" t="s">
        <v>199</v>
      </c>
      <c r="E4757">
        <v>-12667273624</v>
      </c>
      <c r="F4757">
        <v>-1656793009</v>
      </c>
      <c r="G4757">
        <v>-5194060897</v>
      </c>
      <c r="H4757">
        <v>-26801746554</v>
      </c>
      <c r="I4757">
        <v>-24148252258</v>
      </c>
      <c r="J4757">
        <v>-9547186556</v>
      </c>
      <c r="K4757">
        <v>-8251297339</v>
      </c>
      <c r="L4757">
        <v>-2684666022</v>
      </c>
      <c r="M4757">
        <v>5896520194</v>
      </c>
      <c r="N4757">
        <v>15519170270</v>
      </c>
      <c r="O4757">
        <v>2636094163</v>
      </c>
      <c r="P4757">
        <v>11366</v>
      </c>
      <c r="Q4757" t="s">
        <v>9561</v>
      </c>
    </row>
    <row r="4758" spans="1:17" x14ac:dyDescent="0.3">
      <c r="A4758" t="s">
        <v>32</v>
      </c>
      <c r="B4758" t="str">
        <f>"000069"</f>
        <v>000069</v>
      </c>
      <c r="C4758" t="s">
        <v>9562</v>
      </c>
      <c r="D4758" t="s">
        <v>151</v>
      </c>
      <c r="E4758">
        <v>-12998307029</v>
      </c>
      <c r="F4758">
        <v>-5212807479</v>
      </c>
      <c r="G4758">
        <v>-13952653757</v>
      </c>
      <c r="H4758">
        <v>-2046130807</v>
      </c>
      <c r="I4758">
        <v>-7244985094</v>
      </c>
      <c r="J4758">
        <v>-8113245328</v>
      </c>
      <c r="K4758">
        <v>-2379520360</v>
      </c>
      <c r="L4758">
        <v>-2209206710</v>
      </c>
      <c r="M4758">
        <v>-711844219</v>
      </c>
      <c r="N4758">
        <v>548423425</v>
      </c>
      <c r="O4758">
        <v>-1759611421</v>
      </c>
      <c r="P4758">
        <v>3952</v>
      </c>
      <c r="Q4758" t="s">
        <v>9563</v>
      </c>
    </row>
    <row r="4759" spans="1:17" x14ac:dyDescent="0.3">
      <c r="A4759" t="s">
        <v>17</v>
      </c>
      <c r="B4759" t="str">
        <f>"601009"</f>
        <v>601009</v>
      </c>
      <c r="C4759" t="s">
        <v>9564</v>
      </c>
      <c r="D4759" t="s">
        <v>19</v>
      </c>
      <c r="E4759">
        <v>-13216320000</v>
      </c>
      <c r="F4759">
        <v>45804744000</v>
      </c>
      <c r="G4759">
        <v>40627985000</v>
      </c>
      <c r="H4759">
        <v>8595451000</v>
      </c>
      <c r="I4759">
        <v>-13621944000</v>
      </c>
      <c r="J4759">
        <v>-18809107000</v>
      </c>
      <c r="K4759">
        <v>44734495000</v>
      </c>
      <c r="L4759">
        <v>35623879000</v>
      </c>
      <c r="M4759">
        <v>37232623096</v>
      </c>
      <c r="N4759">
        <v>31087163236</v>
      </c>
      <c r="O4759">
        <v>682269355</v>
      </c>
      <c r="P4759">
        <v>44245</v>
      </c>
      <c r="Q4759" t="s">
        <v>9565</v>
      </c>
    </row>
    <row r="4760" spans="1:17" x14ac:dyDescent="0.3">
      <c r="A4760" t="s">
        <v>32</v>
      </c>
      <c r="B4760" t="str">
        <f>"000002"</f>
        <v>000002</v>
      </c>
      <c r="C4760" t="s">
        <v>9566</v>
      </c>
      <c r="D4760" t="s">
        <v>151</v>
      </c>
      <c r="E4760">
        <v>-14296739202</v>
      </c>
      <c r="F4760">
        <v>15982644568</v>
      </c>
      <c r="G4760">
        <v>-3691990621</v>
      </c>
      <c r="H4760">
        <v>-28314850061</v>
      </c>
      <c r="I4760">
        <v>-28614137398</v>
      </c>
      <c r="J4760">
        <v>-9904449985</v>
      </c>
      <c r="K4760">
        <v>-10833682409</v>
      </c>
      <c r="L4760">
        <v>-15360749917</v>
      </c>
      <c r="M4760">
        <v>-5631332111</v>
      </c>
      <c r="N4760">
        <v>-2407063592</v>
      </c>
      <c r="O4760">
        <v>1241102157</v>
      </c>
      <c r="P4760">
        <v>12434</v>
      </c>
      <c r="Q4760" t="s">
        <v>9567</v>
      </c>
    </row>
    <row r="4761" spans="1:17" x14ac:dyDescent="0.3">
      <c r="A4761" t="s">
        <v>17</v>
      </c>
      <c r="B4761" t="str">
        <f>"601618"</f>
        <v>601618</v>
      </c>
      <c r="C4761" t="s">
        <v>9568</v>
      </c>
      <c r="D4761" t="s">
        <v>645</v>
      </c>
      <c r="E4761">
        <v>-14799198000</v>
      </c>
      <c r="F4761">
        <v>-13509879000</v>
      </c>
      <c r="G4761">
        <v>-9283079000</v>
      </c>
      <c r="H4761">
        <v>-14275154000</v>
      </c>
      <c r="I4761">
        <v>-13195009000</v>
      </c>
      <c r="J4761">
        <v>-17613228000</v>
      </c>
      <c r="K4761">
        <v>-7966203000</v>
      </c>
      <c r="L4761">
        <v>-6324215000</v>
      </c>
      <c r="M4761">
        <v>-9061778000</v>
      </c>
      <c r="N4761">
        <v>-6780406000</v>
      </c>
      <c r="O4761">
        <v>-10464696000</v>
      </c>
      <c r="P4761">
        <v>584</v>
      </c>
      <c r="Q4761" t="s">
        <v>9569</v>
      </c>
    </row>
    <row r="4762" spans="1:17" x14ac:dyDescent="0.3">
      <c r="A4762" t="s">
        <v>17</v>
      </c>
      <c r="B4762" t="str">
        <f>"601633"</f>
        <v>601633</v>
      </c>
      <c r="C4762" t="s">
        <v>9570</v>
      </c>
      <c r="D4762" t="s">
        <v>199</v>
      </c>
      <c r="E4762">
        <v>-15224868505</v>
      </c>
      <c r="F4762">
        <v>-1768158752</v>
      </c>
      <c r="G4762">
        <v>-510400538</v>
      </c>
      <c r="H4762">
        <v>-2900749547</v>
      </c>
      <c r="I4762">
        <v>-2897303453</v>
      </c>
      <c r="J4762">
        <v>-6866743371</v>
      </c>
      <c r="K4762">
        <v>-1590231316</v>
      </c>
      <c r="L4762">
        <v>217110381</v>
      </c>
      <c r="M4762">
        <v>-58367882</v>
      </c>
      <c r="N4762">
        <v>351930875</v>
      </c>
      <c r="O4762">
        <v>-541482568</v>
      </c>
      <c r="P4762">
        <v>2070</v>
      </c>
      <c r="Q4762" t="s">
        <v>9571</v>
      </c>
    </row>
    <row r="4763" spans="1:17" x14ac:dyDescent="0.3">
      <c r="A4763" t="s">
        <v>32</v>
      </c>
      <c r="B4763" t="str">
        <f>"000977"</f>
        <v>000977</v>
      </c>
      <c r="C4763" t="s">
        <v>9572</v>
      </c>
      <c r="D4763" t="s">
        <v>342</v>
      </c>
      <c r="E4763">
        <v>-15345717995</v>
      </c>
      <c r="F4763">
        <v>-995478144</v>
      </c>
      <c r="G4763">
        <v>-5841721083</v>
      </c>
      <c r="H4763">
        <v>-1099695828</v>
      </c>
      <c r="I4763">
        <v>-5488635210</v>
      </c>
      <c r="J4763">
        <v>-294978449</v>
      </c>
      <c r="K4763">
        <v>-342002194</v>
      </c>
      <c r="L4763">
        <v>-1103100992</v>
      </c>
      <c r="M4763">
        <v>-278345100</v>
      </c>
      <c r="N4763">
        <v>-367835605</v>
      </c>
      <c r="O4763">
        <v>-85389049</v>
      </c>
      <c r="P4763">
        <v>4428</v>
      </c>
      <c r="Q4763" t="s">
        <v>9573</v>
      </c>
    </row>
    <row r="4764" spans="1:17" x14ac:dyDescent="0.3">
      <c r="A4764" t="s">
        <v>32</v>
      </c>
      <c r="B4764" t="str">
        <f>"002948"</f>
        <v>002948</v>
      </c>
      <c r="C4764" t="s">
        <v>9574</v>
      </c>
      <c r="D4764" t="s">
        <v>19</v>
      </c>
      <c r="E4764">
        <v>-15842258000</v>
      </c>
      <c r="F4764">
        <v>-27396688000</v>
      </c>
      <c r="G4764">
        <v>-7409364000</v>
      </c>
      <c r="H4764">
        <v>-8738281000</v>
      </c>
      <c r="I4764">
        <v>-11195150000</v>
      </c>
      <c r="P4764">
        <v>458</v>
      </c>
      <c r="Q4764" t="s">
        <v>9575</v>
      </c>
    </row>
    <row r="4765" spans="1:17" x14ac:dyDescent="0.3">
      <c r="A4765" t="s">
        <v>17</v>
      </c>
      <c r="B4765" t="str">
        <f>"601868"</f>
        <v>601868</v>
      </c>
      <c r="C4765" t="s">
        <v>9576</v>
      </c>
      <c r="D4765" t="s">
        <v>645</v>
      </c>
      <c r="E4765">
        <v>-16585631000</v>
      </c>
      <c r="P4765">
        <v>152</v>
      </c>
      <c r="Q4765" t="s">
        <v>9577</v>
      </c>
    </row>
    <row r="4766" spans="1:17" x14ac:dyDescent="0.3">
      <c r="A4766" t="s">
        <v>17</v>
      </c>
      <c r="B4766" t="str">
        <f>"600926"</f>
        <v>600926</v>
      </c>
      <c r="C4766" t="s">
        <v>9578</v>
      </c>
      <c r="D4766" t="s">
        <v>19</v>
      </c>
      <c r="E4766">
        <v>-16943161000</v>
      </c>
      <c r="F4766">
        <v>1731249000</v>
      </c>
      <c r="G4766">
        <v>-30693071000</v>
      </c>
      <c r="H4766">
        <v>-24609257000</v>
      </c>
      <c r="I4766">
        <v>12393826000</v>
      </c>
      <c r="J4766">
        <v>-15231812000</v>
      </c>
      <c r="K4766">
        <v>7723413000</v>
      </c>
      <c r="P4766">
        <v>1142</v>
      </c>
      <c r="Q4766" t="s">
        <v>9579</v>
      </c>
    </row>
    <row r="4767" spans="1:17" x14ac:dyDescent="0.3">
      <c r="A4767" t="s">
        <v>32</v>
      </c>
      <c r="B4767" t="str">
        <f>"002936"</f>
        <v>002936</v>
      </c>
      <c r="C4767" t="s">
        <v>9580</v>
      </c>
      <c r="D4767" t="s">
        <v>19</v>
      </c>
      <c r="E4767">
        <v>-19509144000</v>
      </c>
      <c r="F4767">
        <v>-2766738000</v>
      </c>
      <c r="G4767">
        <v>14621362000</v>
      </c>
      <c r="H4767">
        <v>5852964000</v>
      </c>
      <c r="I4767">
        <v>-5266464000</v>
      </c>
      <c r="J4767">
        <v>-24688258000</v>
      </c>
      <c r="P4767">
        <v>469</v>
      </c>
      <c r="Q4767" t="s">
        <v>9581</v>
      </c>
    </row>
    <row r="4768" spans="1:17" x14ac:dyDescent="0.3">
      <c r="A4768" t="s">
        <v>17</v>
      </c>
      <c r="B4768" t="str">
        <f>"600704"</f>
        <v>600704</v>
      </c>
      <c r="C4768" t="s">
        <v>9582</v>
      </c>
      <c r="D4768" t="s">
        <v>46</v>
      </c>
      <c r="E4768">
        <v>-21131866107</v>
      </c>
      <c r="F4768">
        <v>-14438705168</v>
      </c>
      <c r="G4768">
        <v>-9044207176</v>
      </c>
      <c r="H4768">
        <v>-4529815036</v>
      </c>
      <c r="I4768">
        <v>-5270030549</v>
      </c>
      <c r="J4768">
        <v>-9779584225</v>
      </c>
      <c r="K4768">
        <v>-1461841693</v>
      </c>
      <c r="L4768">
        <v>-1222699409</v>
      </c>
      <c r="M4768">
        <v>-138212900</v>
      </c>
      <c r="N4768">
        <v>-735251813</v>
      </c>
      <c r="O4768">
        <v>-1093353731</v>
      </c>
      <c r="P4768">
        <v>749</v>
      </c>
      <c r="Q4768" t="s">
        <v>9583</v>
      </c>
    </row>
    <row r="4769" spans="1:17" x14ac:dyDescent="0.3">
      <c r="A4769" t="s">
        <v>17</v>
      </c>
      <c r="B4769" t="str">
        <f>"600057"</f>
        <v>600057</v>
      </c>
      <c r="C4769" t="s">
        <v>9584</v>
      </c>
      <c r="D4769" t="s">
        <v>46</v>
      </c>
      <c r="E4769">
        <v>-23545057839</v>
      </c>
      <c r="F4769">
        <v>-18882194013</v>
      </c>
      <c r="G4769">
        <v>-20870229332</v>
      </c>
      <c r="H4769">
        <v>-11569393635</v>
      </c>
      <c r="I4769">
        <v>-4983654906</v>
      </c>
      <c r="J4769">
        <v>-8965957286</v>
      </c>
      <c r="K4769">
        <v>-1475897633</v>
      </c>
      <c r="L4769">
        <v>728952551</v>
      </c>
      <c r="M4769">
        <v>-2146074705</v>
      </c>
      <c r="N4769">
        <v>-1778438361</v>
      </c>
      <c r="O4769">
        <v>-1595940984</v>
      </c>
      <c r="P4769">
        <v>414</v>
      </c>
      <c r="Q4769" t="s">
        <v>9585</v>
      </c>
    </row>
    <row r="4770" spans="1:17" x14ac:dyDescent="0.3">
      <c r="A4770" t="s">
        <v>17</v>
      </c>
      <c r="B4770" t="str">
        <f>"600170"</f>
        <v>600170</v>
      </c>
      <c r="C4770" t="s">
        <v>9586</v>
      </c>
      <c r="D4770" t="s">
        <v>645</v>
      </c>
      <c r="E4770">
        <v>-24783970033</v>
      </c>
      <c r="F4770">
        <v>-20376238815</v>
      </c>
      <c r="G4770">
        <v>-16485125129</v>
      </c>
      <c r="H4770">
        <v>-14195115981</v>
      </c>
      <c r="I4770">
        <v>-14291308800</v>
      </c>
      <c r="J4770">
        <v>-11781155030</v>
      </c>
      <c r="K4770">
        <v>-9844839839</v>
      </c>
      <c r="L4770">
        <v>-7804094830</v>
      </c>
      <c r="M4770">
        <v>-8099434814</v>
      </c>
      <c r="N4770">
        <v>-4420694479</v>
      </c>
      <c r="O4770">
        <v>-4259402666</v>
      </c>
      <c r="P4770">
        <v>698</v>
      </c>
      <c r="Q4770" t="s">
        <v>9587</v>
      </c>
    </row>
    <row r="4771" spans="1:17" x14ac:dyDescent="0.3">
      <c r="A4771" t="s">
        <v>17</v>
      </c>
      <c r="B4771" t="str">
        <f>"601963"</f>
        <v>601963</v>
      </c>
      <c r="C4771" t="s">
        <v>9588</v>
      </c>
      <c r="D4771" t="s">
        <v>19</v>
      </c>
      <c r="E4771">
        <v>-25406393000</v>
      </c>
      <c r="F4771">
        <v>-7860809000</v>
      </c>
      <c r="G4771">
        <v>8266958000</v>
      </c>
      <c r="H4771">
        <v>2369127000</v>
      </c>
      <c r="I4771">
        <v>-13714737000</v>
      </c>
      <c r="J4771">
        <v>-12078658000</v>
      </c>
      <c r="K4771">
        <v>-252847000</v>
      </c>
      <c r="L4771">
        <v>16752904000</v>
      </c>
      <c r="P4771">
        <v>150</v>
      </c>
      <c r="Q4771" t="s">
        <v>9589</v>
      </c>
    </row>
    <row r="4772" spans="1:17" x14ac:dyDescent="0.3">
      <c r="A4772" t="s">
        <v>17</v>
      </c>
      <c r="B4772" t="str">
        <f>"600755"</f>
        <v>600755</v>
      </c>
      <c r="C4772" t="s">
        <v>9590</v>
      </c>
      <c r="D4772" t="s">
        <v>46</v>
      </c>
      <c r="E4772">
        <v>-26189457174</v>
      </c>
      <c r="F4772">
        <v>-15032374588</v>
      </c>
      <c r="G4772">
        <v>-4077741399</v>
      </c>
      <c r="H4772">
        <v>-4622479354</v>
      </c>
      <c r="I4772">
        <v>-5833187630</v>
      </c>
      <c r="J4772">
        <v>-7128673234</v>
      </c>
      <c r="K4772">
        <v>-4020627667</v>
      </c>
      <c r="L4772">
        <v>-2438793018</v>
      </c>
      <c r="M4772">
        <v>-1004684750</v>
      </c>
      <c r="N4772">
        <v>1864462293</v>
      </c>
      <c r="O4772">
        <v>-699227026</v>
      </c>
      <c r="P4772">
        <v>742</v>
      </c>
      <c r="Q4772" t="s">
        <v>9591</v>
      </c>
    </row>
    <row r="4773" spans="1:17" x14ac:dyDescent="0.3">
      <c r="A4773" t="s">
        <v>17</v>
      </c>
      <c r="B4773" t="str">
        <f>"601669"</f>
        <v>601669</v>
      </c>
      <c r="C4773" t="s">
        <v>9592</v>
      </c>
      <c r="D4773" t="s">
        <v>645</v>
      </c>
      <c r="E4773">
        <v>-28335874046</v>
      </c>
      <c r="F4773">
        <v>-32494109452</v>
      </c>
      <c r="G4773">
        <v>-21482039080</v>
      </c>
      <c r="H4773">
        <v>-24656320119</v>
      </c>
      <c r="I4773">
        <v>-21961946639</v>
      </c>
      <c r="J4773">
        <v>-29178351202</v>
      </c>
      <c r="K4773">
        <v>-7547753625</v>
      </c>
      <c r="L4773">
        <v>-5414682971</v>
      </c>
      <c r="M4773">
        <v>-717251724</v>
      </c>
      <c r="N4773">
        <v>-5286000477</v>
      </c>
      <c r="O4773">
        <v>-2639189746</v>
      </c>
      <c r="P4773">
        <v>752</v>
      </c>
      <c r="Q4773" t="s">
        <v>9593</v>
      </c>
    </row>
    <row r="4774" spans="1:17" x14ac:dyDescent="0.3">
      <c r="A4774" t="s">
        <v>17</v>
      </c>
      <c r="B4774" t="str">
        <f>"600153"</f>
        <v>600153</v>
      </c>
      <c r="C4774" t="s">
        <v>9594</v>
      </c>
      <c r="D4774" t="s">
        <v>46</v>
      </c>
      <c r="E4774">
        <v>-33399710364</v>
      </c>
      <c r="F4774">
        <v>-40853420073</v>
      </c>
      <c r="G4774">
        <v>-15602169286</v>
      </c>
      <c r="H4774">
        <v>-5157538835</v>
      </c>
      <c r="I4774">
        <v>-16658106346</v>
      </c>
      <c r="J4774">
        <v>-15193462269</v>
      </c>
      <c r="K4774">
        <v>-661913025</v>
      </c>
      <c r="L4774">
        <v>-2669405194</v>
      </c>
      <c r="M4774">
        <v>-9324376456</v>
      </c>
      <c r="N4774">
        <v>-2848259831</v>
      </c>
      <c r="O4774">
        <v>933297936</v>
      </c>
      <c r="P4774">
        <v>2155</v>
      </c>
      <c r="Q4774" t="s">
        <v>9595</v>
      </c>
    </row>
    <row r="4775" spans="1:17" x14ac:dyDescent="0.3">
      <c r="A4775" t="s">
        <v>17</v>
      </c>
      <c r="B4775" t="str">
        <f>"600048"</f>
        <v>600048</v>
      </c>
      <c r="C4775" t="s">
        <v>9596</v>
      </c>
      <c r="D4775" t="s">
        <v>151</v>
      </c>
      <c r="E4775">
        <v>-39918663454</v>
      </c>
      <c r="F4775">
        <v>-30087978304</v>
      </c>
      <c r="G4775">
        <v>-30146693455</v>
      </c>
      <c r="H4775">
        <v>751575094</v>
      </c>
      <c r="I4775">
        <v>-26285796569</v>
      </c>
      <c r="J4775">
        <v>-13867957367</v>
      </c>
      <c r="K4775">
        <v>2462345707</v>
      </c>
      <c r="L4775">
        <v>-6393946543</v>
      </c>
      <c r="M4775">
        <v>-13482546900</v>
      </c>
      <c r="N4775">
        <v>-4207860215</v>
      </c>
      <c r="O4775">
        <v>-3313142627</v>
      </c>
      <c r="P4775">
        <v>8845</v>
      </c>
      <c r="Q4775" t="s">
        <v>9597</v>
      </c>
    </row>
    <row r="4776" spans="1:17" x14ac:dyDescent="0.3">
      <c r="A4776" t="s">
        <v>17</v>
      </c>
      <c r="B4776" t="str">
        <f>"601800"</f>
        <v>601800</v>
      </c>
      <c r="C4776" t="s">
        <v>9598</v>
      </c>
      <c r="D4776" t="s">
        <v>645</v>
      </c>
      <c r="E4776">
        <v>-43823676975</v>
      </c>
      <c r="F4776">
        <v>-49750302769</v>
      </c>
      <c r="G4776">
        <v>-56642008782</v>
      </c>
      <c r="H4776">
        <v>-48897226603</v>
      </c>
      <c r="I4776">
        <v>-25109192217</v>
      </c>
      <c r="J4776">
        <v>-24331181818</v>
      </c>
      <c r="K4776">
        <v>-23754309490</v>
      </c>
      <c r="L4776">
        <v>-27627117673</v>
      </c>
      <c r="M4776">
        <v>-11353092488</v>
      </c>
      <c r="N4776">
        <v>-6931673854</v>
      </c>
      <c r="O4776">
        <v>-7664452698</v>
      </c>
      <c r="P4776">
        <v>901</v>
      </c>
      <c r="Q4776" t="s">
        <v>9599</v>
      </c>
    </row>
    <row r="4777" spans="1:17" x14ac:dyDescent="0.3">
      <c r="A4777" t="s">
        <v>17</v>
      </c>
      <c r="B4777" t="str">
        <f>"601186"</f>
        <v>601186</v>
      </c>
      <c r="C4777" t="s">
        <v>9600</v>
      </c>
      <c r="D4777" t="s">
        <v>645</v>
      </c>
      <c r="E4777">
        <v>-49094068000</v>
      </c>
      <c r="F4777">
        <v>-56239953000</v>
      </c>
      <c r="G4777">
        <v>-47924376000</v>
      </c>
      <c r="H4777">
        <v>-46534602000</v>
      </c>
      <c r="I4777">
        <v>-47091616000</v>
      </c>
      <c r="J4777">
        <v>-26271872000</v>
      </c>
      <c r="K4777">
        <v>-17278567000</v>
      </c>
      <c r="L4777">
        <v>-6869565000</v>
      </c>
      <c r="M4777">
        <v>-4207798000</v>
      </c>
      <c r="N4777">
        <v>-842754000</v>
      </c>
      <c r="O4777">
        <v>-4116402000</v>
      </c>
      <c r="P4777">
        <v>1361</v>
      </c>
      <c r="Q4777" t="s">
        <v>9601</v>
      </c>
    </row>
    <row r="4778" spans="1:17" x14ac:dyDescent="0.3">
      <c r="A4778" t="s">
        <v>17</v>
      </c>
      <c r="B4778" t="str">
        <f>"601390"</f>
        <v>601390</v>
      </c>
      <c r="C4778" t="s">
        <v>9602</v>
      </c>
      <c r="D4778" t="s">
        <v>645</v>
      </c>
      <c r="E4778">
        <v>-57196416000</v>
      </c>
      <c r="F4778">
        <v>-39998795000</v>
      </c>
      <c r="G4778">
        <v>-48396529000</v>
      </c>
      <c r="H4778">
        <v>-42461990000</v>
      </c>
      <c r="I4778">
        <v>-31047498000</v>
      </c>
      <c r="J4778">
        <v>-23761871000</v>
      </c>
      <c r="K4778">
        <v>-7013810000</v>
      </c>
      <c r="L4778">
        <v>-8460589000</v>
      </c>
      <c r="M4778">
        <v>-12493480000</v>
      </c>
      <c r="N4778">
        <v>-7572464000</v>
      </c>
      <c r="O4778">
        <v>-11540914000</v>
      </c>
      <c r="P4778">
        <v>1323</v>
      </c>
      <c r="Q4778" t="s">
        <v>9603</v>
      </c>
    </row>
    <row r="4779" spans="1:17" x14ac:dyDescent="0.3">
      <c r="A4779" t="s">
        <v>17</v>
      </c>
      <c r="B4779" t="str">
        <f>"600705"</f>
        <v>600705</v>
      </c>
      <c r="C4779" t="s">
        <v>9604</v>
      </c>
      <c r="D4779" t="s">
        <v>26</v>
      </c>
      <c r="E4779">
        <v>-74337581490</v>
      </c>
      <c r="F4779">
        <v>-26733471410</v>
      </c>
      <c r="G4779">
        <v>-12881777834</v>
      </c>
      <c r="H4779">
        <v>-34795263781</v>
      </c>
      <c r="I4779">
        <v>-22594318207</v>
      </c>
      <c r="J4779">
        <v>-24834113583</v>
      </c>
      <c r="K4779">
        <v>-22376075644</v>
      </c>
      <c r="L4779">
        <v>-16796320765</v>
      </c>
      <c r="M4779">
        <v>-14556536372</v>
      </c>
      <c r="N4779">
        <v>-10528074549</v>
      </c>
      <c r="O4779">
        <v>2168921</v>
      </c>
      <c r="P4779">
        <v>440</v>
      </c>
      <c r="Q4779" t="s">
        <v>9605</v>
      </c>
    </row>
    <row r="4780" spans="1:17" x14ac:dyDescent="0.3">
      <c r="A4780" t="s">
        <v>17</v>
      </c>
      <c r="B4780" t="str">
        <f>"600028"</f>
        <v>600028</v>
      </c>
      <c r="C4780" t="s">
        <v>9606</v>
      </c>
      <c r="D4780" t="s">
        <v>64</v>
      </c>
      <c r="E4780">
        <v>-82342000000</v>
      </c>
      <c r="F4780">
        <v>-42671000000</v>
      </c>
      <c r="G4780">
        <v>-90434000000</v>
      </c>
      <c r="H4780">
        <v>-38099000000</v>
      </c>
      <c r="I4780">
        <v>-5849000000</v>
      </c>
      <c r="J4780">
        <v>-1802000000</v>
      </c>
      <c r="K4780">
        <v>15450000000</v>
      </c>
      <c r="L4780">
        <v>-26678000000</v>
      </c>
      <c r="M4780">
        <v>-21820000000</v>
      </c>
      <c r="N4780">
        <v>-39962000000</v>
      </c>
      <c r="O4780">
        <v>-65287000000</v>
      </c>
      <c r="P4780">
        <v>2313</v>
      </c>
      <c r="Q4780" t="s">
        <v>9607</v>
      </c>
    </row>
    <row r="4781" spans="1:17" x14ac:dyDescent="0.3">
      <c r="A4781" t="s">
        <v>17</v>
      </c>
      <c r="B4781" t="str">
        <f>"601668"</f>
        <v>601668</v>
      </c>
      <c r="C4781" t="s">
        <v>9608</v>
      </c>
      <c r="D4781" t="s">
        <v>645</v>
      </c>
      <c r="E4781">
        <v>-126133205000</v>
      </c>
      <c r="F4781">
        <v>-47788666000</v>
      </c>
      <c r="G4781">
        <v>-91914546000</v>
      </c>
      <c r="H4781">
        <v>-101322601000</v>
      </c>
      <c r="I4781">
        <v>-91672330000</v>
      </c>
      <c r="J4781">
        <v>-69508492000</v>
      </c>
      <c r="K4781">
        <v>-39156973000</v>
      </c>
      <c r="L4781">
        <v>-51111035000</v>
      </c>
      <c r="M4781">
        <v>-38824266000</v>
      </c>
      <c r="N4781">
        <v>-17960683000</v>
      </c>
      <c r="O4781">
        <v>-16295210000</v>
      </c>
      <c r="P4781">
        <v>10287</v>
      </c>
      <c r="Q4781" t="s">
        <v>9609</v>
      </c>
    </row>
    <row r="4782" spans="1:17" x14ac:dyDescent="0.3">
      <c r="A4782" t="s">
        <v>17</v>
      </c>
      <c r="B4782" t="str">
        <f>"601818"</f>
        <v>601818</v>
      </c>
      <c r="C4782" t="s">
        <v>9610</v>
      </c>
      <c r="D4782" t="s">
        <v>19</v>
      </c>
      <c r="E4782">
        <v>-218394000000</v>
      </c>
      <c r="F4782">
        <v>-72704000000</v>
      </c>
      <c r="G4782">
        <v>226155000000</v>
      </c>
      <c r="H4782">
        <v>-32889000000</v>
      </c>
      <c r="I4782">
        <v>-55511000000</v>
      </c>
      <c r="J4782">
        <v>-163893000000</v>
      </c>
      <c r="K4782">
        <v>80854000000</v>
      </c>
      <c r="L4782">
        <v>88624000000</v>
      </c>
      <c r="M4782">
        <v>59997000000</v>
      </c>
      <c r="N4782">
        <v>71353000000</v>
      </c>
      <c r="O4782">
        <v>-7762863000</v>
      </c>
      <c r="P4782">
        <v>15856</v>
      </c>
      <c r="Q4782" t="s">
        <v>9611</v>
      </c>
    </row>
    <row r="4783" spans="1:17" x14ac:dyDescent="0.3">
      <c r="A4783" t="s">
        <v>17</v>
      </c>
      <c r="B4783" t="str">
        <f>"601166"</f>
        <v>601166</v>
      </c>
      <c r="C4783" t="s">
        <v>9612</v>
      </c>
      <c r="D4783" t="s">
        <v>19</v>
      </c>
      <c r="E4783">
        <v>-251149000000</v>
      </c>
      <c r="F4783">
        <v>-297896000000</v>
      </c>
      <c r="G4783">
        <v>73879000000</v>
      </c>
      <c r="H4783">
        <v>-348486000000</v>
      </c>
      <c r="I4783">
        <v>-211034000000</v>
      </c>
      <c r="J4783">
        <v>-49408000000</v>
      </c>
      <c r="K4783">
        <v>-80281000000</v>
      </c>
      <c r="L4783">
        <v>-54057000000</v>
      </c>
      <c r="M4783">
        <v>148804000000</v>
      </c>
      <c r="N4783">
        <v>123121000000</v>
      </c>
      <c r="O4783">
        <v>10809000000</v>
      </c>
      <c r="P4783">
        <v>24373</v>
      </c>
      <c r="Q4783" t="s">
        <v>9613</v>
      </c>
    </row>
    <row r="4784" spans="1:17" x14ac:dyDescent="0.3">
      <c r="A4784" t="s">
        <v>17</v>
      </c>
      <c r="B4784" t="str">
        <f>"600000"</f>
        <v>600000</v>
      </c>
      <c r="C4784" t="s">
        <v>9614</v>
      </c>
      <c r="D4784" t="s">
        <v>19</v>
      </c>
      <c r="E4784">
        <v>-276476000000</v>
      </c>
      <c r="F4784">
        <v>-133266000000</v>
      </c>
      <c r="G4784">
        <v>90981000000</v>
      </c>
      <c r="H4784">
        <v>184800000000</v>
      </c>
      <c r="I4784">
        <v>-50403000000</v>
      </c>
      <c r="J4784">
        <v>-201479000000</v>
      </c>
      <c r="K4784">
        <v>-102528000000</v>
      </c>
      <c r="L4784">
        <v>-83443000000</v>
      </c>
      <c r="M4784">
        <v>-79843000000</v>
      </c>
      <c r="N4784">
        <v>100150000000</v>
      </c>
      <c r="O4784">
        <v>76779184000</v>
      </c>
      <c r="P4784">
        <v>17547</v>
      </c>
      <c r="Q4784" t="s">
        <v>9615</v>
      </c>
    </row>
    <row r="4785" spans="1:17" x14ac:dyDescent="0.3">
      <c r="A4785" t="s">
        <v>17</v>
      </c>
      <c r="B4785" t="str">
        <f>"601988"</f>
        <v>601988</v>
      </c>
      <c r="C4785" t="s">
        <v>9616</v>
      </c>
      <c r="D4785" t="s">
        <v>19</v>
      </c>
      <c r="E4785">
        <v>-295482000000</v>
      </c>
      <c r="F4785">
        <v>574591000000</v>
      </c>
      <c r="G4785">
        <v>428339000000</v>
      </c>
      <c r="H4785">
        <v>-241685000000</v>
      </c>
      <c r="I4785">
        <v>378033000000</v>
      </c>
      <c r="J4785">
        <v>377622000000</v>
      </c>
      <c r="K4785">
        <v>-154437000000</v>
      </c>
      <c r="L4785">
        <v>397540000000</v>
      </c>
      <c r="M4785">
        <v>381929000000</v>
      </c>
      <c r="N4785">
        <v>-82577000000</v>
      </c>
      <c r="O4785">
        <v>561833000000</v>
      </c>
      <c r="P4785">
        <v>4259</v>
      </c>
      <c r="Q4785" t="s">
        <v>9617</v>
      </c>
    </row>
    <row r="4786" spans="1:17" x14ac:dyDescent="0.3">
      <c r="A4786" t="s">
        <v>17</v>
      </c>
      <c r="B4786" t="str">
        <f>"600005"</f>
        <v>600005</v>
      </c>
      <c r="C4786" t="s">
        <v>9618</v>
      </c>
      <c r="K4786">
        <v>275970695.31</v>
      </c>
      <c r="L4786">
        <v>58623127.25</v>
      </c>
      <c r="M4786">
        <v>270600748.55000001</v>
      </c>
      <c r="N4786">
        <v>693675709.19000006</v>
      </c>
      <c r="O4786">
        <v>584784015.64999998</v>
      </c>
      <c r="P4786">
        <v>25</v>
      </c>
      <c r="Q4786" t="s">
        <v>9619</v>
      </c>
    </row>
    <row r="4787" spans="1:17" x14ac:dyDescent="0.3">
      <c r="A4787" t="s">
        <v>17</v>
      </c>
      <c r="B4787" t="str">
        <f>"600065"</f>
        <v>600065</v>
      </c>
      <c r="C4787" t="s">
        <v>9620</v>
      </c>
      <c r="J4787">
        <v>-392758837.52999997</v>
      </c>
      <c r="K4787">
        <v>-40257351.799999997</v>
      </c>
      <c r="L4787">
        <v>22875130</v>
      </c>
      <c r="M4787">
        <v>12122598.710000001</v>
      </c>
      <c r="N4787">
        <v>-128069382.61</v>
      </c>
      <c r="O4787">
        <v>-161642075.91999999</v>
      </c>
      <c r="P4787">
        <v>4</v>
      </c>
      <c r="Q4787" t="s">
        <v>9621</v>
      </c>
    </row>
    <row r="4788" spans="1:17" x14ac:dyDescent="0.3">
      <c r="A4788" t="s">
        <v>17</v>
      </c>
      <c r="B4788" t="str">
        <f>"600068"</f>
        <v>600068</v>
      </c>
      <c r="C4788" t="s">
        <v>9622</v>
      </c>
      <c r="F4788">
        <v>-5934467339</v>
      </c>
      <c r="G4788">
        <v>-5225393259</v>
      </c>
      <c r="H4788">
        <v>-3340493872</v>
      </c>
      <c r="I4788">
        <v>-11902442630</v>
      </c>
      <c r="J4788">
        <v>-6788591564</v>
      </c>
      <c r="K4788">
        <v>-3999773113</v>
      </c>
      <c r="L4788">
        <v>-2284062906</v>
      </c>
      <c r="M4788">
        <v>-5054807181</v>
      </c>
      <c r="N4788">
        <v>-157146745</v>
      </c>
      <c r="O4788">
        <v>-2072726987</v>
      </c>
      <c r="P4788">
        <v>843</v>
      </c>
      <c r="Q4788" t="s">
        <v>9623</v>
      </c>
    </row>
    <row r="4789" spans="1:17" x14ac:dyDescent="0.3">
      <c r="A4789" t="s">
        <v>17</v>
      </c>
      <c r="B4789" t="str">
        <f>"600069"</f>
        <v>600069</v>
      </c>
      <c r="C4789" t="s">
        <v>9624</v>
      </c>
      <c r="G4789">
        <v>-4579421</v>
      </c>
      <c r="H4789">
        <v>154032185</v>
      </c>
      <c r="I4789">
        <v>-400812525</v>
      </c>
      <c r="J4789">
        <v>8395617</v>
      </c>
      <c r="K4789">
        <v>24959349</v>
      </c>
      <c r="L4789">
        <v>-35137605</v>
      </c>
      <c r="M4789">
        <v>-76545457</v>
      </c>
      <c r="N4789">
        <v>-55120866</v>
      </c>
      <c r="O4789">
        <v>-80466079</v>
      </c>
      <c r="P4789">
        <v>48</v>
      </c>
      <c r="Q4789" t="s">
        <v>9625</v>
      </c>
    </row>
    <row r="4790" spans="1:17" x14ac:dyDescent="0.3">
      <c r="A4790" t="s">
        <v>17</v>
      </c>
      <c r="B4790" t="str">
        <f>"600074"</f>
        <v>600074</v>
      </c>
      <c r="C4790" t="s">
        <v>9626</v>
      </c>
      <c r="G4790">
        <v>2193337</v>
      </c>
      <c r="H4790">
        <v>-8852601</v>
      </c>
      <c r="I4790">
        <v>-37172499</v>
      </c>
      <c r="J4790">
        <v>-783736055</v>
      </c>
      <c r="K4790">
        <v>101585615</v>
      </c>
      <c r="L4790">
        <v>-93608365</v>
      </c>
      <c r="M4790">
        <v>14876750</v>
      </c>
      <c r="N4790">
        <v>6297781</v>
      </c>
      <c r="O4790">
        <v>-32121731</v>
      </c>
      <c r="P4790">
        <v>61</v>
      </c>
      <c r="Q4790" t="s">
        <v>9627</v>
      </c>
    </row>
    <row r="4791" spans="1:17" x14ac:dyDescent="0.3">
      <c r="A4791" t="s">
        <v>17</v>
      </c>
      <c r="B4791" t="str">
        <f>"600086"</f>
        <v>600086</v>
      </c>
      <c r="C4791" t="s">
        <v>9628</v>
      </c>
      <c r="G4791">
        <v>-424413</v>
      </c>
      <c r="H4791">
        <v>187607</v>
      </c>
      <c r="I4791">
        <v>-102972409</v>
      </c>
      <c r="J4791">
        <v>-965723161</v>
      </c>
      <c r="K4791">
        <v>-169662500</v>
      </c>
      <c r="L4791">
        <v>-480558182</v>
      </c>
      <c r="M4791">
        <v>333797355</v>
      </c>
      <c r="N4791">
        <v>-193664786</v>
      </c>
      <c r="O4791">
        <v>202748139</v>
      </c>
      <c r="P4791">
        <v>73</v>
      </c>
      <c r="Q4791" t="s">
        <v>9629</v>
      </c>
    </row>
    <row r="4792" spans="1:17" x14ac:dyDescent="0.3">
      <c r="A4792" t="s">
        <v>17</v>
      </c>
      <c r="B4792" t="str">
        <f>"600087"</f>
        <v>600087</v>
      </c>
      <c r="C4792" t="s">
        <v>9630</v>
      </c>
      <c r="J4792">
        <v>127457526.23999999</v>
      </c>
      <c r="K4792">
        <v>210768339.03</v>
      </c>
      <c r="L4792">
        <v>87289965.260000005</v>
      </c>
      <c r="M4792">
        <v>183729475.72</v>
      </c>
      <c r="N4792">
        <v>281809506.10000002</v>
      </c>
      <c r="O4792">
        <v>-218536508.63</v>
      </c>
      <c r="P4792">
        <v>7</v>
      </c>
      <c r="Q4792" t="s">
        <v>9631</v>
      </c>
    </row>
    <row r="4793" spans="1:17" x14ac:dyDescent="0.3">
      <c r="A4793" t="s">
        <v>17</v>
      </c>
      <c r="B4793" t="str">
        <f>"600090"</f>
        <v>600090</v>
      </c>
      <c r="C4793" t="s">
        <v>9632</v>
      </c>
      <c r="D4793" t="s">
        <v>98</v>
      </c>
      <c r="F4793">
        <v>-52549020</v>
      </c>
      <c r="G4793">
        <v>-270095712</v>
      </c>
      <c r="H4793">
        <v>755666110</v>
      </c>
      <c r="I4793">
        <v>-96041280</v>
      </c>
      <c r="J4793">
        <v>833653663</v>
      </c>
      <c r="K4793">
        <v>71260489</v>
      </c>
      <c r="L4793">
        <v>59596105</v>
      </c>
      <c r="M4793">
        <v>22945971</v>
      </c>
      <c r="N4793">
        <v>125962769</v>
      </c>
      <c r="O4793">
        <v>15402733</v>
      </c>
      <c r="P4793">
        <v>214</v>
      </c>
      <c r="Q4793" t="s">
        <v>9633</v>
      </c>
    </row>
    <row r="4794" spans="1:17" x14ac:dyDescent="0.3">
      <c r="A4794" t="s">
        <v>17</v>
      </c>
      <c r="B4794" t="str">
        <f>"600092"</f>
        <v>600092</v>
      </c>
      <c r="C4794" t="s">
        <v>9634</v>
      </c>
      <c r="J4794">
        <v>8517.19</v>
      </c>
      <c r="K4794">
        <v>558.02</v>
      </c>
      <c r="L4794">
        <v>14454.18</v>
      </c>
      <c r="M4794">
        <v>-11006</v>
      </c>
      <c r="N4794">
        <v>-9951.91</v>
      </c>
      <c r="O4794">
        <v>35923.03</v>
      </c>
      <c r="P4794">
        <v>3</v>
      </c>
      <c r="Q4794" t="s">
        <v>9635</v>
      </c>
    </row>
    <row r="4795" spans="1:17" x14ac:dyDescent="0.3">
      <c r="A4795" t="s">
        <v>17</v>
      </c>
      <c r="B4795" t="str">
        <f>"600102"</f>
        <v>600102</v>
      </c>
      <c r="C4795" t="s">
        <v>9636</v>
      </c>
      <c r="M4795">
        <v>466975499.5</v>
      </c>
      <c r="N4795">
        <v>-1575365268.5699999</v>
      </c>
      <c r="O4795">
        <v>49641421.380000003</v>
      </c>
      <c r="P4795">
        <v>12</v>
      </c>
      <c r="Q4795" t="s">
        <v>9637</v>
      </c>
    </row>
    <row r="4796" spans="1:17" x14ac:dyDescent="0.3">
      <c r="A4796" t="s">
        <v>17</v>
      </c>
      <c r="B4796" t="str">
        <f>"600145"</f>
        <v>600145</v>
      </c>
      <c r="C4796" t="s">
        <v>9638</v>
      </c>
      <c r="D4796" t="s">
        <v>218</v>
      </c>
      <c r="F4796">
        <v>75740</v>
      </c>
      <c r="G4796">
        <v>18076</v>
      </c>
      <c r="H4796">
        <v>1305901</v>
      </c>
      <c r="I4796">
        <v>-685034</v>
      </c>
      <c r="J4796">
        <v>-20233376</v>
      </c>
      <c r="K4796">
        <v>-65068455</v>
      </c>
      <c r="L4796">
        <v>-4989207</v>
      </c>
      <c r="M4796">
        <v>33674</v>
      </c>
      <c r="N4796">
        <v>-859683</v>
      </c>
      <c r="O4796">
        <v>10248609</v>
      </c>
      <c r="P4796">
        <v>46</v>
      </c>
      <c r="Q4796" t="s">
        <v>9639</v>
      </c>
    </row>
    <row r="4797" spans="1:17" x14ac:dyDescent="0.3">
      <c r="A4797" t="s">
        <v>17</v>
      </c>
      <c r="B4797" t="str">
        <f>"600146"</f>
        <v>600146</v>
      </c>
      <c r="C4797" t="s">
        <v>9640</v>
      </c>
      <c r="D4797" t="s">
        <v>130</v>
      </c>
      <c r="F4797">
        <v>-2486594</v>
      </c>
      <c r="G4797">
        <v>-993944</v>
      </c>
      <c r="H4797">
        <v>-125896075</v>
      </c>
      <c r="I4797">
        <v>3720458</v>
      </c>
      <c r="J4797">
        <v>-155634942</v>
      </c>
      <c r="K4797">
        <v>-9849626</v>
      </c>
      <c r="L4797">
        <v>-7159661</v>
      </c>
      <c r="M4797">
        <v>-21762530</v>
      </c>
      <c r="N4797">
        <v>-27592799</v>
      </c>
      <c r="O4797">
        <v>-32269911</v>
      </c>
      <c r="P4797">
        <v>70</v>
      </c>
      <c r="Q4797" t="s">
        <v>9641</v>
      </c>
    </row>
    <row r="4798" spans="1:17" x14ac:dyDescent="0.3">
      <c r="A4798" t="s">
        <v>17</v>
      </c>
      <c r="B4798" t="str">
        <f>"600175"</f>
        <v>600175</v>
      </c>
      <c r="C4798" t="s">
        <v>9642</v>
      </c>
      <c r="G4798">
        <v>-43338509</v>
      </c>
      <c r="H4798">
        <v>-236861242</v>
      </c>
      <c r="I4798">
        <v>-1139721119</v>
      </c>
      <c r="J4798">
        <v>-558707340</v>
      </c>
      <c r="K4798">
        <v>238447255</v>
      </c>
      <c r="L4798">
        <v>-1183360984</v>
      </c>
      <c r="M4798">
        <v>-512682581</v>
      </c>
      <c r="N4798">
        <v>-159881094</v>
      </c>
      <c r="O4798">
        <v>48192835</v>
      </c>
      <c r="P4798">
        <v>58</v>
      </c>
      <c r="Q4798" t="s">
        <v>9643</v>
      </c>
    </row>
    <row r="4799" spans="1:17" x14ac:dyDescent="0.3">
      <c r="A4799" t="s">
        <v>17</v>
      </c>
      <c r="B4799" t="str">
        <f>"600240"</f>
        <v>600240</v>
      </c>
      <c r="C4799" t="s">
        <v>9644</v>
      </c>
      <c r="G4799">
        <v>21014352</v>
      </c>
      <c r="H4799">
        <v>5349031</v>
      </c>
      <c r="I4799">
        <v>-170533425</v>
      </c>
      <c r="J4799">
        <v>-377116001</v>
      </c>
      <c r="K4799">
        <v>-535036958</v>
      </c>
      <c r="L4799">
        <v>308069845</v>
      </c>
      <c r="M4799">
        <v>15254691</v>
      </c>
      <c r="N4799">
        <v>350818946</v>
      </c>
      <c r="O4799">
        <v>-60328600</v>
      </c>
      <c r="P4799">
        <v>94</v>
      </c>
      <c r="Q4799" t="s">
        <v>9645</v>
      </c>
    </row>
    <row r="4800" spans="1:17" x14ac:dyDescent="0.3">
      <c r="A4800" t="s">
        <v>17</v>
      </c>
      <c r="B4800" t="str">
        <f>"600247"</f>
        <v>600247</v>
      </c>
      <c r="C4800" t="s">
        <v>9646</v>
      </c>
      <c r="G4800">
        <v>-1289177</v>
      </c>
      <c r="H4800">
        <v>-431046</v>
      </c>
      <c r="I4800">
        <v>518138025</v>
      </c>
      <c r="J4800">
        <v>-1204361</v>
      </c>
      <c r="K4800">
        <v>-2373572</v>
      </c>
      <c r="L4800">
        <v>-2570653</v>
      </c>
      <c r="M4800">
        <v>780749</v>
      </c>
      <c r="N4800">
        <v>71843891</v>
      </c>
      <c r="O4800">
        <v>-3464634</v>
      </c>
      <c r="P4800">
        <v>29</v>
      </c>
      <c r="Q4800" t="s">
        <v>9647</v>
      </c>
    </row>
    <row r="4801" spans="1:17" x14ac:dyDescent="0.3">
      <c r="A4801" t="s">
        <v>17</v>
      </c>
      <c r="B4801" t="str">
        <f>"600253"</f>
        <v>600253</v>
      </c>
      <c r="C4801" t="s">
        <v>9648</v>
      </c>
      <c r="N4801">
        <v>-182323846.81</v>
      </c>
      <c r="O4801">
        <v>-97501400.870000005</v>
      </c>
      <c r="P4801">
        <v>3</v>
      </c>
      <c r="Q4801" t="s">
        <v>9649</v>
      </c>
    </row>
    <row r="4802" spans="1:17" x14ac:dyDescent="0.3">
      <c r="A4802" t="s">
        <v>17</v>
      </c>
      <c r="B4802" t="str">
        <f>"600270"</f>
        <v>600270</v>
      </c>
      <c r="C4802" t="s">
        <v>9650</v>
      </c>
      <c r="I4802">
        <v>-240375116</v>
      </c>
      <c r="J4802">
        <v>-76526582</v>
      </c>
      <c r="K4802">
        <v>-156285717.66</v>
      </c>
      <c r="L4802">
        <v>-285087768.64999998</v>
      </c>
      <c r="M4802">
        <v>-24913825.309999999</v>
      </c>
      <c r="N4802">
        <v>-23134819.719999999</v>
      </c>
      <c r="O4802">
        <v>-31843367.030000001</v>
      </c>
      <c r="P4802">
        <v>101</v>
      </c>
      <c r="Q4802" t="s">
        <v>9651</v>
      </c>
    </row>
    <row r="4803" spans="1:17" x14ac:dyDescent="0.3">
      <c r="A4803" t="s">
        <v>17</v>
      </c>
      <c r="B4803" t="str">
        <f>"600286"</f>
        <v>600286</v>
      </c>
      <c r="C4803" t="s">
        <v>9652</v>
      </c>
      <c r="J4803">
        <v>-11576282.08</v>
      </c>
      <c r="K4803">
        <v>473448.89</v>
      </c>
      <c r="P4803">
        <v>18</v>
      </c>
      <c r="Q4803" t="s">
        <v>9653</v>
      </c>
    </row>
    <row r="4804" spans="1:17" x14ac:dyDescent="0.3">
      <c r="A4804" t="s">
        <v>17</v>
      </c>
      <c r="B4804" t="str">
        <f>"600317"</f>
        <v>600317</v>
      </c>
      <c r="C4804" t="s">
        <v>9654</v>
      </c>
      <c r="G4804">
        <v>189547939</v>
      </c>
      <c r="H4804">
        <v>219704573</v>
      </c>
      <c r="I4804">
        <v>308205206</v>
      </c>
      <c r="J4804">
        <v>413158400</v>
      </c>
      <c r="K4804">
        <v>68822323.780000001</v>
      </c>
      <c r="L4804">
        <v>389468268.87</v>
      </c>
      <c r="M4804">
        <v>255985732.65000001</v>
      </c>
      <c r="N4804">
        <v>26653162.739999998</v>
      </c>
      <c r="O4804">
        <v>78009888.099999994</v>
      </c>
      <c r="P4804">
        <v>92</v>
      </c>
      <c r="Q4804" t="s">
        <v>9655</v>
      </c>
    </row>
    <row r="4805" spans="1:17" x14ac:dyDescent="0.3">
      <c r="A4805" t="s">
        <v>17</v>
      </c>
      <c r="B4805" t="str">
        <f>"600401"</f>
        <v>600401</v>
      </c>
      <c r="C4805" t="s">
        <v>9656</v>
      </c>
      <c r="H4805">
        <v>43974670</v>
      </c>
      <c r="I4805">
        <v>-72918332</v>
      </c>
      <c r="J4805">
        <v>-627352251</v>
      </c>
      <c r="K4805">
        <v>-280639299.06999999</v>
      </c>
      <c r="L4805">
        <v>-212579680.66999999</v>
      </c>
      <c r="M4805">
        <v>52062581.799999997</v>
      </c>
      <c r="N4805">
        <v>249078259.11000001</v>
      </c>
      <c r="O4805">
        <v>-103491353.72</v>
      </c>
      <c r="P4805">
        <v>22</v>
      </c>
      <c r="Q4805" t="s">
        <v>9657</v>
      </c>
    </row>
    <row r="4806" spans="1:17" x14ac:dyDescent="0.3">
      <c r="A4806" t="s">
        <v>17</v>
      </c>
      <c r="B4806" t="str">
        <f>"600432"</f>
        <v>600432</v>
      </c>
      <c r="C4806" t="s">
        <v>9658</v>
      </c>
      <c r="I4806">
        <v>13445039</v>
      </c>
      <c r="J4806">
        <v>57869181</v>
      </c>
      <c r="K4806">
        <v>128826035.33</v>
      </c>
      <c r="L4806">
        <v>-78980590.849999994</v>
      </c>
      <c r="M4806">
        <v>92007869.540000007</v>
      </c>
      <c r="N4806">
        <v>-756068690.20000005</v>
      </c>
      <c r="O4806">
        <v>-874238287.50999999</v>
      </c>
      <c r="P4806">
        <v>14</v>
      </c>
      <c r="Q4806" t="s">
        <v>9659</v>
      </c>
    </row>
    <row r="4807" spans="1:17" x14ac:dyDescent="0.3">
      <c r="A4807" t="s">
        <v>17</v>
      </c>
      <c r="B4807" t="str">
        <f>"600485"</f>
        <v>600485</v>
      </c>
      <c r="C4807" t="s">
        <v>9660</v>
      </c>
      <c r="F4807">
        <v>-26082329</v>
      </c>
      <c r="G4807">
        <v>-36313287</v>
      </c>
      <c r="H4807">
        <v>54190519</v>
      </c>
      <c r="I4807">
        <v>-140138946</v>
      </c>
      <c r="J4807">
        <v>-234310248</v>
      </c>
      <c r="K4807">
        <v>-1140535197</v>
      </c>
      <c r="L4807">
        <v>-284329537</v>
      </c>
      <c r="M4807">
        <v>-17280429</v>
      </c>
      <c r="N4807">
        <v>-4130915</v>
      </c>
      <c r="O4807">
        <v>-31919970</v>
      </c>
      <c r="P4807">
        <v>124</v>
      </c>
      <c r="Q4807" t="s">
        <v>9661</v>
      </c>
    </row>
    <row r="4808" spans="1:17" x14ac:dyDescent="0.3">
      <c r="A4808" t="s">
        <v>17</v>
      </c>
      <c r="B4808" t="str">
        <f>"600532"</f>
        <v>600532</v>
      </c>
      <c r="C4808" t="s">
        <v>9662</v>
      </c>
      <c r="D4808" t="s">
        <v>73</v>
      </c>
      <c r="F4808">
        <v>513149521</v>
      </c>
      <c r="G4808">
        <v>45945092</v>
      </c>
      <c r="H4808">
        <v>35904732</v>
      </c>
      <c r="I4808">
        <v>-502151082</v>
      </c>
      <c r="J4808">
        <v>4551320</v>
      </c>
      <c r="K4808">
        <v>86767494</v>
      </c>
      <c r="L4808">
        <v>-4421972</v>
      </c>
      <c r="M4808">
        <v>6139169</v>
      </c>
      <c r="N4808">
        <v>-8412431</v>
      </c>
      <c r="O4808">
        <v>-1152132</v>
      </c>
      <c r="P4808">
        <v>91</v>
      </c>
      <c r="Q4808" t="s">
        <v>9663</v>
      </c>
    </row>
    <row r="4809" spans="1:17" x14ac:dyDescent="0.3">
      <c r="A4809" t="s">
        <v>17</v>
      </c>
      <c r="B4809" t="str">
        <f>"600614"</f>
        <v>600614</v>
      </c>
      <c r="C4809" t="s">
        <v>9664</v>
      </c>
      <c r="F4809">
        <v>-416513</v>
      </c>
      <c r="G4809">
        <v>9863447</v>
      </c>
      <c r="H4809">
        <v>-124165520</v>
      </c>
      <c r="I4809">
        <v>-281998658</v>
      </c>
      <c r="J4809">
        <v>-172826757</v>
      </c>
      <c r="K4809">
        <v>-154653895</v>
      </c>
      <c r="L4809">
        <v>-274179650</v>
      </c>
      <c r="M4809">
        <v>-12198805</v>
      </c>
      <c r="N4809">
        <v>-22496773</v>
      </c>
      <c r="O4809">
        <v>-77047830</v>
      </c>
      <c r="P4809">
        <v>55</v>
      </c>
      <c r="Q4809" t="s">
        <v>9665</v>
      </c>
    </row>
    <row r="4810" spans="1:17" x14ac:dyDescent="0.3">
      <c r="A4810" t="s">
        <v>17</v>
      </c>
      <c r="B4810" t="str">
        <f>"600625"</f>
        <v>600625</v>
      </c>
      <c r="C4810" t="s">
        <v>9666</v>
      </c>
      <c r="J4810">
        <v>-12268570.529999999</v>
      </c>
      <c r="K4810">
        <v>-1295417.9099999999</v>
      </c>
      <c r="L4810">
        <v>1337317.45</v>
      </c>
      <c r="M4810">
        <v>-449179.56</v>
      </c>
      <c r="N4810">
        <v>-1051502.18</v>
      </c>
      <c r="O4810">
        <v>-1112021.97</v>
      </c>
      <c r="P4810">
        <v>5</v>
      </c>
      <c r="Q4810" t="s">
        <v>9667</v>
      </c>
    </row>
    <row r="4811" spans="1:17" x14ac:dyDescent="0.3">
      <c r="A4811" t="s">
        <v>17</v>
      </c>
      <c r="B4811" t="str">
        <f>"600631"</f>
        <v>600631</v>
      </c>
      <c r="C4811" t="s">
        <v>525</v>
      </c>
      <c r="M4811">
        <v>549618933.36000001</v>
      </c>
      <c r="N4811">
        <v>-1408118601.4100001</v>
      </c>
      <c r="O4811">
        <v>655266903.04999995</v>
      </c>
      <c r="P4811">
        <v>18</v>
      </c>
      <c r="Q4811" t="s">
        <v>9668</v>
      </c>
    </row>
    <row r="4812" spans="1:17" x14ac:dyDescent="0.3">
      <c r="A4812" t="s">
        <v>17</v>
      </c>
      <c r="B4812" t="str">
        <f>"600634"</f>
        <v>600634</v>
      </c>
      <c r="C4812" t="s">
        <v>9669</v>
      </c>
      <c r="F4812">
        <v>-23541</v>
      </c>
      <c r="G4812">
        <v>-8374226</v>
      </c>
      <c r="H4812">
        <v>39198313</v>
      </c>
      <c r="I4812">
        <v>-639127260</v>
      </c>
      <c r="J4812">
        <v>180113274</v>
      </c>
      <c r="K4812">
        <v>-227576249</v>
      </c>
      <c r="L4812">
        <v>-94289023</v>
      </c>
      <c r="M4812">
        <v>-206823070</v>
      </c>
      <c r="N4812">
        <v>6924185</v>
      </c>
      <c r="O4812">
        <v>-22844164</v>
      </c>
      <c r="P4812">
        <v>48</v>
      </c>
      <c r="Q4812" t="s">
        <v>9670</v>
      </c>
    </row>
    <row r="4813" spans="1:17" x14ac:dyDescent="0.3">
      <c r="A4813" t="s">
        <v>17</v>
      </c>
      <c r="B4813" t="str">
        <f>"600646"</f>
        <v>600646</v>
      </c>
      <c r="C4813" t="s">
        <v>9671</v>
      </c>
      <c r="P4813">
        <v>2</v>
      </c>
      <c r="Q4813" t="s">
        <v>9672</v>
      </c>
    </row>
    <row r="4814" spans="1:17" x14ac:dyDescent="0.3">
      <c r="A4814" t="s">
        <v>17</v>
      </c>
      <c r="B4814" t="str">
        <f>"600656"</f>
        <v>600656</v>
      </c>
      <c r="C4814" t="s">
        <v>9673</v>
      </c>
      <c r="K4814">
        <v>-2076.35</v>
      </c>
      <c r="L4814">
        <v>-7285.48</v>
      </c>
      <c r="M4814">
        <v>-114200954.15000001</v>
      </c>
      <c r="N4814">
        <v>7702336.4100000001</v>
      </c>
      <c r="O4814">
        <v>-251895.02</v>
      </c>
      <c r="P4814">
        <v>3</v>
      </c>
      <c r="Q4814" t="s">
        <v>9674</v>
      </c>
    </row>
    <row r="4815" spans="1:17" x14ac:dyDescent="0.3">
      <c r="A4815" t="s">
        <v>17</v>
      </c>
      <c r="B4815" t="str">
        <f>"600669"</f>
        <v>600669</v>
      </c>
      <c r="C4815" t="s">
        <v>9675</v>
      </c>
      <c r="K4815">
        <v>59860989.399999999</v>
      </c>
      <c r="P4815">
        <v>2</v>
      </c>
      <c r="Q4815" t="s">
        <v>9676</v>
      </c>
    </row>
    <row r="4816" spans="1:17" x14ac:dyDescent="0.3">
      <c r="A4816" t="s">
        <v>17</v>
      </c>
      <c r="B4816" t="str">
        <f>"600670"</f>
        <v>600670</v>
      </c>
      <c r="C4816" t="s">
        <v>9677</v>
      </c>
      <c r="J4816">
        <v>-24719098.300000001</v>
      </c>
      <c r="K4816">
        <v>-669517.9</v>
      </c>
      <c r="P4816">
        <v>2</v>
      </c>
      <c r="Q4816" t="s">
        <v>9678</v>
      </c>
    </row>
    <row r="4817" spans="1:17" x14ac:dyDescent="0.3">
      <c r="A4817" t="s">
        <v>17</v>
      </c>
      <c r="B4817" t="str">
        <f>"600672"</f>
        <v>600672</v>
      </c>
      <c r="C4817" t="s">
        <v>9679</v>
      </c>
      <c r="J4817">
        <v>-21070173.120000001</v>
      </c>
      <c r="K4817">
        <v>8069879.75</v>
      </c>
      <c r="P4817">
        <v>2</v>
      </c>
      <c r="Q4817" t="s">
        <v>9680</v>
      </c>
    </row>
    <row r="4818" spans="1:17" x14ac:dyDescent="0.3">
      <c r="A4818" t="s">
        <v>17</v>
      </c>
      <c r="B4818" t="str">
        <f>"600677"</f>
        <v>600677</v>
      </c>
      <c r="C4818" t="s">
        <v>9681</v>
      </c>
      <c r="G4818">
        <v>-111714552</v>
      </c>
      <c r="H4818">
        <v>169829880</v>
      </c>
      <c r="I4818">
        <v>-231998851</v>
      </c>
      <c r="J4818">
        <v>-298282788</v>
      </c>
      <c r="K4818">
        <v>-1116475777</v>
      </c>
      <c r="L4818">
        <v>-977614367</v>
      </c>
      <c r="M4818">
        <v>-927051603</v>
      </c>
      <c r="N4818">
        <v>-385961224</v>
      </c>
      <c r="O4818">
        <v>-180548456</v>
      </c>
      <c r="P4818">
        <v>77</v>
      </c>
      <c r="Q4818" t="s">
        <v>9682</v>
      </c>
    </row>
    <row r="4819" spans="1:17" x14ac:dyDescent="0.3">
      <c r="A4819" t="s">
        <v>17</v>
      </c>
      <c r="B4819" t="str">
        <f>"600679"</f>
        <v>600679</v>
      </c>
      <c r="C4819" t="s">
        <v>9683</v>
      </c>
      <c r="D4819" t="s">
        <v>199</v>
      </c>
      <c r="F4819">
        <v>-44384085</v>
      </c>
      <c r="G4819">
        <v>-31525436</v>
      </c>
      <c r="H4819">
        <v>4267093</v>
      </c>
      <c r="I4819">
        <v>-32084703</v>
      </c>
      <c r="J4819">
        <v>-40046580</v>
      </c>
      <c r="K4819">
        <v>17162837</v>
      </c>
      <c r="L4819">
        <v>-18442399</v>
      </c>
      <c r="M4819">
        <v>-28387972</v>
      </c>
      <c r="N4819">
        <v>-73322438</v>
      </c>
      <c r="O4819">
        <v>-41606612</v>
      </c>
      <c r="P4819">
        <v>77</v>
      </c>
      <c r="Q4819" t="s">
        <v>9684</v>
      </c>
    </row>
    <row r="4820" spans="1:17" x14ac:dyDescent="0.3">
      <c r="A4820" t="s">
        <v>17</v>
      </c>
      <c r="B4820" t="str">
        <f>"600680"</f>
        <v>600680</v>
      </c>
      <c r="C4820" t="s">
        <v>9685</v>
      </c>
      <c r="G4820">
        <v>8817146</v>
      </c>
      <c r="H4820">
        <v>11078103</v>
      </c>
      <c r="I4820">
        <v>-2168063</v>
      </c>
      <c r="J4820">
        <v>15445170</v>
      </c>
      <c r="K4820">
        <v>62882340.359999999</v>
      </c>
      <c r="L4820">
        <v>-5740259.3600000003</v>
      </c>
      <c r="M4820">
        <v>-113803951.01000001</v>
      </c>
      <c r="N4820">
        <v>-149391017.69999999</v>
      </c>
      <c r="O4820">
        <v>-65547107.880000003</v>
      </c>
      <c r="P4820">
        <v>20</v>
      </c>
      <c r="Q4820" t="s">
        <v>9686</v>
      </c>
    </row>
    <row r="4821" spans="1:17" x14ac:dyDescent="0.3">
      <c r="A4821" t="s">
        <v>17</v>
      </c>
      <c r="B4821" t="str">
        <f>"600687"</f>
        <v>600687</v>
      </c>
      <c r="C4821" t="s">
        <v>9687</v>
      </c>
      <c r="G4821">
        <v>-17993252</v>
      </c>
      <c r="H4821">
        <v>40124710</v>
      </c>
      <c r="I4821">
        <v>-672666655</v>
      </c>
      <c r="J4821">
        <v>-1275721030</v>
      </c>
      <c r="K4821">
        <v>-1338057792</v>
      </c>
      <c r="L4821">
        <v>-226858093</v>
      </c>
      <c r="M4821">
        <v>-45276887</v>
      </c>
      <c r="N4821">
        <v>-354826553</v>
      </c>
      <c r="O4821">
        <v>-1527367</v>
      </c>
      <c r="P4821">
        <v>58</v>
      </c>
      <c r="Q4821" t="s">
        <v>9688</v>
      </c>
    </row>
    <row r="4822" spans="1:17" x14ac:dyDescent="0.3">
      <c r="A4822" t="s">
        <v>17</v>
      </c>
      <c r="B4822" t="str">
        <f>"600700"</f>
        <v>600700</v>
      </c>
      <c r="C4822" t="s">
        <v>9689</v>
      </c>
      <c r="J4822">
        <v>-342711.29</v>
      </c>
      <c r="K4822">
        <v>-336939.55</v>
      </c>
      <c r="L4822">
        <v>-29116.31</v>
      </c>
      <c r="M4822">
        <v>-223304.68</v>
      </c>
      <c r="N4822">
        <v>674949.5</v>
      </c>
      <c r="O4822">
        <v>201011.19</v>
      </c>
      <c r="P4822">
        <v>5</v>
      </c>
      <c r="Q4822" t="s">
        <v>9690</v>
      </c>
    </row>
    <row r="4823" spans="1:17" x14ac:dyDescent="0.3">
      <c r="A4823" t="s">
        <v>17</v>
      </c>
      <c r="B4823" t="str">
        <f>"600701"</f>
        <v>600701</v>
      </c>
      <c r="C4823" t="s">
        <v>9691</v>
      </c>
      <c r="F4823">
        <v>-52155086</v>
      </c>
      <c r="G4823">
        <v>-70886058</v>
      </c>
      <c r="H4823">
        <v>71469400</v>
      </c>
      <c r="I4823">
        <v>-23992599</v>
      </c>
      <c r="J4823">
        <v>-272792726</v>
      </c>
      <c r="K4823">
        <v>-5911614</v>
      </c>
      <c r="L4823">
        <v>129468079</v>
      </c>
      <c r="M4823">
        <v>-106416698</v>
      </c>
      <c r="N4823">
        <v>207728</v>
      </c>
      <c r="O4823">
        <v>-5627304</v>
      </c>
      <c r="P4823">
        <v>55</v>
      </c>
      <c r="Q4823" t="s">
        <v>9692</v>
      </c>
    </row>
    <row r="4824" spans="1:17" x14ac:dyDescent="0.3">
      <c r="A4824" t="s">
        <v>17</v>
      </c>
      <c r="B4824" t="str">
        <f>"600709"</f>
        <v>600709</v>
      </c>
      <c r="C4824" t="s">
        <v>9693</v>
      </c>
      <c r="J4824">
        <v>-2369472.2000000002</v>
      </c>
      <c r="K4824">
        <v>-7908044.8700000001</v>
      </c>
      <c r="L4824">
        <v>-6474018.0999999996</v>
      </c>
      <c r="M4824">
        <v>-3698845.83</v>
      </c>
      <c r="P4824">
        <v>4</v>
      </c>
      <c r="Q4824" t="s">
        <v>9694</v>
      </c>
    </row>
    <row r="4825" spans="1:17" x14ac:dyDescent="0.3">
      <c r="A4825" t="s">
        <v>17</v>
      </c>
      <c r="B4825" t="str">
        <f>"600723"</f>
        <v>600723</v>
      </c>
      <c r="C4825" t="s">
        <v>9695</v>
      </c>
      <c r="F4825">
        <v>-9391082</v>
      </c>
      <c r="G4825">
        <v>-706145256</v>
      </c>
      <c r="H4825">
        <v>-151166355</v>
      </c>
      <c r="I4825">
        <v>-91892666</v>
      </c>
      <c r="J4825">
        <v>-60260984</v>
      </c>
      <c r="K4825">
        <v>-67745028</v>
      </c>
      <c r="L4825">
        <v>-107469036</v>
      </c>
      <c r="M4825">
        <v>-143430877</v>
      </c>
      <c r="N4825">
        <v>-609881694</v>
      </c>
      <c r="O4825">
        <v>-44996724</v>
      </c>
      <c r="P4825">
        <v>180</v>
      </c>
      <c r="Q4825" t="s">
        <v>9696</v>
      </c>
    </row>
    <row r="4826" spans="1:17" x14ac:dyDescent="0.3">
      <c r="A4826" t="s">
        <v>17</v>
      </c>
      <c r="B4826" t="str">
        <f>"600747"</f>
        <v>600747</v>
      </c>
      <c r="C4826" t="s">
        <v>9697</v>
      </c>
      <c r="G4826">
        <v>-534366</v>
      </c>
      <c r="H4826">
        <v>-1978458</v>
      </c>
      <c r="I4826">
        <v>-45432093</v>
      </c>
      <c r="J4826">
        <v>7965170</v>
      </c>
      <c r="K4826">
        <v>-346596961</v>
      </c>
      <c r="L4826">
        <v>7520562</v>
      </c>
      <c r="M4826">
        <v>-6621967</v>
      </c>
      <c r="N4826">
        <v>15986982</v>
      </c>
      <c r="O4826">
        <v>-56884881</v>
      </c>
      <c r="P4826">
        <v>21</v>
      </c>
      <c r="Q4826" t="s">
        <v>9698</v>
      </c>
    </row>
    <row r="4827" spans="1:17" x14ac:dyDescent="0.3">
      <c r="A4827" t="s">
        <v>17</v>
      </c>
      <c r="B4827" t="str">
        <f>"600748"</f>
        <v>600748</v>
      </c>
      <c r="C4827" t="s">
        <v>9699</v>
      </c>
      <c r="D4827" t="s">
        <v>151</v>
      </c>
      <c r="F4827">
        <v>-2460950964</v>
      </c>
      <c r="G4827">
        <v>-504006995</v>
      </c>
      <c r="H4827">
        <v>-975610023</v>
      </c>
      <c r="I4827">
        <v>-1157027670</v>
      </c>
      <c r="J4827">
        <v>-63409284</v>
      </c>
      <c r="K4827">
        <v>-458002334</v>
      </c>
      <c r="L4827">
        <v>-987408496</v>
      </c>
      <c r="M4827">
        <v>-971768321</v>
      </c>
      <c r="N4827">
        <v>310666744</v>
      </c>
      <c r="O4827">
        <v>-265904463</v>
      </c>
      <c r="P4827">
        <v>188</v>
      </c>
      <c r="Q4827" t="s">
        <v>9700</v>
      </c>
    </row>
    <row r="4828" spans="1:17" x14ac:dyDescent="0.3">
      <c r="A4828" t="s">
        <v>17</v>
      </c>
      <c r="B4828" t="str">
        <f>"600752"</f>
        <v>600752</v>
      </c>
      <c r="C4828" t="s">
        <v>9701</v>
      </c>
      <c r="M4828">
        <v>888</v>
      </c>
      <c r="N4828">
        <v>-4082</v>
      </c>
      <c r="P4828">
        <v>2</v>
      </c>
      <c r="Q4828" t="s">
        <v>9702</v>
      </c>
    </row>
    <row r="4829" spans="1:17" x14ac:dyDescent="0.3">
      <c r="A4829" t="s">
        <v>17</v>
      </c>
      <c r="B4829" t="str">
        <f>"600781"</f>
        <v>600781</v>
      </c>
      <c r="C4829" t="s">
        <v>9703</v>
      </c>
      <c r="D4829" t="s">
        <v>98</v>
      </c>
      <c r="F4829">
        <v>8617267</v>
      </c>
      <c r="G4829">
        <v>448464</v>
      </c>
      <c r="H4829">
        <v>159914812</v>
      </c>
      <c r="I4829">
        <v>-656467</v>
      </c>
      <c r="J4829">
        <v>48966191</v>
      </c>
      <c r="K4829">
        <v>-12355669</v>
      </c>
      <c r="L4829">
        <v>-13060531</v>
      </c>
      <c r="M4829">
        <v>-8802919</v>
      </c>
      <c r="N4829">
        <v>13607507</v>
      </c>
      <c r="O4829">
        <v>1302424</v>
      </c>
      <c r="P4829">
        <v>194</v>
      </c>
      <c r="Q4829" t="s">
        <v>9704</v>
      </c>
    </row>
    <row r="4830" spans="1:17" x14ac:dyDescent="0.3">
      <c r="A4830" t="s">
        <v>17</v>
      </c>
      <c r="B4830" t="str">
        <f>"600806"</f>
        <v>600806</v>
      </c>
      <c r="C4830" t="s">
        <v>9705</v>
      </c>
      <c r="I4830">
        <v>5570507</v>
      </c>
      <c r="J4830">
        <v>-98460200</v>
      </c>
      <c r="K4830">
        <v>248929.01</v>
      </c>
      <c r="L4830">
        <v>-77637115.659999996</v>
      </c>
      <c r="M4830">
        <v>13883362.439999999</v>
      </c>
      <c r="N4830">
        <v>-29327632.539999999</v>
      </c>
      <c r="O4830">
        <v>-75690380.760000005</v>
      </c>
      <c r="P4830">
        <v>11</v>
      </c>
      <c r="Q4830" t="s">
        <v>9706</v>
      </c>
    </row>
    <row r="4831" spans="1:17" x14ac:dyDescent="0.3">
      <c r="A4831" t="s">
        <v>17</v>
      </c>
      <c r="B4831" t="str">
        <f>"600813"</f>
        <v>600813</v>
      </c>
      <c r="C4831" t="s">
        <v>9707</v>
      </c>
      <c r="J4831">
        <v>498469.26</v>
      </c>
      <c r="K4831">
        <v>-9782276.8699999992</v>
      </c>
      <c r="L4831">
        <v>-1972974</v>
      </c>
      <c r="M4831">
        <v>-2408253.9300000002</v>
      </c>
      <c r="N4831">
        <v>-1811014.71</v>
      </c>
      <c r="O4831">
        <v>-3619965.22</v>
      </c>
      <c r="P4831">
        <v>2</v>
      </c>
      <c r="Q4831" t="s">
        <v>9708</v>
      </c>
    </row>
    <row r="4832" spans="1:17" x14ac:dyDescent="0.3">
      <c r="A4832" t="s">
        <v>17</v>
      </c>
      <c r="B4832" t="str">
        <f>"600832"</f>
        <v>600832</v>
      </c>
      <c r="C4832" t="s">
        <v>8908</v>
      </c>
      <c r="L4832">
        <v>-650685187.92999995</v>
      </c>
      <c r="M4832">
        <v>-271822665.39999998</v>
      </c>
      <c r="N4832">
        <v>-169941025.25</v>
      </c>
      <c r="O4832">
        <v>-204026346.63999999</v>
      </c>
      <c r="P4832">
        <v>15</v>
      </c>
      <c r="Q4832" t="s">
        <v>9709</v>
      </c>
    </row>
    <row r="4833" spans="1:17" x14ac:dyDescent="0.3">
      <c r="A4833" t="s">
        <v>17</v>
      </c>
      <c r="B4833" t="str">
        <f>"600849"</f>
        <v>600849</v>
      </c>
      <c r="C4833" t="s">
        <v>9416</v>
      </c>
      <c r="J4833">
        <v>-2957900</v>
      </c>
      <c r="K4833">
        <v>127576647.09</v>
      </c>
      <c r="L4833">
        <v>-538781543.51999998</v>
      </c>
      <c r="M4833">
        <v>-652837585.05999994</v>
      </c>
      <c r="N4833">
        <v>-511340623.48000002</v>
      </c>
      <c r="O4833">
        <v>-122324190.84</v>
      </c>
      <c r="P4833">
        <v>3</v>
      </c>
      <c r="Q4833" t="s">
        <v>9710</v>
      </c>
    </row>
    <row r="4834" spans="1:17" x14ac:dyDescent="0.3">
      <c r="A4834" t="s">
        <v>17</v>
      </c>
      <c r="B4834" t="str">
        <f>"600878"</f>
        <v>600878</v>
      </c>
      <c r="C4834" t="s">
        <v>9711</v>
      </c>
      <c r="J4834">
        <v>-2142553.46</v>
      </c>
      <c r="P4834">
        <v>2</v>
      </c>
      <c r="Q4834" t="s">
        <v>9712</v>
      </c>
    </row>
    <row r="4835" spans="1:17" x14ac:dyDescent="0.3">
      <c r="A4835" t="s">
        <v>17</v>
      </c>
      <c r="B4835" t="str">
        <f>"600891"</f>
        <v>600891</v>
      </c>
      <c r="C4835" t="s">
        <v>9713</v>
      </c>
      <c r="F4835">
        <v>-3346743</v>
      </c>
      <c r="G4835">
        <v>12104954</v>
      </c>
      <c r="H4835">
        <v>1307911</v>
      </c>
      <c r="I4835">
        <v>165439371</v>
      </c>
      <c r="J4835">
        <v>-423333768</v>
      </c>
      <c r="K4835">
        <v>-393494170</v>
      </c>
      <c r="L4835">
        <v>7859256</v>
      </c>
      <c r="M4835">
        <v>-15562680</v>
      </c>
      <c r="N4835">
        <v>26577134</v>
      </c>
      <c r="O4835">
        <v>40642762</v>
      </c>
      <c r="P4835">
        <v>45</v>
      </c>
      <c r="Q4835" t="s">
        <v>9714</v>
      </c>
    </row>
    <row r="4836" spans="1:17" x14ac:dyDescent="0.3">
      <c r="A4836" t="s">
        <v>17</v>
      </c>
      <c r="B4836" t="str">
        <f>"600978"</f>
        <v>600978</v>
      </c>
      <c r="C4836" t="s">
        <v>9715</v>
      </c>
      <c r="G4836">
        <v>301729325</v>
      </c>
      <c r="H4836">
        <v>154108233</v>
      </c>
      <c r="I4836">
        <v>250763263</v>
      </c>
      <c r="J4836">
        <v>-479818894</v>
      </c>
      <c r="K4836">
        <v>111674683</v>
      </c>
      <c r="L4836">
        <v>223607462</v>
      </c>
      <c r="M4836">
        <v>236584457</v>
      </c>
      <c r="N4836">
        <v>-18472216</v>
      </c>
      <c r="O4836">
        <v>280950628</v>
      </c>
      <c r="P4836">
        <v>167</v>
      </c>
      <c r="Q4836" t="s">
        <v>9716</v>
      </c>
    </row>
    <row r="4837" spans="1:17" x14ac:dyDescent="0.3">
      <c r="A4837" t="s">
        <v>17</v>
      </c>
      <c r="B4837" t="str">
        <f>"601268"</f>
        <v>601268</v>
      </c>
      <c r="C4837" t="s">
        <v>9717</v>
      </c>
      <c r="J4837">
        <v>-317493035.63999999</v>
      </c>
      <c r="K4837">
        <v>-98513906.090000004</v>
      </c>
      <c r="L4837">
        <v>-781212059.98000002</v>
      </c>
      <c r="M4837">
        <v>-252371595.97</v>
      </c>
      <c r="N4837">
        <v>-537538730.09000003</v>
      </c>
      <c r="O4837">
        <v>-1134111949.3</v>
      </c>
      <c r="P4837">
        <v>2</v>
      </c>
      <c r="Q4837" t="s">
        <v>9718</v>
      </c>
    </row>
    <row r="4838" spans="1:17" x14ac:dyDescent="0.3">
      <c r="A4838" t="s">
        <v>17</v>
      </c>
      <c r="B4838" t="str">
        <f>"601299"</f>
        <v>601299</v>
      </c>
      <c r="C4838" t="s">
        <v>9719</v>
      </c>
      <c r="L4838">
        <v>-3293000000</v>
      </c>
      <c r="M4838">
        <v>-8808474000</v>
      </c>
      <c r="N4838">
        <v>-5541752000</v>
      </c>
      <c r="O4838">
        <v>-2428557000</v>
      </c>
      <c r="P4838">
        <v>12</v>
      </c>
      <c r="Q4838" t="s">
        <v>9720</v>
      </c>
    </row>
    <row r="4839" spans="1:17" x14ac:dyDescent="0.3">
      <c r="A4839" t="s">
        <v>17</v>
      </c>
      <c r="B4839" t="str">
        <f>"601313"</f>
        <v>601313</v>
      </c>
      <c r="C4839" t="s">
        <v>9721</v>
      </c>
      <c r="I4839">
        <v>874297000</v>
      </c>
      <c r="J4839">
        <v>-91747359</v>
      </c>
      <c r="K4839">
        <v>-97626861.579999998</v>
      </c>
      <c r="L4839">
        <v>-91188165.810000002</v>
      </c>
      <c r="M4839">
        <v>69900617.230000004</v>
      </c>
      <c r="N4839">
        <v>-25906365.670000002</v>
      </c>
      <c r="O4839">
        <v>-62829186.609999999</v>
      </c>
      <c r="P4839">
        <v>53</v>
      </c>
      <c r="Q4839" t="s">
        <v>9722</v>
      </c>
    </row>
    <row r="4840" spans="1:17" x14ac:dyDescent="0.3">
      <c r="A4840" t="s">
        <v>17</v>
      </c>
      <c r="B4840" t="str">
        <f>"601558"</f>
        <v>601558</v>
      </c>
      <c r="C4840" t="s">
        <v>9723</v>
      </c>
      <c r="G4840">
        <v>-196300992</v>
      </c>
      <c r="H4840">
        <v>-73010700</v>
      </c>
      <c r="I4840">
        <v>-26407347</v>
      </c>
      <c r="J4840">
        <v>-123728334</v>
      </c>
      <c r="K4840">
        <v>-100536474</v>
      </c>
      <c r="L4840">
        <v>-208335856</v>
      </c>
      <c r="M4840">
        <v>-393577564</v>
      </c>
      <c r="N4840">
        <v>-575358389</v>
      </c>
      <c r="O4840">
        <v>-1061111086</v>
      </c>
      <c r="P4840">
        <v>47</v>
      </c>
      <c r="Q4840" t="s">
        <v>9724</v>
      </c>
    </row>
    <row r="4841" spans="1:17" x14ac:dyDescent="0.3">
      <c r="A4841" t="s">
        <v>17</v>
      </c>
      <c r="B4841" t="str">
        <f>"688213"</f>
        <v>688213</v>
      </c>
      <c r="C4841" t="s">
        <v>9725</v>
      </c>
      <c r="F4841">
        <v>-521895527</v>
      </c>
      <c r="Q4841" t="s">
        <v>9726</v>
      </c>
    </row>
    <row r="4842" spans="1:17" x14ac:dyDescent="0.3">
      <c r="A4842" t="s">
        <v>17</v>
      </c>
      <c r="B4842" t="str">
        <f>"688981"</f>
        <v>688981</v>
      </c>
      <c r="C4842" t="s">
        <v>9727</v>
      </c>
      <c r="D4842" t="s">
        <v>124</v>
      </c>
      <c r="F4842">
        <v>-1902979000</v>
      </c>
      <c r="G4842">
        <v>-3049824027</v>
      </c>
      <c r="P4842">
        <v>1041</v>
      </c>
      <c r="Q4842" t="s">
        <v>9728</v>
      </c>
    </row>
    <row r="4843" spans="1:17" x14ac:dyDescent="0.3">
      <c r="A4843" t="s">
        <v>17</v>
      </c>
      <c r="B4843" t="str">
        <f>"900907"</f>
        <v>900907</v>
      </c>
      <c r="C4843" t="s">
        <v>9729</v>
      </c>
      <c r="F4843">
        <v>-63476.581200000001</v>
      </c>
      <c r="G4843">
        <v>1390252.8546</v>
      </c>
      <c r="H4843">
        <v>-18500662.48</v>
      </c>
      <c r="I4843">
        <v>-44950586.085199997</v>
      </c>
      <c r="J4843">
        <v>-25094445.1164</v>
      </c>
      <c r="K4843">
        <v>-23955888.335499998</v>
      </c>
      <c r="L4843">
        <v>-44225177.545000002</v>
      </c>
      <c r="M4843">
        <v>-1961567.844</v>
      </c>
      <c r="N4843">
        <v>-3621980.4530000002</v>
      </c>
      <c r="O4843">
        <v>-12235195.403999999</v>
      </c>
      <c r="P4843">
        <v>4</v>
      </c>
      <c r="Q4843" t="s">
        <v>9730</v>
      </c>
    </row>
    <row r="4844" spans="1:17" x14ac:dyDescent="0.3">
      <c r="A4844" t="s">
        <v>17</v>
      </c>
      <c r="B4844" t="str">
        <f>"900916"</f>
        <v>900916</v>
      </c>
      <c r="C4844" t="s">
        <v>9731</v>
      </c>
      <c r="F4844">
        <v>-6764134.5539999995</v>
      </c>
      <c r="G4844">
        <v>-4443510.2041999996</v>
      </c>
      <c r="H4844">
        <v>635796.85699999996</v>
      </c>
      <c r="I4844">
        <v>-5114301.6582000004</v>
      </c>
      <c r="J4844">
        <v>-5814763.4160000002</v>
      </c>
      <c r="K4844">
        <v>2658523.4512999998</v>
      </c>
      <c r="L4844">
        <v>-2974758.9586999998</v>
      </c>
      <c r="M4844">
        <v>-4564785.8975999998</v>
      </c>
      <c r="N4844">
        <v>-11804912.517999999</v>
      </c>
      <c r="O4844">
        <v>-6607129.9856000002</v>
      </c>
      <c r="P4844">
        <v>7</v>
      </c>
      <c r="Q4844" t="s">
        <v>9732</v>
      </c>
    </row>
    <row r="4845" spans="1:17" x14ac:dyDescent="0.3">
      <c r="A4845" t="s">
        <v>17</v>
      </c>
      <c r="B4845" t="str">
        <f>"900930"</f>
        <v>900930</v>
      </c>
      <c r="C4845" t="s">
        <v>9733</v>
      </c>
      <c r="G4845">
        <v>1242776.7287000001</v>
      </c>
      <c r="H4845">
        <v>1650637.3470000001</v>
      </c>
      <c r="I4845">
        <v>-345589.24219999998</v>
      </c>
      <c r="J4845">
        <v>2242638.6839999999</v>
      </c>
      <c r="K4845">
        <v>9740474.5218000002</v>
      </c>
      <c r="L4845">
        <v>-925903.83479999995</v>
      </c>
      <c r="M4845">
        <v>-18299675.3224</v>
      </c>
      <c r="N4845">
        <v>-24051953.8497</v>
      </c>
      <c r="O4845">
        <v>-10408880.7313</v>
      </c>
      <c r="P4845">
        <v>1</v>
      </c>
      <c r="Q4845" t="s">
        <v>9734</v>
      </c>
    </row>
    <row r="4846" spans="1:17" x14ac:dyDescent="0.3">
      <c r="A4846" t="s">
        <v>17</v>
      </c>
      <c r="B4846" t="str">
        <f>"900931"</f>
        <v>900931</v>
      </c>
      <c r="C4846" t="s">
        <v>9735</v>
      </c>
      <c r="J4846">
        <v>-1781396.4410000001</v>
      </c>
      <c r="K4846">
        <v>-200660.23430000001</v>
      </c>
      <c r="L4846">
        <v>215709.30470000001</v>
      </c>
      <c r="M4846">
        <v>-72228.073199999999</v>
      </c>
      <c r="N4846">
        <v>-169291.851</v>
      </c>
      <c r="O4846">
        <v>-176589.0888</v>
      </c>
      <c r="P4846">
        <v>1</v>
      </c>
      <c r="Q4846" t="s">
        <v>9736</v>
      </c>
    </row>
    <row r="4847" spans="1:17" x14ac:dyDescent="0.3">
      <c r="A4847" t="s">
        <v>17</v>
      </c>
      <c r="B4847" t="str">
        <f>"900933"</f>
        <v>900933</v>
      </c>
      <c r="C4847" t="s">
        <v>9737</v>
      </c>
      <c r="F4847">
        <v>-89393421.009599999</v>
      </c>
      <c r="G4847">
        <v>-52821957.146899998</v>
      </c>
      <c r="H4847">
        <v>88758706.234999999</v>
      </c>
      <c r="I4847">
        <v>27285437.184799999</v>
      </c>
      <c r="J4847">
        <v>6482890.7615999999</v>
      </c>
      <c r="K4847">
        <v>8448481.1381999999</v>
      </c>
      <c r="L4847">
        <v>-70371833.185699999</v>
      </c>
      <c r="M4847">
        <v>8766811.3367999997</v>
      </c>
      <c r="N4847">
        <v>-42087740.457000002</v>
      </c>
      <c r="O4847">
        <v>-48455313.500799999</v>
      </c>
      <c r="P4847">
        <v>142</v>
      </c>
      <c r="Q4847" t="s">
        <v>9738</v>
      </c>
    </row>
    <row r="4848" spans="1:17" x14ac:dyDescent="0.3">
      <c r="A4848" t="s">
        <v>17</v>
      </c>
      <c r="B4848" t="str">
        <f>"900935"</f>
        <v>900935</v>
      </c>
      <c r="C4848" t="s">
        <v>9739</v>
      </c>
      <c r="K4848">
        <v>3791475.1915000002</v>
      </c>
      <c r="L4848">
        <v>5515479.9879999999</v>
      </c>
      <c r="M4848">
        <v>6718584.1903999997</v>
      </c>
      <c r="N4848">
        <v>5875940.0935000004</v>
      </c>
      <c r="O4848">
        <v>10635309.1351</v>
      </c>
      <c r="P4848">
        <v>1</v>
      </c>
      <c r="Q4848" t="s">
        <v>9740</v>
      </c>
    </row>
    <row r="4849" spans="1:17" x14ac:dyDescent="0.3">
      <c r="A4849" t="s">
        <v>17</v>
      </c>
      <c r="B4849" t="str">
        <f>"900949"</f>
        <v>900949</v>
      </c>
      <c r="C4849" t="s">
        <v>9741</v>
      </c>
      <c r="N4849">
        <v>60933198.901100002</v>
      </c>
      <c r="O4849">
        <v>5440231.2489999998</v>
      </c>
      <c r="P4849">
        <v>2</v>
      </c>
      <c r="Q4849" t="s">
        <v>9742</v>
      </c>
    </row>
    <row r="4850" spans="1:17" x14ac:dyDescent="0.3">
      <c r="A4850" t="s">
        <v>17</v>
      </c>
      <c r="B4850" t="str">
        <f>"900950"</f>
        <v>900950</v>
      </c>
      <c r="C4850" t="s">
        <v>9743</v>
      </c>
      <c r="L4850">
        <v>-295859115.4964</v>
      </c>
      <c r="M4850">
        <v>-363989430.36839998</v>
      </c>
      <c r="N4850">
        <v>-213017346.55059999</v>
      </c>
      <c r="O4850">
        <v>12529389.1812</v>
      </c>
      <c r="P4850">
        <v>7</v>
      </c>
      <c r="Q4850" t="s">
        <v>9744</v>
      </c>
    </row>
    <row r="4851" spans="1:17" x14ac:dyDescent="0.3">
      <c r="A4851" t="s">
        <v>17</v>
      </c>
      <c r="B4851" t="str">
        <f>"900951"</f>
        <v>900951</v>
      </c>
      <c r="C4851" t="s">
        <v>9745</v>
      </c>
      <c r="G4851">
        <v>-824708.31649999996</v>
      </c>
      <c r="H4851">
        <v>-340076.408</v>
      </c>
      <c r="I4851">
        <v>-8059653.0954</v>
      </c>
      <c r="J4851">
        <v>2092216.1303999999</v>
      </c>
      <c r="K4851">
        <v>-3466033.1477999999</v>
      </c>
      <c r="L4851">
        <v>-6772273.4056000002</v>
      </c>
      <c r="M4851">
        <v>-7196226.2325999998</v>
      </c>
      <c r="N4851">
        <v>-3185156.1562000001</v>
      </c>
      <c r="O4851">
        <v>435680.342</v>
      </c>
      <c r="P4851">
        <v>2</v>
      </c>
      <c r="Q4851" t="s">
        <v>9746</v>
      </c>
    </row>
    <row r="4852" spans="1:17" x14ac:dyDescent="0.3">
      <c r="A4852" t="s">
        <v>17</v>
      </c>
      <c r="B4852" t="str">
        <f>"900956"</f>
        <v>900956</v>
      </c>
      <c r="C4852" t="s">
        <v>9747</v>
      </c>
      <c r="G4852">
        <v>-24307767.213599999</v>
      </c>
      <c r="H4852">
        <v>-15021791.855</v>
      </c>
      <c r="I4852">
        <v>-45263022.6778</v>
      </c>
      <c r="J4852">
        <v>-16475313.003599999</v>
      </c>
      <c r="K4852">
        <v>-13629925.0042</v>
      </c>
      <c r="L4852">
        <v>-15536240.3814</v>
      </c>
      <c r="M4852">
        <v>-17459957.752700001</v>
      </c>
      <c r="N4852">
        <v>-37761638.368100002</v>
      </c>
      <c r="O4852">
        <v>-2157499.0424000002</v>
      </c>
      <c r="P4852">
        <v>10</v>
      </c>
      <c r="Q4852" t="s">
        <v>9748</v>
      </c>
    </row>
    <row r="4853" spans="1:17" x14ac:dyDescent="0.3">
      <c r="A4853" t="s">
        <v>32</v>
      </c>
      <c r="B4853" t="str">
        <f>"000015"</f>
        <v>000015</v>
      </c>
      <c r="C4853" t="s">
        <v>9749</v>
      </c>
      <c r="J4853">
        <v>-11396446.91</v>
      </c>
      <c r="K4853">
        <v>-28784537.73</v>
      </c>
      <c r="P4853">
        <v>13</v>
      </c>
      <c r="Q4853" t="s">
        <v>9750</v>
      </c>
    </row>
    <row r="4854" spans="1:17" x14ac:dyDescent="0.3">
      <c r="A4854" t="s">
        <v>32</v>
      </c>
      <c r="B4854" t="str">
        <f>"000018"</f>
        <v>000018</v>
      </c>
      <c r="C4854" t="s">
        <v>9751</v>
      </c>
      <c r="G4854">
        <v>-16978433</v>
      </c>
      <c r="H4854">
        <v>24863912</v>
      </c>
      <c r="I4854">
        <v>805186189</v>
      </c>
      <c r="J4854">
        <v>-459407802</v>
      </c>
      <c r="K4854">
        <v>-318972753</v>
      </c>
      <c r="L4854">
        <v>1278697</v>
      </c>
      <c r="M4854">
        <v>1264846</v>
      </c>
      <c r="N4854">
        <v>992785</v>
      </c>
      <c r="O4854">
        <v>567306</v>
      </c>
      <c r="P4854">
        <v>99</v>
      </c>
      <c r="Q4854" t="s">
        <v>9752</v>
      </c>
    </row>
    <row r="4855" spans="1:17" x14ac:dyDescent="0.3">
      <c r="A4855" t="s">
        <v>32</v>
      </c>
      <c r="B4855" t="str">
        <f>"000022"</f>
        <v>000022</v>
      </c>
      <c r="C4855" t="s">
        <v>9753</v>
      </c>
      <c r="I4855">
        <v>39988358</v>
      </c>
      <c r="J4855">
        <v>222918454</v>
      </c>
      <c r="K4855">
        <v>57477159.899999999</v>
      </c>
      <c r="L4855">
        <v>137553936.72</v>
      </c>
      <c r="M4855">
        <v>119368561.94</v>
      </c>
      <c r="N4855">
        <v>51861497</v>
      </c>
      <c r="O4855">
        <v>-2876630</v>
      </c>
      <c r="P4855">
        <v>83</v>
      </c>
      <c r="Q4855" t="s">
        <v>9754</v>
      </c>
    </row>
    <row r="4856" spans="1:17" x14ac:dyDescent="0.3">
      <c r="A4856" t="s">
        <v>32</v>
      </c>
      <c r="B4856" t="str">
        <f>"000024"</f>
        <v>000024</v>
      </c>
      <c r="C4856" t="s">
        <v>9755</v>
      </c>
      <c r="L4856">
        <v>-6858266147.8900003</v>
      </c>
      <c r="M4856">
        <v>-4343459550.9300003</v>
      </c>
      <c r="N4856">
        <v>775680506.82000005</v>
      </c>
      <c r="O4856">
        <v>-236175473</v>
      </c>
      <c r="P4856">
        <v>36</v>
      </c>
      <c r="Q4856" t="s">
        <v>9756</v>
      </c>
    </row>
    <row r="4857" spans="1:17" x14ac:dyDescent="0.3">
      <c r="A4857" t="s">
        <v>32</v>
      </c>
      <c r="B4857" t="str">
        <f>"000033"</f>
        <v>000033</v>
      </c>
      <c r="C4857" t="s">
        <v>9757</v>
      </c>
      <c r="J4857">
        <v>-9065400.1500000004</v>
      </c>
      <c r="K4857">
        <v>-30016162.73</v>
      </c>
      <c r="L4857">
        <v>1469724.55</v>
      </c>
      <c r="M4857">
        <v>-9059864.0800000001</v>
      </c>
      <c r="N4857">
        <v>1800166.82</v>
      </c>
      <c r="O4857">
        <v>1915167.2</v>
      </c>
      <c r="P4857">
        <v>7</v>
      </c>
      <c r="Q4857" t="s">
        <v>9758</v>
      </c>
    </row>
    <row r="4858" spans="1:17" x14ac:dyDescent="0.3">
      <c r="A4858" t="s">
        <v>32</v>
      </c>
      <c r="B4858" t="str">
        <f>"000043"</f>
        <v>000043</v>
      </c>
      <c r="C4858" t="s">
        <v>9759</v>
      </c>
      <c r="G4858">
        <v>-821984405</v>
      </c>
      <c r="H4858">
        <v>-692020164</v>
      </c>
      <c r="I4858">
        <v>-183455260</v>
      </c>
      <c r="J4858">
        <v>510061512</v>
      </c>
      <c r="K4858">
        <v>-510416035</v>
      </c>
      <c r="L4858">
        <v>-530393282</v>
      </c>
      <c r="M4858">
        <v>-2158523218</v>
      </c>
      <c r="N4858">
        <v>-597266222</v>
      </c>
      <c r="O4858">
        <v>-534291329</v>
      </c>
      <c r="P4858">
        <v>73</v>
      </c>
      <c r="Q4858" t="s">
        <v>9760</v>
      </c>
    </row>
    <row r="4859" spans="1:17" x14ac:dyDescent="0.3">
      <c r="A4859" t="s">
        <v>32</v>
      </c>
      <c r="B4859" t="str">
        <f>"000047"</f>
        <v>000047</v>
      </c>
      <c r="C4859" t="s">
        <v>9761</v>
      </c>
      <c r="J4859">
        <v>-1082970.49</v>
      </c>
      <c r="K4859">
        <v>-56240844</v>
      </c>
      <c r="L4859">
        <v>-117525.05</v>
      </c>
      <c r="M4859">
        <v>-107822</v>
      </c>
      <c r="N4859">
        <v>-151569.35999999999</v>
      </c>
      <c r="O4859">
        <v>-98676.82</v>
      </c>
      <c r="P4859">
        <v>6</v>
      </c>
      <c r="Q4859" t="s">
        <v>9762</v>
      </c>
    </row>
    <row r="4860" spans="1:17" x14ac:dyDescent="0.3">
      <c r="A4860" t="s">
        <v>32</v>
      </c>
      <c r="B4860" t="str">
        <f>"000418"</f>
        <v>000418</v>
      </c>
      <c r="C4860" t="s">
        <v>9763</v>
      </c>
      <c r="H4860">
        <v>129473776</v>
      </c>
      <c r="I4860">
        <v>157884301</v>
      </c>
      <c r="J4860">
        <v>-222534007</v>
      </c>
      <c r="K4860">
        <v>570021217.29999995</v>
      </c>
      <c r="L4860">
        <v>373188688.50999999</v>
      </c>
      <c r="M4860">
        <v>249093502.56999999</v>
      </c>
      <c r="N4860">
        <v>265543479.00999999</v>
      </c>
      <c r="O4860">
        <v>-57195564.229999997</v>
      </c>
      <c r="P4860">
        <v>653</v>
      </c>
      <c r="Q4860" t="s">
        <v>9764</v>
      </c>
    </row>
    <row r="4861" spans="1:17" x14ac:dyDescent="0.3">
      <c r="A4861" t="s">
        <v>32</v>
      </c>
      <c r="B4861" t="str">
        <f>"000420"</f>
        <v>000420</v>
      </c>
      <c r="C4861" t="s">
        <v>9765</v>
      </c>
      <c r="D4861" t="s">
        <v>144</v>
      </c>
      <c r="F4861">
        <v>-16853736</v>
      </c>
      <c r="G4861">
        <v>-18712875</v>
      </c>
      <c r="H4861">
        <v>-45316094</v>
      </c>
      <c r="I4861">
        <v>-63619292</v>
      </c>
      <c r="J4861">
        <v>-369877910</v>
      </c>
      <c r="K4861">
        <v>-7001437</v>
      </c>
      <c r="L4861">
        <v>-170262938</v>
      </c>
      <c r="M4861">
        <v>-228518950</v>
      </c>
      <c r="N4861">
        <v>-2618470</v>
      </c>
      <c r="O4861">
        <v>25506784</v>
      </c>
      <c r="P4861">
        <v>101</v>
      </c>
      <c r="Q4861" t="s">
        <v>9766</v>
      </c>
    </row>
    <row r="4862" spans="1:17" x14ac:dyDescent="0.3">
      <c r="A4862" t="s">
        <v>32</v>
      </c>
      <c r="B4862" t="str">
        <f>"000511"</f>
        <v>000511</v>
      </c>
      <c r="C4862" t="s">
        <v>9767</v>
      </c>
      <c r="I4862">
        <v>21344270</v>
      </c>
      <c r="J4862">
        <v>-29336455</v>
      </c>
      <c r="K4862">
        <v>-24189718.670000002</v>
      </c>
      <c r="L4862">
        <v>113040104.23999999</v>
      </c>
      <c r="M4862">
        <v>9666559.2200000007</v>
      </c>
      <c r="N4862">
        <v>-36929309.310000002</v>
      </c>
      <c r="O4862">
        <v>19476138.969999999</v>
      </c>
      <c r="P4862">
        <v>14</v>
      </c>
      <c r="Q4862" t="s">
        <v>9768</v>
      </c>
    </row>
    <row r="4863" spans="1:17" x14ac:dyDescent="0.3">
      <c r="A4863" t="s">
        <v>32</v>
      </c>
      <c r="B4863" t="str">
        <f>"000522"</f>
        <v>000522</v>
      </c>
      <c r="C4863" t="s">
        <v>9769</v>
      </c>
      <c r="M4863">
        <v>40175582.619999997</v>
      </c>
      <c r="N4863">
        <v>550936670</v>
      </c>
      <c r="O4863">
        <v>44293574.159999996</v>
      </c>
      <c r="P4863">
        <v>63</v>
      </c>
      <c r="Q4863" t="s">
        <v>9770</v>
      </c>
    </row>
    <row r="4864" spans="1:17" x14ac:dyDescent="0.3">
      <c r="A4864" t="s">
        <v>32</v>
      </c>
      <c r="B4864" t="str">
        <f>"000527"</f>
        <v>000527</v>
      </c>
      <c r="C4864" t="s">
        <v>9771</v>
      </c>
      <c r="N4864">
        <v>1315883500</v>
      </c>
      <c r="O4864">
        <v>-2863998430</v>
      </c>
      <c r="P4864">
        <v>296</v>
      </c>
      <c r="Q4864" t="s">
        <v>9772</v>
      </c>
    </row>
    <row r="4865" spans="1:17" x14ac:dyDescent="0.3">
      <c r="A4865" t="s">
        <v>32</v>
      </c>
      <c r="B4865" t="str">
        <f>"000556"</f>
        <v>000556</v>
      </c>
      <c r="C4865" t="s">
        <v>9773</v>
      </c>
      <c r="J4865">
        <v>-4966379.63</v>
      </c>
      <c r="K4865">
        <v>2526492.5</v>
      </c>
      <c r="L4865">
        <v>482.5</v>
      </c>
      <c r="M4865">
        <v>-1137.28</v>
      </c>
      <c r="N4865">
        <v>47119.1</v>
      </c>
      <c r="O4865">
        <v>-40114.44</v>
      </c>
      <c r="P4865">
        <v>4</v>
      </c>
      <c r="Q4865" t="s">
        <v>9774</v>
      </c>
    </row>
    <row r="4866" spans="1:17" x14ac:dyDescent="0.3">
      <c r="A4866" t="s">
        <v>32</v>
      </c>
      <c r="B4866" t="str">
        <f>"000562"</f>
        <v>000562</v>
      </c>
      <c r="C4866" t="s">
        <v>9775</v>
      </c>
      <c r="M4866">
        <v>2467324701.9200001</v>
      </c>
      <c r="N4866">
        <v>732878912.49000001</v>
      </c>
      <c r="O4866">
        <v>-219735715.41</v>
      </c>
      <c r="P4866">
        <v>18</v>
      </c>
      <c r="Q4866" t="s">
        <v>9776</v>
      </c>
    </row>
    <row r="4867" spans="1:17" x14ac:dyDescent="0.3">
      <c r="A4867" t="s">
        <v>32</v>
      </c>
      <c r="B4867" t="str">
        <f>"000578"</f>
        <v>000578</v>
      </c>
      <c r="C4867" t="s">
        <v>9777</v>
      </c>
      <c r="M4867">
        <v>-2056219716.3699999</v>
      </c>
      <c r="N4867">
        <v>-1597862313.0999999</v>
      </c>
      <c r="O4867">
        <v>-792933558.99000001</v>
      </c>
      <c r="P4867">
        <v>12</v>
      </c>
      <c r="Q4867" t="s">
        <v>9778</v>
      </c>
    </row>
    <row r="4868" spans="1:17" x14ac:dyDescent="0.3">
      <c r="A4868" t="s">
        <v>32</v>
      </c>
      <c r="B4868" t="str">
        <f>"000583"</f>
        <v>000583</v>
      </c>
      <c r="C4868" t="s">
        <v>9779</v>
      </c>
      <c r="J4868">
        <v>-13842.3</v>
      </c>
      <c r="L4868">
        <v>500</v>
      </c>
      <c r="M4868">
        <v>-6302.87</v>
      </c>
      <c r="N4868">
        <v>26954.54</v>
      </c>
      <c r="O4868">
        <v>13987.38</v>
      </c>
      <c r="P4868">
        <v>3</v>
      </c>
      <c r="Q4868" t="s">
        <v>9780</v>
      </c>
    </row>
    <row r="4869" spans="1:17" x14ac:dyDescent="0.3">
      <c r="A4869" t="s">
        <v>32</v>
      </c>
      <c r="B4869" t="str">
        <f>"000588"</f>
        <v>000588</v>
      </c>
      <c r="C4869" t="s">
        <v>9781</v>
      </c>
      <c r="J4869">
        <v>-17654488.57</v>
      </c>
      <c r="K4869">
        <v>-17286721.77</v>
      </c>
      <c r="L4869">
        <v>-36526685.789999999</v>
      </c>
      <c r="P4869">
        <v>5</v>
      </c>
      <c r="Q4869" t="s">
        <v>9782</v>
      </c>
    </row>
    <row r="4870" spans="1:17" x14ac:dyDescent="0.3">
      <c r="A4870" t="s">
        <v>32</v>
      </c>
      <c r="B4870" t="str">
        <f>"000594"</f>
        <v>000594</v>
      </c>
      <c r="C4870" t="s">
        <v>9783</v>
      </c>
      <c r="K4870">
        <v>-759152.01</v>
      </c>
      <c r="L4870">
        <v>-282225.65999999997</v>
      </c>
      <c r="M4870">
        <v>-5503820.8899999997</v>
      </c>
      <c r="N4870">
        <v>-706883.5</v>
      </c>
      <c r="O4870">
        <v>-33536370.550000001</v>
      </c>
      <c r="P4870">
        <v>3</v>
      </c>
      <c r="Q4870" t="s">
        <v>9784</v>
      </c>
    </row>
    <row r="4871" spans="1:17" x14ac:dyDescent="0.3">
      <c r="A4871" t="s">
        <v>32</v>
      </c>
      <c r="B4871" t="str">
        <f>"000602"</f>
        <v>000602</v>
      </c>
      <c r="C4871" t="s">
        <v>9785</v>
      </c>
      <c r="N4871">
        <v>442176874.44</v>
      </c>
      <c r="O4871">
        <v>382008577.14999998</v>
      </c>
      <c r="P4871">
        <v>5</v>
      </c>
      <c r="Q4871" t="s">
        <v>9786</v>
      </c>
    </row>
    <row r="4872" spans="1:17" x14ac:dyDescent="0.3">
      <c r="A4872" t="s">
        <v>32</v>
      </c>
      <c r="B4872" t="str">
        <f>"000658"</f>
        <v>000658</v>
      </c>
      <c r="C4872" t="s">
        <v>9787</v>
      </c>
      <c r="J4872">
        <v>-10460123.68</v>
      </c>
      <c r="K4872">
        <v>105135.08</v>
      </c>
      <c r="L4872">
        <v>-44897.66</v>
      </c>
      <c r="M4872">
        <v>-2987.67</v>
      </c>
      <c r="N4872">
        <v>4470.09</v>
      </c>
      <c r="O4872">
        <v>-2742.66</v>
      </c>
      <c r="P4872">
        <v>5</v>
      </c>
      <c r="Q4872" t="s">
        <v>9788</v>
      </c>
    </row>
    <row r="4873" spans="1:17" x14ac:dyDescent="0.3">
      <c r="A4873" t="s">
        <v>32</v>
      </c>
      <c r="B4873" t="str">
        <f>"000660"</f>
        <v>000660</v>
      </c>
      <c r="C4873" t="s">
        <v>9789</v>
      </c>
      <c r="M4873">
        <v>144585.49</v>
      </c>
      <c r="O4873">
        <v>491567.7</v>
      </c>
      <c r="P4873">
        <v>6</v>
      </c>
      <c r="Q4873" t="s">
        <v>9790</v>
      </c>
    </row>
    <row r="4874" spans="1:17" x14ac:dyDescent="0.3">
      <c r="A4874" t="s">
        <v>32</v>
      </c>
      <c r="B4874" t="str">
        <f>"000662"</f>
        <v>000662</v>
      </c>
      <c r="C4874" t="s">
        <v>9791</v>
      </c>
      <c r="G4874">
        <v>118166</v>
      </c>
      <c r="H4874">
        <v>-12647746</v>
      </c>
      <c r="I4874">
        <v>-330727078</v>
      </c>
      <c r="J4874">
        <v>-182800101</v>
      </c>
      <c r="K4874">
        <v>-29117147</v>
      </c>
      <c r="L4874">
        <v>-16941097</v>
      </c>
      <c r="M4874">
        <v>-19080789</v>
      </c>
      <c r="N4874">
        <v>-105710687</v>
      </c>
      <c r="O4874">
        <v>23346009</v>
      </c>
      <c r="P4874">
        <v>146</v>
      </c>
      <c r="Q4874" t="s">
        <v>9792</v>
      </c>
    </row>
    <row r="4875" spans="1:17" x14ac:dyDescent="0.3">
      <c r="A4875" t="s">
        <v>32</v>
      </c>
      <c r="B4875" t="str">
        <f>"000675"</f>
        <v>000675</v>
      </c>
      <c r="C4875" t="s">
        <v>9793</v>
      </c>
      <c r="J4875">
        <v>-37792.870000000003</v>
      </c>
      <c r="L4875">
        <v>1621201.75</v>
      </c>
      <c r="M4875">
        <v>1905139.2</v>
      </c>
      <c r="N4875">
        <v>247415.86</v>
      </c>
      <c r="O4875">
        <v>652382.93000000005</v>
      </c>
      <c r="P4875">
        <v>5</v>
      </c>
      <c r="Q4875" t="s">
        <v>9794</v>
      </c>
    </row>
    <row r="4876" spans="1:17" x14ac:dyDescent="0.3">
      <c r="A4876" t="s">
        <v>32</v>
      </c>
      <c r="B4876" t="str">
        <f>"000689"</f>
        <v>000689</v>
      </c>
      <c r="C4876" t="s">
        <v>9795</v>
      </c>
      <c r="P4876">
        <v>5</v>
      </c>
      <c r="Q4876" t="s">
        <v>9796</v>
      </c>
    </row>
    <row r="4877" spans="1:17" x14ac:dyDescent="0.3">
      <c r="A4877" t="s">
        <v>32</v>
      </c>
      <c r="B4877" t="str">
        <f>"000693"</f>
        <v>000693</v>
      </c>
      <c r="C4877" t="s">
        <v>9797</v>
      </c>
      <c r="I4877">
        <v>-4018803</v>
      </c>
      <c r="J4877">
        <v>432915</v>
      </c>
      <c r="K4877">
        <v>-613713712.47000003</v>
      </c>
      <c r="L4877">
        <v>-100500751.73</v>
      </c>
      <c r="M4877">
        <v>149495097.55000001</v>
      </c>
      <c r="N4877">
        <v>-81541306.25</v>
      </c>
      <c r="O4877">
        <v>-68880672.840000004</v>
      </c>
      <c r="P4877">
        <v>17</v>
      </c>
      <c r="Q4877" t="s">
        <v>9798</v>
      </c>
    </row>
    <row r="4878" spans="1:17" x14ac:dyDescent="0.3">
      <c r="A4878" t="s">
        <v>32</v>
      </c>
      <c r="B4878" t="str">
        <f>"000730"</f>
        <v>000730</v>
      </c>
      <c r="C4878" t="s">
        <v>9799</v>
      </c>
      <c r="J4878">
        <v>-2122516.75</v>
      </c>
      <c r="K4878">
        <v>-29435002.75</v>
      </c>
      <c r="P4878">
        <v>4</v>
      </c>
      <c r="Q4878" t="s">
        <v>9800</v>
      </c>
    </row>
    <row r="4879" spans="1:17" x14ac:dyDescent="0.3">
      <c r="A4879" t="s">
        <v>32</v>
      </c>
      <c r="B4879" t="str">
        <f>"000748"</f>
        <v>000748</v>
      </c>
      <c r="C4879" t="s">
        <v>9801</v>
      </c>
      <c r="K4879">
        <v>-372222146.89999998</v>
      </c>
      <c r="L4879">
        <v>-193150130.05000001</v>
      </c>
      <c r="M4879">
        <v>-270113499.24000001</v>
      </c>
      <c r="N4879">
        <v>-261882229.72</v>
      </c>
      <c r="O4879">
        <v>-239508729.43000001</v>
      </c>
      <c r="P4879">
        <v>8</v>
      </c>
      <c r="Q4879" t="s">
        <v>9802</v>
      </c>
    </row>
    <row r="4880" spans="1:17" x14ac:dyDescent="0.3">
      <c r="A4880" t="s">
        <v>32</v>
      </c>
      <c r="B4880" t="str">
        <f>"000760"</f>
        <v>000760</v>
      </c>
      <c r="C4880" t="s">
        <v>9803</v>
      </c>
      <c r="F4880">
        <v>290848</v>
      </c>
      <c r="G4880">
        <v>-471594</v>
      </c>
      <c r="H4880">
        <v>-182426626</v>
      </c>
      <c r="I4880">
        <v>-77813064</v>
      </c>
      <c r="J4880">
        <v>-123602313</v>
      </c>
      <c r="K4880">
        <v>-92485146</v>
      </c>
      <c r="L4880">
        <v>-202269100</v>
      </c>
      <c r="M4880">
        <v>-18777865</v>
      </c>
      <c r="N4880">
        <v>-3388130</v>
      </c>
      <c r="O4880">
        <v>-6054494</v>
      </c>
      <c r="P4880">
        <v>59</v>
      </c>
      <c r="Q4880" t="s">
        <v>9804</v>
      </c>
    </row>
    <row r="4881" spans="1:17" x14ac:dyDescent="0.3">
      <c r="A4881" t="s">
        <v>32</v>
      </c>
      <c r="B4881" t="str">
        <f>"000765"</f>
        <v>000765</v>
      </c>
      <c r="C4881" t="s">
        <v>9805</v>
      </c>
      <c r="J4881">
        <v>-84803767.310000002</v>
      </c>
      <c r="K4881">
        <v>-76210640.469999999</v>
      </c>
      <c r="L4881">
        <v>-2821573.09</v>
      </c>
      <c r="M4881">
        <v>-106844.16</v>
      </c>
      <c r="N4881">
        <v>-285413.18</v>
      </c>
      <c r="O4881">
        <v>133428.57</v>
      </c>
      <c r="P4881">
        <v>4</v>
      </c>
      <c r="Q4881" t="s">
        <v>9806</v>
      </c>
    </row>
    <row r="4882" spans="1:17" x14ac:dyDescent="0.3">
      <c r="A4882" t="s">
        <v>32</v>
      </c>
      <c r="B4882" t="str">
        <f>"000780"</f>
        <v>000780</v>
      </c>
      <c r="C4882" t="s">
        <v>9807</v>
      </c>
      <c r="D4882" t="s">
        <v>73</v>
      </c>
      <c r="F4882">
        <v>-144000512</v>
      </c>
      <c r="G4882">
        <v>-50006310</v>
      </c>
      <c r="H4882">
        <v>-170595136</v>
      </c>
      <c r="I4882">
        <v>-629379576</v>
      </c>
      <c r="J4882">
        <v>-261310330</v>
      </c>
      <c r="K4882">
        <v>-260046430</v>
      </c>
      <c r="L4882">
        <v>132075000</v>
      </c>
      <c r="M4882">
        <v>-166768997</v>
      </c>
      <c r="N4882">
        <v>-517312119</v>
      </c>
      <c r="O4882">
        <v>-331455149</v>
      </c>
      <c r="P4882">
        <v>99</v>
      </c>
      <c r="Q4882" t="s">
        <v>9808</v>
      </c>
    </row>
    <row r="4883" spans="1:17" x14ac:dyDescent="0.3">
      <c r="A4883" t="s">
        <v>32</v>
      </c>
      <c r="B4883" t="str">
        <f>"000787"</f>
        <v>000787</v>
      </c>
      <c r="C4883" t="s">
        <v>9809</v>
      </c>
      <c r="J4883">
        <v>-278198718.06999999</v>
      </c>
      <c r="K4883">
        <v>-163737274.06999999</v>
      </c>
      <c r="L4883">
        <v>283249412.13999999</v>
      </c>
      <c r="M4883">
        <v>-71371.31</v>
      </c>
      <c r="N4883">
        <v>-638679.02</v>
      </c>
      <c r="O4883">
        <v>-1715752.83</v>
      </c>
      <c r="P4883">
        <v>3</v>
      </c>
      <c r="Q4883" t="s">
        <v>9810</v>
      </c>
    </row>
    <row r="4884" spans="1:17" x14ac:dyDescent="0.3">
      <c r="A4884" t="s">
        <v>32</v>
      </c>
      <c r="B4884" t="str">
        <f>"000805"</f>
        <v>000805</v>
      </c>
      <c r="C4884" t="s">
        <v>9811</v>
      </c>
      <c r="J4884">
        <v>-22265766.98</v>
      </c>
      <c r="K4884">
        <v>-7771490.1900000004</v>
      </c>
      <c r="L4884">
        <v>-429874.87</v>
      </c>
      <c r="M4884">
        <v>-1807277.06</v>
      </c>
      <c r="N4884">
        <v>-2343842.46</v>
      </c>
      <c r="O4884">
        <v>-2445162.9700000002</v>
      </c>
      <c r="P4884">
        <v>3</v>
      </c>
      <c r="Q4884" t="s">
        <v>9812</v>
      </c>
    </row>
    <row r="4885" spans="1:17" x14ac:dyDescent="0.3">
      <c r="A4885" t="s">
        <v>32</v>
      </c>
      <c r="B4885" t="str">
        <f>"000832"</f>
        <v>000832</v>
      </c>
      <c r="C4885" t="s">
        <v>9813</v>
      </c>
      <c r="J4885">
        <v>-234035.38</v>
      </c>
      <c r="K4885">
        <v>-29089.09</v>
      </c>
      <c r="L4885">
        <v>11940.38</v>
      </c>
      <c r="M4885">
        <v>339683.02</v>
      </c>
      <c r="N4885">
        <v>-421211.42</v>
      </c>
      <c r="O4885">
        <v>3390565.66</v>
      </c>
      <c r="P4885">
        <v>6</v>
      </c>
      <c r="Q4885" t="s">
        <v>9814</v>
      </c>
    </row>
    <row r="4886" spans="1:17" x14ac:dyDescent="0.3">
      <c r="A4886" t="s">
        <v>32</v>
      </c>
      <c r="B4886" t="str">
        <f>"000916"</f>
        <v>000916</v>
      </c>
      <c r="C4886" t="s">
        <v>9815</v>
      </c>
      <c r="J4886">
        <v>114707020</v>
      </c>
      <c r="K4886">
        <v>73882763.780000001</v>
      </c>
      <c r="L4886">
        <v>48670170.799999997</v>
      </c>
      <c r="M4886">
        <v>76454656.980000004</v>
      </c>
      <c r="N4886">
        <v>-85742744.680000007</v>
      </c>
      <c r="O4886">
        <v>63139255.75</v>
      </c>
      <c r="P4886">
        <v>27</v>
      </c>
      <c r="Q4886" t="s">
        <v>9816</v>
      </c>
    </row>
    <row r="4887" spans="1:17" x14ac:dyDescent="0.3">
      <c r="A4887" t="s">
        <v>32</v>
      </c>
      <c r="B4887" t="str">
        <f>"000939"</f>
        <v>000939</v>
      </c>
      <c r="C4887" t="s">
        <v>9817</v>
      </c>
      <c r="G4887">
        <v>-7160039</v>
      </c>
      <c r="H4887">
        <v>-91881363</v>
      </c>
      <c r="I4887">
        <v>-688335383</v>
      </c>
      <c r="J4887">
        <v>-682101114</v>
      </c>
      <c r="K4887">
        <v>92932909</v>
      </c>
      <c r="L4887">
        <v>-37040970</v>
      </c>
      <c r="M4887">
        <v>18169278</v>
      </c>
      <c r="N4887">
        <v>-469229593</v>
      </c>
      <c r="O4887">
        <v>-250158185</v>
      </c>
      <c r="P4887">
        <v>61</v>
      </c>
      <c r="Q4887" t="s">
        <v>9818</v>
      </c>
    </row>
    <row r="4888" spans="1:17" x14ac:dyDescent="0.3">
      <c r="A4888" t="s">
        <v>32</v>
      </c>
      <c r="B4888" t="str">
        <f>"000971"</f>
        <v>000971</v>
      </c>
      <c r="C4888" t="s">
        <v>9819</v>
      </c>
      <c r="D4888" t="s">
        <v>57</v>
      </c>
      <c r="F4888">
        <v>-57974999</v>
      </c>
      <c r="G4888">
        <v>-55987820</v>
      </c>
      <c r="H4888">
        <v>-47453045</v>
      </c>
      <c r="I4888">
        <v>-38090448</v>
      </c>
      <c r="J4888">
        <v>-39504983</v>
      </c>
      <c r="K4888">
        <v>-23157906</v>
      </c>
      <c r="L4888">
        <v>-1644892</v>
      </c>
      <c r="M4888">
        <v>-4717434</v>
      </c>
      <c r="N4888">
        <v>-16173785</v>
      </c>
      <c r="O4888">
        <v>-56918355</v>
      </c>
      <c r="P4888">
        <v>74</v>
      </c>
      <c r="Q4888" t="s">
        <v>9820</v>
      </c>
    </row>
    <row r="4889" spans="1:17" x14ac:dyDescent="0.3">
      <c r="A4889" t="s">
        <v>32</v>
      </c>
      <c r="B4889" t="str">
        <f>"000979"</f>
        <v>000979</v>
      </c>
      <c r="C4889" t="s">
        <v>9821</v>
      </c>
      <c r="I4889">
        <v>343185622</v>
      </c>
      <c r="J4889">
        <v>-1003606052</v>
      </c>
      <c r="K4889">
        <v>-1815681127.1300001</v>
      </c>
      <c r="L4889">
        <v>809427031.88</v>
      </c>
      <c r="M4889">
        <v>-1721040737.73</v>
      </c>
      <c r="N4889">
        <v>347611560.06</v>
      </c>
      <c r="O4889">
        <v>46227616.859999999</v>
      </c>
      <c r="P4889">
        <v>30</v>
      </c>
      <c r="Q4889" t="s">
        <v>9822</v>
      </c>
    </row>
    <row r="4890" spans="1:17" x14ac:dyDescent="0.3">
      <c r="A4890" t="s">
        <v>32</v>
      </c>
      <c r="B4890" t="str">
        <f>"002018"</f>
        <v>002018</v>
      </c>
      <c r="C4890" t="s">
        <v>9823</v>
      </c>
      <c r="G4890">
        <v>12882086</v>
      </c>
      <c r="H4890">
        <v>9282666</v>
      </c>
      <c r="I4890">
        <v>-151451771</v>
      </c>
      <c r="J4890">
        <v>-574928860</v>
      </c>
      <c r="K4890">
        <v>-764319169</v>
      </c>
      <c r="L4890">
        <v>-99452581</v>
      </c>
      <c r="M4890">
        <v>-835692579</v>
      </c>
      <c r="N4890">
        <v>-28847516</v>
      </c>
      <c r="O4890">
        <v>-41502043</v>
      </c>
      <c r="P4890">
        <v>40</v>
      </c>
      <c r="Q4890" t="s">
        <v>9824</v>
      </c>
    </row>
    <row r="4891" spans="1:17" x14ac:dyDescent="0.3">
      <c r="A4891" t="s">
        <v>32</v>
      </c>
      <c r="B4891" t="str">
        <f>"002070"</f>
        <v>002070</v>
      </c>
      <c r="C4891" t="s">
        <v>9825</v>
      </c>
      <c r="H4891">
        <v>42627</v>
      </c>
      <c r="I4891">
        <v>8838808</v>
      </c>
      <c r="J4891">
        <v>8807951</v>
      </c>
      <c r="K4891">
        <v>5697084</v>
      </c>
      <c r="L4891">
        <v>-82007358.760000005</v>
      </c>
      <c r="M4891">
        <v>107988383.19</v>
      </c>
      <c r="N4891">
        <v>-9498405.8300000001</v>
      </c>
      <c r="O4891">
        <v>-10720305.619999999</v>
      </c>
      <c r="P4891">
        <v>27</v>
      </c>
      <c r="Q4891" t="s">
        <v>9826</v>
      </c>
    </row>
    <row r="4892" spans="1:17" x14ac:dyDescent="0.3">
      <c r="A4892" t="s">
        <v>32</v>
      </c>
      <c r="B4892" t="str">
        <f>"002071"</f>
        <v>002071</v>
      </c>
      <c r="C4892" t="s">
        <v>9827</v>
      </c>
      <c r="F4892">
        <v>24257237</v>
      </c>
      <c r="G4892">
        <v>4058711</v>
      </c>
      <c r="H4892">
        <v>51718607</v>
      </c>
      <c r="I4892">
        <v>65011130</v>
      </c>
      <c r="J4892">
        <v>30271288</v>
      </c>
      <c r="K4892">
        <v>17595927</v>
      </c>
      <c r="L4892">
        <v>-75413550</v>
      </c>
      <c r="M4892">
        <v>1490292</v>
      </c>
      <c r="N4892">
        <v>-9795233</v>
      </c>
      <c r="O4892">
        <v>-30221836</v>
      </c>
      <c r="P4892">
        <v>97</v>
      </c>
      <c r="Q4892" t="s">
        <v>9828</v>
      </c>
    </row>
    <row r="4893" spans="1:17" x14ac:dyDescent="0.3">
      <c r="A4893" t="s">
        <v>32</v>
      </c>
      <c r="B4893" t="str">
        <f>"002118"</f>
        <v>002118</v>
      </c>
      <c r="C4893" t="s">
        <v>9829</v>
      </c>
      <c r="D4893" t="s">
        <v>98</v>
      </c>
      <c r="F4893">
        <v>-37756899</v>
      </c>
      <c r="G4893">
        <v>-5563145</v>
      </c>
      <c r="H4893">
        <v>-783845841</v>
      </c>
      <c r="I4893">
        <v>-74081057</v>
      </c>
      <c r="J4893">
        <v>-165023303</v>
      </c>
      <c r="K4893">
        <v>-658367066</v>
      </c>
      <c r="L4893">
        <v>15125382</v>
      </c>
      <c r="M4893">
        <v>-42091825</v>
      </c>
      <c r="N4893">
        <v>-8540393</v>
      </c>
      <c r="O4893">
        <v>-86798733</v>
      </c>
      <c r="P4893">
        <v>226</v>
      </c>
      <c r="Q4893" t="s">
        <v>9830</v>
      </c>
    </row>
    <row r="4894" spans="1:17" x14ac:dyDescent="0.3">
      <c r="A4894" t="s">
        <v>32</v>
      </c>
      <c r="B4894" t="str">
        <f>"002143"</f>
        <v>002143</v>
      </c>
      <c r="C4894" t="s">
        <v>9831</v>
      </c>
      <c r="H4894">
        <v>-46184266</v>
      </c>
      <c r="I4894">
        <v>-201520519</v>
      </c>
      <c r="J4894">
        <v>-71896663</v>
      </c>
      <c r="K4894">
        <v>-54636497</v>
      </c>
      <c r="L4894">
        <v>26729358</v>
      </c>
      <c r="M4894">
        <v>13244170</v>
      </c>
      <c r="N4894">
        <v>-37633349</v>
      </c>
      <c r="O4894">
        <v>-70455669</v>
      </c>
      <c r="P4894">
        <v>59</v>
      </c>
      <c r="Q4894" t="s">
        <v>9832</v>
      </c>
    </row>
    <row r="4895" spans="1:17" x14ac:dyDescent="0.3">
      <c r="A4895" t="s">
        <v>32</v>
      </c>
      <c r="B4895" t="str">
        <f>"002220"</f>
        <v>002220</v>
      </c>
      <c r="C4895" t="s">
        <v>9833</v>
      </c>
      <c r="G4895">
        <v>-1770716</v>
      </c>
      <c r="H4895">
        <v>-4591477</v>
      </c>
      <c r="I4895">
        <v>24620051</v>
      </c>
      <c r="J4895">
        <v>18157746</v>
      </c>
      <c r="K4895">
        <v>112527328</v>
      </c>
      <c r="L4895">
        <v>58617425</v>
      </c>
      <c r="M4895">
        <v>-27179748</v>
      </c>
      <c r="N4895">
        <v>-14730466</v>
      </c>
      <c r="O4895">
        <v>121207539</v>
      </c>
      <c r="P4895">
        <v>51</v>
      </c>
      <c r="Q4895" t="s">
        <v>9834</v>
      </c>
    </row>
    <row r="4896" spans="1:17" x14ac:dyDescent="0.3">
      <c r="A4896" t="s">
        <v>32</v>
      </c>
      <c r="B4896" t="str">
        <f>"002359"</f>
        <v>002359</v>
      </c>
      <c r="C4896" t="s">
        <v>9835</v>
      </c>
      <c r="F4896">
        <v>-11678692</v>
      </c>
      <c r="G4896">
        <v>2575759</v>
      </c>
      <c r="H4896">
        <v>11585544</v>
      </c>
      <c r="I4896">
        <v>-1252975791</v>
      </c>
      <c r="J4896">
        <v>-30528555</v>
      </c>
      <c r="K4896">
        <v>-1239827</v>
      </c>
      <c r="L4896">
        <v>-27860984</v>
      </c>
      <c r="M4896">
        <v>-57992731</v>
      </c>
      <c r="N4896">
        <v>-119825650</v>
      </c>
      <c r="O4896">
        <v>-57025427</v>
      </c>
      <c r="P4896">
        <v>68</v>
      </c>
      <c r="Q4896" t="s">
        <v>9836</v>
      </c>
    </row>
    <row r="4897" spans="1:17" x14ac:dyDescent="0.3">
      <c r="A4897" t="s">
        <v>32</v>
      </c>
      <c r="B4897" t="str">
        <f>"002411"</f>
        <v>002411</v>
      </c>
      <c r="C4897" t="s">
        <v>9837</v>
      </c>
      <c r="D4897" t="s">
        <v>98</v>
      </c>
      <c r="F4897">
        <v>344248520</v>
      </c>
      <c r="G4897">
        <v>-54076974</v>
      </c>
      <c r="H4897">
        <v>-34354027</v>
      </c>
      <c r="I4897">
        <v>398645336</v>
      </c>
      <c r="J4897">
        <v>-17188923</v>
      </c>
      <c r="K4897">
        <v>13808602</v>
      </c>
      <c r="L4897">
        <v>-38941920</v>
      </c>
      <c r="M4897">
        <v>-13337229</v>
      </c>
      <c r="N4897">
        <v>-15685570</v>
      </c>
      <c r="O4897">
        <v>-3523074</v>
      </c>
      <c r="P4897">
        <v>244</v>
      </c>
      <c r="Q4897" t="s">
        <v>9838</v>
      </c>
    </row>
    <row r="4898" spans="1:17" x14ac:dyDescent="0.3">
      <c r="A4898" t="s">
        <v>32</v>
      </c>
      <c r="B4898" t="str">
        <f>"002433"</f>
        <v>002433</v>
      </c>
      <c r="C4898" t="s">
        <v>9839</v>
      </c>
      <c r="D4898" t="s">
        <v>98</v>
      </c>
      <c r="F4898">
        <v>203185695</v>
      </c>
      <c r="G4898">
        <v>-246988559</v>
      </c>
      <c r="H4898">
        <v>-81543356</v>
      </c>
      <c r="I4898">
        <v>-109519696</v>
      </c>
      <c r="J4898">
        <v>-274418584</v>
      </c>
      <c r="K4898">
        <v>-185020299</v>
      </c>
      <c r="L4898">
        <v>-165442271</v>
      </c>
      <c r="M4898">
        <v>-71858893</v>
      </c>
      <c r="N4898">
        <v>-132149918</v>
      </c>
      <c r="O4898">
        <v>-39093113</v>
      </c>
      <c r="P4898">
        <v>235</v>
      </c>
      <c r="Q4898" t="s">
        <v>9840</v>
      </c>
    </row>
    <row r="4899" spans="1:17" x14ac:dyDescent="0.3">
      <c r="A4899" t="s">
        <v>32</v>
      </c>
      <c r="B4899" t="str">
        <f>"002450"</f>
        <v>002450</v>
      </c>
      <c r="C4899" t="s">
        <v>9841</v>
      </c>
      <c r="F4899">
        <v>-8674951</v>
      </c>
      <c r="G4899">
        <v>-69782330</v>
      </c>
      <c r="H4899">
        <v>-173527319</v>
      </c>
      <c r="I4899">
        <v>184138725</v>
      </c>
      <c r="J4899">
        <v>1025601906</v>
      </c>
      <c r="K4899">
        <v>120806993</v>
      </c>
      <c r="L4899">
        <v>64204346</v>
      </c>
      <c r="M4899">
        <v>-136273823</v>
      </c>
      <c r="N4899">
        <v>-568774472</v>
      </c>
      <c r="O4899">
        <v>-27806729</v>
      </c>
      <c r="P4899">
        <v>1520</v>
      </c>
      <c r="Q4899" t="s">
        <v>9842</v>
      </c>
    </row>
    <row r="4900" spans="1:17" x14ac:dyDescent="0.3">
      <c r="A4900" t="s">
        <v>32</v>
      </c>
      <c r="B4900" t="str">
        <f>"002464"</f>
        <v>002464</v>
      </c>
      <c r="C4900" t="s">
        <v>9843</v>
      </c>
      <c r="D4900" t="s">
        <v>245</v>
      </c>
      <c r="F4900">
        <v>33414489</v>
      </c>
      <c r="G4900">
        <v>17857868</v>
      </c>
      <c r="H4900">
        <v>125403521</v>
      </c>
      <c r="I4900">
        <v>24299832</v>
      </c>
      <c r="J4900">
        <v>85090919</v>
      </c>
      <c r="K4900">
        <v>2098616</v>
      </c>
      <c r="L4900">
        <v>9418149</v>
      </c>
      <c r="M4900">
        <v>-33876910</v>
      </c>
      <c r="N4900">
        <v>31600755</v>
      </c>
      <c r="O4900">
        <v>22196916</v>
      </c>
      <c r="P4900">
        <v>110</v>
      </c>
      <c r="Q4900" t="s">
        <v>9844</v>
      </c>
    </row>
    <row r="4901" spans="1:17" x14ac:dyDescent="0.3">
      <c r="A4901" t="s">
        <v>32</v>
      </c>
      <c r="B4901" t="str">
        <f>"002477"</f>
        <v>002477</v>
      </c>
      <c r="C4901" t="s">
        <v>9845</v>
      </c>
      <c r="H4901">
        <v>24525174</v>
      </c>
      <c r="I4901">
        <v>1175033385</v>
      </c>
      <c r="J4901">
        <v>613958412</v>
      </c>
      <c r="K4901">
        <v>-112415862</v>
      </c>
      <c r="L4901">
        <v>71543273</v>
      </c>
      <c r="M4901">
        <v>-691027058</v>
      </c>
      <c r="N4901">
        <v>-23624212</v>
      </c>
      <c r="O4901">
        <v>-232152387</v>
      </c>
      <c r="P4901">
        <v>126</v>
      </c>
      <c r="Q4901" t="s">
        <v>9846</v>
      </c>
    </row>
    <row r="4902" spans="1:17" x14ac:dyDescent="0.3">
      <c r="A4902" t="s">
        <v>32</v>
      </c>
      <c r="B4902" t="str">
        <f>"002509"</f>
        <v>002509</v>
      </c>
      <c r="C4902" t="s">
        <v>9847</v>
      </c>
      <c r="G4902">
        <v>-43496589</v>
      </c>
      <c r="H4902">
        <v>-86098910</v>
      </c>
      <c r="I4902">
        <v>-341495264</v>
      </c>
      <c r="J4902">
        <v>-255184841</v>
      </c>
      <c r="K4902">
        <v>-133754363</v>
      </c>
      <c r="L4902">
        <v>-39737617</v>
      </c>
      <c r="M4902">
        <v>-103536058</v>
      </c>
      <c r="N4902">
        <v>-31056216</v>
      </c>
      <c r="O4902">
        <v>-16226643</v>
      </c>
      <c r="P4902">
        <v>60</v>
      </c>
      <c r="Q4902" t="s">
        <v>9848</v>
      </c>
    </row>
    <row r="4903" spans="1:17" x14ac:dyDescent="0.3">
      <c r="A4903" t="s">
        <v>32</v>
      </c>
      <c r="B4903" t="str">
        <f>"002604"</f>
        <v>002604</v>
      </c>
      <c r="C4903" t="s">
        <v>9849</v>
      </c>
      <c r="G4903">
        <v>4283438</v>
      </c>
      <c r="H4903">
        <v>-11004432</v>
      </c>
      <c r="I4903">
        <v>107855955</v>
      </c>
      <c r="J4903">
        <v>37690536</v>
      </c>
      <c r="K4903">
        <v>12190985</v>
      </c>
      <c r="L4903">
        <v>8868543</v>
      </c>
      <c r="M4903">
        <v>36087813</v>
      </c>
      <c r="N4903">
        <v>-6223396</v>
      </c>
      <c r="O4903">
        <v>33231974</v>
      </c>
      <c r="P4903">
        <v>49</v>
      </c>
      <c r="Q4903" t="s">
        <v>9850</v>
      </c>
    </row>
    <row r="4904" spans="1:17" x14ac:dyDescent="0.3">
      <c r="A4904" t="s">
        <v>32</v>
      </c>
      <c r="B4904" t="str">
        <f>"002619"</f>
        <v>002619</v>
      </c>
      <c r="C4904" t="s">
        <v>9851</v>
      </c>
      <c r="D4904" t="s">
        <v>245</v>
      </c>
      <c r="F4904">
        <v>153072148</v>
      </c>
      <c r="G4904">
        <v>-44243695</v>
      </c>
      <c r="H4904">
        <v>-59200904</v>
      </c>
      <c r="I4904">
        <v>22672896</v>
      </c>
      <c r="J4904">
        <v>78387948</v>
      </c>
      <c r="K4904">
        <v>62860774</v>
      </c>
      <c r="L4904">
        <v>28145656</v>
      </c>
      <c r="M4904">
        <v>-33014691</v>
      </c>
      <c r="N4904">
        <v>-20740400</v>
      </c>
      <c r="O4904">
        <v>-46902487</v>
      </c>
      <c r="P4904">
        <v>124</v>
      </c>
      <c r="Q4904" t="s">
        <v>9852</v>
      </c>
    </row>
    <row r="4905" spans="1:17" x14ac:dyDescent="0.3">
      <c r="A4905" t="s">
        <v>32</v>
      </c>
      <c r="B4905" t="str">
        <f>"002680"</f>
        <v>002680</v>
      </c>
      <c r="C4905" t="s">
        <v>9853</v>
      </c>
      <c r="I4905">
        <v>92282131</v>
      </c>
      <c r="J4905">
        <v>-34696425</v>
      </c>
      <c r="K4905">
        <v>-6119657</v>
      </c>
      <c r="L4905">
        <v>-8074175</v>
      </c>
      <c r="M4905">
        <v>-3814521</v>
      </c>
      <c r="N4905">
        <v>-15825217</v>
      </c>
      <c r="O4905">
        <v>24361886</v>
      </c>
      <c r="P4905">
        <v>221</v>
      </c>
      <c r="Q4905" t="s">
        <v>9854</v>
      </c>
    </row>
    <row r="4906" spans="1:17" x14ac:dyDescent="0.3">
      <c r="A4906" t="s">
        <v>32</v>
      </c>
      <c r="B4906" t="str">
        <f>"002711"</f>
        <v>002711</v>
      </c>
      <c r="C4906" t="s">
        <v>9855</v>
      </c>
      <c r="F4906">
        <v>2585114</v>
      </c>
      <c r="G4906">
        <v>-50894333</v>
      </c>
      <c r="H4906">
        <v>10346243</v>
      </c>
      <c r="I4906">
        <v>-103851593</v>
      </c>
      <c r="J4906">
        <v>-146516644</v>
      </c>
      <c r="K4906">
        <v>-189769380</v>
      </c>
      <c r="L4906">
        <v>125968558</v>
      </c>
      <c r="M4906">
        <v>-88513401</v>
      </c>
      <c r="N4906">
        <v>-92677175</v>
      </c>
      <c r="P4906">
        <v>74</v>
      </c>
      <c r="Q4906" t="s">
        <v>9856</v>
      </c>
    </row>
    <row r="4907" spans="1:17" x14ac:dyDescent="0.3">
      <c r="A4907" t="s">
        <v>32</v>
      </c>
      <c r="B4907" t="str">
        <f>"002776"</f>
        <v>002776</v>
      </c>
      <c r="C4907" t="s">
        <v>9857</v>
      </c>
      <c r="D4907" t="s">
        <v>130</v>
      </c>
      <c r="F4907">
        <v>-44058687</v>
      </c>
      <c r="G4907">
        <v>34859488</v>
      </c>
      <c r="H4907">
        <v>64805454</v>
      </c>
      <c r="I4907">
        <v>-250197778</v>
      </c>
      <c r="J4907">
        <v>-46990965</v>
      </c>
      <c r="K4907">
        <v>45035227</v>
      </c>
      <c r="L4907">
        <v>39943408</v>
      </c>
      <c r="M4907">
        <v>48554091</v>
      </c>
      <c r="P4907">
        <v>125</v>
      </c>
      <c r="Q4907" t="s">
        <v>9858</v>
      </c>
    </row>
    <row r="4908" spans="1:17" x14ac:dyDescent="0.3">
      <c r="A4908" t="s">
        <v>32</v>
      </c>
      <c r="B4908" t="str">
        <f>"200002"</f>
        <v>200002</v>
      </c>
      <c r="C4908" t="s">
        <v>9859</v>
      </c>
      <c r="J4908">
        <v>-11174200473.077</v>
      </c>
      <c r="K4908">
        <v>-13014502677.1749</v>
      </c>
      <c r="L4908">
        <v>-19200937396.549999</v>
      </c>
      <c r="M4908">
        <v>-7030155007.5846004</v>
      </c>
      <c r="N4908">
        <v>-3008348077.0316</v>
      </c>
      <c r="O4908">
        <v>1530278959.8399</v>
      </c>
      <c r="P4908">
        <v>22</v>
      </c>
      <c r="Q4908" t="s">
        <v>9860</v>
      </c>
    </row>
    <row r="4909" spans="1:17" x14ac:dyDescent="0.3">
      <c r="A4909" t="s">
        <v>32</v>
      </c>
      <c r="B4909" t="str">
        <f>"200015"</f>
        <v>200015</v>
      </c>
      <c r="C4909" t="s">
        <v>9861</v>
      </c>
      <c r="J4909">
        <v>-12857471.403899999</v>
      </c>
      <c r="K4909">
        <v>-34578865.174999997</v>
      </c>
      <c r="P4909">
        <v>0</v>
      </c>
      <c r="Q4909" t="s">
        <v>9862</v>
      </c>
    </row>
    <row r="4910" spans="1:17" x14ac:dyDescent="0.3">
      <c r="A4910" t="s">
        <v>32</v>
      </c>
      <c r="B4910" t="str">
        <f>"200018"</f>
        <v>200018</v>
      </c>
      <c r="C4910" t="s">
        <v>9863</v>
      </c>
      <c r="G4910">
        <v>-18555729.425700001</v>
      </c>
      <c r="H4910">
        <v>29068399.519200001</v>
      </c>
      <c r="I4910">
        <v>1006885329.3444999</v>
      </c>
      <c r="J4910">
        <v>-518303882.21640003</v>
      </c>
      <c r="K4910">
        <v>-383181968.19090003</v>
      </c>
      <c r="L4910">
        <v>1598371.25</v>
      </c>
      <c r="M4910">
        <v>1579033.7464000001</v>
      </c>
      <c r="N4910">
        <v>1240782.693</v>
      </c>
      <c r="O4910">
        <v>699488.29799999995</v>
      </c>
      <c r="P4910">
        <v>13</v>
      </c>
      <c r="Q4910" t="s">
        <v>9864</v>
      </c>
    </row>
    <row r="4911" spans="1:17" x14ac:dyDescent="0.3">
      <c r="A4911" t="s">
        <v>32</v>
      </c>
      <c r="B4911" t="str">
        <f>"200022"</f>
        <v>200022</v>
      </c>
      <c r="C4911" t="s">
        <v>9865</v>
      </c>
      <c r="I4911">
        <v>50005441.678999998</v>
      </c>
      <c r="J4911">
        <v>251496599.8028</v>
      </c>
      <c r="K4911">
        <v>69047312.187900007</v>
      </c>
      <c r="L4911">
        <v>171942420.90000001</v>
      </c>
      <c r="M4911">
        <v>149019712.72589999</v>
      </c>
      <c r="N4911">
        <v>64816498.950599998</v>
      </c>
      <c r="O4911">
        <v>-3546884.79</v>
      </c>
      <c r="P4911">
        <v>41</v>
      </c>
      <c r="Q4911" t="s">
        <v>9866</v>
      </c>
    </row>
    <row r="4912" spans="1:17" x14ac:dyDescent="0.3">
      <c r="A4912" t="s">
        <v>32</v>
      </c>
      <c r="B4912" t="str">
        <f>"200024"</f>
        <v>200024</v>
      </c>
      <c r="C4912" t="s">
        <v>9867</v>
      </c>
      <c r="L4912">
        <v>-8572832684.8625002</v>
      </c>
      <c r="M4912">
        <v>-5422374903.3809996</v>
      </c>
      <c r="N4912">
        <v>969445497.42359996</v>
      </c>
      <c r="O4912">
        <v>-291204358.20899999</v>
      </c>
      <c r="P4912">
        <v>0</v>
      </c>
      <c r="Q4912" t="s">
        <v>9868</v>
      </c>
    </row>
    <row r="4913" spans="1:17" x14ac:dyDescent="0.3">
      <c r="A4913" t="s">
        <v>32</v>
      </c>
      <c r="B4913" t="str">
        <f>"200039"</f>
        <v>200039</v>
      </c>
      <c r="C4913" t="s">
        <v>9869</v>
      </c>
      <c r="J4913">
        <v>-711483535.20000005</v>
      </c>
      <c r="K4913">
        <v>-2098727561.0999999</v>
      </c>
      <c r="L4913">
        <v>-4283806250</v>
      </c>
      <c r="M4913">
        <v>-5968139740.3999996</v>
      </c>
      <c r="N4913">
        <v>-3132102533.4000001</v>
      </c>
      <c r="O4913">
        <v>-61832484</v>
      </c>
      <c r="P4913">
        <v>0</v>
      </c>
      <c r="Q4913" t="s">
        <v>9870</v>
      </c>
    </row>
    <row r="4914" spans="1:17" x14ac:dyDescent="0.3">
      <c r="A4914" t="s">
        <v>32</v>
      </c>
      <c r="B4914" t="str">
        <f>"200053"</f>
        <v>200053</v>
      </c>
      <c r="C4914" t="s">
        <v>9871</v>
      </c>
      <c r="I4914">
        <v>-575404210.90649998</v>
      </c>
      <c r="J4914">
        <v>-200428524.13659999</v>
      </c>
      <c r="K4914">
        <v>-342174940.44510001</v>
      </c>
      <c r="L4914">
        <v>-120583576</v>
      </c>
      <c r="M4914">
        <v>-144854253.47220001</v>
      </c>
      <c r="N4914">
        <v>-85898688.148000002</v>
      </c>
      <c r="O4914">
        <v>-49505354.399300002</v>
      </c>
      <c r="P4914">
        <v>15</v>
      </c>
      <c r="Q4914" t="s">
        <v>9872</v>
      </c>
    </row>
    <row r="4915" spans="1:17" x14ac:dyDescent="0.3">
      <c r="A4915" t="s">
        <v>32</v>
      </c>
      <c r="B4915" t="str">
        <f>"200160"</f>
        <v>200160</v>
      </c>
      <c r="C4915" t="s">
        <v>9873</v>
      </c>
      <c r="G4915">
        <v>-27097353.856800001</v>
      </c>
      <c r="H4915">
        <v>-63498296.314800002</v>
      </c>
      <c r="I4915">
        <v>-39195797.049999997</v>
      </c>
      <c r="J4915">
        <v>29656272.4802</v>
      </c>
      <c r="K4915">
        <v>35556825.858000003</v>
      </c>
      <c r="L4915">
        <v>-16595742.300000001</v>
      </c>
      <c r="M4915">
        <v>-45525800.8024</v>
      </c>
      <c r="N4915">
        <v>25853200.900899999</v>
      </c>
      <c r="O4915">
        <v>3870074.4221999999</v>
      </c>
      <c r="P4915">
        <v>3</v>
      </c>
      <c r="Q4915" t="s">
        <v>9874</v>
      </c>
    </row>
    <row r="4916" spans="1:17" x14ac:dyDescent="0.3">
      <c r="A4916" t="s">
        <v>32</v>
      </c>
      <c r="B4916" t="str">
        <f>"200168"</f>
        <v>200168</v>
      </c>
      <c r="C4916" t="s">
        <v>9875</v>
      </c>
      <c r="F4916">
        <v>-802860.02249999996</v>
      </c>
      <c r="G4916">
        <v>17673220.326000001</v>
      </c>
      <c r="H4916">
        <v>-1036659.6756</v>
      </c>
      <c r="I4916">
        <v>-1159389.8204999999</v>
      </c>
      <c r="J4916">
        <v>4240057.6500000004</v>
      </c>
      <c r="K4916">
        <v>-776898.72950000002</v>
      </c>
      <c r="L4916">
        <v>104951548.75</v>
      </c>
      <c r="M4916">
        <v>-63007640.605999999</v>
      </c>
      <c r="N4916">
        <v>-20705786.544</v>
      </c>
      <c r="O4916">
        <v>6039610.0650000004</v>
      </c>
      <c r="P4916">
        <v>3</v>
      </c>
      <c r="Q4916" t="s">
        <v>9876</v>
      </c>
    </row>
    <row r="4917" spans="1:17" x14ac:dyDescent="0.3">
      <c r="A4917" t="s">
        <v>32</v>
      </c>
      <c r="B4917" t="str">
        <f>"200418"</f>
        <v>200418</v>
      </c>
      <c r="C4917" t="s">
        <v>9877</v>
      </c>
      <c r="H4917">
        <v>151367791.52160001</v>
      </c>
      <c r="I4917">
        <v>197434318.4005</v>
      </c>
      <c r="J4917">
        <v>-251062866.6974</v>
      </c>
      <c r="K4917">
        <v>684766488.34249997</v>
      </c>
      <c r="L4917">
        <v>466485860.63749999</v>
      </c>
      <c r="M4917">
        <v>310968328.60839999</v>
      </c>
      <c r="N4917">
        <v>331876240.06669998</v>
      </c>
      <c r="O4917">
        <v>-70522130.695600003</v>
      </c>
      <c r="P4917">
        <v>89</v>
      </c>
      <c r="Q4917" t="s">
        <v>9878</v>
      </c>
    </row>
    <row r="4918" spans="1:17" x14ac:dyDescent="0.3">
      <c r="A4918" t="s">
        <v>32</v>
      </c>
      <c r="B4918" t="str">
        <f>"200513"</f>
        <v>200513</v>
      </c>
      <c r="C4918" t="s">
        <v>9879</v>
      </c>
      <c r="J4918">
        <v>208858471.14669999</v>
      </c>
      <c r="K4918">
        <v>142261549.4075</v>
      </c>
      <c r="L4918">
        <v>-48355970.6875</v>
      </c>
      <c r="M4918">
        <v>-22911460.769000001</v>
      </c>
      <c r="N4918">
        <v>-250546763.54030001</v>
      </c>
      <c r="O4918">
        <v>-98384652.259599999</v>
      </c>
      <c r="P4918">
        <v>1</v>
      </c>
      <c r="Q4918" t="s">
        <v>9880</v>
      </c>
    </row>
    <row r="4919" spans="1:17" x14ac:dyDescent="0.3">
      <c r="A4919" t="s">
        <v>32</v>
      </c>
      <c r="B4919" t="str">
        <f>"200770"</f>
        <v>200770</v>
      </c>
      <c r="C4919" t="s">
        <v>9881</v>
      </c>
      <c r="J4919">
        <v>231360277.3391</v>
      </c>
      <c r="K4919">
        <v>59026733.516500004</v>
      </c>
      <c r="L4919">
        <v>163406285.27500001</v>
      </c>
      <c r="M4919">
        <v>203191746.40360001</v>
      </c>
      <c r="N4919">
        <v>-107044457.396</v>
      </c>
      <c r="O4919">
        <v>-73462074.983899996</v>
      </c>
      <c r="P4919">
        <v>0</v>
      </c>
      <c r="Q4919" t="s">
        <v>9882</v>
      </c>
    </row>
    <row r="4920" spans="1:17" x14ac:dyDescent="0.3">
      <c r="A4920" t="s">
        <v>32</v>
      </c>
      <c r="B4920" t="str">
        <f>"200986"</f>
        <v>200986</v>
      </c>
      <c r="C4920" t="s">
        <v>9883</v>
      </c>
      <c r="F4920">
        <v>60913982.103500001</v>
      </c>
      <c r="G4920">
        <v>226798415.6496</v>
      </c>
      <c r="H4920">
        <v>234601736.25150001</v>
      </c>
      <c r="I4920">
        <v>29719164.162500001</v>
      </c>
      <c r="J4920">
        <v>-758963004.10119998</v>
      </c>
      <c r="K4920">
        <v>-537016408.60959995</v>
      </c>
      <c r="L4920">
        <v>142766140</v>
      </c>
      <c r="M4920">
        <v>-271469053.01719999</v>
      </c>
      <c r="N4920">
        <v>219614694.77579999</v>
      </c>
      <c r="O4920">
        <v>-496132091.26200002</v>
      </c>
      <c r="P4920">
        <v>8</v>
      </c>
      <c r="Q4920" t="s">
        <v>9884</v>
      </c>
    </row>
    <row r="4921" spans="1:17" x14ac:dyDescent="0.3">
      <c r="A4921" t="s">
        <v>32</v>
      </c>
      <c r="B4921" t="str">
        <f>"300028"</f>
        <v>300028</v>
      </c>
      <c r="C4921" t="s">
        <v>9885</v>
      </c>
      <c r="G4921">
        <v>-604634</v>
      </c>
      <c r="H4921">
        <v>-1641870</v>
      </c>
      <c r="I4921">
        <v>-5762265</v>
      </c>
      <c r="J4921">
        <v>-13012652</v>
      </c>
      <c r="K4921">
        <v>-214419287</v>
      </c>
      <c r="L4921">
        <v>-17839003</v>
      </c>
      <c r="M4921">
        <v>3508481</v>
      </c>
      <c r="N4921">
        <v>-87484027</v>
      </c>
      <c r="O4921">
        <v>26611662</v>
      </c>
      <c r="P4921">
        <v>31</v>
      </c>
      <c r="Q4921" t="s">
        <v>9886</v>
      </c>
    </row>
    <row r="4922" spans="1:17" x14ac:dyDescent="0.3">
      <c r="A4922" t="s">
        <v>32</v>
      </c>
      <c r="B4922" t="str">
        <f>"300090"</f>
        <v>300090</v>
      </c>
      <c r="C4922" t="s">
        <v>9887</v>
      </c>
      <c r="G4922">
        <v>11983721</v>
      </c>
      <c r="H4922">
        <v>39541354</v>
      </c>
      <c r="I4922">
        <v>-206132820</v>
      </c>
      <c r="J4922">
        <v>-275495415</v>
      </c>
      <c r="K4922">
        <v>-952538799</v>
      </c>
      <c r="L4922">
        <v>-454753531</v>
      </c>
      <c r="M4922">
        <v>-65126501</v>
      </c>
      <c r="N4922">
        <v>-108388042</v>
      </c>
      <c r="O4922">
        <v>-9739185</v>
      </c>
      <c r="P4922">
        <v>72</v>
      </c>
      <c r="Q4922" t="s">
        <v>9888</v>
      </c>
    </row>
    <row r="4923" spans="1:17" x14ac:dyDescent="0.3">
      <c r="A4923" t="s">
        <v>32</v>
      </c>
      <c r="B4923" t="str">
        <f>"300104"</f>
        <v>300104</v>
      </c>
      <c r="C4923" t="s">
        <v>9889</v>
      </c>
      <c r="G4923">
        <v>-14565841</v>
      </c>
      <c r="H4923">
        <v>-56367559</v>
      </c>
      <c r="I4923">
        <v>-744721794</v>
      </c>
      <c r="J4923">
        <v>-2400577822</v>
      </c>
      <c r="K4923">
        <v>-1013939720.36</v>
      </c>
      <c r="L4923">
        <v>-882089596.55999994</v>
      </c>
      <c r="M4923">
        <v>-146131507.13</v>
      </c>
      <c r="N4923">
        <v>-178488347.93000001</v>
      </c>
      <c r="O4923">
        <v>-63920334.060000002</v>
      </c>
      <c r="P4923">
        <v>205</v>
      </c>
      <c r="Q4923" t="s">
        <v>9890</v>
      </c>
    </row>
    <row r="4924" spans="1:17" x14ac:dyDescent="0.3">
      <c r="A4924" t="s">
        <v>32</v>
      </c>
      <c r="B4924" t="str">
        <f>"300108"</f>
        <v>300108</v>
      </c>
      <c r="C4924" t="s">
        <v>9891</v>
      </c>
      <c r="D4924" t="s">
        <v>98</v>
      </c>
      <c r="F4924">
        <v>17338210</v>
      </c>
      <c r="G4924">
        <v>-80106527</v>
      </c>
      <c r="H4924">
        <v>160663118</v>
      </c>
      <c r="I4924">
        <v>-111763936</v>
      </c>
      <c r="J4924">
        <v>-78350836</v>
      </c>
      <c r="K4924">
        <v>-72048971</v>
      </c>
      <c r="L4924">
        <v>-86351761</v>
      </c>
      <c r="M4924">
        <v>-27686288</v>
      </c>
      <c r="N4924">
        <v>-25783475</v>
      </c>
      <c r="O4924">
        <v>-17244707</v>
      </c>
      <c r="P4924">
        <v>121</v>
      </c>
      <c r="Q4924" t="s">
        <v>9892</v>
      </c>
    </row>
    <row r="4925" spans="1:17" x14ac:dyDescent="0.3">
      <c r="A4925" t="s">
        <v>32</v>
      </c>
      <c r="B4925" t="str">
        <f>"300156"</f>
        <v>300156</v>
      </c>
      <c r="C4925" t="s">
        <v>9893</v>
      </c>
      <c r="H4925">
        <v>-6575123</v>
      </c>
      <c r="I4925">
        <v>-398698350</v>
      </c>
      <c r="J4925">
        <v>-122209105</v>
      </c>
      <c r="K4925">
        <v>-147575493</v>
      </c>
      <c r="L4925">
        <v>-242264788</v>
      </c>
      <c r="M4925">
        <v>47283223</v>
      </c>
      <c r="N4925">
        <v>-55469384</v>
      </c>
      <c r="O4925">
        <v>-12400562</v>
      </c>
      <c r="P4925">
        <v>300</v>
      </c>
      <c r="Q4925" t="s">
        <v>9894</v>
      </c>
    </row>
    <row r="4926" spans="1:17" x14ac:dyDescent="0.3">
      <c r="A4926" t="s">
        <v>32</v>
      </c>
      <c r="B4926" t="str">
        <f>"300186"</f>
        <v>300186</v>
      </c>
      <c r="C4926" t="s">
        <v>9895</v>
      </c>
      <c r="L4926">
        <v>-100758980.98</v>
      </c>
      <c r="M4926">
        <v>-114398553.73999999</v>
      </c>
      <c r="N4926">
        <v>-61308917.670000002</v>
      </c>
      <c r="O4926">
        <v>-92866477.680000007</v>
      </c>
      <c r="P4926">
        <v>5</v>
      </c>
      <c r="Q4926" t="s">
        <v>9896</v>
      </c>
    </row>
    <row r="4927" spans="1:17" x14ac:dyDescent="0.3">
      <c r="A4927" t="s">
        <v>32</v>
      </c>
      <c r="B4927" t="str">
        <f>"300201"</f>
        <v>300201</v>
      </c>
      <c r="C4927" t="s">
        <v>9897</v>
      </c>
      <c r="D4927" t="s">
        <v>135</v>
      </c>
      <c r="F4927">
        <v>-309526455</v>
      </c>
      <c r="G4927">
        <v>-131547184</v>
      </c>
      <c r="H4927">
        <v>-23334363</v>
      </c>
      <c r="I4927">
        <v>-103084921</v>
      </c>
      <c r="J4927">
        <v>-42116677</v>
      </c>
      <c r="K4927">
        <v>-117193573</v>
      </c>
      <c r="L4927">
        <v>-59963047</v>
      </c>
      <c r="M4927">
        <v>-54413028</v>
      </c>
      <c r="N4927">
        <v>-65835749</v>
      </c>
      <c r="O4927">
        <v>-64132000</v>
      </c>
      <c r="P4927">
        <v>77</v>
      </c>
      <c r="Q4927" t="s">
        <v>9898</v>
      </c>
    </row>
    <row r="4928" spans="1:17" x14ac:dyDescent="0.3">
      <c r="A4928" t="s">
        <v>32</v>
      </c>
      <c r="B4928" t="str">
        <f>"300216"</f>
        <v>300216</v>
      </c>
      <c r="C4928" t="s">
        <v>9899</v>
      </c>
      <c r="G4928">
        <v>1388617</v>
      </c>
      <c r="H4928">
        <v>-3534507</v>
      </c>
      <c r="I4928">
        <v>79434417</v>
      </c>
      <c r="J4928">
        <v>-534094047</v>
      </c>
      <c r="K4928">
        <v>-357334166</v>
      </c>
      <c r="L4928">
        <v>-82848522</v>
      </c>
      <c r="M4928">
        <v>-12859786</v>
      </c>
      <c r="N4928">
        <v>-25743563</v>
      </c>
      <c r="O4928">
        <v>-105344498</v>
      </c>
      <c r="P4928">
        <v>53</v>
      </c>
      <c r="Q4928" t="s">
        <v>9900</v>
      </c>
    </row>
    <row r="4929" spans="1:17" x14ac:dyDescent="0.3">
      <c r="A4929" t="s">
        <v>32</v>
      </c>
      <c r="B4929" t="str">
        <f>"300312"</f>
        <v>300312</v>
      </c>
      <c r="C4929" t="s">
        <v>9901</v>
      </c>
      <c r="D4929" t="s">
        <v>57</v>
      </c>
      <c r="F4929">
        <v>-2792523</v>
      </c>
      <c r="G4929">
        <v>-12497705</v>
      </c>
      <c r="H4929">
        <v>10571737</v>
      </c>
      <c r="I4929">
        <v>10903600</v>
      </c>
      <c r="J4929">
        <v>-68755218</v>
      </c>
      <c r="K4929">
        <v>-51537966</v>
      </c>
      <c r="L4929">
        <v>-116848486</v>
      </c>
      <c r="M4929">
        <v>-109723163</v>
      </c>
      <c r="N4929">
        <v>-124215378</v>
      </c>
      <c r="O4929">
        <v>-105748825</v>
      </c>
      <c r="P4929">
        <v>134</v>
      </c>
      <c r="Q4929" t="s">
        <v>9902</v>
      </c>
    </row>
    <row r="4930" spans="1:17" x14ac:dyDescent="0.3">
      <c r="A4930" t="s">
        <v>32</v>
      </c>
      <c r="B4930" t="str">
        <f>"300362"</f>
        <v>300362</v>
      </c>
      <c r="C4930" t="s">
        <v>9903</v>
      </c>
      <c r="F4930">
        <v>33087662</v>
      </c>
      <c r="G4930">
        <v>-10482498</v>
      </c>
      <c r="H4930">
        <v>-23677643</v>
      </c>
      <c r="I4930">
        <v>-82144826</v>
      </c>
      <c r="J4930">
        <v>-59021114</v>
      </c>
      <c r="K4930">
        <v>-77041832</v>
      </c>
      <c r="L4930">
        <v>-19098749</v>
      </c>
      <c r="M4930">
        <v>-33315291</v>
      </c>
      <c r="N4930">
        <v>-58467776.5</v>
      </c>
      <c r="O4930">
        <v>-69547454.519999996</v>
      </c>
      <c r="P4930">
        <v>87</v>
      </c>
      <c r="Q4930" t="s">
        <v>9904</v>
      </c>
    </row>
    <row r="4931" spans="1:17" x14ac:dyDescent="0.3">
      <c r="A4931" t="s">
        <v>32</v>
      </c>
      <c r="B4931" t="str">
        <f>"300372"</f>
        <v>300372</v>
      </c>
      <c r="C4931" t="s">
        <v>9905</v>
      </c>
      <c r="J4931">
        <v>3281000</v>
      </c>
      <c r="K4931">
        <v>20978826.370000001</v>
      </c>
      <c r="L4931">
        <v>-8868843.25</v>
      </c>
      <c r="M4931">
        <v>-145526156.62</v>
      </c>
      <c r="N4931">
        <v>-59377626.710000001</v>
      </c>
      <c r="P4931">
        <v>5</v>
      </c>
      <c r="Q4931" t="s">
        <v>9906</v>
      </c>
    </row>
    <row r="4932" spans="1:17" x14ac:dyDescent="0.3">
      <c r="A4932" t="s">
        <v>32</v>
      </c>
      <c r="B4932" t="str">
        <f>"300431"</f>
        <v>300431</v>
      </c>
      <c r="C4932" t="s">
        <v>9907</v>
      </c>
      <c r="H4932">
        <v>2900197</v>
      </c>
      <c r="I4932">
        <v>-119413014</v>
      </c>
      <c r="J4932">
        <v>-84539256</v>
      </c>
      <c r="K4932">
        <v>-4829421</v>
      </c>
      <c r="L4932">
        <v>2157712</v>
      </c>
      <c r="M4932">
        <v>7563994</v>
      </c>
      <c r="P4932">
        <v>145</v>
      </c>
      <c r="Q4932" t="s">
        <v>9908</v>
      </c>
    </row>
    <row r="4933" spans="1:17" x14ac:dyDescent="0.3">
      <c r="A4933" t="s">
        <v>32</v>
      </c>
      <c r="B4933" t="str">
        <f>"300728"</f>
        <v>300728</v>
      </c>
      <c r="C4933" t="s">
        <v>9909</v>
      </c>
      <c r="P4933">
        <v>10</v>
      </c>
      <c r="Q4933" t="s">
        <v>9910</v>
      </c>
    </row>
    <row r="4935" spans="1:17" x14ac:dyDescent="0.3">
      <c r="A4935" t="s">
        <v>9911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筛选器_大陆_20220502_123155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2022-05-02T04:32:17Z</dcterms:created>
  <dcterms:modified xsi:type="dcterms:W3CDTF">2022-05-02T04:32:17Z</dcterms:modified>
</cp:coreProperties>
</file>